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Python Code\Time Series - IMS Student\Python\"/>
    </mc:Choice>
  </mc:AlternateContent>
  <xr:revisionPtr revIDLastSave="0" documentId="13_ncr:1_{A2C957E6-6455-4EF4-A2DB-ADB3A4480A8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ES (Maida_Flour-1 )" sheetId="5" r:id="rId1"/>
    <sheet name="SES (Money_withdraw_atm-2 )" sheetId="6" state="hidden" r:id="rId2"/>
    <sheet name="DES (Mobile Unit -1 )" sheetId="4" r:id="rId3"/>
    <sheet name="DES (Mobile Price -2 )" sheetId="2" state="hidden" r:id="rId4"/>
    <sheet name="DES (Mobile Price -2 ) (2)" sheetId="21" state="hidden" r:id="rId5"/>
    <sheet name="HW ( AM) " sheetId="9" state="hidden" r:id="rId6"/>
    <sheet name="HW (MM)Export_Cotton" sheetId="15" state="hidden" r:id="rId7"/>
    <sheet name="HW ( MM)--Sales_try" sheetId="13" state="hidden" r:id="rId8"/>
    <sheet name="HW (MM) AirPassenger_2" sheetId="20" state="hidden" r:id="rId9"/>
    <sheet name="HW (MM) AirPassenger" sheetId="23" r:id="rId10"/>
  </sheets>
  <definedNames>
    <definedName name="_xlnm._FilterDatabase" localSheetId="3" hidden="1">'DES (Mobile Price -2 )'!$B$1:$I$37</definedName>
    <definedName name="_xlnm._FilterDatabase" localSheetId="4" hidden="1">'DES (Mobile Price -2 ) (2)'!$B$1:$J$25</definedName>
    <definedName name="_xlnm._FilterDatabase" localSheetId="2" hidden="1">'DES (Mobile Unit -1 )'!$B$1:$I$25</definedName>
    <definedName name="_xlnm._FilterDatabase" localSheetId="7" hidden="1">'HW ( MM)--Sales_try'!$A$1:$J$25</definedName>
    <definedName name="_xlnm._FilterDatabase" localSheetId="9" hidden="1">'HW (MM) AirPassenger'!$A$1:$J$149</definedName>
    <definedName name="_xlnm._FilterDatabase" localSheetId="8" hidden="1">'HW (MM) AirPassenger_2'!$A$1:$L$149</definedName>
    <definedName name="_xlnm._FilterDatabase" localSheetId="6" hidden="1">'HW (MM)Export_Cotton'!$A$1:$H$17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R3" i="23"/>
  <c r="Q3" i="23"/>
  <c r="P3" i="23"/>
  <c r="J14" i="23"/>
  <c r="I14" i="23"/>
  <c r="G2" i="23"/>
  <c r="F13" i="23"/>
  <c r="E13" i="23"/>
  <c r="E5" i="9"/>
  <c r="G5" i="9" s="1"/>
  <c r="G2" i="9" l="1"/>
  <c r="F5" i="9" l="1"/>
  <c r="G3" i="23" l="1"/>
  <c r="N3" i="23"/>
  <c r="M3" i="23"/>
  <c r="L3" i="23"/>
  <c r="F5" i="15"/>
  <c r="G8" i="23" l="1"/>
  <c r="G9" i="23"/>
  <c r="G4" i="23"/>
  <c r="G6" i="23"/>
  <c r="E14" i="23"/>
  <c r="G13" i="23"/>
  <c r="G12" i="23"/>
  <c r="G10" i="23"/>
  <c r="G11" i="23"/>
  <c r="G5" i="23"/>
  <c r="G7" i="23"/>
  <c r="P3" i="15"/>
  <c r="E5" i="15"/>
  <c r="H14" i="23" l="1"/>
  <c r="G3" i="15"/>
  <c r="G4" i="15"/>
  <c r="G5" i="15"/>
  <c r="G2" i="15"/>
  <c r="H6" i="15" s="1"/>
  <c r="E6" i="15" l="1"/>
  <c r="F14" i="23"/>
  <c r="G14" i="23"/>
  <c r="H15" i="23" l="1"/>
  <c r="J15" i="23" s="1"/>
  <c r="E15" i="23"/>
  <c r="I15" i="23" l="1"/>
  <c r="F15" i="23"/>
  <c r="E16" i="23" s="1"/>
  <c r="G15" i="23"/>
  <c r="F2" i="2"/>
  <c r="F16" i="23" l="1"/>
  <c r="E17" i="23" s="1"/>
  <c r="G16" i="23"/>
  <c r="H16" i="23"/>
  <c r="J16" i="23" s="1"/>
  <c r="I16" i="23" l="1"/>
  <c r="H17" i="23"/>
  <c r="F17" i="23"/>
  <c r="E18" i="23" s="1"/>
  <c r="G17" i="23"/>
  <c r="J17" i="23" l="1"/>
  <c r="I17" i="23"/>
  <c r="F18" i="23"/>
  <c r="E19" i="23" s="1"/>
  <c r="G18" i="23"/>
  <c r="H18" i="23"/>
  <c r="J18" i="23" s="1"/>
  <c r="E3" i="4"/>
  <c r="G3" i="4"/>
  <c r="F3" i="4" l="1"/>
  <c r="E4" i="4" s="1"/>
  <c r="I18" i="23"/>
  <c r="H19" i="23"/>
  <c r="I19" i="23" s="1"/>
  <c r="F19" i="23"/>
  <c r="E20" i="23" s="1"/>
  <c r="G19" i="23"/>
  <c r="J19" i="23"/>
  <c r="J3" i="4"/>
  <c r="H3" i="4"/>
  <c r="I3" i="4" s="1"/>
  <c r="G4" i="4" l="1"/>
  <c r="J4" i="4" s="1"/>
  <c r="G20" i="23"/>
  <c r="F20" i="23"/>
  <c r="E21" i="23" s="1"/>
  <c r="H20" i="23"/>
  <c r="F4" i="4"/>
  <c r="G5" i="4" s="1"/>
  <c r="H4" i="4" l="1"/>
  <c r="I4" i="4" s="1"/>
  <c r="G21" i="23"/>
  <c r="F21" i="23"/>
  <c r="E22" i="23" s="1"/>
  <c r="H21" i="23"/>
  <c r="J21" i="23" s="1"/>
  <c r="I20" i="23"/>
  <c r="J20" i="23"/>
  <c r="J5" i="4"/>
  <c r="H5" i="4"/>
  <c r="I5" i="4" s="1"/>
  <c r="E5" i="4"/>
  <c r="F2" i="21"/>
  <c r="E2" i="21"/>
  <c r="H22" i="23" l="1"/>
  <c r="J22" i="23" s="1"/>
  <c r="F22" i="23"/>
  <c r="E23" i="23" s="1"/>
  <c r="G22" i="23"/>
  <c r="H3" i="21"/>
  <c r="I21" i="23"/>
  <c r="F5" i="4"/>
  <c r="E6" i="4" s="1"/>
  <c r="K3" i="21"/>
  <c r="I3" i="21"/>
  <c r="J3" i="21" s="1"/>
  <c r="E3" i="21"/>
  <c r="E2" i="2"/>
  <c r="G3" i="2" s="1"/>
  <c r="H3" i="2" s="1"/>
  <c r="I3" i="2" s="1"/>
  <c r="I22" i="23" l="1"/>
  <c r="F23" i="23"/>
  <c r="E24" i="23" s="1"/>
  <c r="G23" i="23"/>
  <c r="H23" i="23"/>
  <c r="G6" i="4"/>
  <c r="F6" i="4"/>
  <c r="G7" i="4" s="1"/>
  <c r="F3" i="21"/>
  <c r="H4" i="21" s="1"/>
  <c r="E3" i="2"/>
  <c r="F3" i="2" s="1"/>
  <c r="G4" i="2" s="1"/>
  <c r="J3" i="2"/>
  <c r="E7" i="4" l="1"/>
  <c r="F7" i="4" s="1"/>
  <c r="E8" i="4" s="1"/>
  <c r="F24" i="23"/>
  <c r="E25" i="23" s="1"/>
  <c r="G24" i="23"/>
  <c r="I23" i="23"/>
  <c r="J23" i="23"/>
  <c r="J6" i="4"/>
  <c r="H6" i="4"/>
  <c r="I6" i="4" s="1"/>
  <c r="J7" i="4"/>
  <c r="H7" i="4"/>
  <c r="I7" i="4" s="1"/>
  <c r="I4" i="21"/>
  <c r="J4" i="21" s="1"/>
  <c r="K4" i="21"/>
  <c r="E4" i="21"/>
  <c r="J4" i="2"/>
  <c r="H4" i="2"/>
  <c r="I4" i="2" s="1"/>
  <c r="E4" i="2"/>
  <c r="E3" i="6"/>
  <c r="G25" i="23" l="1"/>
  <c r="F25" i="23"/>
  <c r="E26" i="23" s="1"/>
  <c r="H24" i="23"/>
  <c r="G8" i="4"/>
  <c r="F8" i="4"/>
  <c r="G9" i="4" s="1"/>
  <c r="F4" i="21"/>
  <c r="E5" i="21" s="1"/>
  <c r="F4" i="2"/>
  <c r="E5" i="2" s="1"/>
  <c r="F26" i="23" l="1"/>
  <c r="E27" i="23" s="1"/>
  <c r="G26" i="23"/>
  <c r="E9" i="4"/>
  <c r="F9" i="4" s="1"/>
  <c r="H5" i="21"/>
  <c r="H6" i="9"/>
  <c r="G3" i="9"/>
  <c r="G4" i="9"/>
  <c r="I24" i="23"/>
  <c r="J24" i="23"/>
  <c r="G5" i="2"/>
  <c r="J5" i="2" s="1"/>
  <c r="J8" i="4"/>
  <c r="H8" i="4"/>
  <c r="I8" i="4" s="1"/>
  <c r="J9" i="4"/>
  <c r="H9" i="4"/>
  <c r="I9" i="4" s="1"/>
  <c r="F5" i="21"/>
  <c r="H6" i="21" s="1"/>
  <c r="H5" i="2"/>
  <c r="I5" i="2" s="1"/>
  <c r="F5" i="2"/>
  <c r="G6" i="2" s="1"/>
  <c r="G27" i="23" l="1"/>
  <c r="F27" i="23"/>
  <c r="E28" i="23" s="1"/>
  <c r="G10" i="4"/>
  <c r="H10" i="4" s="1"/>
  <c r="I10" i="4" s="1"/>
  <c r="E10" i="4"/>
  <c r="F10" i="4" s="1"/>
  <c r="E11" i="4" s="1"/>
  <c r="H25" i="23"/>
  <c r="J10" i="4"/>
  <c r="I6" i="21"/>
  <c r="J6" i="21" s="1"/>
  <c r="K6" i="21"/>
  <c r="I5" i="21"/>
  <c r="J5" i="21" s="1"/>
  <c r="K5" i="21"/>
  <c r="E6" i="21"/>
  <c r="J6" i="2"/>
  <c r="H6" i="2"/>
  <c r="I6" i="2" s="1"/>
  <c r="E6" i="2"/>
  <c r="F28" i="23" l="1"/>
  <c r="E29" i="23" s="1"/>
  <c r="G28" i="23"/>
  <c r="J25" i="23"/>
  <c r="I25" i="23"/>
  <c r="G11" i="4"/>
  <c r="J11" i="4" s="1"/>
  <c r="F11" i="4"/>
  <c r="E12" i="4" s="1"/>
  <c r="F6" i="21"/>
  <c r="H7" i="21" s="1"/>
  <c r="F6" i="2"/>
  <c r="E7" i="2" s="1"/>
  <c r="F29" i="23" l="1"/>
  <c r="E30" i="23" s="1"/>
  <c r="G29" i="23"/>
  <c r="H11" i="4"/>
  <c r="I11" i="4" s="1"/>
  <c r="G12" i="4"/>
  <c r="H12" i="4" s="1"/>
  <c r="I12" i="4" s="1"/>
  <c r="F12" i="4"/>
  <c r="G13" i="4" s="1"/>
  <c r="E7" i="21"/>
  <c r="F7" i="21" s="1"/>
  <c r="I7" i="21"/>
  <c r="J7" i="21" s="1"/>
  <c r="K7" i="21"/>
  <c r="G7" i="2"/>
  <c r="H7" i="2" s="1"/>
  <c r="I7" i="2" s="1"/>
  <c r="F7" i="2"/>
  <c r="E8" i="2" s="1"/>
  <c r="F13" i="20"/>
  <c r="I12" i="20" s="1"/>
  <c r="E13" i="20"/>
  <c r="E12" i="20"/>
  <c r="E11" i="20"/>
  <c r="E10" i="20"/>
  <c r="E9" i="20"/>
  <c r="E8" i="20"/>
  <c r="E7" i="20"/>
  <c r="E6" i="20"/>
  <c r="E5" i="20"/>
  <c r="E4" i="20"/>
  <c r="P3" i="20"/>
  <c r="O3" i="20"/>
  <c r="N3" i="20"/>
  <c r="E3" i="20"/>
  <c r="E2" i="20"/>
  <c r="F5" i="13"/>
  <c r="I2" i="13" s="1"/>
  <c r="E5" i="13"/>
  <c r="R3" i="15"/>
  <c r="G6" i="15" s="1"/>
  <c r="Q3" i="15"/>
  <c r="E4" i="13"/>
  <c r="E3" i="13"/>
  <c r="U3" i="13"/>
  <c r="T3" i="13"/>
  <c r="S3" i="13"/>
  <c r="E2" i="13"/>
  <c r="I6" i="9"/>
  <c r="G30" i="23" l="1"/>
  <c r="F30" i="23"/>
  <c r="E31" i="23" s="1"/>
  <c r="H8" i="21"/>
  <c r="E8" i="21"/>
  <c r="G5" i="13"/>
  <c r="J7" i="2"/>
  <c r="E13" i="4"/>
  <c r="F13" i="4" s="1"/>
  <c r="E14" i="4" s="1"/>
  <c r="J12" i="4"/>
  <c r="F6" i="15"/>
  <c r="E7" i="15" s="1"/>
  <c r="H26" i="23"/>
  <c r="J26" i="23" s="1"/>
  <c r="H27" i="23"/>
  <c r="H13" i="4"/>
  <c r="I13" i="4" s="1"/>
  <c r="J13" i="4"/>
  <c r="K8" i="21"/>
  <c r="I8" i="21"/>
  <c r="J8" i="21" s="1"/>
  <c r="F8" i="21"/>
  <c r="H9" i="21" s="1"/>
  <c r="G8" i="2"/>
  <c r="H8" i="2" s="1"/>
  <c r="I8" i="2" s="1"/>
  <c r="F8" i="2"/>
  <c r="G9" i="2" s="1"/>
  <c r="I5" i="20"/>
  <c r="G13" i="20"/>
  <c r="J14" i="20" s="1"/>
  <c r="I13" i="20"/>
  <c r="I6" i="20"/>
  <c r="I9" i="20"/>
  <c r="I2" i="20"/>
  <c r="H14" i="20" s="1"/>
  <c r="I10" i="20"/>
  <c r="H22" i="20" s="1"/>
  <c r="I3" i="20"/>
  <c r="I7" i="20"/>
  <c r="I11" i="20"/>
  <c r="I4" i="20"/>
  <c r="I8" i="20"/>
  <c r="I5" i="13"/>
  <c r="H9" i="13" s="1"/>
  <c r="J6" i="9"/>
  <c r="F31" i="23" l="1"/>
  <c r="E32" i="23" s="1"/>
  <c r="G31" i="23"/>
  <c r="I26" i="23"/>
  <c r="F7" i="15"/>
  <c r="E8" i="15" s="1"/>
  <c r="G7" i="15"/>
  <c r="H7" i="15"/>
  <c r="I27" i="23"/>
  <c r="J27" i="23"/>
  <c r="J8" i="2"/>
  <c r="G14" i="4"/>
  <c r="J14" i="4" s="1"/>
  <c r="F14" i="4"/>
  <c r="G15" i="4" s="1"/>
  <c r="I9" i="21"/>
  <c r="J9" i="21" s="1"/>
  <c r="K9" i="21"/>
  <c r="E9" i="21"/>
  <c r="J9" i="2"/>
  <c r="H9" i="2"/>
  <c r="I9" i="2" s="1"/>
  <c r="E9" i="2"/>
  <c r="H20" i="20"/>
  <c r="H18" i="20"/>
  <c r="F14" i="20"/>
  <c r="I14" i="20" s="1"/>
  <c r="H25" i="20"/>
  <c r="H19" i="20"/>
  <c r="H17" i="20"/>
  <c r="H21" i="20"/>
  <c r="H15" i="20"/>
  <c r="H23" i="20"/>
  <c r="H16" i="20"/>
  <c r="H24" i="20"/>
  <c r="H6" i="13"/>
  <c r="F6" i="13" s="1"/>
  <c r="G6" i="13" s="1"/>
  <c r="I3" i="13"/>
  <c r="H7" i="13" s="1"/>
  <c r="I4" i="13"/>
  <c r="H8" i="13" s="1"/>
  <c r="F32" i="23" l="1"/>
  <c r="E33" i="23" s="1"/>
  <c r="G32" i="23"/>
  <c r="E15" i="4"/>
  <c r="F15" i="4" s="1"/>
  <c r="G16" i="4" s="1"/>
  <c r="H14" i="4"/>
  <c r="I14" i="4" s="1"/>
  <c r="G8" i="15"/>
  <c r="F8" i="15"/>
  <c r="E9" i="15" s="1"/>
  <c r="H15" i="4"/>
  <c r="I15" i="4" s="1"/>
  <c r="J15" i="4"/>
  <c r="F9" i="21"/>
  <c r="H10" i="21" s="1"/>
  <c r="F9" i="2"/>
  <c r="E10" i="2" s="1"/>
  <c r="G14" i="20"/>
  <c r="F15" i="20" s="1"/>
  <c r="H26" i="20"/>
  <c r="J6" i="13"/>
  <c r="J6" i="15"/>
  <c r="I6" i="15"/>
  <c r="F33" i="23" l="1"/>
  <c r="E34" i="23" s="1"/>
  <c r="G33" i="23"/>
  <c r="G10" i="2"/>
  <c r="G9" i="15"/>
  <c r="F9" i="15"/>
  <c r="E10" i="15" s="1"/>
  <c r="H28" i="23"/>
  <c r="J28" i="23" s="1"/>
  <c r="H29" i="23"/>
  <c r="E16" i="4"/>
  <c r="F16" i="4" s="1"/>
  <c r="E17" i="4" s="1"/>
  <c r="H16" i="4"/>
  <c r="I16" i="4" s="1"/>
  <c r="J16" i="4"/>
  <c r="K10" i="21"/>
  <c r="I10" i="21"/>
  <c r="J10" i="21" s="1"/>
  <c r="E10" i="21"/>
  <c r="H10" i="2"/>
  <c r="I10" i="2" s="1"/>
  <c r="J10" i="2"/>
  <c r="F10" i="2"/>
  <c r="G11" i="2" s="1"/>
  <c r="L6" i="13"/>
  <c r="K6" i="13"/>
  <c r="J15" i="20"/>
  <c r="L15" i="20" s="1"/>
  <c r="G15" i="20"/>
  <c r="J16" i="20" s="1"/>
  <c r="I15" i="20"/>
  <c r="H27" i="20" s="1"/>
  <c r="K14" i="20"/>
  <c r="L14" i="20"/>
  <c r="F7" i="13"/>
  <c r="G7" i="13" s="1"/>
  <c r="J8" i="13" s="1"/>
  <c r="I6" i="13"/>
  <c r="H10" i="13" s="1"/>
  <c r="H8" i="15"/>
  <c r="G34" i="23" l="1"/>
  <c r="F34" i="23"/>
  <c r="E35" i="23" s="1"/>
  <c r="I28" i="23"/>
  <c r="G10" i="15"/>
  <c r="F10" i="15"/>
  <c r="E11" i="15" s="1"/>
  <c r="J29" i="23"/>
  <c r="I29" i="23"/>
  <c r="E11" i="2"/>
  <c r="F11" i="2" s="1"/>
  <c r="E12" i="2" s="1"/>
  <c r="G17" i="4"/>
  <c r="J17" i="4" s="1"/>
  <c r="F17" i="4"/>
  <c r="E18" i="4" s="1"/>
  <c r="F10" i="21"/>
  <c r="E11" i="21" s="1"/>
  <c r="J11" i="2"/>
  <c r="H11" i="2"/>
  <c r="I11" i="2" s="1"/>
  <c r="K8" i="13"/>
  <c r="L8" i="13"/>
  <c r="K15" i="20"/>
  <c r="L16" i="20"/>
  <c r="K16" i="20"/>
  <c r="F16" i="20"/>
  <c r="I7" i="13"/>
  <c r="H11" i="13" s="1"/>
  <c r="J7" i="13"/>
  <c r="J7" i="15"/>
  <c r="I7" i="15"/>
  <c r="F8" i="13"/>
  <c r="F35" i="23" l="1"/>
  <c r="E36" i="23" s="1"/>
  <c r="G35" i="23"/>
  <c r="H17" i="4"/>
  <c r="I17" i="4" s="1"/>
  <c r="F11" i="15"/>
  <c r="E12" i="15" s="1"/>
  <c r="G11" i="15"/>
  <c r="H30" i="23"/>
  <c r="G12" i="2"/>
  <c r="H12" i="2" s="1"/>
  <c r="I12" i="2" s="1"/>
  <c r="G18" i="4"/>
  <c r="F18" i="4"/>
  <c r="G19" i="4" s="1"/>
  <c r="F11" i="21"/>
  <c r="H12" i="21" s="1"/>
  <c r="H11" i="21"/>
  <c r="F12" i="2"/>
  <c r="G13" i="2" s="1"/>
  <c r="L7" i="13"/>
  <c r="K7" i="13"/>
  <c r="I16" i="20"/>
  <c r="H28" i="20" s="1"/>
  <c r="G16" i="20"/>
  <c r="J17" i="20" s="1"/>
  <c r="I8" i="13"/>
  <c r="H12" i="13" s="1"/>
  <c r="G8" i="13"/>
  <c r="F9" i="13" s="1"/>
  <c r="G36" i="23" l="1"/>
  <c r="F36" i="23"/>
  <c r="E37" i="23" s="1"/>
  <c r="J12" i="2"/>
  <c r="E19" i="4"/>
  <c r="F19" i="4" s="1"/>
  <c r="G20" i="4" s="1"/>
  <c r="F12" i="15"/>
  <c r="E13" i="15" s="1"/>
  <c r="G12" i="15"/>
  <c r="I30" i="23"/>
  <c r="J30" i="23"/>
  <c r="H9" i="15"/>
  <c r="J9" i="15" s="1"/>
  <c r="H10" i="15"/>
  <c r="E13" i="2"/>
  <c r="J18" i="4"/>
  <c r="H18" i="4"/>
  <c r="I18" i="4" s="1"/>
  <c r="H19" i="4"/>
  <c r="I19" i="4" s="1"/>
  <c r="J19" i="4"/>
  <c r="I12" i="21"/>
  <c r="J12" i="21" s="1"/>
  <c r="K12" i="21"/>
  <c r="K11" i="21"/>
  <c r="I11" i="21"/>
  <c r="J11" i="21" s="1"/>
  <c r="E12" i="21"/>
  <c r="H13" i="2"/>
  <c r="I13" i="2" s="1"/>
  <c r="J13" i="2"/>
  <c r="L17" i="20"/>
  <c r="K17" i="20"/>
  <c r="F17" i="20"/>
  <c r="J8" i="15"/>
  <c r="I8" i="15"/>
  <c r="I9" i="13"/>
  <c r="H13" i="13" s="1"/>
  <c r="G9" i="13"/>
  <c r="J10" i="13" s="1"/>
  <c r="J9" i="13"/>
  <c r="F37" i="23" l="1"/>
  <c r="E38" i="23" s="1"/>
  <c r="G37" i="23"/>
  <c r="F13" i="2"/>
  <c r="E14" i="2" s="1"/>
  <c r="F14" i="2" s="1"/>
  <c r="G15" i="2" s="1"/>
  <c r="F13" i="15"/>
  <c r="E14" i="15" s="1"/>
  <c r="G13" i="15"/>
  <c r="H31" i="23"/>
  <c r="E20" i="4"/>
  <c r="F20" i="4" s="1"/>
  <c r="E21" i="4" s="1"/>
  <c r="J20" i="4"/>
  <c r="H20" i="4"/>
  <c r="I20" i="4" s="1"/>
  <c r="F12" i="21"/>
  <c r="E13" i="21" s="1"/>
  <c r="L9" i="13"/>
  <c r="K9" i="13"/>
  <c r="K10" i="13"/>
  <c r="L10" i="13"/>
  <c r="I17" i="20"/>
  <c r="H29" i="20" s="1"/>
  <c r="G17" i="20"/>
  <c r="J18" i="20" s="1"/>
  <c r="H11" i="15"/>
  <c r="I9" i="15"/>
  <c r="F10" i="13"/>
  <c r="G38" i="23" l="1"/>
  <c r="F38" i="23"/>
  <c r="E39" i="23" s="1"/>
  <c r="E15" i="2"/>
  <c r="G14" i="2"/>
  <c r="G14" i="15"/>
  <c r="F14" i="15"/>
  <c r="E15" i="15" s="1"/>
  <c r="I31" i="23"/>
  <c r="J31" i="23"/>
  <c r="G21" i="4"/>
  <c r="J21" i="4" s="1"/>
  <c r="F21" i="4"/>
  <c r="E22" i="4" s="1"/>
  <c r="F13" i="21"/>
  <c r="H14" i="21" s="1"/>
  <c r="H13" i="21"/>
  <c r="F15" i="2"/>
  <c r="E16" i="2" s="1"/>
  <c r="H15" i="2"/>
  <c r="I15" i="2" s="1"/>
  <c r="J15" i="2"/>
  <c r="F18" i="20"/>
  <c r="I18" i="20" s="1"/>
  <c r="H30" i="20" s="1"/>
  <c r="K18" i="20"/>
  <c r="L18" i="20"/>
  <c r="I10" i="15"/>
  <c r="J10" i="15"/>
  <c r="G10" i="13"/>
  <c r="F11" i="13" s="1"/>
  <c r="I10" i="13"/>
  <c r="H14" i="13" s="1"/>
  <c r="H21" i="4" l="1"/>
  <c r="I21" i="4" s="1"/>
  <c r="F39" i="23"/>
  <c r="E40" i="23" s="1"/>
  <c r="G39" i="23"/>
  <c r="G16" i="2"/>
  <c r="J14" i="2"/>
  <c r="H14" i="2"/>
  <c r="I14" i="2" s="1"/>
  <c r="G15" i="15"/>
  <c r="F15" i="15"/>
  <c r="E16" i="15" s="1"/>
  <c r="H32" i="23"/>
  <c r="J32" i="23" s="1"/>
  <c r="G22" i="4"/>
  <c r="H22" i="4" s="1"/>
  <c r="I22" i="4" s="1"/>
  <c r="F22" i="4"/>
  <c r="G23" i="4" s="1"/>
  <c r="I14" i="21"/>
  <c r="J14" i="21" s="1"/>
  <c r="K14" i="21"/>
  <c r="I13" i="21"/>
  <c r="J13" i="21" s="1"/>
  <c r="K13" i="21"/>
  <c r="E14" i="21"/>
  <c r="H16" i="2"/>
  <c r="I16" i="2" s="1"/>
  <c r="J16" i="2"/>
  <c r="F16" i="2"/>
  <c r="G17" i="2" s="1"/>
  <c r="E17" i="2"/>
  <c r="G18" i="20"/>
  <c r="J19" i="20" s="1"/>
  <c r="L19" i="20" s="1"/>
  <c r="F19" i="20"/>
  <c r="J11" i="15"/>
  <c r="I11" i="15"/>
  <c r="J11" i="13"/>
  <c r="G11" i="13"/>
  <c r="F12" i="13" s="1"/>
  <c r="I11" i="13"/>
  <c r="H15" i="13" s="1"/>
  <c r="F40" i="23" l="1"/>
  <c r="E41" i="23" s="1"/>
  <c r="G40" i="23"/>
  <c r="K19" i="20"/>
  <c r="J22" i="4"/>
  <c r="I32" i="23"/>
  <c r="F16" i="15"/>
  <c r="E17" i="15" s="1"/>
  <c r="G16" i="15"/>
  <c r="H33" i="23"/>
  <c r="H13" i="15"/>
  <c r="H12" i="15"/>
  <c r="J12" i="15" s="1"/>
  <c r="J23" i="4"/>
  <c r="H23" i="4"/>
  <c r="I23" i="4" s="1"/>
  <c r="E23" i="4"/>
  <c r="F14" i="21"/>
  <c r="E15" i="21" s="1"/>
  <c r="F17" i="2"/>
  <c r="E18" i="2" s="1"/>
  <c r="H17" i="2"/>
  <c r="I17" i="2" s="1"/>
  <c r="J17" i="2"/>
  <c r="L11" i="13"/>
  <c r="K11" i="13"/>
  <c r="G19" i="20"/>
  <c r="F20" i="20" s="1"/>
  <c r="I19" i="20"/>
  <c r="H31" i="20" s="1"/>
  <c r="J12" i="13"/>
  <c r="I12" i="13"/>
  <c r="H16" i="13" s="1"/>
  <c r="G12" i="13"/>
  <c r="F13" i="13" s="1"/>
  <c r="F41" i="23" l="1"/>
  <c r="E42" i="23" s="1"/>
  <c r="G41" i="23"/>
  <c r="G18" i="2"/>
  <c r="G17" i="15"/>
  <c r="F17" i="15"/>
  <c r="H20" i="15" s="1"/>
  <c r="J33" i="23"/>
  <c r="I33" i="23"/>
  <c r="I12" i="15"/>
  <c r="F23" i="4"/>
  <c r="E24" i="4" s="1"/>
  <c r="F15" i="21"/>
  <c r="H16" i="21" s="1"/>
  <c r="H15" i="21"/>
  <c r="J18" i="2"/>
  <c r="H18" i="2"/>
  <c r="I18" i="2" s="1"/>
  <c r="F18" i="2"/>
  <c r="G19" i="2" s="1"/>
  <c r="K12" i="13"/>
  <c r="L12" i="13"/>
  <c r="J20" i="20"/>
  <c r="K20" i="20" s="1"/>
  <c r="I20" i="20"/>
  <c r="H32" i="20" s="1"/>
  <c r="G20" i="20"/>
  <c r="F21" i="20" s="1"/>
  <c r="H14" i="15"/>
  <c r="J13" i="15"/>
  <c r="I13" i="15"/>
  <c r="I13" i="13"/>
  <c r="H17" i="13" s="1"/>
  <c r="G13" i="13"/>
  <c r="J14" i="13" s="1"/>
  <c r="J13" i="13"/>
  <c r="F42" i="23" l="1"/>
  <c r="E43" i="23" s="1"/>
  <c r="G42" i="23"/>
  <c r="E19" i="2"/>
  <c r="F19" i="2" s="1"/>
  <c r="E20" i="2" s="1"/>
  <c r="F20" i="2" s="1"/>
  <c r="G21" i="2" s="1"/>
  <c r="H21" i="15"/>
  <c r="H18" i="15"/>
  <c r="H19" i="15"/>
  <c r="H34" i="23"/>
  <c r="G24" i="4"/>
  <c r="F24" i="4"/>
  <c r="G25" i="4" s="1"/>
  <c r="K16" i="21"/>
  <c r="I16" i="21"/>
  <c r="J16" i="21" s="1"/>
  <c r="I15" i="21"/>
  <c r="J15" i="21" s="1"/>
  <c r="K15" i="21"/>
  <c r="E16" i="21"/>
  <c r="H19" i="2"/>
  <c r="I19" i="2" s="1"/>
  <c r="J19" i="2"/>
  <c r="G20" i="2"/>
  <c r="J20" i="2" s="1"/>
  <c r="H21" i="2"/>
  <c r="I21" i="2" s="1"/>
  <c r="J21" i="2"/>
  <c r="L20" i="20"/>
  <c r="L13" i="13"/>
  <c r="K13" i="13"/>
  <c r="K14" i="13"/>
  <c r="L14" i="13"/>
  <c r="J21" i="20"/>
  <c r="L21" i="20" s="1"/>
  <c r="I21" i="20"/>
  <c r="H33" i="20" s="1"/>
  <c r="G21" i="20"/>
  <c r="J22" i="20" s="1"/>
  <c r="F14" i="13"/>
  <c r="G14" i="13" s="1"/>
  <c r="J15" i="13" s="1"/>
  <c r="G43" i="23" l="1"/>
  <c r="F43" i="23"/>
  <c r="E44" i="23" s="1"/>
  <c r="E21" i="2"/>
  <c r="F21" i="2" s="1"/>
  <c r="E22" i="2" s="1"/>
  <c r="J34" i="23"/>
  <c r="I34" i="23"/>
  <c r="H25" i="4"/>
  <c r="I25" i="4" s="1"/>
  <c r="J25" i="4"/>
  <c r="J24" i="4"/>
  <c r="H24" i="4"/>
  <c r="I24" i="4" s="1"/>
  <c r="E25" i="4"/>
  <c r="F16" i="21"/>
  <c r="E17" i="21" s="1"/>
  <c r="H20" i="2"/>
  <c r="I20" i="2" s="1"/>
  <c r="K21" i="20"/>
  <c r="L15" i="13"/>
  <c r="K15" i="13"/>
  <c r="F22" i="20"/>
  <c r="G22" i="20" s="1"/>
  <c r="J23" i="20" s="1"/>
  <c r="K22" i="20"/>
  <c r="L22" i="20"/>
  <c r="J14" i="15"/>
  <c r="I14" i="15"/>
  <c r="I14" i="13"/>
  <c r="H18" i="13" s="1"/>
  <c r="F15" i="13"/>
  <c r="I15" i="13" s="1"/>
  <c r="H19" i="13" s="1"/>
  <c r="F44" i="23" l="1"/>
  <c r="E45" i="23" s="1"/>
  <c r="G44" i="23"/>
  <c r="H17" i="21"/>
  <c r="F25" i="4"/>
  <c r="G26" i="4" s="1"/>
  <c r="H35" i="23"/>
  <c r="H16" i="15"/>
  <c r="H15" i="15"/>
  <c r="J15" i="15" s="1"/>
  <c r="F17" i="21"/>
  <c r="H18" i="21" s="1"/>
  <c r="K17" i="21"/>
  <c r="I17" i="21"/>
  <c r="J17" i="21" s="1"/>
  <c r="F22" i="2"/>
  <c r="G23" i="2" s="1"/>
  <c r="G22" i="2"/>
  <c r="I22" i="20"/>
  <c r="H34" i="20" s="1"/>
  <c r="L23" i="20"/>
  <c r="K23" i="20"/>
  <c r="F23" i="20"/>
  <c r="G15" i="13"/>
  <c r="F45" i="23" l="1"/>
  <c r="E46" i="23" s="1"/>
  <c r="G45" i="23"/>
  <c r="G27" i="4"/>
  <c r="J35" i="23"/>
  <c r="I35" i="23"/>
  <c r="H17" i="15"/>
  <c r="I15" i="15"/>
  <c r="I18" i="21"/>
  <c r="J18" i="21" s="1"/>
  <c r="K18" i="21"/>
  <c r="E18" i="21"/>
  <c r="H23" i="2"/>
  <c r="I23" i="2" s="1"/>
  <c r="J23" i="2"/>
  <c r="J22" i="2"/>
  <c r="H22" i="2"/>
  <c r="I22" i="2" s="1"/>
  <c r="E23" i="2"/>
  <c r="G23" i="20"/>
  <c r="J24" i="20" s="1"/>
  <c r="I23" i="20"/>
  <c r="H35" i="20" s="1"/>
  <c r="I16" i="15"/>
  <c r="J16" i="15"/>
  <c r="J16" i="13"/>
  <c r="F16" i="13"/>
  <c r="F46" i="23" l="1"/>
  <c r="E47" i="23" s="1"/>
  <c r="G46" i="23"/>
  <c r="F18" i="21"/>
  <c r="E19" i="21" s="1"/>
  <c r="F23" i="2"/>
  <c r="E24" i="2" s="1"/>
  <c r="K16" i="13"/>
  <c r="L16" i="13"/>
  <c r="F24" i="20"/>
  <c r="I24" i="20" s="1"/>
  <c r="H36" i="20" s="1"/>
  <c r="L24" i="20"/>
  <c r="K24" i="20"/>
  <c r="G16" i="13"/>
  <c r="I16" i="13"/>
  <c r="H20" i="13" s="1"/>
  <c r="G47" i="23" l="1"/>
  <c r="F47" i="23"/>
  <c r="E48" i="23" s="1"/>
  <c r="H36" i="23"/>
  <c r="F19" i="21"/>
  <c r="H20" i="21" s="1"/>
  <c r="H19" i="21"/>
  <c r="F24" i="2"/>
  <c r="G25" i="2" s="1"/>
  <c r="G24" i="2"/>
  <c r="G24" i="20"/>
  <c r="J25" i="20" s="1"/>
  <c r="K25" i="20" s="1"/>
  <c r="J17" i="15"/>
  <c r="N7" i="15" s="1"/>
  <c r="I17" i="15"/>
  <c r="F17" i="13"/>
  <c r="J17" i="13"/>
  <c r="G48" i="23" l="1"/>
  <c r="F48" i="23"/>
  <c r="E49" i="23" s="1"/>
  <c r="I36" i="23"/>
  <c r="J36" i="23"/>
  <c r="H37" i="23"/>
  <c r="E20" i="21"/>
  <c r="F20" i="21" s="1"/>
  <c r="E21" i="21" s="1"/>
  <c r="L7" i="15"/>
  <c r="M7" i="15" s="1"/>
  <c r="K7" i="15"/>
  <c r="K19" i="21"/>
  <c r="I19" i="21"/>
  <c r="J19" i="21" s="1"/>
  <c r="I20" i="21"/>
  <c r="J20" i="21" s="1"/>
  <c r="K20" i="21"/>
  <c r="H25" i="2"/>
  <c r="I25" i="2" s="1"/>
  <c r="J25" i="2"/>
  <c r="J24" i="2"/>
  <c r="H24" i="2"/>
  <c r="I24" i="2" s="1"/>
  <c r="E25" i="2"/>
  <c r="L25" i="20"/>
  <c r="L17" i="13"/>
  <c r="K17" i="13"/>
  <c r="F25" i="20"/>
  <c r="G17" i="13"/>
  <c r="J18" i="13" s="1"/>
  <c r="I17" i="13"/>
  <c r="H21" i="13" s="1"/>
  <c r="G49" i="23" l="1"/>
  <c r="F49" i="23"/>
  <c r="E50" i="23" s="1"/>
  <c r="I37" i="23"/>
  <c r="J37" i="23"/>
  <c r="H21" i="21"/>
  <c r="K21" i="21" s="1"/>
  <c r="F21" i="21"/>
  <c r="H22" i="21" s="1"/>
  <c r="F25" i="2"/>
  <c r="E26" i="2" s="1"/>
  <c r="K18" i="13"/>
  <c r="L18" i="13"/>
  <c r="I25" i="20"/>
  <c r="H37" i="20" s="1"/>
  <c r="G25" i="20"/>
  <c r="F18" i="13"/>
  <c r="G50" i="23" l="1"/>
  <c r="F50" i="23"/>
  <c r="E51" i="23" s="1"/>
  <c r="H38" i="23"/>
  <c r="I38" i="23" s="1"/>
  <c r="I21" i="21"/>
  <c r="J21" i="21" s="1"/>
  <c r="E22" i="21"/>
  <c r="F22" i="21" s="1"/>
  <c r="H23" i="21" s="1"/>
  <c r="I22" i="21"/>
  <c r="J22" i="21" s="1"/>
  <c r="K22" i="21"/>
  <c r="F26" i="2"/>
  <c r="G27" i="2" s="1"/>
  <c r="G26" i="2"/>
  <c r="J26" i="20"/>
  <c r="F26" i="20"/>
  <c r="G18" i="13"/>
  <c r="J19" i="13" s="1"/>
  <c r="I18" i="13"/>
  <c r="H22" i="13" s="1"/>
  <c r="F51" i="23" l="1"/>
  <c r="E52" i="23" s="1"/>
  <c r="G51" i="23"/>
  <c r="J38" i="23"/>
  <c r="K23" i="21"/>
  <c r="I23" i="21"/>
  <c r="J23" i="21" s="1"/>
  <c r="E23" i="21"/>
  <c r="H27" i="2"/>
  <c r="I27" i="2" s="1"/>
  <c r="J27" i="2"/>
  <c r="J26" i="2"/>
  <c r="H26" i="2"/>
  <c r="I26" i="2" s="1"/>
  <c r="E27" i="2"/>
  <c r="F19" i="13"/>
  <c r="I19" i="13" s="1"/>
  <c r="H23" i="13" s="1"/>
  <c r="L19" i="13"/>
  <c r="K19" i="13"/>
  <c r="G26" i="20"/>
  <c r="I26" i="20"/>
  <c r="H38" i="20" s="1"/>
  <c r="K26" i="20"/>
  <c r="L26" i="20"/>
  <c r="G52" i="23" l="1"/>
  <c r="F52" i="23"/>
  <c r="E53" i="23" s="1"/>
  <c r="H39" i="23"/>
  <c r="F23" i="21"/>
  <c r="H24" i="21" s="1"/>
  <c r="F27" i="2"/>
  <c r="E28" i="2" s="1"/>
  <c r="G19" i="13"/>
  <c r="F20" i="13" s="1"/>
  <c r="I20" i="13" s="1"/>
  <c r="H24" i="13" s="1"/>
  <c r="J27" i="20"/>
  <c r="F27" i="20"/>
  <c r="G53" i="23" l="1"/>
  <c r="F53" i="23"/>
  <c r="E54" i="23" s="1"/>
  <c r="J39" i="23"/>
  <c r="I39" i="23"/>
  <c r="J20" i="13"/>
  <c r="K20" i="13" s="1"/>
  <c r="E24" i="21"/>
  <c r="G20" i="13"/>
  <c r="J21" i="13" s="1"/>
  <c r="F24" i="21"/>
  <c r="E25" i="21" s="1"/>
  <c r="I24" i="21"/>
  <c r="J24" i="21" s="1"/>
  <c r="K24" i="21"/>
  <c r="F28" i="2"/>
  <c r="G29" i="2" s="1"/>
  <c r="G28" i="2"/>
  <c r="L21" i="13"/>
  <c r="K21" i="13"/>
  <c r="G27" i="20"/>
  <c r="J28" i="20" s="1"/>
  <c r="I27" i="20"/>
  <c r="H39" i="20" s="1"/>
  <c r="K27" i="20"/>
  <c r="L27" i="20"/>
  <c r="F21" i="13"/>
  <c r="F54" i="23" l="1"/>
  <c r="E55" i="23" s="1"/>
  <c r="G54" i="23"/>
  <c r="H40" i="23"/>
  <c r="L20" i="13"/>
  <c r="E33" i="21"/>
  <c r="F25" i="21"/>
  <c r="H28" i="21" s="1"/>
  <c r="H25" i="21"/>
  <c r="H29" i="2"/>
  <c r="I29" i="2" s="1"/>
  <c r="J29" i="2"/>
  <c r="J28" i="2"/>
  <c r="H28" i="2"/>
  <c r="I28" i="2" s="1"/>
  <c r="E29" i="2"/>
  <c r="F28" i="20"/>
  <c r="K28" i="20"/>
  <c r="L28" i="20"/>
  <c r="G21" i="13"/>
  <c r="J22" i="13" s="1"/>
  <c r="I21" i="13"/>
  <c r="H25" i="13" s="1"/>
  <c r="F55" i="23" l="1"/>
  <c r="E56" i="23" s="1"/>
  <c r="G55" i="23"/>
  <c r="J40" i="23"/>
  <c r="I40" i="23"/>
  <c r="H31" i="21"/>
  <c r="E34" i="21"/>
  <c r="H26" i="21"/>
  <c r="H30" i="21"/>
  <c r="H27" i="21"/>
  <c r="H29" i="21"/>
  <c r="K25" i="21"/>
  <c r="S2" i="21" s="1"/>
  <c r="I25" i="21"/>
  <c r="J25" i="21" s="1"/>
  <c r="P2" i="21" s="1"/>
  <c r="F29" i="2"/>
  <c r="E30" i="2" s="1"/>
  <c r="K22" i="13"/>
  <c r="L22" i="13"/>
  <c r="I28" i="20"/>
  <c r="H40" i="20" s="1"/>
  <c r="G28" i="20"/>
  <c r="F29" i="20" s="1"/>
  <c r="F22" i="13"/>
  <c r="G56" i="23" l="1"/>
  <c r="F56" i="23"/>
  <c r="E57" i="23" s="1"/>
  <c r="F30" i="2"/>
  <c r="G31" i="2" s="1"/>
  <c r="G30" i="2"/>
  <c r="G29" i="20"/>
  <c r="J30" i="20" s="1"/>
  <c r="I29" i="20"/>
  <c r="H41" i="20" s="1"/>
  <c r="J29" i="20"/>
  <c r="I22" i="13"/>
  <c r="H26" i="13" s="1"/>
  <c r="G22" i="13"/>
  <c r="F23" i="13" s="1"/>
  <c r="G57" i="23" l="1"/>
  <c r="F57" i="23"/>
  <c r="E58" i="23" s="1"/>
  <c r="H41" i="23"/>
  <c r="H42" i="23"/>
  <c r="H31" i="2"/>
  <c r="I31" i="2" s="1"/>
  <c r="J31" i="2"/>
  <c r="J30" i="2"/>
  <c r="H30" i="2"/>
  <c r="I30" i="2" s="1"/>
  <c r="E31" i="2"/>
  <c r="L30" i="20"/>
  <c r="K30" i="20"/>
  <c r="L29" i="20"/>
  <c r="K29" i="20"/>
  <c r="F30" i="20"/>
  <c r="J23" i="13"/>
  <c r="G23" i="13"/>
  <c r="J24" i="13" s="1"/>
  <c r="I23" i="13"/>
  <c r="H27" i="13" s="1"/>
  <c r="F58" i="23" l="1"/>
  <c r="E59" i="23" s="1"/>
  <c r="G58" i="23"/>
  <c r="J41" i="23"/>
  <c r="I41" i="23"/>
  <c r="J42" i="23"/>
  <c r="I42" i="23"/>
  <c r="F31" i="2"/>
  <c r="E32" i="2" s="1"/>
  <c r="L23" i="13"/>
  <c r="K23" i="13"/>
  <c r="K24" i="13"/>
  <c r="L24" i="13"/>
  <c r="G30" i="20"/>
  <c r="F31" i="20" s="1"/>
  <c r="I30" i="20"/>
  <c r="H42" i="20" s="1"/>
  <c r="F24" i="13"/>
  <c r="I24" i="13" s="1"/>
  <c r="H28" i="13" s="1"/>
  <c r="F59" i="23" l="1"/>
  <c r="E60" i="23" s="1"/>
  <c r="G59" i="23"/>
  <c r="G24" i="13"/>
  <c r="J25" i="13" s="1"/>
  <c r="F32" i="2"/>
  <c r="G33" i="2" s="1"/>
  <c r="G32" i="2"/>
  <c r="L25" i="13"/>
  <c r="P7" i="13" s="1"/>
  <c r="K25" i="13"/>
  <c r="N7" i="13" s="1"/>
  <c r="O7" i="13" s="1"/>
  <c r="I31" i="20"/>
  <c r="H43" i="20" s="1"/>
  <c r="G31" i="20"/>
  <c r="F32" i="20" s="1"/>
  <c r="J31" i="20"/>
  <c r="F25" i="13"/>
  <c r="I25" i="13" s="1"/>
  <c r="H29" i="13" s="1"/>
  <c r="L1" i="5"/>
  <c r="F60" i="23" l="1"/>
  <c r="E61" i="23" s="1"/>
  <c r="G60" i="23"/>
  <c r="H43" i="23"/>
  <c r="J43" i="23" s="1"/>
  <c r="H45" i="23"/>
  <c r="H44" i="23"/>
  <c r="E33" i="2"/>
  <c r="H33" i="2"/>
  <c r="I33" i="2" s="1"/>
  <c r="J33" i="2"/>
  <c r="J32" i="2"/>
  <c r="H32" i="2"/>
  <c r="I32" i="2" s="1"/>
  <c r="F33" i="2"/>
  <c r="E34" i="2" s="1"/>
  <c r="G32" i="20"/>
  <c r="J33" i="20" s="1"/>
  <c r="I32" i="20"/>
  <c r="H44" i="20" s="1"/>
  <c r="K31" i="20"/>
  <c r="L31" i="20"/>
  <c r="J32" i="20"/>
  <c r="G25" i="13"/>
  <c r="J27" i="13" s="1"/>
  <c r="N3" i="9"/>
  <c r="N2" i="9"/>
  <c r="N1" i="9"/>
  <c r="E6" i="9" s="1"/>
  <c r="F61" i="23" l="1"/>
  <c r="E62" i="23" s="1"/>
  <c r="G61" i="23"/>
  <c r="I43" i="23"/>
  <c r="I44" i="23"/>
  <c r="J44" i="23"/>
  <c r="H46" i="23"/>
  <c r="J45" i="23"/>
  <c r="I45" i="23"/>
  <c r="G6" i="9"/>
  <c r="F34" i="2"/>
  <c r="G35" i="2" s="1"/>
  <c r="G34" i="2"/>
  <c r="F33" i="20"/>
  <c r="K32" i="20"/>
  <c r="L32" i="20"/>
  <c r="L33" i="20"/>
  <c r="K33" i="20"/>
  <c r="J26" i="13"/>
  <c r="J28" i="13"/>
  <c r="J29" i="13"/>
  <c r="L4" i="6"/>
  <c r="L4" i="5"/>
  <c r="F3" i="5" l="1"/>
  <c r="F62" i="23"/>
  <c r="E63" i="23" s="1"/>
  <c r="G62" i="23"/>
  <c r="I46" i="23"/>
  <c r="J46" i="23"/>
  <c r="F6" i="9"/>
  <c r="H35" i="2"/>
  <c r="I35" i="2" s="1"/>
  <c r="J35" i="2"/>
  <c r="J34" i="2"/>
  <c r="H34" i="2"/>
  <c r="I34" i="2" s="1"/>
  <c r="E35" i="2"/>
  <c r="I33" i="20"/>
  <c r="H45" i="20" s="1"/>
  <c r="G33" i="20"/>
  <c r="J34" i="20" s="1"/>
  <c r="E4" i="6"/>
  <c r="E5" i="6" s="1"/>
  <c r="E6" i="6" s="1"/>
  <c r="E7" i="6" s="1"/>
  <c r="I3" i="5" l="1"/>
  <c r="G3" i="5"/>
  <c r="H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G63" i="23"/>
  <c r="F63" i="23"/>
  <c r="E64" i="23" s="1"/>
  <c r="H7" i="9"/>
  <c r="E7" i="9"/>
  <c r="G7" i="9" s="1"/>
  <c r="F7" i="9"/>
  <c r="F35" i="2"/>
  <c r="E36" i="2" s="1"/>
  <c r="K34" i="20"/>
  <c r="L34" i="20"/>
  <c r="F34" i="20"/>
  <c r="H7" i="6"/>
  <c r="F7" i="6"/>
  <c r="G7" i="6" s="1"/>
  <c r="E8" i="6"/>
  <c r="H5" i="6"/>
  <c r="F5" i="6"/>
  <c r="G5" i="6" s="1"/>
  <c r="F4" i="6"/>
  <c r="G4" i="6" s="1"/>
  <c r="H4" i="6"/>
  <c r="F3" i="6"/>
  <c r="G3" i="6" s="1"/>
  <c r="H3" i="6"/>
  <c r="H6" i="6"/>
  <c r="F6" i="6"/>
  <c r="G6" i="6" s="1"/>
  <c r="G4" i="5" l="1"/>
  <c r="H4" i="5" s="1"/>
  <c r="I4" i="5"/>
  <c r="G64" i="23"/>
  <c r="F64" i="23"/>
  <c r="E65" i="23" s="1"/>
  <c r="H48" i="23"/>
  <c r="H47" i="23"/>
  <c r="E8" i="9"/>
  <c r="H8" i="9"/>
  <c r="F36" i="2"/>
  <c r="G37" i="2" s="1"/>
  <c r="G36" i="2"/>
  <c r="G34" i="20"/>
  <c r="F35" i="20" s="1"/>
  <c r="I34" i="20"/>
  <c r="H46" i="20" s="1"/>
  <c r="F8" i="6"/>
  <c r="G8" i="6" s="1"/>
  <c r="H8" i="6"/>
  <c r="E9" i="6"/>
  <c r="G5" i="5"/>
  <c r="H5" i="5" s="1"/>
  <c r="I6" i="5"/>
  <c r="I5" i="5"/>
  <c r="G65" i="23" l="1"/>
  <c r="F65" i="23"/>
  <c r="E66" i="23" s="1"/>
  <c r="I47" i="23"/>
  <c r="J47" i="23"/>
  <c r="J48" i="23"/>
  <c r="I48" i="23"/>
  <c r="F8" i="9"/>
  <c r="H9" i="9" s="1"/>
  <c r="G8" i="9"/>
  <c r="H37" i="2"/>
  <c r="I37" i="2" s="1"/>
  <c r="J37" i="2"/>
  <c r="J36" i="2"/>
  <c r="H36" i="2"/>
  <c r="I36" i="2" s="1"/>
  <c r="E37" i="2"/>
  <c r="F37" i="2" s="1"/>
  <c r="J7" i="9"/>
  <c r="I7" i="9"/>
  <c r="J35" i="20"/>
  <c r="L35" i="20" s="1"/>
  <c r="G35" i="20"/>
  <c r="F36" i="20" s="1"/>
  <c r="I35" i="20"/>
  <c r="H47" i="20" s="1"/>
  <c r="I8" i="9"/>
  <c r="F9" i="6"/>
  <c r="G9" i="6" s="1"/>
  <c r="H9" i="6"/>
  <c r="E10" i="6"/>
  <c r="I7" i="5"/>
  <c r="G6" i="5"/>
  <c r="H6" i="5" s="1"/>
  <c r="F66" i="23" l="1"/>
  <c r="E67" i="23" s="1"/>
  <c r="G66" i="23"/>
  <c r="H49" i="23"/>
  <c r="K35" i="20"/>
  <c r="P2" i="2"/>
  <c r="E9" i="9"/>
  <c r="G9" i="9" s="1"/>
  <c r="O2" i="2"/>
  <c r="J8" i="9"/>
  <c r="I36" i="20"/>
  <c r="H48" i="20" s="1"/>
  <c r="G36" i="20"/>
  <c r="J37" i="20" s="1"/>
  <c r="J36" i="20"/>
  <c r="H10" i="6"/>
  <c r="F10" i="6"/>
  <c r="G10" i="6" s="1"/>
  <c r="E11" i="6"/>
  <c r="I8" i="5"/>
  <c r="G7" i="5"/>
  <c r="H7" i="5" s="1"/>
  <c r="F67" i="23" l="1"/>
  <c r="E68" i="23" s="1"/>
  <c r="G67" i="23"/>
  <c r="H50" i="23"/>
  <c r="J49" i="23"/>
  <c r="I49" i="23"/>
  <c r="F9" i="9"/>
  <c r="H10" i="9" s="1"/>
  <c r="I10" i="9" s="1"/>
  <c r="J9" i="9"/>
  <c r="I9" i="9"/>
  <c r="F37" i="20"/>
  <c r="I37" i="20" s="1"/>
  <c r="H49" i="20" s="1"/>
  <c r="K37" i="20"/>
  <c r="L37" i="20"/>
  <c r="L36" i="20"/>
  <c r="K36" i="20"/>
  <c r="H11" i="6"/>
  <c r="F11" i="6"/>
  <c r="G11" i="6" s="1"/>
  <c r="E12" i="6"/>
  <c r="I9" i="5"/>
  <c r="G8" i="5"/>
  <c r="H8" i="5" s="1"/>
  <c r="F68" i="23" l="1"/>
  <c r="E69" i="23" s="1"/>
  <c r="G68" i="23"/>
  <c r="H51" i="23"/>
  <c r="J51" i="23" s="1"/>
  <c r="I50" i="23"/>
  <c r="J50" i="23"/>
  <c r="J10" i="9"/>
  <c r="E10" i="9"/>
  <c r="G37" i="20"/>
  <c r="J38" i="20" s="1"/>
  <c r="L38" i="20" s="1"/>
  <c r="H12" i="6"/>
  <c r="F12" i="6"/>
  <c r="G12" i="6" s="1"/>
  <c r="E13" i="6"/>
  <c r="G9" i="5"/>
  <c r="H9" i="5" s="1"/>
  <c r="G69" i="23" l="1"/>
  <c r="F69" i="23"/>
  <c r="E70" i="23" s="1"/>
  <c r="I51" i="23"/>
  <c r="K38" i="20"/>
  <c r="G10" i="9"/>
  <c r="F10" i="9"/>
  <c r="H52" i="23"/>
  <c r="Q2" i="21"/>
  <c r="R2" i="21" s="1"/>
  <c r="F38" i="20"/>
  <c r="I38" i="20" s="1"/>
  <c r="H50" i="20" s="1"/>
  <c r="G38" i="20"/>
  <c r="F39" i="20" s="1"/>
  <c r="H13" i="6"/>
  <c r="F13" i="6"/>
  <c r="G13" i="6" s="1"/>
  <c r="E14" i="6"/>
  <c r="I11" i="5"/>
  <c r="G10" i="5"/>
  <c r="H10" i="5" s="1"/>
  <c r="I10" i="5"/>
  <c r="F70" i="23" l="1"/>
  <c r="E71" i="23" s="1"/>
  <c r="G70" i="23"/>
  <c r="H11" i="9"/>
  <c r="E11" i="9"/>
  <c r="G11" i="9" s="1"/>
  <c r="I52" i="23"/>
  <c r="J52" i="23"/>
  <c r="J39" i="20"/>
  <c r="L39" i="20" s="1"/>
  <c r="K39" i="20"/>
  <c r="G39" i="20"/>
  <c r="F40" i="20" s="1"/>
  <c r="I39" i="20"/>
  <c r="H51" i="20" s="1"/>
  <c r="H14" i="6"/>
  <c r="F14" i="6"/>
  <c r="G14" i="6" s="1"/>
  <c r="E15" i="6"/>
  <c r="I12" i="5"/>
  <c r="G11" i="5"/>
  <c r="H11" i="5" s="1"/>
  <c r="F71" i="23" l="1"/>
  <c r="E72" i="23" s="1"/>
  <c r="G71" i="23"/>
  <c r="I11" i="9"/>
  <c r="J11" i="9"/>
  <c r="F11" i="9"/>
  <c r="H12" i="9" s="1"/>
  <c r="H53" i="23"/>
  <c r="H54" i="23"/>
  <c r="G40" i="20"/>
  <c r="F41" i="20" s="1"/>
  <c r="I40" i="20"/>
  <c r="H52" i="20" s="1"/>
  <c r="J40" i="20"/>
  <c r="H15" i="6"/>
  <c r="F15" i="6"/>
  <c r="G15" i="6" s="1"/>
  <c r="E16" i="6"/>
  <c r="I13" i="5"/>
  <c r="G12" i="5"/>
  <c r="H12" i="5" s="1"/>
  <c r="G72" i="23" l="1"/>
  <c r="F72" i="23"/>
  <c r="E73" i="23" s="1"/>
  <c r="I12" i="9"/>
  <c r="J12" i="9"/>
  <c r="E12" i="9"/>
  <c r="G12" i="9" s="1"/>
  <c r="J53" i="23"/>
  <c r="I53" i="23"/>
  <c r="I54" i="23"/>
  <c r="J54" i="23"/>
  <c r="L40" i="20"/>
  <c r="K40" i="20"/>
  <c r="J41" i="20"/>
  <c r="G41" i="20"/>
  <c r="J42" i="20" s="1"/>
  <c r="I41" i="20"/>
  <c r="H53" i="20" s="1"/>
  <c r="H16" i="6"/>
  <c r="F16" i="6"/>
  <c r="G16" i="6" s="1"/>
  <c r="E17" i="6"/>
  <c r="I14" i="5"/>
  <c r="G13" i="5"/>
  <c r="H13" i="5" s="1"/>
  <c r="G73" i="23" l="1"/>
  <c r="F73" i="23"/>
  <c r="E74" i="23" s="1"/>
  <c r="F12" i="9"/>
  <c r="H13" i="9" s="1"/>
  <c r="H55" i="23"/>
  <c r="K42" i="20"/>
  <c r="L42" i="20"/>
  <c r="L41" i="20"/>
  <c r="K41" i="20"/>
  <c r="F42" i="20"/>
  <c r="H17" i="6"/>
  <c r="F17" i="6"/>
  <c r="G17" i="6" s="1"/>
  <c r="E18" i="6"/>
  <c r="G14" i="5"/>
  <c r="H14" i="5" s="1"/>
  <c r="G74" i="23" l="1"/>
  <c r="F74" i="23"/>
  <c r="E75" i="23" s="1"/>
  <c r="I13" i="9"/>
  <c r="J13" i="9"/>
  <c r="E13" i="9"/>
  <c r="I55" i="23"/>
  <c r="J55" i="23"/>
  <c r="G42" i="20"/>
  <c r="J43" i="20" s="1"/>
  <c r="I42" i="20"/>
  <c r="H54" i="20" s="1"/>
  <c r="H18" i="6"/>
  <c r="F18" i="6"/>
  <c r="G18" i="6" s="1"/>
  <c r="E19" i="6"/>
  <c r="I16" i="5"/>
  <c r="G15" i="5"/>
  <c r="H15" i="5" s="1"/>
  <c r="I15" i="5"/>
  <c r="G75" i="23" l="1"/>
  <c r="F75" i="23"/>
  <c r="E76" i="23" s="1"/>
  <c r="F13" i="9"/>
  <c r="H14" i="9" s="1"/>
  <c r="G13" i="9"/>
  <c r="H56" i="23"/>
  <c r="J56" i="23" s="1"/>
  <c r="H57" i="23"/>
  <c r="L43" i="20"/>
  <c r="K43" i="20"/>
  <c r="F43" i="20"/>
  <c r="H19" i="6"/>
  <c r="F19" i="6"/>
  <c r="G19" i="6" s="1"/>
  <c r="E20" i="6"/>
  <c r="I17" i="5"/>
  <c r="G16" i="5"/>
  <c r="H16" i="5" s="1"/>
  <c r="F76" i="23" l="1"/>
  <c r="E77" i="23" s="1"/>
  <c r="G76" i="23"/>
  <c r="I56" i="23"/>
  <c r="I14" i="9"/>
  <c r="J14" i="9"/>
  <c r="E14" i="9"/>
  <c r="J57" i="23"/>
  <c r="I57" i="23"/>
  <c r="G43" i="20"/>
  <c r="J44" i="20" s="1"/>
  <c r="I43" i="20"/>
  <c r="H55" i="20" s="1"/>
  <c r="H20" i="6"/>
  <c r="F20" i="6"/>
  <c r="G20" i="6" s="1"/>
  <c r="E21" i="6"/>
  <c r="G17" i="5"/>
  <c r="H17" i="5" s="1"/>
  <c r="G77" i="23" l="1"/>
  <c r="F77" i="23"/>
  <c r="E78" i="23" s="1"/>
  <c r="F14" i="9"/>
  <c r="H15" i="9" s="1"/>
  <c r="G14" i="9"/>
  <c r="H58" i="23"/>
  <c r="F44" i="20"/>
  <c r="L44" i="20"/>
  <c r="K44" i="20"/>
  <c r="H21" i="6"/>
  <c r="L9" i="6" s="1"/>
  <c r="F21" i="6"/>
  <c r="G21" i="6" s="1"/>
  <c r="E22" i="6"/>
  <c r="E23" i="6" s="1"/>
  <c r="E24" i="6" s="1"/>
  <c r="E25" i="6" s="1"/>
  <c r="I19" i="5"/>
  <c r="G18" i="5"/>
  <c r="H18" i="5" s="1"/>
  <c r="I18" i="5"/>
  <c r="G78" i="23" l="1"/>
  <c r="F78" i="23"/>
  <c r="E79" i="23" s="1"/>
  <c r="E15" i="9"/>
  <c r="G15" i="9" s="1"/>
  <c r="I15" i="9"/>
  <c r="J15" i="9"/>
  <c r="I44" i="20"/>
  <c r="H56" i="20" s="1"/>
  <c r="G44" i="20"/>
  <c r="F45" i="20" s="1"/>
  <c r="L6" i="6"/>
  <c r="L7" i="6"/>
  <c r="L8" i="6" s="1"/>
  <c r="G19" i="5"/>
  <c r="H19" i="5" s="1"/>
  <c r="F79" i="23" l="1"/>
  <c r="E80" i="23" s="1"/>
  <c r="G79" i="23"/>
  <c r="F15" i="9"/>
  <c r="E16" i="9" s="1"/>
  <c r="F16" i="9" s="1"/>
  <c r="H17" i="9" s="1"/>
  <c r="H59" i="23"/>
  <c r="I58" i="23"/>
  <c r="J58" i="23"/>
  <c r="J45" i="20"/>
  <c r="K45" i="20" s="1"/>
  <c r="L45" i="20"/>
  <c r="I45" i="20"/>
  <c r="H57" i="20" s="1"/>
  <c r="G45" i="20"/>
  <c r="F46" i="20" s="1"/>
  <c r="I20" i="5"/>
  <c r="G20" i="5"/>
  <c r="H20" i="5" s="1"/>
  <c r="I21" i="5"/>
  <c r="L9" i="5" l="1"/>
  <c r="F80" i="23"/>
  <c r="E81" i="23" s="1"/>
  <c r="G80" i="23"/>
  <c r="G16" i="9"/>
  <c r="H16" i="9"/>
  <c r="E17" i="9"/>
  <c r="F17" i="9" s="1"/>
  <c r="I17" i="9"/>
  <c r="J17" i="9"/>
  <c r="G17" i="9"/>
  <c r="I59" i="23"/>
  <c r="J59" i="23"/>
  <c r="G46" i="20"/>
  <c r="F47" i="20" s="1"/>
  <c r="I46" i="20"/>
  <c r="H58" i="20" s="1"/>
  <c r="J46" i="20"/>
  <c r="G21" i="5"/>
  <c r="H21" i="5" s="1"/>
  <c r="G81" i="23" l="1"/>
  <c r="F81" i="23"/>
  <c r="E82" i="23" s="1"/>
  <c r="H61" i="23"/>
  <c r="I16" i="9"/>
  <c r="L7" i="9" s="1"/>
  <c r="M7" i="9" s="1"/>
  <c r="J16" i="9"/>
  <c r="N7" i="9" s="1"/>
  <c r="H19" i="9"/>
  <c r="H18" i="9"/>
  <c r="H21" i="9"/>
  <c r="H20" i="9"/>
  <c r="J47" i="20"/>
  <c r="L47" i="20" s="1"/>
  <c r="L46" i="20"/>
  <c r="K46" i="20"/>
  <c r="K47" i="20"/>
  <c r="G47" i="20"/>
  <c r="F48" i="20" s="1"/>
  <c r="I47" i="20"/>
  <c r="H59" i="20" s="1"/>
  <c r="L6" i="5"/>
  <c r="L7" i="5"/>
  <c r="L8" i="5" s="1"/>
  <c r="F82" i="23" l="1"/>
  <c r="E83" i="23" s="1"/>
  <c r="G82" i="23"/>
  <c r="H60" i="23"/>
  <c r="I60" i="23" s="1"/>
  <c r="I61" i="23"/>
  <c r="J61" i="23"/>
  <c r="J48" i="20"/>
  <c r="K48" i="20" s="1"/>
  <c r="I48" i="20"/>
  <c r="H60" i="20" s="1"/>
  <c r="G48" i="20"/>
  <c r="J49" i="20" s="1"/>
  <c r="G83" i="23" l="1"/>
  <c r="F83" i="23"/>
  <c r="E84" i="23" s="1"/>
  <c r="J60" i="23"/>
  <c r="H62" i="23"/>
  <c r="L48" i="20"/>
  <c r="K49" i="20"/>
  <c r="L49" i="20"/>
  <c r="F49" i="20"/>
  <c r="F84" i="23" l="1"/>
  <c r="E85" i="23" s="1"/>
  <c r="G84" i="23"/>
  <c r="J62" i="23"/>
  <c r="I62" i="23"/>
  <c r="G49" i="20"/>
  <c r="F50" i="20" s="1"/>
  <c r="I49" i="20"/>
  <c r="H61" i="20" s="1"/>
  <c r="G85" i="23" l="1"/>
  <c r="F85" i="23"/>
  <c r="E86" i="23" s="1"/>
  <c r="J50" i="20"/>
  <c r="L50" i="20"/>
  <c r="K50" i="20"/>
  <c r="I50" i="20"/>
  <c r="H62" i="20" s="1"/>
  <c r="G50" i="20"/>
  <c r="F51" i="20" s="1"/>
  <c r="G86" i="23" l="1"/>
  <c r="F86" i="23"/>
  <c r="E87" i="23"/>
  <c r="H63" i="23"/>
  <c r="H64" i="23"/>
  <c r="J51" i="20"/>
  <c r="L51" i="20" s="1"/>
  <c r="G51" i="20"/>
  <c r="J52" i="20" s="1"/>
  <c r="I51" i="20"/>
  <c r="H63" i="20" s="1"/>
  <c r="G87" i="23" l="1"/>
  <c r="F87" i="23"/>
  <c r="E88" i="23" s="1"/>
  <c r="I64" i="23"/>
  <c r="J64" i="23"/>
  <c r="J63" i="23"/>
  <c r="I63" i="23"/>
  <c r="K51" i="20"/>
  <c r="L52" i="20"/>
  <c r="K52" i="20"/>
  <c r="F52" i="20"/>
  <c r="G88" i="23" l="1"/>
  <c r="F88" i="23"/>
  <c r="E89" i="23" s="1"/>
  <c r="H65" i="23"/>
  <c r="I65" i="23" s="1"/>
  <c r="G52" i="20"/>
  <c r="J53" i="20" s="1"/>
  <c r="I52" i="20"/>
  <c r="H64" i="20" s="1"/>
  <c r="G29" i="4"/>
  <c r="G89" i="23" l="1"/>
  <c r="F89" i="23"/>
  <c r="E90" i="23" s="1"/>
  <c r="J65" i="23"/>
  <c r="H66" i="23"/>
  <c r="G28" i="4"/>
  <c r="G31" i="4"/>
  <c r="G30" i="4"/>
  <c r="L53" i="20"/>
  <c r="K53" i="20"/>
  <c r="F53" i="20"/>
  <c r="F90" i="23" l="1"/>
  <c r="E91" i="23" s="1"/>
  <c r="G90" i="23"/>
  <c r="I66" i="23"/>
  <c r="J66" i="23"/>
  <c r="I53" i="20"/>
  <c r="H65" i="20" s="1"/>
  <c r="G53" i="20"/>
  <c r="J54" i="20" s="1"/>
  <c r="R2" i="4"/>
  <c r="F91" i="23" l="1"/>
  <c r="E92" i="23" s="1"/>
  <c r="G91" i="23"/>
  <c r="H67" i="23"/>
  <c r="I67" i="23" s="1"/>
  <c r="F54" i="20"/>
  <c r="L54" i="20"/>
  <c r="K54" i="20"/>
  <c r="P2" i="4"/>
  <c r="Q2" i="4" s="1"/>
  <c r="O2" i="4"/>
  <c r="F92" i="23" l="1"/>
  <c r="E93" i="23" s="1"/>
  <c r="G92" i="23"/>
  <c r="H68" i="23"/>
  <c r="J68" i="23" s="1"/>
  <c r="J67" i="23"/>
  <c r="I54" i="20"/>
  <c r="H66" i="20" s="1"/>
  <c r="G54" i="20"/>
  <c r="F55" i="20" s="1"/>
  <c r="F93" i="23" l="1"/>
  <c r="E94" i="23" s="1"/>
  <c r="G93" i="23"/>
  <c r="I68" i="23"/>
  <c r="J55" i="20"/>
  <c r="G55" i="20"/>
  <c r="F56" i="20" s="1"/>
  <c r="I55" i="20"/>
  <c r="H67" i="20" s="1"/>
  <c r="J56" i="20"/>
  <c r="F94" i="23" l="1"/>
  <c r="E95" i="23" s="1"/>
  <c r="G94" i="23"/>
  <c r="H69" i="23"/>
  <c r="J69" i="23" s="1"/>
  <c r="L56" i="20"/>
  <c r="K56" i="20"/>
  <c r="G56" i="20"/>
  <c r="F57" i="20" s="1"/>
  <c r="I56" i="20"/>
  <c r="H68" i="20" s="1"/>
  <c r="L55" i="20"/>
  <c r="K55" i="20"/>
  <c r="F95" i="23" l="1"/>
  <c r="E96" i="23" s="1"/>
  <c r="G95" i="23"/>
  <c r="I69" i="23"/>
  <c r="H70" i="23"/>
  <c r="J70" i="23" s="1"/>
  <c r="G57" i="20"/>
  <c r="J58" i="20" s="1"/>
  <c r="I57" i="20"/>
  <c r="H69" i="20" s="1"/>
  <c r="J57" i="20"/>
  <c r="F96" i="23" l="1"/>
  <c r="E97" i="23" s="1"/>
  <c r="G96" i="23"/>
  <c r="I70" i="23"/>
  <c r="F58" i="20"/>
  <c r="I58" i="20" s="1"/>
  <c r="H70" i="20" s="1"/>
  <c r="L57" i="20"/>
  <c r="K57" i="20"/>
  <c r="G58" i="20"/>
  <c r="F59" i="20" s="1"/>
  <c r="K58" i="20"/>
  <c r="L58" i="20"/>
  <c r="G97" i="23" l="1"/>
  <c r="F97" i="23"/>
  <c r="E98" i="23" s="1"/>
  <c r="I59" i="20"/>
  <c r="H71" i="20" s="1"/>
  <c r="G59" i="20"/>
  <c r="J60" i="20" s="1"/>
  <c r="F60" i="20"/>
  <c r="J59" i="20"/>
  <c r="F98" i="23" l="1"/>
  <c r="E99" i="23" s="1"/>
  <c r="G98" i="23"/>
  <c r="H71" i="23"/>
  <c r="L59" i="20"/>
  <c r="K59" i="20"/>
  <c r="K60" i="20"/>
  <c r="L60" i="20"/>
  <c r="G60" i="20"/>
  <c r="J61" i="20" s="1"/>
  <c r="I60" i="20"/>
  <c r="H72" i="20" s="1"/>
  <c r="F99" i="23" l="1"/>
  <c r="E100" i="23" s="1"/>
  <c r="G99" i="23"/>
  <c r="J71" i="23"/>
  <c r="I71" i="23"/>
  <c r="F61" i="20"/>
  <c r="L61" i="20"/>
  <c r="K61" i="20"/>
  <c r="F100" i="23" l="1"/>
  <c r="E101" i="23" s="1"/>
  <c r="G100" i="23"/>
  <c r="H72" i="23"/>
  <c r="I61" i="20"/>
  <c r="H73" i="20" s="1"/>
  <c r="G61" i="20"/>
  <c r="F62" i="20" s="1"/>
  <c r="F101" i="23" l="1"/>
  <c r="E102" i="23" s="1"/>
  <c r="G101" i="23"/>
  <c r="I72" i="23"/>
  <c r="J72" i="23"/>
  <c r="J62" i="20"/>
  <c r="G62" i="20"/>
  <c r="J63" i="20" s="1"/>
  <c r="I62" i="20"/>
  <c r="H74" i="20" s="1"/>
  <c r="G102" i="23" l="1"/>
  <c r="F102" i="23"/>
  <c r="E103" i="23" s="1"/>
  <c r="H73" i="23"/>
  <c r="H74" i="23"/>
  <c r="F63" i="20"/>
  <c r="I63" i="20" s="1"/>
  <c r="H75" i="20" s="1"/>
  <c r="L63" i="20"/>
  <c r="K63" i="20"/>
  <c r="L62" i="20"/>
  <c r="K62" i="20"/>
  <c r="F103" i="23" l="1"/>
  <c r="E104" i="23" s="1"/>
  <c r="G103" i="23"/>
  <c r="J74" i="23"/>
  <c r="I74" i="23"/>
  <c r="I73" i="23"/>
  <c r="J73" i="23"/>
  <c r="G63" i="20"/>
  <c r="F64" i="20" s="1"/>
  <c r="I64" i="20" s="1"/>
  <c r="H76" i="20" s="1"/>
  <c r="G104" i="23" l="1"/>
  <c r="F104" i="23"/>
  <c r="E105" i="23" s="1"/>
  <c r="J64" i="20"/>
  <c r="H75" i="23"/>
  <c r="G64" i="20"/>
  <c r="J65" i="20" s="1"/>
  <c r="L65" i="20" s="1"/>
  <c r="F105" i="23" l="1"/>
  <c r="E106" i="23" s="1"/>
  <c r="G105" i="23"/>
  <c r="J75" i="23"/>
  <c r="I75" i="23"/>
  <c r="K64" i="20"/>
  <c r="L64" i="20"/>
  <c r="K65" i="20"/>
  <c r="F65" i="20"/>
  <c r="G65" i="20" s="1"/>
  <c r="J66" i="20" s="1"/>
  <c r="L66" i="20" s="1"/>
  <c r="H76" i="23"/>
  <c r="F106" i="23" l="1"/>
  <c r="E107" i="23" s="1"/>
  <c r="G106" i="23"/>
  <c r="K66" i="20"/>
  <c r="J76" i="23"/>
  <c r="I76" i="23"/>
  <c r="I65" i="20"/>
  <c r="H77" i="20" s="1"/>
  <c r="H77" i="23"/>
  <c r="F66" i="20"/>
  <c r="G66" i="20" s="1"/>
  <c r="F67" i="20" s="1"/>
  <c r="I66" i="20"/>
  <c r="H78" i="20" s="1"/>
  <c r="G67" i="20"/>
  <c r="J68" i="20" s="1"/>
  <c r="I67" i="20"/>
  <c r="H79" i="20" s="1"/>
  <c r="J67" i="20"/>
  <c r="G107" i="23" l="1"/>
  <c r="F107" i="23"/>
  <c r="E108" i="23" s="1"/>
  <c r="I77" i="23"/>
  <c r="J77" i="23"/>
  <c r="H78" i="23"/>
  <c r="F68" i="20"/>
  <c r="G68" i="20" s="1"/>
  <c r="J69" i="20" s="1"/>
  <c r="L67" i="20"/>
  <c r="K67" i="20"/>
  <c r="I68" i="20"/>
  <c r="H80" i="20" s="1"/>
  <c r="K68" i="20"/>
  <c r="L68" i="20"/>
  <c r="F108" i="23" l="1"/>
  <c r="E109" i="23" s="1"/>
  <c r="G108" i="23"/>
  <c r="I78" i="23"/>
  <c r="J78" i="23"/>
  <c r="F69" i="20"/>
  <c r="I69" i="20" s="1"/>
  <c r="H81" i="20" s="1"/>
  <c r="K69" i="20"/>
  <c r="L69" i="20"/>
  <c r="F109" i="23" l="1"/>
  <c r="E110" i="23" s="1"/>
  <c r="G109" i="23"/>
  <c r="G69" i="20"/>
  <c r="F70" i="20" s="1"/>
  <c r="I70" i="20" s="1"/>
  <c r="H82" i="20" s="1"/>
  <c r="G70" i="20"/>
  <c r="J71" i="20" s="1"/>
  <c r="F110" i="23" l="1"/>
  <c r="E111" i="23" s="1"/>
  <c r="G110" i="23"/>
  <c r="H79" i="23"/>
  <c r="J79" i="23" s="1"/>
  <c r="J70" i="20"/>
  <c r="L70" i="20" s="1"/>
  <c r="F71" i="20"/>
  <c r="I71" i="20" s="1"/>
  <c r="H83" i="20" s="1"/>
  <c r="L71" i="20"/>
  <c r="K71" i="20"/>
  <c r="K70" i="20"/>
  <c r="F111" i="23" l="1"/>
  <c r="E112" i="23" s="1"/>
  <c r="G111" i="23"/>
  <c r="I79" i="23"/>
  <c r="H80" i="23"/>
  <c r="H81" i="23"/>
  <c r="G71" i="20"/>
  <c r="F72" i="20" s="1"/>
  <c r="I72" i="20" s="1"/>
  <c r="H84" i="20" s="1"/>
  <c r="F112" i="23" l="1"/>
  <c r="E113" i="23" s="1"/>
  <c r="G112" i="23"/>
  <c r="I81" i="23"/>
  <c r="J81" i="23"/>
  <c r="I80" i="23"/>
  <c r="J80" i="23"/>
  <c r="G72" i="20"/>
  <c r="F73" i="20" s="1"/>
  <c r="I73" i="20" s="1"/>
  <c r="H85" i="20" s="1"/>
  <c r="J72" i="20"/>
  <c r="L72" i="20" s="1"/>
  <c r="F113" i="23" l="1"/>
  <c r="E114" i="23" s="1"/>
  <c r="G113" i="23"/>
  <c r="J73" i="20"/>
  <c r="K73" i="20" s="1"/>
  <c r="G73" i="20"/>
  <c r="J74" i="20" s="1"/>
  <c r="L74" i="20" s="1"/>
  <c r="K72" i="20"/>
  <c r="L73" i="20"/>
  <c r="F74" i="20"/>
  <c r="F114" i="23" l="1"/>
  <c r="E115" i="23" s="1"/>
  <c r="G114" i="23"/>
  <c r="H82" i="23"/>
  <c r="H83" i="23"/>
  <c r="K74" i="20"/>
  <c r="G74" i="20"/>
  <c r="F75" i="20" s="1"/>
  <c r="I74" i="20"/>
  <c r="H86" i="20" s="1"/>
  <c r="F115" i="23" l="1"/>
  <c r="E116" i="23" s="1"/>
  <c r="G115" i="23"/>
  <c r="I83" i="23"/>
  <c r="J83" i="23"/>
  <c r="J82" i="23"/>
  <c r="I82" i="23"/>
  <c r="J75" i="20"/>
  <c r="K75" i="20" s="1"/>
  <c r="G75" i="20"/>
  <c r="J76" i="20" s="1"/>
  <c r="I75" i="20"/>
  <c r="H87" i="20" s="1"/>
  <c r="F116" i="23" l="1"/>
  <c r="E117" i="23" s="1"/>
  <c r="G116" i="23"/>
  <c r="L75" i="20"/>
  <c r="L76" i="20"/>
  <c r="K76" i="20"/>
  <c r="F76" i="20"/>
  <c r="F117" i="23" l="1"/>
  <c r="E118" i="23" s="1"/>
  <c r="G117" i="23"/>
  <c r="H85" i="23"/>
  <c r="H84" i="23"/>
  <c r="I76" i="20"/>
  <c r="H88" i="20" s="1"/>
  <c r="G76" i="20"/>
  <c r="J77" i="20" s="1"/>
  <c r="F118" i="23" l="1"/>
  <c r="E119" i="23" s="1"/>
  <c r="G118" i="23"/>
  <c r="I84" i="23"/>
  <c r="J84" i="23"/>
  <c r="J85" i="23"/>
  <c r="I85" i="23"/>
  <c r="F77" i="20"/>
  <c r="I77" i="20" s="1"/>
  <c r="H89" i="20" s="1"/>
  <c r="G77" i="20"/>
  <c r="J78" i="20" s="1"/>
  <c r="L77" i="20"/>
  <c r="K77" i="20"/>
  <c r="G119" i="23" l="1"/>
  <c r="F119" i="23"/>
  <c r="E120" i="23" s="1"/>
  <c r="H86" i="23"/>
  <c r="J86" i="23" s="1"/>
  <c r="H87" i="23"/>
  <c r="F78" i="20"/>
  <c r="I78" i="20" s="1"/>
  <c r="H90" i="20" s="1"/>
  <c r="L78" i="20"/>
  <c r="K78" i="20"/>
  <c r="G120" i="23" l="1"/>
  <c r="F120" i="23"/>
  <c r="E121" i="23" s="1"/>
  <c r="I86" i="23"/>
  <c r="I87" i="23"/>
  <c r="J87" i="23"/>
  <c r="G78" i="20"/>
  <c r="J79" i="20" s="1"/>
  <c r="L79" i="20" s="1"/>
  <c r="G121" i="23" l="1"/>
  <c r="F121" i="23"/>
  <c r="E122" i="23" s="1"/>
  <c r="H88" i="23"/>
  <c r="K79" i="20"/>
  <c r="F79" i="20"/>
  <c r="F122" i="23" l="1"/>
  <c r="E123" i="23" s="1"/>
  <c r="G122" i="23"/>
  <c r="J88" i="23"/>
  <c r="I88" i="23"/>
  <c r="I79" i="20"/>
  <c r="H91" i="20" s="1"/>
  <c r="G79" i="20"/>
  <c r="F123" i="23" l="1"/>
  <c r="E124" i="23" s="1"/>
  <c r="G123" i="23"/>
  <c r="H90" i="23"/>
  <c r="H89" i="23"/>
  <c r="J80" i="20"/>
  <c r="F80" i="20"/>
  <c r="F124" i="23" l="1"/>
  <c r="E125" i="23" s="1"/>
  <c r="G124" i="23"/>
  <c r="I89" i="23"/>
  <c r="J89" i="23"/>
  <c r="J90" i="23"/>
  <c r="I90" i="23"/>
  <c r="I80" i="20"/>
  <c r="H92" i="20" s="1"/>
  <c r="G80" i="20"/>
  <c r="J81" i="20" s="1"/>
  <c r="L80" i="20"/>
  <c r="K80" i="20"/>
  <c r="F125" i="23" l="1"/>
  <c r="E126" i="23" s="1"/>
  <c r="G125" i="23"/>
  <c r="H91" i="23"/>
  <c r="F81" i="20"/>
  <c r="I81" i="20" s="1"/>
  <c r="H93" i="20" s="1"/>
  <c r="K81" i="20"/>
  <c r="L81" i="20"/>
  <c r="F126" i="23" l="1"/>
  <c r="E127" i="23" s="1"/>
  <c r="G126" i="23"/>
  <c r="G81" i="20"/>
  <c r="F82" i="20" s="1"/>
  <c r="G82" i="20" s="1"/>
  <c r="J83" i="20" s="1"/>
  <c r="J91" i="23"/>
  <c r="I91" i="23"/>
  <c r="F127" i="23" l="1"/>
  <c r="E128" i="23" s="1"/>
  <c r="G127" i="23"/>
  <c r="I82" i="20"/>
  <c r="H94" i="20" s="1"/>
  <c r="J82" i="20"/>
  <c r="L82" i="20" s="1"/>
  <c r="F83" i="20"/>
  <c r="K82" i="20"/>
  <c r="G83" i="20"/>
  <c r="F84" i="20" s="1"/>
  <c r="I83" i="20"/>
  <c r="H95" i="20" s="1"/>
  <c r="K83" i="20"/>
  <c r="L83" i="20"/>
  <c r="G128" i="23" l="1"/>
  <c r="F128" i="23"/>
  <c r="E129" i="23" s="1"/>
  <c r="J84" i="20"/>
  <c r="H92" i="23"/>
  <c r="H93" i="23"/>
  <c r="L84" i="20"/>
  <c r="K84" i="20"/>
  <c r="G84" i="20"/>
  <c r="J85" i="20" s="1"/>
  <c r="I84" i="20"/>
  <c r="H96" i="20" s="1"/>
  <c r="F129" i="23" l="1"/>
  <c r="E130" i="23" s="1"/>
  <c r="G129" i="23"/>
  <c r="J92" i="23"/>
  <c r="I92" i="23"/>
  <c r="I93" i="23"/>
  <c r="J93" i="23"/>
  <c r="L85" i="20"/>
  <c r="K85" i="20"/>
  <c r="F85" i="20"/>
  <c r="F130" i="23" l="1"/>
  <c r="E131" i="23" s="1"/>
  <c r="G130" i="23"/>
  <c r="H95" i="23"/>
  <c r="I85" i="20"/>
  <c r="H97" i="20" s="1"/>
  <c r="G85" i="20"/>
  <c r="J86" i="20" s="1"/>
  <c r="G131" i="23" l="1"/>
  <c r="F131" i="23"/>
  <c r="E132" i="23" s="1"/>
  <c r="H94" i="23"/>
  <c r="J94" i="23" s="1"/>
  <c r="J95" i="23"/>
  <c r="I95" i="23"/>
  <c r="F86" i="20"/>
  <c r="G86" i="20" s="1"/>
  <c r="J87" i="20" s="1"/>
  <c r="I94" i="23"/>
  <c r="L86" i="20"/>
  <c r="K86" i="20"/>
  <c r="F132" i="23" l="1"/>
  <c r="E133" i="23" s="1"/>
  <c r="G132" i="23"/>
  <c r="I86" i="20"/>
  <c r="H98" i="20" s="1"/>
  <c r="H96" i="23"/>
  <c r="F87" i="20"/>
  <c r="I87" i="20" s="1"/>
  <c r="H99" i="20" s="1"/>
  <c r="L87" i="20"/>
  <c r="K87" i="20"/>
  <c r="G133" i="23" l="1"/>
  <c r="F133" i="23"/>
  <c r="E134" i="23" s="1"/>
  <c r="H97" i="23"/>
  <c r="G87" i="20"/>
  <c r="I96" i="23"/>
  <c r="J96" i="23"/>
  <c r="J88" i="20"/>
  <c r="K88" i="20" s="1"/>
  <c r="F88" i="20"/>
  <c r="I88" i="20" s="1"/>
  <c r="H100" i="20" s="1"/>
  <c r="F134" i="23" l="1"/>
  <c r="E135" i="23" s="1"/>
  <c r="G134" i="23"/>
  <c r="L88" i="20"/>
  <c r="G88" i="20"/>
  <c r="J89" i="20" s="1"/>
  <c r="I97" i="23"/>
  <c r="J97" i="23"/>
  <c r="F89" i="20"/>
  <c r="G135" i="23" l="1"/>
  <c r="F135" i="23"/>
  <c r="E136" i="23" s="1"/>
  <c r="G89" i="20"/>
  <c r="J90" i="20" s="1"/>
  <c r="I89" i="20"/>
  <c r="H101" i="20" s="1"/>
  <c r="K89" i="20"/>
  <c r="L89" i="20"/>
  <c r="G41" i="2"/>
  <c r="G136" i="23" l="1"/>
  <c r="F136" i="23"/>
  <c r="E137" i="23" s="1"/>
  <c r="H98" i="23"/>
  <c r="I98" i="23" s="1"/>
  <c r="F90" i="20"/>
  <c r="H99" i="23"/>
  <c r="I90" i="20"/>
  <c r="H102" i="20" s="1"/>
  <c r="G90" i="20"/>
  <c r="F91" i="20" s="1"/>
  <c r="L90" i="20"/>
  <c r="K90" i="20"/>
  <c r="G43" i="2"/>
  <c r="G39" i="2"/>
  <c r="G42" i="2"/>
  <c r="G40" i="2"/>
  <c r="G38" i="2"/>
  <c r="R2" i="2"/>
  <c r="G137" i="23" l="1"/>
  <c r="F137" i="23"/>
  <c r="E138" i="23" s="1"/>
  <c r="J98" i="23"/>
  <c r="J99" i="23"/>
  <c r="I99" i="23"/>
  <c r="I91" i="20"/>
  <c r="H103" i="20" s="1"/>
  <c r="G91" i="20"/>
  <c r="J92" i="20" s="1"/>
  <c r="F92" i="20"/>
  <c r="I92" i="20" s="1"/>
  <c r="H104" i="20" s="1"/>
  <c r="J91" i="20"/>
  <c r="Q2" i="2"/>
  <c r="G138" i="23" l="1"/>
  <c r="F138" i="23"/>
  <c r="E139" i="23" s="1"/>
  <c r="H100" i="23"/>
  <c r="G92" i="20"/>
  <c r="J93" i="20" s="1"/>
  <c r="K91" i="20"/>
  <c r="L91" i="20"/>
  <c r="K92" i="20"/>
  <c r="L92" i="20"/>
  <c r="F139" i="23" l="1"/>
  <c r="E140" i="23" s="1"/>
  <c r="G139" i="23"/>
  <c r="I100" i="23"/>
  <c r="J100" i="23"/>
  <c r="H101" i="23"/>
  <c r="F93" i="20"/>
  <c r="I93" i="20" s="1"/>
  <c r="H105" i="20" s="1"/>
  <c r="L93" i="20"/>
  <c r="K93" i="20"/>
  <c r="F140" i="23" l="1"/>
  <c r="E141" i="23" s="1"/>
  <c r="G140" i="23"/>
  <c r="H102" i="23"/>
  <c r="I101" i="23"/>
  <c r="J101" i="23"/>
  <c r="G93" i="20"/>
  <c r="F94" i="20" s="1"/>
  <c r="G141" i="23" l="1"/>
  <c r="F141" i="23"/>
  <c r="E142" i="23" s="1"/>
  <c r="H103" i="23"/>
  <c r="J94" i="20"/>
  <c r="K94" i="20" s="1"/>
  <c r="J102" i="23"/>
  <c r="I102" i="23"/>
  <c r="L94" i="20"/>
  <c r="G94" i="20"/>
  <c r="J95" i="20" s="1"/>
  <c r="I94" i="20"/>
  <c r="H106" i="20" s="1"/>
  <c r="G142" i="23" l="1"/>
  <c r="F142" i="23"/>
  <c r="E143" i="23" s="1"/>
  <c r="I103" i="23"/>
  <c r="J103" i="23"/>
  <c r="L95" i="20"/>
  <c r="K95" i="20"/>
  <c r="F95" i="20"/>
  <c r="G143" i="23" l="1"/>
  <c r="F143" i="23"/>
  <c r="E144" i="23" s="1"/>
  <c r="H104" i="23"/>
  <c r="I95" i="20"/>
  <c r="H107" i="20" s="1"/>
  <c r="G95" i="20"/>
  <c r="J96" i="20" s="1"/>
  <c r="F144" i="23" l="1"/>
  <c r="E145" i="23" s="1"/>
  <c r="G144" i="23"/>
  <c r="J104" i="23"/>
  <c r="I104" i="23"/>
  <c r="F96" i="20"/>
  <c r="L96" i="20"/>
  <c r="K96" i="20"/>
  <c r="G145" i="23" l="1"/>
  <c r="F145" i="23"/>
  <c r="H150" i="23" s="1"/>
  <c r="H105" i="23"/>
  <c r="G96" i="20"/>
  <c r="J97" i="20" s="1"/>
  <c r="I96" i="20"/>
  <c r="H108" i="20" s="1"/>
  <c r="H153" i="23" l="1"/>
  <c r="H157" i="23"/>
  <c r="H146" i="23"/>
  <c r="H147" i="23"/>
  <c r="H148" i="23"/>
  <c r="H151" i="23"/>
  <c r="H155" i="23"/>
  <c r="H152" i="23"/>
  <c r="H156" i="23"/>
  <c r="H154" i="23"/>
  <c r="I105" i="23"/>
  <c r="J105" i="23"/>
  <c r="F97" i="20"/>
  <c r="I97" i="20" s="1"/>
  <c r="H109" i="20" s="1"/>
  <c r="L97" i="20"/>
  <c r="K97" i="20"/>
  <c r="H106" i="23" l="1"/>
  <c r="G97" i="20"/>
  <c r="F98" i="20" s="1"/>
  <c r="I98" i="20" s="1"/>
  <c r="H110" i="20" s="1"/>
  <c r="I106" i="23" l="1"/>
  <c r="J106" i="23"/>
  <c r="G98" i="20"/>
  <c r="J99" i="20" s="1"/>
  <c r="L99" i="20" s="1"/>
  <c r="J98" i="20"/>
  <c r="K99" i="20" l="1"/>
  <c r="F99" i="20"/>
  <c r="I99" i="20" s="1"/>
  <c r="H111" i="20" s="1"/>
  <c r="L98" i="20"/>
  <c r="K98" i="20"/>
  <c r="G99" i="20"/>
  <c r="J100" i="20" s="1"/>
  <c r="L100" i="20" s="1"/>
  <c r="H107" i="23" l="1"/>
  <c r="K100" i="20"/>
  <c r="F100" i="20"/>
  <c r="G100" i="20" s="1"/>
  <c r="J101" i="20" s="1"/>
  <c r="F101" i="20"/>
  <c r="G101" i="20" s="1"/>
  <c r="J102" i="20" s="1"/>
  <c r="I100" i="20"/>
  <c r="H112" i="20" s="1"/>
  <c r="K101" i="20"/>
  <c r="L101" i="20"/>
  <c r="I107" i="23" l="1"/>
  <c r="J107" i="23"/>
  <c r="I101" i="20"/>
  <c r="H113" i="20" s="1"/>
  <c r="F102" i="20"/>
  <c r="G102" i="20" s="1"/>
  <c r="L102" i="20"/>
  <c r="K102" i="20"/>
  <c r="H108" i="23" l="1"/>
  <c r="I102" i="20"/>
  <c r="H114" i="20" s="1"/>
  <c r="J103" i="20"/>
  <c r="F103" i="20"/>
  <c r="H109" i="23" l="1"/>
  <c r="I108" i="23"/>
  <c r="J108" i="23"/>
  <c r="G103" i="20"/>
  <c r="I103" i="20"/>
  <c r="H115" i="20" s="1"/>
  <c r="L103" i="20"/>
  <c r="K103" i="20"/>
  <c r="I109" i="23" l="1"/>
  <c r="J109" i="23"/>
  <c r="J104" i="20"/>
  <c r="F104" i="20"/>
  <c r="H110" i="23" l="1"/>
  <c r="K104" i="20"/>
  <c r="L104" i="20"/>
  <c r="I104" i="20"/>
  <c r="H116" i="20" s="1"/>
  <c r="G104" i="20"/>
  <c r="I110" i="23" l="1"/>
  <c r="J110" i="23"/>
  <c r="J105" i="20"/>
  <c r="F105" i="20"/>
  <c r="H111" i="23" l="1"/>
  <c r="L105" i="20"/>
  <c r="K105" i="20"/>
  <c r="G105" i="20"/>
  <c r="I105" i="20"/>
  <c r="H117" i="20" s="1"/>
  <c r="H112" i="23" l="1"/>
  <c r="H113" i="23"/>
  <c r="J111" i="23"/>
  <c r="I111" i="23"/>
  <c r="F106" i="20"/>
  <c r="J106" i="20"/>
  <c r="J113" i="23" l="1"/>
  <c r="I113" i="23"/>
  <c r="I112" i="23"/>
  <c r="J112" i="23"/>
  <c r="I106" i="20"/>
  <c r="H118" i="20" s="1"/>
  <c r="G106" i="20"/>
  <c r="J107" i="20" s="1"/>
  <c r="L106" i="20"/>
  <c r="K106" i="20"/>
  <c r="H114" i="23" l="1"/>
  <c r="F107" i="20"/>
  <c r="G107" i="20" s="1"/>
  <c r="J108" i="20" s="1"/>
  <c r="K107" i="20"/>
  <c r="L107" i="20"/>
  <c r="H115" i="23" l="1"/>
  <c r="I114" i="23"/>
  <c r="J114" i="23"/>
  <c r="I107" i="20"/>
  <c r="H119" i="20" s="1"/>
  <c r="L108" i="20"/>
  <c r="K108" i="20"/>
  <c r="F108" i="20"/>
  <c r="H116" i="23" l="1"/>
  <c r="J115" i="23"/>
  <c r="I115" i="23"/>
  <c r="G108" i="20"/>
  <c r="J109" i="20" s="1"/>
  <c r="I108" i="20"/>
  <c r="H120" i="20" s="1"/>
  <c r="I116" i="23" l="1"/>
  <c r="J116" i="23"/>
  <c r="F109" i="20"/>
  <c r="I109" i="20" s="1"/>
  <c r="H121" i="20" s="1"/>
  <c r="K109" i="20"/>
  <c r="L109" i="20"/>
  <c r="G109" i="20" l="1"/>
  <c r="J110" i="20" s="1"/>
  <c r="K110" i="20" s="1"/>
  <c r="H117" i="23" l="1"/>
  <c r="H118" i="23"/>
  <c r="L110" i="20"/>
  <c r="F110" i="20"/>
  <c r="J118" i="23" l="1"/>
  <c r="I118" i="23"/>
  <c r="H119" i="23"/>
  <c r="I117" i="23"/>
  <c r="J117" i="23"/>
  <c r="G110" i="20"/>
  <c r="I110" i="20"/>
  <c r="H122" i="20" s="1"/>
  <c r="I119" i="23" l="1"/>
  <c r="J119" i="23"/>
  <c r="J111" i="20"/>
  <c r="F111" i="20"/>
  <c r="H120" i="23" l="1"/>
  <c r="J120" i="23" s="1"/>
  <c r="H121" i="23"/>
  <c r="L111" i="20"/>
  <c r="K111" i="20"/>
  <c r="G111" i="20"/>
  <c r="J112" i="20" s="1"/>
  <c r="I111" i="20"/>
  <c r="H123" i="20" s="1"/>
  <c r="I120" i="23" l="1"/>
  <c r="J121" i="23"/>
  <c r="I121" i="23"/>
  <c r="L112" i="20"/>
  <c r="K112" i="20"/>
  <c r="F112" i="20"/>
  <c r="H122" i="23" l="1"/>
  <c r="G112" i="20"/>
  <c r="J113" i="20" s="1"/>
  <c r="I112" i="20"/>
  <c r="H124" i="20" s="1"/>
  <c r="J122" i="23" l="1"/>
  <c r="I122" i="23"/>
  <c r="F113" i="20"/>
  <c r="I113" i="20" s="1"/>
  <c r="H125" i="20" s="1"/>
  <c r="L113" i="20"/>
  <c r="K113" i="20"/>
  <c r="H123" i="23" l="1"/>
  <c r="H124" i="23"/>
  <c r="G113" i="20"/>
  <c r="J114" i="20" s="1"/>
  <c r="K114" i="20" s="1"/>
  <c r="F114" i="20"/>
  <c r="G114" i="20" s="1"/>
  <c r="J115" i="20" s="1"/>
  <c r="I124" i="23" l="1"/>
  <c r="J124" i="23"/>
  <c r="I123" i="23"/>
  <c r="J123" i="23"/>
  <c r="I114" i="20"/>
  <c r="H126" i="20" s="1"/>
  <c r="L114" i="20"/>
  <c r="F115" i="20"/>
  <c r="G115" i="20" s="1"/>
  <c r="L115" i="20"/>
  <c r="K115" i="20"/>
  <c r="H125" i="23" l="1"/>
  <c r="I115" i="20"/>
  <c r="H127" i="20" s="1"/>
  <c r="F116" i="20"/>
  <c r="J116" i="20"/>
  <c r="I125" i="23" l="1"/>
  <c r="J125" i="23"/>
  <c r="H126" i="23"/>
  <c r="K116" i="20"/>
  <c r="L116" i="20"/>
  <c r="G116" i="20"/>
  <c r="J117" i="20" s="1"/>
  <c r="I116" i="20"/>
  <c r="H128" i="20" s="1"/>
  <c r="F117" i="20"/>
  <c r="I126" i="23" l="1"/>
  <c r="J126" i="23"/>
  <c r="I117" i="20"/>
  <c r="H129" i="20" s="1"/>
  <c r="G117" i="20"/>
  <c r="F118" i="20" s="1"/>
  <c r="L117" i="20"/>
  <c r="K117" i="20"/>
  <c r="H127" i="23" l="1"/>
  <c r="I118" i="20"/>
  <c r="H130" i="20" s="1"/>
  <c r="G118" i="20"/>
  <c r="J119" i="20" s="1"/>
  <c r="J118" i="20"/>
  <c r="I127" i="23" l="1"/>
  <c r="J127" i="23"/>
  <c r="F119" i="20"/>
  <c r="I119" i="20" s="1"/>
  <c r="H131" i="20" s="1"/>
  <c r="G119" i="20"/>
  <c r="F120" i="20" s="1"/>
  <c r="G120" i="20" s="1"/>
  <c r="J121" i="20" s="1"/>
  <c r="K119" i="20"/>
  <c r="L119" i="20"/>
  <c r="K118" i="20"/>
  <c r="L118" i="20"/>
  <c r="J120" i="20"/>
  <c r="H128" i="23" l="1"/>
  <c r="I120" i="20"/>
  <c r="H132" i="20" s="1"/>
  <c r="F121" i="20"/>
  <c r="G121" i="20" s="1"/>
  <c r="F122" i="20" s="1"/>
  <c r="K120" i="20"/>
  <c r="L120" i="20"/>
  <c r="K121" i="20"/>
  <c r="L121" i="20"/>
  <c r="I128" i="23" l="1"/>
  <c r="J128" i="23"/>
  <c r="I121" i="20"/>
  <c r="H133" i="20" s="1"/>
  <c r="I122" i="20"/>
  <c r="H134" i="20" s="1"/>
  <c r="G122" i="20"/>
  <c r="F123" i="20" s="1"/>
  <c r="J122" i="20"/>
  <c r="H129" i="23" l="1"/>
  <c r="J123" i="20"/>
  <c r="L123" i="20" s="1"/>
  <c r="K122" i="20"/>
  <c r="L122" i="20"/>
  <c r="I123" i="20"/>
  <c r="H135" i="20" s="1"/>
  <c r="G123" i="20"/>
  <c r="J129" i="23" l="1"/>
  <c r="I129" i="23"/>
  <c r="K123" i="20"/>
  <c r="J124" i="20"/>
  <c r="F124" i="20"/>
  <c r="H130" i="23" l="1"/>
  <c r="I124" i="20"/>
  <c r="H136" i="20" s="1"/>
  <c r="G124" i="20"/>
  <c r="J125" i="20" s="1"/>
  <c r="K124" i="20"/>
  <c r="L124" i="20"/>
  <c r="I130" i="23" l="1"/>
  <c r="J130" i="23"/>
  <c r="F125" i="20"/>
  <c r="I125" i="20" s="1"/>
  <c r="H137" i="20" s="1"/>
  <c r="L125" i="20"/>
  <c r="K125" i="20"/>
  <c r="H131" i="23" l="1"/>
  <c r="G125" i="20"/>
  <c r="J126" i="20" s="1"/>
  <c r="F126" i="20"/>
  <c r="J131" i="23" l="1"/>
  <c r="I131" i="23"/>
  <c r="G126" i="20"/>
  <c r="J127" i="20" s="1"/>
  <c r="I126" i="20"/>
  <c r="H138" i="20" s="1"/>
  <c r="L126" i="20"/>
  <c r="K126" i="20"/>
  <c r="H132" i="23" l="1"/>
  <c r="L127" i="20"/>
  <c r="K127" i="20"/>
  <c r="F127" i="20"/>
  <c r="I132" i="23" l="1"/>
  <c r="J132" i="23"/>
  <c r="I127" i="20"/>
  <c r="H139" i="20" s="1"/>
  <c r="G127" i="20"/>
  <c r="J128" i="20" s="1"/>
  <c r="H133" i="23" l="1"/>
  <c r="F128" i="20"/>
  <c r="G128" i="20" s="1"/>
  <c r="J129" i="20" s="1"/>
  <c r="K128" i="20"/>
  <c r="L128" i="20"/>
  <c r="H134" i="23" l="1"/>
  <c r="J133" i="23"/>
  <c r="I133" i="23"/>
  <c r="I128" i="20"/>
  <c r="H140" i="20" s="1"/>
  <c r="F129" i="20"/>
  <c r="G129" i="20" s="1"/>
  <c r="F130" i="20" s="1"/>
  <c r="L129" i="20"/>
  <c r="K129" i="20"/>
  <c r="I134" i="23" l="1"/>
  <c r="J134" i="23"/>
  <c r="I129" i="20"/>
  <c r="H141" i="20" s="1"/>
  <c r="J130" i="20"/>
  <c r="K130" i="20" s="1"/>
  <c r="G130" i="20"/>
  <c r="J131" i="20" s="1"/>
  <c r="I130" i="20"/>
  <c r="H142" i="20" s="1"/>
  <c r="H135" i="23" l="1"/>
  <c r="L130" i="20"/>
  <c r="F131" i="20"/>
  <c r="G131" i="20" s="1"/>
  <c r="F132" i="20" s="1"/>
  <c r="G132" i="20" s="1"/>
  <c r="J133" i="20" s="1"/>
  <c r="L131" i="20"/>
  <c r="K131" i="20"/>
  <c r="I135" i="23" l="1"/>
  <c r="J135" i="23"/>
  <c r="I132" i="20"/>
  <c r="H144" i="20" s="1"/>
  <c r="J132" i="20"/>
  <c r="K132" i="20" s="1"/>
  <c r="I131" i="20"/>
  <c r="H143" i="20" s="1"/>
  <c r="K133" i="20"/>
  <c r="L133" i="20"/>
  <c r="F133" i="20"/>
  <c r="H136" i="23" l="1"/>
  <c r="L132" i="20"/>
  <c r="G133" i="20"/>
  <c r="J134" i="20" s="1"/>
  <c r="I133" i="20"/>
  <c r="H145" i="20" s="1"/>
  <c r="J136" i="23" l="1"/>
  <c r="I136" i="23"/>
  <c r="F134" i="20"/>
  <c r="G134" i="20" s="1"/>
  <c r="F135" i="20" s="1"/>
  <c r="L134" i="20"/>
  <c r="K134" i="20"/>
  <c r="H137" i="23" l="1"/>
  <c r="I134" i="20"/>
  <c r="H146" i="20" s="1"/>
  <c r="J135" i="20"/>
  <c r="K135" i="20" s="1"/>
  <c r="G135" i="20"/>
  <c r="J136" i="20" s="1"/>
  <c r="I135" i="20"/>
  <c r="H147" i="20" s="1"/>
  <c r="J137" i="23" l="1"/>
  <c r="I137" i="23"/>
  <c r="L135" i="20"/>
  <c r="K136" i="20"/>
  <c r="L136" i="20"/>
  <c r="F136" i="20"/>
  <c r="H138" i="23" l="1"/>
  <c r="G136" i="20"/>
  <c r="F137" i="20" s="1"/>
  <c r="I136" i="20"/>
  <c r="H148" i="20" s="1"/>
  <c r="I138" i="23" l="1"/>
  <c r="J138" i="23"/>
  <c r="J137" i="20"/>
  <c r="G137" i="20"/>
  <c r="J138" i="20" s="1"/>
  <c r="I137" i="20"/>
  <c r="H149" i="20" s="1"/>
  <c r="H139" i="23" l="1"/>
  <c r="I139" i="23" s="1"/>
  <c r="H140" i="23"/>
  <c r="F138" i="20"/>
  <c r="I138" i="20" s="1"/>
  <c r="K138" i="20"/>
  <c r="L138" i="20"/>
  <c r="K137" i="20"/>
  <c r="L137" i="20"/>
  <c r="J139" i="23" l="1"/>
  <c r="I140" i="23"/>
  <c r="J140" i="23"/>
  <c r="G138" i="20"/>
  <c r="F139" i="20" s="1"/>
  <c r="I139" i="20" s="1"/>
  <c r="H141" i="23" l="1"/>
  <c r="I141" i="23" s="1"/>
  <c r="H142" i="23"/>
  <c r="G139" i="20"/>
  <c r="J140" i="20" s="1"/>
  <c r="J139" i="20"/>
  <c r="L140" i="20"/>
  <c r="K140" i="20"/>
  <c r="F140" i="20"/>
  <c r="J141" i="23" l="1"/>
  <c r="I142" i="23"/>
  <c r="J142" i="23"/>
  <c r="K139" i="20"/>
  <c r="L139" i="20"/>
  <c r="G140" i="20"/>
  <c r="F141" i="20" s="1"/>
  <c r="I140" i="20"/>
  <c r="H143" i="23" l="1"/>
  <c r="J141" i="20"/>
  <c r="L141" i="20" s="1"/>
  <c r="I141" i="20"/>
  <c r="G141" i="20"/>
  <c r="J142" i="20" s="1"/>
  <c r="I143" i="23" l="1"/>
  <c r="J143" i="23"/>
  <c r="K141" i="20"/>
  <c r="L142" i="20"/>
  <c r="K142" i="20"/>
  <c r="F142" i="20"/>
  <c r="H144" i="23" l="1"/>
  <c r="I142" i="20"/>
  <c r="G142" i="20"/>
  <c r="J143" i="20" s="1"/>
  <c r="J144" i="23" l="1"/>
  <c r="I144" i="23"/>
  <c r="H145" i="23"/>
  <c r="K143" i="20"/>
  <c r="L143" i="20"/>
  <c r="F143" i="20"/>
  <c r="J145" i="23" l="1"/>
  <c r="N10" i="23" s="1"/>
  <c r="I145" i="23"/>
  <c r="L10" i="23" s="1"/>
  <c r="M10" i="23" s="1"/>
  <c r="G143" i="20"/>
  <c r="F144" i="20" s="1"/>
  <c r="I143" i="20"/>
  <c r="J144" i="20" l="1"/>
  <c r="L144" i="20" s="1"/>
  <c r="G144" i="20"/>
  <c r="F145" i="20" s="1"/>
  <c r="I144" i="20"/>
  <c r="H149" i="23" l="1"/>
  <c r="K144" i="20"/>
  <c r="G145" i="20"/>
  <c r="J149" i="20" s="1"/>
  <c r="I145" i="20"/>
  <c r="J145" i="20"/>
  <c r="J147" i="20" l="1"/>
  <c r="J146" i="20"/>
  <c r="J148" i="20"/>
  <c r="L145" i="20"/>
  <c r="P10" i="20" s="1"/>
  <c r="K145" i="20"/>
  <c r="N10" i="20" l="1"/>
  <c r="O10" i="20" s="1"/>
</calcChain>
</file>

<file path=xl/sharedStrings.xml><?xml version="1.0" encoding="utf-8"?>
<sst xmlns="http://schemas.openxmlformats.org/spreadsheetml/2006/main" count="755" uniqueCount="149">
  <si>
    <t>Error</t>
  </si>
  <si>
    <t>Error^2</t>
  </si>
  <si>
    <t>Alpha</t>
  </si>
  <si>
    <t>Beta</t>
  </si>
  <si>
    <t>Monthly</t>
  </si>
  <si>
    <t>May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</si>
  <si>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</si>
  <si>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</si>
  <si>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</si>
  <si>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</si>
  <si>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</si>
  <si>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</si>
  <si>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</si>
  <si>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</si>
  <si>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</si>
  <si>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</si>
  <si>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</si>
  <si>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Year</t>
  </si>
  <si>
    <t>SSE</t>
  </si>
  <si>
    <t>MSE</t>
  </si>
  <si>
    <t>RMSE</t>
  </si>
  <si>
    <t>MAPE</t>
  </si>
  <si>
    <t>Sr.no</t>
  </si>
  <si>
    <t>Number of realme unit sold after the launched in Jan-2017</t>
  </si>
  <si>
    <t>Trend (bt)</t>
  </si>
  <si>
    <t>1-Alpha</t>
  </si>
  <si>
    <t xml:space="preserve">Money Withdrawl from an atm after removing the seasonal data </t>
  </si>
  <si>
    <t>Forecast</t>
  </si>
  <si>
    <t>Error Squared</t>
  </si>
  <si>
    <t>Qtr</t>
  </si>
  <si>
    <t>Value ( Yt)</t>
  </si>
  <si>
    <t>Period</t>
  </si>
  <si>
    <t>Gamma</t>
  </si>
  <si>
    <t>Ft = alpha* Yt-1 + ( 1-Alpha)*Ft-1</t>
  </si>
  <si>
    <t>0 &lt; alpha &lt; 1</t>
  </si>
  <si>
    <t>Alpha is Parameter or constant called Smoothing constant</t>
  </si>
  <si>
    <t>Forecast (F)</t>
  </si>
  <si>
    <t>F1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</si>
  <si>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</si>
  <si>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</si>
  <si>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</si>
  <si>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</si>
  <si>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</si>
  <si>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</si>
  <si>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</si>
  <si>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</si>
  <si>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</si>
  <si>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</si>
  <si>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</si>
  <si>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</si>
  <si>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</si>
  <si>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</si>
  <si>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</si>
  <si>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</si>
  <si>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F2</t>
  </si>
  <si>
    <t>F19</t>
  </si>
  <si>
    <t>F20</t>
  </si>
  <si>
    <t>F21</t>
  </si>
  <si>
    <t>F22</t>
  </si>
  <si>
    <t>F23</t>
  </si>
  <si>
    <t>F24</t>
  </si>
  <si>
    <t>Notation</t>
  </si>
  <si>
    <t>t =3</t>
  </si>
  <si>
    <t>F3 = alpha * Y3-1 + ( 1- Alpha ) * F3-1</t>
  </si>
  <si>
    <t>F3 = Alpha* Y2 + ( 1 - Alpha ) * F2</t>
  </si>
  <si>
    <t>Forecast == t &gt;3</t>
  </si>
  <si>
    <t>Data ( Y ) in Ton</t>
  </si>
  <si>
    <t xml:space="preserve">Data ( in Crore) </t>
  </si>
  <si>
    <t xml:space="preserve">Kotak Mahindra bank </t>
  </si>
  <si>
    <t>Alpha= 0.7</t>
  </si>
  <si>
    <t>1- Alpha = 0.3</t>
  </si>
  <si>
    <t xml:space="preserve"> = 0. 7 *260 + 0.3 * 240</t>
  </si>
  <si>
    <t>Period (t)</t>
  </si>
  <si>
    <t>Actual ( Yt)</t>
  </si>
  <si>
    <t>Level ( Lt)</t>
  </si>
  <si>
    <t>Trend ( bt )</t>
  </si>
  <si>
    <t>Seasonal ( St )</t>
  </si>
  <si>
    <t>Forecast  ( Ft )</t>
  </si>
  <si>
    <t>Quarter</t>
  </si>
  <si>
    <r>
      <t>L</t>
    </r>
    <r>
      <rPr>
        <vertAlign val="subscript"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 xml:space="preserve"> - L</t>
    </r>
    <r>
      <rPr>
        <vertAlign val="subscript"/>
        <sz val="12"/>
        <color theme="1"/>
        <rFont val="Times New Roman"/>
        <family val="1"/>
      </rPr>
      <t>t-1</t>
    </r>
  </si>
  <si>
    <t>St-n</t>
  </si>
  <si>
    <t>Month</t>
  </si>
  <si>
    <t>Passengers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</si>
  <si>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</si>
  <si>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</si>
  <si>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</si>
  <si>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</si>
  <si>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</si>
  <si>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</si>
  <si>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</si>
  <si>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</si>
  <si>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</si>
  <si>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</si>
  <si>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</si>
  <si>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Smothing (L)</t>
  </si>
  <si>
    <t>Sales ( Y )</t>
  </si>
  <si>
    <t>t = 2</t>
  </si>
  <si>
    <t>L2 = 0.85  * Y2 + 0.15 * ( L2-1 + b2-1)</t>
  </si>
  <si>
    <t>L2 = 0.85  * Y2 + 0.15 * ( L1 + b1)</t>
  </si>
  <si>
    <t>L2 = 0.85  * 332+ 0.15 * ( 302 + 30)</t>
  </si>
  <si>
    <t>Level or Smoothing</t>
  </si>
  <si>
    <t>L2 = 332</t>
  </si>
  <si>
    <t>bt = beta * (Lt - Lt-1) + ( 1- beta) * bt-1</t>
  </si>
  <si>
    <t>bt = 0.5 * (L2 - L2-1) + 0.5 * b2-1</t>
  </si>
  <si>
    <t>bt = 0.5 * (L2 - L1) + 0.5 * b1</t>
  </si>
  <si>
    <t>Forecast of given data</t>
  </si>
  <si>
    <t>Ft+m = Lt + bt*m</t>
  </si>
  <si>
    <t>t= 1 , m=1</t>
  </si>
  <si>
    <t>F1+1 = L1 + b1*1</t>
  </si>
  <si>
    <t>F2 = 302 + 30*1</t>
  </si>
  <si>
    <t>F2 = 332</t>
  </si>
  <si>
    <t>F2 = L1 + b1*1</t>
  </si>
  <si>
    <t>Forecast ( Ft)</t>
  </si>
  <si>
    <t>Jan = t= 1</t>
  </si>
  <si>
    <t>Feb = t = 2</t>
  </si>
  <si>
    <t>Mar = t = 3</t>
  </si>
  <si>
    <t>Smothing (Lt)</t>
  </si>
  <si>
    <t>Lt = alpha* Yt + ( 1- Alpha )* (Lt-1 + bt-1)</t>
  </si>
  <si>
    <t>L2 = 0.85  * 1047+ 0.15 * ( 1027 + 20)</t>
  </si>
  <si>
    <t>L2 = 1047</t>
  </si>
  <si>
    <t>bt = 0.5 * (1047 - 1027) + 0.5 * 20</t>
  </si>
  <si>
    <t>bt = 20</t>
  </si>
  <si>
    <t>Feb = t =2</t>
  </si>
  <si>
    <t>F2 = 1027 + 20*1</t>
  </si>
  <si>
    <t>F2 = 1047</t>
  </si>
  <si>
    <t>Sr.no forecast</t>
  </si>
  <si>
    <t>A</t>
  </si>
  <si>
    <t>B</t>
  </si>
  <si>
    <t>b2 = 0.5 * (L2 - L2-1) + 0.5 * b2-1</t>
  </si>
  <si>
    <t>b2 = 0.5 * (L2 - L1) + 0.5 * b1</t>
  </si>
  <si>
    <t>b2 = 0.5 * (332 - 302) + 0.5 * 30</t>
  </si>
  <si>
    <t>b2 = 30</t>
  </si>
  <si>
    <t>Jan( t= 1)</t>
  </si>
  <si>
    <t>Initial value</t>
  </si>
  <si>
    <t>L1 = Y1</t>
  </si>
  <si>
    <t xml:space="preserve">B1 = Y2 - Y1 </t>
  </si>
  <si>
    <t>Lt = Alpha * Yt + ( 1- Alpha ) (Lt-1 + bt-1)</t>
  </si>
  <si>
    <t>Feb (t =2)</t>
  </si>
  <si>
    <t>grid</t>
  </si>
  <si>
    <t>Grid search method</t>
  </si>
  <si>
    <t xml:space="preserve">optimal Parameter </t>
  </si>
  <si>
    <t>Price ( Y )</t>
  </si>
  <si>
    <t>Passengers ( Y )</t>
  </si>
  <si>
    <t xml:space="preserve">Forecast </t>
  </si>
  <si>
    <t>m=1</t>
  </si>
  <si>
    <t>m= 2</t>
  </si>
  <si>
    <t>m= 3</t>
  </si>
  <si>
    <t>m=4</t>
  </si>
  <si>
    <t>m=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</si>
</sst>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"/>
    <numFmt numFmtId="167" formatCode="0.0"/>
    <numFmt numFmtId="168" formatCode="0.000000"/>
  </numFmts>
  <fonts count="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0"/>
      <color rgb="FF000000"/>
      <name val="Arial Unicode MS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0" fillId="3" borderId="1" xfId="0" applyFill="1" applyBorder="1"/>
    <xf numFmtId="164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0" borderId="2" xfId="0" applyBorder="1"/>
    <xf numFmtId="166" fontId="0" fillId="0" borderId="1" xfId="0" applyNumberFormat="1" applyBorder="1"/>
    <xf numFmtId="167" fontId="0" fillId="0" borderId="1" xfId="0" applyNumberFormat="1" applyBorder="1"/>
    <xf numFmtId="1" fontId="0" fillId="0" borderId="1" xfId="0" applyNumberFormat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2" fontId="0" fillId="0" borderId="3" xfId="0" applyNumberFormat="1" applyBorder="1"/>
    <xf numFmtId="0" fontId="0" fillId="0" borderId="3" xfId="0" applyBorder="1"/>
    <xf numFmtId="0" fontId="0" fillId="6" borderId="1" xfId="0" applyFill="1" applyBorder="1"/>
    <xf numFmtId="2" fontId="0" fillId="0" borderId="0" xfId="0" applyNumberFormat="1" applyBorder="1"/>
    <xf numFmtId="2" fontId="0" fillId="4" borderId="1" xfId="0" applyNumberFormat="1" applyFill="1" applyBorder="1"/>
    <xf numFmtId="0" fontId="0" fillId="4" borderId="1" xfId="0" applyFill="1" applyBorder="1"/>
    <xf numFmtId="0" fontId="0" fillId="0" borderId="1" xfId="0" applyFill="1" applyBorder="1"/>
    <xf numFmtId="0" fontId="0" fillId="6" borderId="0" xfId="0" applyFill="1" applyBorder="1"/>
    <xf numFmtId="0" fontId="0" fillId="0" borderId="0" xfId="0" applyBorder="1"/>
    <xf numFmtId="0" fontId="0" fillId="3" borderId="0" xfId="0" applyFill="1"/>
    <xf numFmtId="2" fontId="0" fillId="0" borderId="0" xfId="0" applyNumberFormat="1"/>
    <xf numFmtId="167" fontId="0" fillId="4" borderId="1" xfId="0" applyNumberFormat="1" applyFill="1" applyBorder="1"/>
    <xf numFmtId="0" fontId="0" fillId="7" borderId="1" xfId="0" applyFill="1" applyBorder="1"/>
    <xf numFmtId="0" fontId="0" fillId="4" borderId="0" xfId="0" applyFill="1"/>
    <xf numFmtId="0" fontId="0" fillId="8" borderId="0" xfId="0" applyFill="1"/>
    <xf numFmtId="0" fontId="0" fillId="4" borderId="1" xfId="0" applyFill="1" applyBorder="1"/>
    <xf numFmtId="165" fontId="0" fillId="0" borderId="1" xfId="0" applyNumberFormat="1" applyBorder="1"/>
    <xf numFmtId="167" fontId="0" fillId="0" borderId="1" xfId="0" applyNumberFormat="1" applyFill="1" applyBorder="1"/>
    <xf numFmtId="166" fontId="0" fillId="0" borderId="0" xfId="0" applyNumberFormat="1"/>
    <xf numFmtId="0" fontId="0" fillId="4" borderId="3" xfId="0" applyFill="1" applyBorder="1"/>
    <xf numFmtId="2" fontId="0" fillId="7" borderId="1" xfId="0" applyNumberFormat="1" applyFill="1" applyBorder="1"/>
    <xf numFmtId="0" fontId="0" fillId="4" borderId="2" xfId="0" applyFill="1" applyBorder="1"/>
    <xf numFmtId="166" fontId="0" fillId="0" borderId="2" xfId="0" applyNumberFormat="1" applyBorder="1"/>
    <xf numFmtId="2" fontId="0" fillId="0" borderId="2" xfId="0" applyNumberFormat="1" applyBorder="1"/>
    <xf numFmtId="0" fontId="3" fillId="0" borderId="1" xfId="0" applyFont="1" applyBorder="1" applyAlignment="1">
      <alignment vertical="center"/>
    </xf>
    <xf numFmtId="1" fontId="0" fillId="6" borderId="1" xfId="0" applyNumberFormat="1" applyFill="1" applyBorder="1"/>
    <xf numFmtId="1" fontId="0" fillId="11" borderId="1" xfId="0" applyNumberFormat="1" applyFill="1" applyBorder="1"/>
    <xf numFmtId="1" fontId="0" fillId="9" borderId="1" xfId="0" applyNumberFormat="1" applyFill="1" applyBorder="1"/>
    <xf numFmtId="1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1" xfId="0" applyFill="1" applyBorder="1"/>
    <xf numFmtId="1" fontId="0" fillId="10" borderId="1" xfId="0" applyNumberFormat="1" applyFill="1" applyBorder="1"/>
    <xf numFmtId="0" fontId="0" fillId="11" borderId="1" xfId="0" applyFill="1" applyBorder="1"/>
    <xf numFmtId="165" fontId="0" fillId="14" borderId="1" xfId="0" applyNumberFormat="1" applyFill="1" applyBorder="1"/>
    <xf numFmtId="1" fontId="0" fillId="14" borderId="1" xfId="0" applyNumberFormat="1" applyFill="1" applyBorder="1"/>
    <xf numFmtId="165" fontId="0" fillId="0" borderId="0" xfId="0" applyNumberFormat="1"/>
    <xf numFmtId="1" fontId="0" fillId="0" borderId="0" xfId="0" applyNumberFormat="1"/>
    <xf numFmtId="165" fontId="0" fillId="12" borderId="1" xfId="0" applyNumberFormat="1" applyFill="1" applyBorder="1"/>
    <xf numFmtId="2" fontId="0" fillId="6" borderId="1" xfId="0" applyNumberFormat="1" applyFill="1" applyBorder="1"/>
    <xf numFmtId="0" fontId="0" fillId="0" borderId="2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/>
    <xf numFmtId="0" fontId="3" fillId="4" borderId="1" xfId="0" applyFont="1" applyFill="1" applyBorder="1" applyAlignment="1">
      <alignment vertical="center"/>
    </xf>
    <xf numFmtId="0" fontId="0" fillId="0" borderId="12" xfId="0" applyFill="1" applyBorder="1"/>
    <xf numFmtId="166" fontId="0" fillId="6" borderId="1" xfId="0" applyNumberFormat="1" applyFill="1" applyBorder="1"/>
    <xf numFmtId="165" fontId="0" fillId="6" borderId="1" xfId="0" applyNumberFormat="1" applyFill="1" applyBorder="1"/>
    <xf numFmtId="0" fontId="0" fillId="4" borderId="1" xfId="0" applyFill="1" applyBorder="1"/>
    <xf numFmtId="0" fontId="0" fillId="14" borderId="1" xfId="0" applyFill="1" applyBorder="1"/>
    <xf numFmtId="164" fontId="0" fillId="14" borderId="1" xfId="0" applyNumberFormat="1" applyFill="1" applyBorder="1"/>
    <xf numFmtId="167" fontId="0" fillId="6" borderId="1" xfId="0" applyNumberFormat="1" applyFill="1" applyBorder="1"/>
    <xf numFmtId="1" fontId="0" fillId="15" borderId="1" xfId="0" applyNumberFormat="1" applyFill="1" applyBorder="1"/>
    <xf numFmtId="0" fontId="0" fillId="15" borderId="1" xfId="0" applyFill="1" applyBorder="1"/>
    <xf numFmtId="167" fontId="0" fillId="15" borderId="1" xfId="0" applyNumberFormat="1" applyFill="1" applyBorder="1"/>
    <xf numFmtId="168" fontId="0" fillId="6" borderId="1" xfId="0" applyNumberFormat="1" applyFill="1" applyBorder="1"/>
    <xf numFmtId="167" fontId="0" fillId="15" borderId="2" xfId="0" applyNumberFormat="1" applyFill="1" applyBorder="1"/>
    <xf numFmtId="167" fontId="0" fillId="14" borderId="1" xfId="0" applyNumberFormat="1" applyFill="1" applyBorder="1"/>
    <xf numFmtId="2" fontId="0" fillId="16" borderId="1" xfId="0" applyNumberFormat="1" applyFill="1" applyBorder="1"/>
    <xf numFmtId="0" fontId="0" fillId="4" borderId="1" xfId="0" applyFill="1" applyBorder="1"/>
    <xf numFmtId="2" fontId="0" fillId="17" borderId="1" xfId="0" applyNumberFormat="1" applyFill="1" applyBorder="1"/>
    <xf numFmtId="0" fontId="0" fillId="17" borderId="1" xfId="0" applyFill="1" applyBorder="1"/>
    <xf numFmtId="0" fontId="3" fillId="18" borderId="1" xfId="0" applyFont="1" applyFill="1" applyBorder="1" applyAlignment="1">
      <alignment vertical="center"/>
    </xf>
    <xf numFmtId="0" fontId="0" fillId="18" borderId="1" xfId="0" applyFill="1" applyBorder="1"/>
    <xf numFmtId="2" fontId="0" fillId="18" borderId="1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7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9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164" fontId="0" fillId="1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'SES (Maida_Flour-1 )'!$B$2:$C$21</c:f>
              <c:multiLvlStrCache>
                <c:ptCount val="2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'SES (Maida_Flour-1 )'!$D$2:$D$21</c:f>
              <c:numCache>
                <c:formatCode>General</c:formatCode>
                <c:ptCount val="20"/>
                <c:pt idx="0">
                  <c:v>240</c:v>
                </c:pt>
                <c:pt idx="1">
                  <c:v>260</c:v>
                </c:pt>
                <c:pt idx="2">
                  <c:v>220</c:v>
                </c:pt>
                <c:pt idx="3">
                  <c:v>310</c:v>
                </c:pt>
                <c:pt idx="4">
                  <c:v>240</c:v>
                </c:pt>
                <c:pt idx="5">
                  <c:v>240</c:v>
                </c:pt>
                <c:pt idx="6">
                  <c:v>260</c:v>
                </c:pt>
                <c:pt idx="7">
                  <c:v>230</c:v>
                </c:pt>
                <c:pt idx="8">
                  <c:v>320</c:v>
                </c:pt>
                <c:pt idx="9">
                  <c:v>240</c:v>
                </c:pt>
                <c:pt idx="10">
                  <c:v>240</c:v>
                </c:pt>
                <c:pt idx="11">
                  <c:v>320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280</c:v>
                </c:pt>
                <c:pt idx="16">
                  <c:v>250</c:v>
                </c:pt>
                <c:pt idx="17">
                  <c:v>250</c:v>
                </c:pt>
                <c:pt idx="18">
                  <c:v>280</c:v>
                </c:pt>
                <c:pt idx="1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9-4642-93BD-A11D4BB0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09592"/>
        <c:axId val="446604016"/>
      </c:lineChart>
      <c:catAx>
        <c:axId val="44660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4016"/>
        <c:crosses val="autoZero"/>
        <c:auto val="1"/>
        <c:lblAlgn val="ctr"/>
        <c:lblOffset val="100"/>
        <c:noMultiLvlLbl val="0"/>
      </c:catAx>
      <c:valAx>
        <c:axId val="446604016"/>
        <c:scaling>
          <c:orientation val="minMax"/>
          <c:max val="3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 (Mobile Price -2 ) (2)'!$D$1</c:f>
              <c:strCache>
                <c:ptCount val="1"/>
                <c:pt idx="0">
                  <c:v>Sales ( Y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 (2)'!$B$2:$C$25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'DES (Mobile Price -2 ) (2)'!$D$2:$D$25</c:f>
              <c:numCache>
                <c:formatCode>General</c:formatCode>
                <c:ptCount val="24"/>
                <c:pt idx="0">
                  <c:v>1027</c:v>
                </c:pt>
                <c:pt idx="1">
                  <c:v>1047</c:v>
                </c:pt>
                <c:pt idx="2">
                  <c:v>1049</c:v>
                </c:pt>
                <c:pt idx="3">
                  <c:v>1018</c:v>
                </c:pt>
                <c:pt idx="4">
                  <c:v>1021</c:v>
                </c:pt>
                <c:pt idx="5">
                  <c:v>1012</c:v>
                </c:pt>
                <c:pt idx="6">
                  <c:v>1018</c:v>
                </c:pt>
                <c:pt idx="7">
                  <c:v>991</c:v>
                </c:pt>
                <c:pt idx="8">
                  <c:v>962</c:v>
                </c:pt>
                <c:pt idx="9">
                  <c:v>921</c:v>
                </c:pt>
                <c:pt idx="10">
                  <c:v>871</c:v>
                </c:pt>
                <c:pt idx="11">
                  <c:v>829</c:v>
                </c:pt>
                <c:pt idx="12">
                  <c:v>822</c:v>
                </c:pt>
                <c:pt idx="13">
                  <c:v>820</c:v>
                </c:pt>
                <c:pt idx="14">
                  <c:v>802</c:v>
                </c:pt>
                <c:pt idx="15">
                  <c:v>821</c:v>
                </c:pt>
                <c:pt idx="16">
                  <c:v>819</c:v>
                </c:pt>
                <c:pt idx="17">
                  <c:v>791</c:v>
                </c:pt>
                <c:pt idx="18">
                  <c:v>746</c:v>
                </c:pt>
                <c:pt idx="19">
                  <c:v>726</c:v>
                </c:pt>
                <c:pt idx="20">
                  <c:v>661</c:v>
                </c:pt>
                <c:pt idx="21">
                  <c:v>620</c:v>
                </c:pt>
                <c:pt idx="22">
                  <c:v>588</c:v>
                </c:pt>
                <c:pt idx="23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E-410C-A80C-2A74A27F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58768"/>
        <c:axId val="536655160"/>
      </c:lineChart>
      <c:catAx>
        <c:axId val="5366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55160"/>
        <c:crosses val="autoZero"/>
        <c:auto val="1"/>
        <c:lblAlgn val="ctr"/>
        <c:lblOffset val="100"/>
        <c:noMultiLvlLbl val="0"/>
      </c:catAx>
      <c:valAx>
        <c:axId val="53665516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 ( AM) 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'HW ( AM) '!$A$2:$B$17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'HW ( AM) '!$A$2:$A$17</c:f>
              <c:numCache>
                <c:formatCode>General</c:formatCode>
                <c:ptCount val="16"/>
                <c:pt idx="0">
                  <c:v>2014</c:v>
                </c:pt>
                <c:pt idx="4" formatCode="0">
                  <c:v>2015</c:v>
                </c:pt>
                <c:pt idx="8" formatCode="0">
                  <c:v>2016</c:v>
                </c:pt>
                <c:pt idx="12" formatCode="0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8-4FA9-9612-1CE6EA85AA10}"/>
            </c:ext>
          </c:extLst>
        </c:ser>
        <c:ser>
          <c:idx val="2"/>
          <c:order val="1"/>
          <c:tx>
            <c:strRef>
              <c:f>'HW ( AM) '!$C$1</c:f>
              <c:strCache>
                <c:ptCount val="1"/>
                <c:pt idx="0">
                  <c:v>Value ( Yt)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'HW ( AM) '!$A$2:$B$17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'HW ( AM) '!$C$2:$C$17</c:f>
              <c:numCache>
                <c:formatCode>0.0</c:formatCode>
                <c:ptCount val="16"/>
                <c:pt idx="0">
                  <c:v>416</c:v>
                </c:pt>
                <c:pt idx="1">
                  <c:v>446.8</c:v>
                </c:pt>
                <c:pt idx="2" formatCode="General">
                  <c:v>465.7</c:v>
                </c:pt>
                <c:pt idx="3" formatCode="General">
                  <c:v>461.9</c:v>
                </c:pt>
                <c:pt idx="4">
                  <c:v>445.9</c:v>
                </c:pt>
                <c:pt idx="5">
                  <c:v>471.3</c:v>
                </c:pt>
                <c:pt idx="6">
                  <c:v>486.6</c:v>
                </c:pt>
                <c:pt idx="7">
                  <c:v>484.2</c:v>
                </c:pt>
                <c:pt idx="8">
                  <c:v>449.2</c:v>
                </c:pt>
                <c:pt idx="9">
                  <c:v>483.2</c:v>
                </c:pt>
                <c:pt idx="10">
                  <c:v>489.6</c:v>
                </c:pt>
                <c:pt idx="11">
                  <c:v>484.3</c:v>
                </c:pt>
                <c:pt idx="12">
                  <c:v>476.5</c:v>
                </c:pt>
                <c:pt idx="13">
                  <c:v>507</c:v>
                </c:pt>
                <c:pt idx="14">
                  <c:v>516.29999999999995</c:v>
                </c:pt>
                <c:pt idx="15">
                  <c:v>510.8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8-4FA9-9612-1CE6EA85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509952"/>
        <c:axId val="391511264"/>
      </c:lineChart>
      <c:catAx>
        <c:axId val="3915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11264"/>
        <c:crosses val="autoZero"/>
        <c:auto val="1"/>
        <c:lblAlgn val="ctr"/>
        <c:lblOffset val="100"/>
        <c:noMultiLvlLbl val="0"/>
      </c:catAx>
      <c:valAx>
        <c:axId val="391511264"/>
        <c:scaling>
          <c:orientation val="minMax"/>
          <c:max val="52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0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data Vs Forecast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 ( AM) '!$C$1</c:f>
              <c:strCache>
                <c:ptCount val="1"/>
                <c:pt idx="0">
                  <c:v>Value ( 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'HW ( AM) '!$A$2:$B$21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'HW ( AM) '!$C$2:$C$17</c:f>
              <c:numCache>
                <c:formatCode>0.0</c:formatCode>
                <c:ptCount val="16"/>
                <c:pt idx="0">
                  <c:v>416</c:v>
                </c:pt>
                <c:pt idx="1">
                  <c:v>446.8</c:v>
                </c:pt>
                <c:pt idx="2" formatCode="General">
                  <c:v>465.7</c:v>
                </c:pt>
                <c:pt idx="3" formatCode="General">
                  <c:v>461.9</c:v>
                </c:pt>
                <c:pt idx="4">
                  <c:v>445.9</c:v>
                </c:pt>
                <c:pt idx="5">
                  <c:v>471.3</c:v>
                </c:pt>
                <c:pt idx="6">
                  <c:v>486.6</c:v>
                </c:pt>
                <c:pt idx="7">
                  <c:v>484.2</c:v>
                </c:pt>
                <c:pt idx="8">
                  <c:v>449.2</c:v>
                </c:pt>
                <c:pt idx="9">
                  <c:v>483.2</c:v>
                </c:pt>
                <c:pt idx="10">
                  <c:v>489.6</c:v>
                </c:pt>
                <c:pt idx="11">
                  <c:v>484.3</c:v>
                </c:pt>
                <c:pt idx="12">
                  <c:v>476.5</c:v>
                </c:pt>
                <c:pt idx="13">
                  <c:v>507</c:v>
                </c:pt>
                <c:pt idx="14">
                  <c:v>516.29999999999995</c:v>
                </c:pt>
                <c:pt idx="15">
                  <c:v>510.8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8-414E-A425-DFD2A1436EC7}"/>
            </c:ext>
          </c:extLst>
        </c:ser>
        <c:ser>
          <c:idx val="1"/>
          <c:order val="1"/>
          <c:tx>
            <c:strRef>
              <c:f>'HW ( AM) '!$H$1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'HW ( AM) '!$A$2:$B$21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</c:lvl>
              </c:multiLvlStrCache>
            </c:multiLvlStrRef>
          </c:cat>
          <c:val>
            <c:numRef>
              <c:f>'HW ( AM) '!$H$2:$H$21</c:f>
              <c:numCache>
                <c:formatCode>General</c:formatCode>
                <c:ptCount val="20"/>
                <c:pt idx="4" formatCode="0.0">
                  <c:v>422.1</c:v>
                </c:pt>
                <c:pt idx="5" formatCode="0.0">
                  <c:v>479.63959799999998</c:v>
                </c:pt>
                <c:pt idx="6" formatCode="0.0">
                  <c:v>498.48341321842003</c:v>
                </c:pt>
                <c:pt idx="7" formatCode="0.0">
                  <c:v>491.176963215694</c:v>
                </c:pt>
                <c:pt idx="8" formatCode="0.0">
                  <c:v>446.75910660822728</c:v>
                </c:pt>
                <c:pt idx="9" formatCode="0.0">
                  <c:v>483.90590638914017</c:v>
                </c:pt>
                <c:pt idx="10" formatCode="0.0">
                  <c:v>508.06113752282602</c:v>
                </c:pt>
                <c:pt idx="11" formatCode="0.0">
                  <c:v>494.5381848000244</c:v>
                </c:pt>
                <c:pt idx="12" formatCode="0.0">
                  <c:v>446.72345999324978</c:v>
                </c:pt>
                <c:pt idx="13" formatCode="0.0">
                  <c:v>506.18890916700957</c:v>
                </c:pt>
                <c:pt idx="14" formatCode="0.0">
                  <c:v>530.72835310279663</c:v>
                </c:pt>
                <c:pt idx="15" formatCode="0.0">
                  <c:v>521.22714746033489</c:v>
                </c:pt>
                <c:pt idx="16" formatCode="0.0">
                  <c:v>475.65303126127225</c:v>
                </c:pt>
                <c:pt idx="17" formatCode="0.0">
                  <c:v>508.00836179970491</c:v>
                </c:pt>
                <c:pt idx="18" formatCode="0.0">
                  <c:v>529.94358558414353</c:v>
                </c:pt>
                <c:pt idx="19" formatCode="0.0">
                  <c:v>532.04473923680644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8-414E-A425-DFD2A143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168856"/>
        <c:axId val="437165576"/>
      </c:lineChart>
      <c:catAx>
        <c:axId val="43716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5576"/>
        <c:crosses val="autoZero"/>
        <c:auto val="1"/>
        <c:lblAlgn val="ctr"/>
        <c:lblOffset val="100"/>
        <c:noMultiLvlLbl val="0"/>
      </c:catAx>
      <c:valAx>
        <c:axId val="437165576"/>
        <c:scaling>
          <c:orientation val="minMax"/>
          <c:max val="6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6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 (MM)Export_Cotton'!$D$1</c:f>
              <c:strCache>
                <c:ptCount val="1"/>
                <c:pt idx="0">
                  <c:v>Actual ( 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'HW (MM)Export_Cotton'!$A$2:$B$17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'HW (MM)Export_Cotton'!$D$2:$D$17</c:f>
              <c:numCache>
                <c:formatCode>General</c:formatCode>
                <c:ptCount val="16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  <c:pt idx="12">
                  <c:v>544</c:v>
                </c:pt>
                <c:pt idx="13">
                  <c:v>582</c:v>
                </c:pt>
                <c:pt idx="14">
                  <c:v>681</c:v>
                </c:pt>
                <c:pt idx="15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4-4E6C-9252-DF1E40EC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38024"/>
        <c:axId val="551545568"/>
      </c:lineChart>
      <c:catAx>
        <c:axId val="55153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5568"/>
        <c:crosses val="autoZero"/>
        <c:auto val="1"/>
        <c:lblAlgn val="ctr"/>
        <c:lblOffset val="100"/>
        <c:noMultiLvlLbl val="0"/>
      </c:catAx>
      <c:valAx>
        <c:axId val="551545568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Vs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 (MM)Export_Cotton'!$D$1</c:f>
              <c:strCache>
                <c:ptCount val="1"/>
                <c:pt idx="0">
                  <c:v>Actual ( 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'HW (MM)Export_Cotton'!$A$2:$B$21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'HW (MM)Export_Cotton'!$D$2:$D$17</c:f>
              <c:numCache>
                <c:formatCode>General</c:formatCode>
                <c:ptCount val="16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  <c:pt idx="12">
                  <c:v>544</c:v>
                </c:pt>
                <c:pt idx="13">
                  <c:v>582</c:v>
                </c:pt>
                <c:pt idx="14">
                  <c:v>681</c:v>
                </c:pt>
                <c:pt idx="15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A-4806-9E0C-DF8BFF820635}"/>
            </c:ext>
          </c:extLst>
        </c:ser>
        <c:ser>
          <c:idx val="1"/>
          <c:order val="1"/>
          <c:tx>
            <c:strRef>
              <c:f>'HW (MM)Export_Cotton'!$H$1</c:f>
              <c:strCache>
                <c:ptCount val="1"/>
                <c:pt idx="0">
                  <c:v>Forecast  ( Ft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'HW (MM)Export_Cotton'!$A$2:$B$21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</c:lvl>
              </c:multiLvlStrCache>
            </c:multiLvlStrRef>
          </c:cat>
          <c:val>
            <c:numRef>
              <c:f>'HW (MM)Export_Cotton'!$H$2:$H$21</c:f>
              <c:numCache>
                <c:formatCode>General</c:formatCode>
                <c:ptCount val="20"/>
                <c:pt idx="4" formatCode="0.00">
                  <c:v>371.28815789473686</c:v>
                </c:pt>
                <c:pt idx="5" formatCode="0.00">
                  <c:v>409.88317188863039</c:v>
                </c:pt>
                <c:pt idx="6" formatCode="0.00">
                  <c:v>473.11576243660375</c:v>
                </c:pt>
                <c:pt idx="7" formatCode="0.00">
                  <c:v>392.90487366441397</c:v>
                </c:pt>
                <c:pt idx="8" formatCode="0.00">
                  <c:v>436.17746366860734</c:v>
                </c:pt>
                <c:pt idx="9" formatCode="0.00">
                  <c:v>488.90778109803932</c:v>
                </c:pt>
                <c:pt idx="10" formatCode="0.00">
                  <c:v>602.97265037234706</c:v>
                </c:pt>
                <c:pt idx="11" formatCode="0.00">
                  <c:v>476.7373829946456</c:v>
                </c:pt>
                <c:pt idx="12" formatCode="0.00">
                  <c:v>562.77098764620166</c:v>
                </c:pt>
                <c:pt idx="13" formatCode="0.00">
                  <c:v>594.15781727028923</c:v>
                </c:pt>
                <c:pt idx="14" formatCode="0.00">
                  <c:v>672.35972113961702</c:v>
                </c:pt>
                <c:pt idx="15" formatCode="0.00">
                  <c:v>538.69124655046869</c:v>
                </c:pt>
                <c:pt idx="16" formatCode="0.000">
                  <c:v>629.06748048392535</c:v>
                </c:pt>
                <c:pt idx="17" formatCode="0.00">
                  <c:v>674.86432562315531</c:v>
                </c:pt>
                <c:pt idx="18" formatCode="0.00">
                  <c:v>784.69114230325226</c:v>
                </c:pt>
                <c:pt idx="19" formatCode="0.00">
                  <c:v>634.63175012093131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A-4806-9E0C-DF8BFF820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72376"/>
        <c:axId val="466572704"/>
      </c:lineChart>
      <c:catAx>
        <c:axId val="46657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2704"/>
        <c:crosses val="autoZero"/>
        <c:auto val="1"/>
        <c:lblAlgn val="ctr"/>
        <c:lblOffset val="100"/>
        <c:noMultiLvlLbl val="0"/>
      </c:catAx>
      <c:valAx>
        <c:axId val="466572704"/>
        <c:scaling>
          <c:orientation val="minMax"/>
          <c:max val="8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 ( MM)--Sales_try'!$D$1</c:f>
              <c:strCache>
                <c:ptCount val="1"/>
                <c:pt idx="0">
                  <c:v>Actual ( 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'HW ( MM)--Sales_try'!$A$2:$B$25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</c:lvl>
              </c:multiLvlStrCache>
            </c:multiLvlStrRef>
          </c:cat>
          <c:val>
            <c:numRef>
              <c:f>'HW ( MM)--Sales_try'!$D$2:$D$25</c:f>
              <c:numCache>
                <c:formatCode>General</c:formatCode>
                <c:ptCount val="24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  <c:pt idx="12">
                  <c:v>544</c:v>
                </c:pt>
                <c:pt idx="13">
                  <c:v>582</c:v>
                </c:pt>
                <c:pt idx="14">
                  <c:v>681</c:v>
                </c:pt>
                <c:pt idx="15">
                  <c:v>557</c:v>
                </c:pt>
                <c:pt idx="16">
                  <c:v>628</c:v>
                </c:pt>
                <c:pt idx="17">
                  <c:v>707</c:v>
                </c:pt>
                <c:pt idx="18">
                  <c:v>773</c:v>
                </c:pt>
                <c:pt idx="19">
                  <c:v>592</c:v>
                </c:pt>
                <c:pt idx="20">
                  <c:v>627</c:v>
                </c:pt>
                <c:pt idx="21">
                  <c:v>725</c:v>
                </c:pt>
                <c:pt idx="22">
                  <c:v>854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0-4724-B716-13B2A452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38024"/>
        <c:axId val="551545568"/>
      </c:lineChart>
      <c:catAx>
        <c:axId val="55153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5568"/>
        <c:crosses val="autoZero"/>
        <c:auto val="1"/>
        <c:lblAlgn val="ctr"/>
        <c:lblOffset val="100"/>
        <c:noMultiLvlLbl val="0"/>
      </c:catAx>
      <c:valAx>
        <c:axId val="55154556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3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Vs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 ( MM)--Sales_try'!$D$1</c:f>
              <c:strCache>
                <c:ptCount val="1"/>
                <c:pt idx="0">
                  <c:v>Actual ( 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'HW ( MM)--Sales_try'!$A$2:$B$29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'HW ( MM)--Sales_try'!$D$2:$D$25</c:f>
              <c:numCache>
                <c:formatCode>General</c:formatCode>
                <c:ptCount val="24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  <c:pt idx="12">
                  <c:v>544</c:v>
                </c:pt>
                <c:pt idx="13">
                  <c:v>582</c:v>
                </c:pt>
                <c:pt idx="14">
                  <c:v>681</c:v>
                </c:pt>
                <c:pt idx="15">
                  <c:v>557</c:v>
                </c:pt>
                <c:pt idx="16">
                  <c:v>628</c:v>
                </c:pt>
                <c:pt idx="17">
                  <c:v>707</c:v>
                </c:pt>
                <c:pt idx="18">
                  <c:v>773</c:v>
                </c:pt>
                <c:pt idx="19">
                  <c:v>592</c:v>
                </c:pt>
                <c:pt idx="20">
                  <c:v>627</c:v>
                </c:pt>
                <c:pt idx="21">
                  <c:v>725</c:v>
                </c:pt>
                <c:pt idx="22">
                  <c:v>854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1-4084-AC2C-E7C2338C0F16}"/>
            </c:ext>
          </c:extLst>
        </c:ser>
        <c:ser>
          <c:idx val="1"/>
          <c:order val="1"/>
          <c:tx>
            <c:strRef>
              <c:f>'HW ( MM)--Sales_try'!$J$1</c:f>
              <c:strCache>
                <c:ptCount val="1"/>
                <c:pt idx="0">
                  <c:v>Forecast  ( Ft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'HW ( MM)--Sales_try'!$A$2:$B$29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  <c:pt idx="12">
                    <c:v>2017</c:v>
                  </c:pt>
                  <c:pt idx="16">
                    <c:v>2018</c:v>
                  </c:pt>
                  <c:pt idx="20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'HW ( MM)--Sales_try'!$J$2:$J$29</c:f>
              <c:numCache>
                <c:formatCode>General</c:formatCode>
                <c:ptCount val="28"/>
                <c:pt idx="4" formatCode="0.00">
                  <c:v>371.28815789473686</c:v>
                </c:pt>
                <c:pt idx="5" formatCode="0.00">
                  <c:v>414.63620709090577</c:v>
                </c:pt>
                <c:pt idx="6" formatCode="0.00">
                  <c:v>471.43180775776329</c:v>
                </c:pt>
                <c:pt idx="7" formatCode="0.00">
                  <c:v>399.29223589857969</c:v>
                </c:pt>
                <c:pt idx="8" formatCode="0.00">
                  <c:v>423.74176189504095</c:v>
                </c:pt>
                <c:pt idx="9" formatCode="0.00">
                  <c:v>505.56059441243661</c:v>
                </c:pt>
                <c:pt idx="10" formatCode="0.00">
                  <c:v>591.16189578039791</c:v>
                </c:pt>
                <c:pt idx="11" formatCode="0.00">
                  <c:v>470.01372496714333</c:v>
                </c:pt>
                <c:pt idx="12" formatCode="0.00">
                  <c:v>519.32319089797238</c:v>
                </c:pt>
                <c:pt idx="13" formatCode="0.00">
                  <c:v>584.12228094564159</c:v>
                </c:pt>
                <c:pt idx="14" formatCode="0.00">
                  <c:v>670.74297824667849</c:v>
                </c:pt>
                <c:pt idx="15" formatCode="0.00">
                  <c:v>547.28348709508737</c:v>
                </c:pt>
                <c:pt idx="16" formatCode="0.00">
                  <c:v>610.22958535813621</c:v>
                </c:pt>
                <c:pt idx="17" formatCode="0.00">
                  <c:v>674.0451837494777</c:v>
                </c:pt>
                <c:pt idx="18" formatCode="0.00">
                  <c:v>808.7165563820032</c:v>
                </c:pt>
                <c:pt idx="19" formatCode="0.00">
                  <c:v>627.43338234885607</c:v>
                </c:pt>
                <c:pt idx="20" formatCode="0.00">
                  <c:v>655.9476521774734</c:v>
                </c:pt>
                <c:pt idx="21" formatCode="0.00">
                  <c:v>679.31140453680734</c:v>
                </c:pt>
                <c:pt idx="22" formatCode="0.00">
                  <c:v>819.51255354907084</c:v>
                </c:pt>
                <c:pt idx="23" formatCode="0.00">
                  <c:v>681.04700529050399</c:v>
                </c:pt>
                <c:pt idx="24" formatCode="0.00">
                  <c:v>728.56986507424244</c:v>
                </c:pt>
                <c:pt idx="25" formatCode="0.00">
                  <c:v>787.94456994159054</c:v>
                </c:pt>
                <c:pt idx="26" formatCode="0.00">
                  <c:v>898.47103534089149</c:v>
                </c:pt>
                <c:pt idx="27" formatCode="0.00">
                  <c:v>717.24723099373909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1-4084-AC2C-E7C2338C0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72376"/>
        <c:axId val="466572704"/>
      </c:lineChart>
      <c:catAx>
        <c:axId val="46657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2704"/>
        <c:crosses val="autoZero"/>
        <c:auto val="1"/>
        <c:lblAlgn val="ctr"/>
        <c:lblOffset val="100"/>
        <c:noMultiLvlLbl val="0"/>
      </c:catAx>
      <c:valAx>
        <c:axId val="466572704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Vs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 (MM) AirPassenger_2'!$C$1</c:f>
              <c:strCache>
                <c:ptCount val="1"/>
                <c:pt idx="0">
                  <c:v>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'HW (MM) AirPassenger_2'!$A$2:$B$149</c:f>
              <c:multiLvlStrCache>
                <c:ptCount val="1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</c:lvl>
                <c:lvl>
                  <c:pt idx="0">
                    <c:v>1949</c:v>
                  </c:pt>
                  <c:pt idx="1">
                    <c:v>1949</c:v>
                  </c:pt>
                  <c:pt idx="2">
                    <c:v>1949</c:v>
                  </c:pt>
                  <c:pt idx="3">
                    <c:v>1949</c:v>
                  </c:pt>
                  <c:pt idx="4">
                    <c:v>1949</c:v>
                  </c:pt>
                  <c:pt idx="5">
                    <c:v>1949</c:v>
                  </c:pt>
                  <c:pt idx="6">
                    <c:v>1949</c:v>
                  </c:pt>
                  <c:pt idx="7">
                    <c:v>1949</c:v>
                  </c:pt>
                  <c:pt idx="8">
                    <c:v>1949</c:v>
                  </c:pt>
                  <c:pt idx="9">
                    <c:v>1949</c:v>
                  </c:pt>
                  <c:pt idx="10">
                    <c:v>1949</c:v>
                  </c:pt>
                  <c:pt idx="11">
                    <c:v>1949</c:v>
                  </c:pt>
                  <c:pt idx="12">
                    <c:v>1950</c:v>
                  </c:pt>
                  <c:pt idx="13">
                    <c:v>1950</c:v>
                  </c:pt>
                  <c:pt idx="14">
                    <c:v>1950</c:v>
                  </c:pt>
                  <c:pt idx="15">
                    <c:v>1950</c:v>
                  </c:pt>
                  <c:pt idx="16">
                    <c:v>1950</c:v>
                  </c:pt>
                  <c:pt idx="17">
                    <c:v>1950</c:v>
                  </c:pt>
                  <c:pt idx="18">
                    <c:v>1950</c:v>
                  </c:pt>
                  <c:pt idx="19">
                    <c:v>1950</c:v>
                  </c:pt>
                  <c:pt idx="20">
                    <c:v>1950</c:v>
                  </c:pt>
                  <c:pt idx="21">
                    <c:v>1950</c:v>
                  </c:pt>
                  <c:pt idx="22">
                    <c:v>1950</c:v>
                  </c:pt>
                  <c:pt idx="23">
                    <c:v>1950</c:v>
                  </c:pt>
                  <c:pt idx="24">
                    <c:v>1951</c:v>
                  </c:pt>
                  <c:pt idx="25">
                    <c:v>1951</c:v>
                  </c:pt>
                  <c:pt idx="26">
                    <c:v>1951</c:v>
                  </c:pt>
                  <c:pt idx="27">
                    <c:v>1951</c:v>
                  </c:pt>
                  <c:pt idx="28">
                    <c:v>1951</c:v>
                  </c:pt>
                  <c:pt idx="29">
                    <c:v>1951</c:v>
                  </c:pt>
                  <c:pt idx="30">
                    <c:v>1951</c:v>
                  </c:pt>
                  <c:pt idx="31">
                    <c:v>1951</c:v>
                  </c:pt>
                  <c:pt idx="32">
                    <c:v>1951</c:v>
                  </c:pt>
                  <c:pt idx="33">
                    <c:v>1951</c:v>
                  </c:pt>
                  <c:pt idx="34">
                    <c:v>1951</c:v>
                  </c:pt>
                  <c:pt idx="35">
                    <c:v>1951</c:v>
                  </c:pt>
                  <c:pt idx="36">
                    <c:v>1952</c:v>
                  </c:pt>
                  <c:pt idx="37">
                    <c:v>1952</c:v>
                  </c:pt>
                  <c:pt idx="38">
                    <c:v>1952</c:v>
                  </c:pt>
                  <c:pt idx="39">
                    <c:v>1952</c:v>
                  </c:pt>
                  <c:pt idx="40">
                    <c:v>1952</c:v>
                  </c:pt>
                  <c:pt idx="41">
                    <c:v>1952</c:v>
                  </c:pt>
                  <c:pt idx="42">
                    <c:v>1952</c:v>
                  </c:pt>
                  <c:pt idx="43">
                    <c:v>1952</c:v>
                  </c:pt>
                  <c:pt idx="44">
                    <c:v>1952</c:v>
                  </c:pt>
                  <c:pt idx="45">
                    <c:v>1952</c:v>
                  </c:pt>
                  <c:pt idx="46">
                    <c:v>1952</c:v>
                  </c:pt>
                  <c:pt idx="47">
                    <c:v>1952</c:v>
                  </c:pt>
                  <c:pt idx="48">
                    <c:v>1953</c:v>
                  </c:pt>
                  <c:pt idx="49">
                    <c:v>1953</c:v>
                  </c:pt>
                  <c:pt idx="50">
                    <c:v>1953</c:v>
                  </c:pt>
                  <c:pt idx="51">
                    <c:v>1953</c:v>
                  </c:pt>
                  <c:pt idx="52">
                    <c:v>1953</c:v>
                  </c:pt>
                  <c:pt idx="53">
                    <c:v>1953</c:v>
                  </c:pt>
                  <c:pt idx="54">
                    <c:v>1953</c:v>
                  </c:pt>
                  <c:pt idx="55">
                    <c:v>1953</c:v>
                  </c:pt>
                  <c:pt idx="56">
                    <c:v>1953</c:v>
                  </c:pt>
                  <c:pt idx="57">
                    <c:v>1953</c:v>
                  </c:pt>
                  <c:pt idx="58">
                    <c:v>1953</c:v>
                  </c:pt>
                  <c:pt idx="59">
                    <c:v>1953</c:v>
                  </c:pt>
                  <c:pt idx="60">
                    <c:v>1954</c:v>
                  </c:pt>
                  <c:pt idx="61">
                    <c:v>1954</c:v>
                  </c:pt>
                  <c:pt idx="62">
                    <c:v>1954</c:v>
                  </c:pt>
                  <c:pt idx="63">
                    <c:v>1954</c:v>
                  </c:pt>
                  <c:pt idx="64">
                    <c:v>1954</c:v>
                  </c:pt>
                  <c:pt idx="65">
                    <c:v>1954</c:v>
                  </c:pt>
                  <c:pt idx="66">
                    <c:v>1954</c:v>
                  </c:pt>
                  <c:pt idx="67">
                    <c:v>1954</c:v>
                  </c:pt>
                  <c:pt idx="68">
                    <c:v>1954</c:v>
                  </c:pt>
                  <c:pt idx="69">
                    <c:v>1954</c:v>
                  </c:pt>
                  <c:pt idx="70">
                    <c:v>1954</c:v>
                  </c:pt>
                  <c:pt idx="71">
                    <c:v>1954</c:v>
                  </c:pt>
                  <c:pt idx="72">
                    <c:v>1955</c:v>
                  </c:pt>
                  <c:pt idx="73">
                    <c:v>1955</c:v>
                  </c:pt>
                  <c:pt idx="74">
                    <c:v>1955</c:v>
                  </c:pt>
                  <c:pt idx="75">
                    <c:v>1955</c:v>
                  </c:pt>
                  <c:pt idx="76">
                    <c:v>1955</c:v>
                  </c:pt>
                  <c:pt idx="77">
                    <c:v>1955</c:v>
                  </c:pt>
                  <c:pt idx="78">
                    <c:v>1955</c:v>
                  </c:pt>
                  <c:pt idx="79">
                    <c:v>1955</c:v>
                  </c:pt>
                  <c:pt idx="80">
                    <c:v>1955</c:v>
                  </c:pt>
                  <c:pt idx="81">
                    <c:v>1955</c:v>
                  </c:pt>
                  <c:pt idx="82">
                    <c:v>1955</c:v>
                  </c:pt>
                  <c:pt idx="83">
                    <c:v>1955</c:v>
                  </c:pt>
                  <c:pt idx="84">
                    <c:v>1956</c:v>
                  </c:pt>
                  <c:pt idx="85">
                    <c:v>1956</c:v>
                  </c:pt>
                  <c:pt idx="86">
                    <c:v>1956</c:v>
                  </c:pt>
                  <c:pt idx="87">
                    <c:v>1956</c:v>
                  </c:pt>
                  <c:pt idx="88">
                    <c:v>1956</c:v>
                  </c:pt>
                  <c:pt idx="89">
                    <c:v>1956</c:v>
                  </c:pt>
                  <c:pt idx="90">
                    <c:v>1956</c:v>
                  </c:pt>
                  <c:pt idx="91">
                    <c:v>1956</c:v>
                  </c:pt>
                  <c:pt idx="92">
                    <c:v>1956</c:v>
                  </c:pt>
                  <c:pt idx="93">
                    <c:v>1956</c:v>
                  </c:pt>
                  <c:pt idx="94">
                    <c:v>1956</c:v>
                  </c:pt>
                  <c:pt idx="95">
                    <c:v>1956</c:v>
                  </c:pt>
                  <c:pt idx="96">
                    <c:v>1957</c:v>
                  </c:pt>
                  <c:pt idx="97">
                    <c:v>1957</c:v>
                  </c:pt>
                  <c:pt idx="98">
                    <c:v>1957</c:v>
                  </c:pt>
                  <c:pt idx="99">
                    <c:v>1957</c:v>
                  </c:pt>
                  <c:pt idx="100">
                    <c:v>1957</c:v>
                  </c:pt>
                  <c:pt idx="101">
                    <c:v>1957</c:v>
                  </c:pt>
                  <c:pt idx="102">
                    <c:v>1957</c:v>
                  </c:pt>
                  <c:pt idx="103">
                    <c:v>1957</c:v>
                  </c:pt>
                  <c:pt idx="104">
                    <c:v>1957</c:v>
                  </c:pt>
                  <c:pt idx="105">
                    <c:v>1957</c:v>
                  </c:pt>
                  <c:pt idx="106">
                    <c:v>1957</c:v>
                  </c:pt>
                  <c:pt idx="107">
                    <c:v>1957</c:v>
                  </c:pt>
                  <c:pt idx="108">
                    <c:v>1958</c:v>
                  </c:pt>
                  <c:pt idx="109">
                    <c:v>1958</c:v>
                  </c:pt>
                  <c:pt idx="110">
                    <c:v>1958</c:v>
                  </c:pt>
                  <c:pt idx="111">
                    <c:v>1958</c:v>
                  </c:pt>
                  <c:pt idx="112">
                    <c:v>1958</c:v>
                  </c:pt>
                  <c:pt idx="113">
                    <c:v>1958</c:v>
                  </c:pt>
                  <c:pt idx="114">
                    <c:v>1958</c:v>
                  </c:pt>
                  <c:pt idx="115">
                    <c:v>1958</c:v>
                  </c:pt>
                  <c:pt idx="116">
                    <c:v>1958</c:v>
                  </c:pt>
                  <c:pt idx="117">
                    <c:v>1958</c:v>
                  </c:pt>
                  <c:pt idx="118">
                    <c:v>1958</c:v>
                  </c:pt>
                  <c:pt idx="119">
                    <c:v>1958</c:v>
                  </c:pt>
                  <c:pt idx="120">
                    <c:v>1959</c:v>
                  </c:pt>
                  <c:pt idx="121">
                    <c:v>1959</c:v>
                  </c:pt>
                  <c:pt idx="122">
                    <c:v>1959</c:v>
                  </c:pt>
                  <c:pt idx="123">
                    <c:v>1959</c:v>
                  </c:pt>
                  <c:pt idx="124">
                    <c:v>1959</c:v>
                  </c:pt>
                  <c:pt idx="125">
                    <c:v>1959</c:v>
                  </c:pt>
                  <c:pt idx="126">
                    <c:v>1959</c:v>
                  </c:pt>
                  <c:pt idx="127">
                    <c:v>1959</c:v>
                  </c:pt>
                  <c:pt idx="128">
                    <c:v>1959</c:v>
                  </c:pt>
                  <c:pt idx="129">
                    <c:v>1959</c:v>
                  </c:pt>
                  <c:pt idx="130">
                    <c:v>1959</c:v>
                  </c:pt>
                  <c:pt idx="131">
                    <c:v>1959</c:v>
                  </c:pt>
                  <c:pt idx="132">
                    <c:v>1960</c:v>
                  </c:pt>
                  <c:pt idx="133">
                    <c:v>1960</c:v>
                  </c:pt>
                  <c:pt idx="134">
                    <c:v>1960</c:v>
                  </c:pt>
                  <c:pt idx="135">
                    <c:v>1960</c:v>
                  </c:pt>
                  <c:pt idx="136">
                    <c:v>1960</c:v>
                  </c:pt>
                  <c:pt idx="137">
                    <c:v>1960</c:v>
                  </c:pt>
                  <c:pt idx="138">
                    <c:v>1960</c:v>
                  </c:pt>
                  <c:pt idx="139">
                    <c:v>1960</c:v>
                  </c:pt>
                  <c:pt idx="140">
                    <c:v>1960</c:v>
                  </c:pt>
                  <c:pt idx="141">
                    <c:v>1960</c:v>
                  </c:pt>
                  <c:pt idx="142">
                    <c:v>1960</c:v>
                  </c:pt>
                  <c:pt idx="143">
                    <c:v>1960</c:v>
                  </c:pt>
                  <c:pt idx="144">
                    <c:v>1961</c:v>
                  </c:pt>
                  <c:pt idx="145">
                    <c:v>1961</c:v>
                  </c:pt>
                  <c:pt idx="146">
                    <c:v>1961</c:v>
                  </c:pt>
                  <c:pt idx="147">
                    <c:v>1961</c:v>
                  </c:pt>
                </c:lvl>
              </c:multiLvlStrCache>
            </c:multiLvlStrRef>
          </c:cat>
          <c:val>
            <c:numRef>
              <c:f>'HW (MM) AirPassenger_2'!$C$2:$C$145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0-431A-9F49-27D33602E6F7}"/>
            </c:ext>
          </c:extLst>
        </c:ser>
        <c:ser>
          <c:idx val="1"/>
          <c:order val="1"/>
          <c:tx>
            <c:strRef>
              <c:f>'HW (MM) AirPassenger_2'!$J$1</c:f>
              <c:strCache>
                <c:ptCount val="1"/>
                <c:pt idx="0">
                  <c:v>Forecast  ( Ft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'HW (MM) AirPassenger_2'!$A$2:$B$149</c:f>
              <c:multiLvlStrCache>
                <c:ptCount val="1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</c:lvl>
                <c:lvl>
                  <c:pt idx="0">
                    <c:v>1949</c:v>
                  </c:pt>
                  <c:pt idx="1">
                    <c:v>1949</c:v>
                  </c:pt>
                  <c:pt idx="2">
                    <c:v>1949</c:v>
                  </c:pt>
                  <c:pt idx="3">
                    <c:v>1949</c:v>
                  </c:pt>
                  <c:pt idx="4">
                    <c:v>1949</c:v>
                  </c:pt>
                  <c:pt idx="5">
                    <c:v>1949</c:v>
                  </c:pt>
                  <c:pt idx="6">
                    <c:v>1949</c:v>
                  </c:pt>
                  <c:pt idx="7">
                    <c:v>1949</c:v>
                  </c:pt>
                  <c:pt idx="8">
                    <c:v>1949</c:v>
                  </c:pt>
                  <c:pt idx="9">
                    <c:v>1949</c:v>
                  </c:pt>
                  <c:pt idx="10">
                    <c:v>1949</c:v>
                  </c:pt>
                  <c:pt idx="11">
                    <c:v>1949</c:v>
                  </c:pt>
                  <c:pt idx="12">
                    <c:v>1950</c:v>
                  </c:pt>
                  <c:pt idx="13">
                    <c:v>1950</c:v>
                  </c:pt>
                  <c:pt idx="14">
                    <c:v>1950</c:v>
                  </c:pt>
                  <c:pt idx="15">
                    <c:v>1950</c:v>
                  </c:pt>
                  <c:pt idx="16">
                    <c:v>1950</c:v>
                  </c:pt>
                  <c:pt idx="17">
                    <c:v>1950</c:v>
                  </c:pt>
                  <c:pt idx="18">
                    <c:v>1950</c:v>
                  </c:pt>
                  <c:pt idx="19">
                    <c:v>1950</c:v>
                  </c:pt>
                  <c:pt idx="20">
                    <c:v>1950</c:v>
                  </c:pt>
                  <c:pt idx="21">
                    <c:v>1950</c:v>
                  </c:pt>
                  <c:pt idx="22">
                    <c:v>1950</c:v>
                  </c:pt>
                  <c:pt idx="23">
                    <c:v>1950</c:v>
                  </c:pt>
                  <c:pt idx="24">
                    <c:v>1951</c:v>
                  </c:pt>
                  <c:pt idx="25">
                    <c:v>1951</c:v>
                  </c:pt>
                  <c:pt idx="26">
                    <c:v>1951</c:v>
                  </c:pt>
                  <c:pt idx="27">
                    <c:v>1951</c:v>
                  </c:pt>
                  <c:pt idx="28">
                    <c:v>1951</c:v>
                  </c:pt>
                  <c:pt idx="29">
                    <c:v>1951</c:v>
                  </c:pt>
                  <c:pt idx="30">
                    <c:v>1951</c:v>
                  </c:pt>
                  <c:pt idx="31">
                    <c:v>1951</c:v>
                  </c:pt>
                  <c:pt idx="32">
                    <c:v>1951</c:v>
                  </c:pt>
                  <c:pt idx="33">
                    <c:v>1951</c:v>
                  </c:pt>
                  <c:pt idx="34">
                    <c:v>1951</c:v>
                  </c:pt>
                  <c:pt idx="35">
                    <c:v>1951</c:v>
                  </c:pt>
                  <c:pt idx="36">
                    <c:v>1952</c:v>
                  </c:pt>
                  <c:pt idx="37">
                    <c:v>1952</c:v>
                  </c:pt>
                  <c:pt idx="38">
                    <c:v>1952</c:v>
                  </c:pt>
                  <c:pt idx="39">
                    <c:v>1952</c:v>
                  </c:pt>
                  <c:pt idx="40">
                    <c:v>1952</c:v>
                  </c:pt>
                  <c:pt idx="41">
                    <c:v>1952</c:v>
                  </c:pt>
                  <c:pt idx="42">
                    <c:v>1952</c:v>
                  </c:pt>
                  <c:pt idx="43">
                    <c:v>1952</c:v>
                  </c:pt>
                  <c:pt idx="44">
                    <c:v>1952</c:v>
                  </c:pt>
                  <c:pt idx="45">
                    <c:v>1952</c:v>
                  </c:pt>
                  <c:pt idx="46">
                    <c:v>1952</c:v>
                  </c:pt>
                  <c:pt idx="47">
                    <c:v>1952</c:v>
                  </c:pt>
                  <c:pt idx="48">
                    <c:v>1953</c:v>
                  </c:pt>
                  <c:pt idx="49">
                    <c:v>1953</c:v>
                  </c:pt>
                  <c:pt idx="50">
                    <c:v>1953</c:v>
                  </c:pt>
                  <c:pt idx="51">
                    <c:v>1953</c:v>
                  </c:pt>
                  <c:pt idx="52">
                    <c:v>1953</c:v>
                  </c:pt>
                  <c:pt idx="53">
                    <c:v>1953</c:v>
                  </c:pt>
                  <c:pt idx="54">
                    <c:v>1953</c:v>
                  </c:pt>
                  <c:pt idx="55">
                    <c:v>1953</c:v>
                  </c:pt>
                  <c:pt idx="56">
                    <c:v>1953</c:v>
                  </c:pt>
                  <c:pt idx="57">
                    <c:v>1953</c:v>
                  </c:pt>
                  <c:pt idx="58">
                    <c:v>1953</c:v>
                  </c:pt>
                  <c:pt idx="59">
                    <c:v>1953</c:v>
                  </c:pt>
                  <c:pt idx="60">
                    <c:v>1954</c:v>
                  </c:pt>
                  <c:pt idx="61">
                    <c:v>1954</c:v>
                  </c:pt>
                  <c:pt idx="62">
                    <c:v>1954</c:v>
                  </c:pt>
                  <c:pt idx="63">
                    <c:v>1954</c:v>
                  </c:pt>
                  <c:pt idx="64">
                    <c:v>1954</c:v>
                  </c:pt>
                  <c:pt idx="65">
                    <c:v>1954</c:v>
                  </c:pt>
                  <c:pt idx="66">
                    <c:v>1954</c:v>
                  </c:pt>
                  <c:pt idx="67">
                    <c:v>1954</c:v>
                  </c:pt>
                  <c:pt idx="68">
                    <c:v>1954</c:v>
                  </c:pt>
                  <c:pt idx="69">
                    <c:v>1954</c:v>
                  </c:pt>
                  <c:pt idx="70">
                    <c:v>1954</c:v>
                  </c:pt>
                  <c:pt idx="71">
                    <c:v>1954</c:v>
                  </c:pt>
                  <c:pt idx="72">
                    <c:v>1955</c:v>
                  </c:pt>
                  <c:pt idx="73">
                    <c:v>1955</c:v>
                  </c:pt>
                  <c:pt idx="74">
                    <c:v>1955</c:v>
                  </c:pt>
                  <c:pt idx="75">
                    <c:v>1955</c:v>
                  </c:pt>
                  <c:pt idx="76">
                    <c:v>1955</c:v>
                  </c:pt>
                  <c:pt idx="77">
                    <c:v>1955</c:v>
                  </c:pt>
                  <c:pt idx="78">
                    <c:v>1955</c:v>
                  </c:pt>
                  <c:pt idx="79">
                    <c:v>1955</c:v>
                  </c:pt>
                  <c:pt idx="80">
                    <c:v>1955</c:v>
                  </c:pt>
                  <c:pt idx="81">
                    <c:v>1955</c:v>
                  </c:pt>
                  <c:pt idx="82">
                    <c:v>1955</c:v>
                  </c:pt>
                  <c:pt idx="83">
                    <c:v>1955</c:v>
                  </c:pt>
                  <c:pt idx="84">
                    <c:v>1956</c:v>
                  </c:pt>
                  <c:pt idx="85">
                    <c:v>1956</c:v>
                  </c:pt>
                  <c:pt idx="86">
                    <c:v>1956</c:v>
                  </c:pt>
                  <c:pt idx="87">
                    <c:v>1956</c:v>
                  </c:pt>
                  <c:pt idx="88">
                    <c:v>1956</c:v>
                  </c:pt>
                  <c:pt idx="89">
                    <c:v>1956</c:v>
                  </c:pt>
                  <c:pt idx="90">
                    <c:v>1956</c:v>
                  </c:pt>
                  <c:pt idx="91">
                    <c:v>1956</c:v>
                  </c:pt>
                  <c:pt idx="92">
                    <c:v>1956</c:v>
                  </c:pt>
                  <c:pt idx="93">
                    <c:v>1956</c:v>
                  </c:pt>
                  <c:pt idx="94">
                    <c:v>1956</c:v>
                  </c:pt>
                  <c:pt idx="95">
                    <c:v>1956</c:v>
                  </c:pt>
                  <c:pt idx="96">
                    <c:v>1957</c:v>
                  </c:pt>
                  <c:pt idx="97">
                    <c:v>1957</c:v>
                  </c:pt>
                  <c:pt idx="98">
                    <c:v>1957</c:v>
                  </c:pt>
                  <c:pt idx="99">
                    <c:v>1957</c:v>
                  </c:pt>
                  <c:pt idx="100">
                    <c:v>1957</c:v>
                  </c:pt>
                  <c:pt idx="101">
                    <c:v>1957</c:v>
                  </c:pt>
                  <c:pt idx="102">
                    <c:v>1957</c:v>
                  </c:pt>
                  <c:pt idx="103">
                    <c:v>1957</c:v>
                  </c:pt>
                  <c:pt idx="104">
                    <c:v>1957</c:v>
                  </c:pt>
                  <c:pt idx="105">
                    <c:v>1957</c:v>
                  </c:pt>
                  <c:pt idx="106">
                    <c:v>1957</c:v>
                  </c:pt>
                  <c:pt idx="107">
                    <c:v>1957</c:v>
                  </c:pt>
                  <c:pt idx="108">
                    <c:v>1958</c:v>
                  </c:pt>
                  <c:pt idx="109">
                    <c:v>1958</c:v>
                  </c:pt>
                  <c:pt idx="110">
                    <c:v>1958</c:v>
                  </c:pt>
                  <c:pt idx="111">
                    <c:v>1958</c:v>
                  </c:pt>
                  <c:pt idx="112">
                    <c:v>1958</c:v>
                  </c:pt>
                  <c:pt idx="113">
                    <c:v>1958</c:v>
                  </c:pt>
                  <c:pt idx="114">
                    <c:v>1958</c:v>
                  </c:pt>
                  <c:pt idx="115">
                    <c:v>1958</c:v>
                  </c:pt>
                  <c:pt idx="116">
                    <c:v>1958</c:v>
                  </c:pt>
                  <c:pt idx="117">
                    <c:v>1958</c:v>
                  </c:pt>
                  <c:pt idx="118">
                    <c:v>1958</c:v>
                  </c:pt>
                  <c:pt idx="119">
                    <c:v>1958</c:v>
                  </c:pt>
                  <c:pt idx="120">
                    <c:v>1959</c:v>
                  </c:pt>
                  <c:pt idx="121">
                    <c:v>1959</c:v>
                  </c:pt>
                  <c:pt idx="122">
                    <c:v>1959</c:v>
                  </c:pt>
                  <c:pt idx="123">
                    <c:v>1959</c:v>
                  </c:pt>
                  <c:pt idx="124">
                    <c:v>1959</c:v>
                  </c:pt>
                  <c:pt idx="125">
                    <c:v>1959</c:v>
                  </c:pt>
                  <c:pt idx="126">
                    <c:v>1959</c:v>
                  </c:pt>
                  <c:pt idx="127">
                    <c:v>1959</c:v>
                  </c:pt>
                  <c:pt idx="128">
                    <c:v>1959</c:v>
                  </c:pt>
                  <c:pt idx="129">
                    <c:v>1959</c:v>
                  </c:pt>
                  <c:pt idx="130">
                    <c:v>1959</c:v>
                  </c:pt>
                  <c:pt idx="131">
                    <c:v>1959</c:v>
                  </c:pt>
                  <c:pt idx="132">
                    <c:v>1960</c:v>
                  </c:pt>
                  <c:pt idx="133">
                    <c:v>1960</c:v>
                  </c:pt>
                  <c:pt idx="134">
                    <c:v>1960</c:v>
                  </c:pt>
                  <c:pt idx="135">
                    <c:v>1960</c:v>
                  </c:pt>
                  <c:pt idx="136">
                    <c:v>1960</c:v>
                  </c:pt>
                  <c:pt idx="137">
                    <c:v>1960</c:v>
                  </c:pt>
                  <c:pt idx="138">
                    <c:v>1960</c:v>
                  </c:pt>
                  <c:pt idx="139">
                    <c:v>1960</c:v>
                  </c:pt>
                  <c:pt idx="140">
                    <c:v>1960</c:v>
                  </c:pt>
                  <c:pt idx="141">
                    <c:v>1960</c:v>
                  </c:pt>
                  <c:pt idx="142">
                    <c:v>1960</c:v>
                  </c:pt>
                  <c:pt idx="143">
                    <c:v>1960</c:v>
                  </c:pt>
                  <c:pt idx="144">
                    <c:v>1961</c:v>
                  </c:pt>
                  <c:pt idx="145">
                    <c:v>1961</c:v>
                  </c:pt>
                  <c:pt idx="146">
                    <c:v>1961</c:v>
                  </c:pt>
                  <c:pt idx="147">
                    <c:v>1961</c:v>
                  </c:pt>
                </c:lvl>
              </c:multiLvlStrCache>
            </c:multiLvlStrRef>
          </c:cat>
          <c:val>
            <c:numRef>
              <c:f>'HW (MM) AirPassenger_2'!$J$2:$J$149</c:f>
              <c:numCache>
                <c:formatCode>General</c:formatCode>
                <c:ptCount val="148"/>
                <c:pt idx="12" formatCode="0.00">
                  <c:v>112.95789473684211</c:v>
                </c:pt>
                <c:pt idx="13" formatCode="0.00">
                  <c:v>120.63048363906015</c:v>
                </c:pt>
                <c:pt idx="14" formatCode="0.00">
                  <c:v>137.80189719346149</c:v>
                </c:pt>
                <c:pt idx="15" formatCode="0.00">
                  <c:v>136.73629396403282</c:v>
                </c:pt>
                <c:pt idx="16" formatCode="0.00">
                  <c:v>128.92367658796954</c:v>
                </c:pt>
                <c:pt idx="17" formatCode="0.00">
                  <c:v>143.8400462325485</c:v>
                </c:pt>
                <c:pt idx="18" formatCode="0.00">
                  <c:v>160.62229659191885</c:v>
                </c:pt>
                <c:pt idx="19" formatCode="0.00">
                  <c:v>164.6626055712627</c:v>
                </c:pt>
                <c:pt idx="20" formatCode="0.00">
                  <c:v>154.04549647813312</c:v>
                </c:pt>
                <c:pt idx="21" formatCode="0.00">
                  <c:v>136.98401976631138</c:v>
                </c:pt>
                <c:pt idx="22" formatCode="0.00">
                  <c:v>119.81111867742615</c:v>
                </c:pt>
                <c:pt idx="23" formatCode="0.00">
                  <c:v>135.25886274910746</c:v>
                </c:pt>
                <c:pt idx="24" formatCode="0.00">
                  <c:v>132.22312912911849</c:v>
                </c:pt>
                <c:pt idx="25" formatCode="0.00">
                  <c:v>146.66693957292256</c:v>
                </c:pt>
                <c:pt idx="26" formatCode="0.00">
                  <c:v>164.48225498545494</c:v>
                </c:pt>
                <c:pt idx="27" formatCode="0.00">
                  <c:v>162.27918389016341</c:v>
                </c:pt>
                <c:pt idx="28" formatCode="0.00">
                  <c:v>152.11010332696424</c:v>
                </c:pt>
                <c:pt idx="29" formatCode="0.00">
                  <c:v>185.20437971469687</c:v>
                </c:pt>
                <c:pt idx="30" formatCode="0.00">
                  <c:v>205.6122565921963</c:v>
                </c:pt>
                <c:pt idx="31" formatCode="0.00">
                  <c:v>202.58867703862279</c:v>
                </c:pt>
                <c:pt idx="32" formatCode="0.00">
                  <c:v>186.24049910034836</c:v>
                </c:pt>
                <c:pt idx="33" formatCode="0.00">
                  <c:v>158.35278202291187</c:v>
                </c:pt>
                <c:pt idx="34" formatCode="0.00">
                  <c:v>138.78189284577704</c:v>
                </c:pt>
                <c:pt idx="35" formatCode="0.00">
                  <c:v>170.05971994268032</c:v>
                </c:pt>
                <c:pt idx="36" formatCode="0.00">
                  <c:v>169.6917044568398</c:v>
                </c:pt>
                <c:pt idx="37" formatCode="0.00">
                  <c:v>175.93496003271221</c:v>
                </c:pt>
                <c:pt idx="38" formatCode="0.00">
                  <c:v>204.4464248044475</c:v>
                </c:pt>
                <c:pt idx="39" formatCode="0.00">
                  <c:v>185.21075543568676</c:v>
                </c:pt>
                <c:pt idx="40" formatCode="0.00">
                  <c:v>185.33940940621778</c:v>
                </c:pt>
                <c:pt idx="41" formatCode="0.00">
                  <c:v>195.7200574840605</c:v>
                </c:pt>
                <c:pt idx="42" formatCode="0.00">
                  <c:v>227.36333027099647</c:v>
                </c:pt>
                <c:pt idx="43" formatCode="0.00">
                  <c:v>228.77542871464431</c:v>
                </c:pt>
                <c:pt idx="44" formatCode="0.00">
                  <c:v>215.49949412729467</c:v>
                </c:pt>
                <c:pt idx="45" formatCode="0.00">
                  <c:v>186.34449075236324</c:v>
                </c:pt>
                <c:pt idx="46" formatCode="0.00">
                  <c:v>166.27147757234013</c:v>
                </c:pt>
                <c:pt idx="47" formatCode="0.00">
                  <c:v>193.4048238978649</c:v>
                </c:pt>
                <c:pt idx="48" formatCode="0.00">
                  <c:v>198.37568313655984</c:v>
                </c:pt>
                <c:pt idx="49" formatCode="0.00">
                  <c:v>206.49181865847075</c:v>
                </c:pt>
                <c:pt idx="50" formatCode="0.00">
                  <c:v>223.29224176336464</c:v>
                </c:pt>
                <c:pt idx="51" formatCode="0.00">
                  <c:v>213.3395886285038</c:v>
                </c:pt>
                <c:pt idx="52" formatCode="0.00">
                  <c:v>222.4869547126975</c:v>
                </c:pt>
                <c:pt idx="53" formatCode="0.00">
                  <c:v>256.56081904365988</c:v>
                </c:pt>
                <c:pt idx="54" formatCode="0.00">
                  <c:v>268.19259038684061</c:v>
                </c:pt>
                <c:pt idx="55" formatCode="0.00">
                  <c:v>275.41593779707864</c:v>
                </c:pt>
                <c:pt idx="56" formatCode="0.00">
                  <c:v>240.82993793593764</c:v>
                </c:pt>
                <c:pt idx="57" formatCode="0.00">
                  <c:v>216.40112625796843</c:v>
                </c:pt>
                <c:pt idx="58" formatCode="0.00">
                  <c:v>191.40704546499953</c:v>
                </c:pt>
                <c:pt idx="59" formatCode="0.00">
                  <c:v>212.4760880429281</c:v>
                </c:pt>
                <c:pt idx="60" formatCode="0.00">
                  <c:v>212.10558146497084</c:v>
                </c:pt>
                <c:pt idx="61" formatCode="0.00">
                  <c:v>213.27197866029249</c:v>
                </c:pt>
                <c:pt idx="62" formatCode="0.00">
                  <c:v>241.55396070637914</c:v>
                </c:pt>
                <c:pt idx="63" formatCode="0.00">
                  <c:v>230.72539558018002</c:v>
                </c:pt>
                <c:pt idx="64" formatCode="0.00">
                  <c:v>222.57273292625095</c:v>
                </c:pt>
                <c:pt idx="65" formatCode="0.00">
                  <c:v>244.15623073701798</c:v>
                </c:pt>
                <c:pt idx="66" formatCode="0.00">
                  <c:v>270.69968216142138</c:v>
                </c:pt>
                <c:pt idx="67" formatCode="0.00">
                  <c:v>288.2547184842266</c:v>
                </c:pt>
                <c:pt idx="68" formatCode="0.00">
                  <c:v>253.17563711135796</c:v>
                </c:pt>
                <c:pt idx="69" formatCode="0.00">
                  <c:v>228.37530062354719</c:v>
                </c:pt>
                <c:pt idx="70" formatCode="0.00">
                  <c:v>198.76612502681576</c:v>
                </c:pt>
                <c:pt idx="71" formatCode="0.00">
                  <c:v>226.44457568612</c:v>
                </c:pt>
                <c:pt idx="72" formatCode="0.00">
                  <c:v>232.66479588968085</c:v>
                </c:pt>
                <c:pt idx="73" formatCode="0.00">
                  <c:v>226.25186238563734</c:v>
                </c:pt>
                <c:pt idx="74" formatCode="0.00">
                  <c:v>284.9627413618872</c:v>
                </c:pt>
                <c:pt idx="75" formatCode="0.00">
                  <c:v>271.81324568157368</c:v>
                </c:pt>
                <c:pt idx="76" formatCode="0.00">
                  <c:v>274.243339394396</c:v>
                </c:pt>
                <c:pt idx="77" formatCode="0.00">
                  <c:v>300.90702493170483</c:v>
                </c:pt>
                <c:pt idx="78" formatCode="0.00">
                  <c:v>337.25461711293548</c:v>
                </c:pt>
                <c:pt idx="79" formatCode="0.00">
                  <c:v>335.76972286558743</c:v>
                </c:pt>
                <c:pt idx="80" formatCode="0.00">
                  <c:v>297.66324099268388</c:v>
                </c:pt>
                <c:pt idx="81" formatCode="0.00">
                  <c:v>267.17596747773786</c:v>
                </c:pt>
                <c:pt idx="82" formatCode="0.00">
                  <c:v>236.92825352621787</c:v>
                </c:pt>
                <c:pt idx="83" formatCode="0.00">
                  <c:v>266.90976406360505</c:v>
                </c:pt>
                <c:pt idx="84" formatCode="0.00">
                  <c:v>281.70810057680967</c:v>
                </c:pt>
                <c:pt idx="85" formatCode="0.00">
                  <c:v>270.0561155739054</c:v>
                </c:pt>
                <c:pt idx="86" formatCode="0.00">
                  <c:v>320.24040801327891</c:v>
                </c:pt>
                <c:pt idx="87" formatCode="0.00">
                  <c:v>321.27680290409188</c:v>
                </c:pt>
                <c:pt idx="88" formatCode="0.00">
                  <c:v>321.99856513489397</c:v>
                </c:pt>
                <c:pt idx="89" formatCode="0.00">
                  <c:v>367.85241363679211</c:v>
                </c:pt>
                <c:pt idx="90" formatCode="0.00">
                  <c:v>417.05441999063896</c:v>
                </c:pt>
                <c:pt idx="91" formatCode="0.00">
                  <c:v>394.44406539109838</c:v>
                </c:pt>
                <c:pt idx="92" formatCode="0.00">
                  <c:v>352.15432812999956</c:v>
                </c:pt>
                <c:pt idx="93" formatCode="0.00">
                  <c:v>308.32307778095185</c:v>
                </c:pt>
                <c:pt idx="94" formatCode="0.00">
                  <c:v>266.60720332395198</c:v>
                </c:pt>
                <c:pt idx="95" formatCode="0.00">
                  <c:v>309.33782672280876</c:v>
                </c:pt>
                <c:pt idx="96" formatCode="0.00">
                  <c:v>315.0989440821254</c:v>
                </c:pt>
                <c:pt idx="97" formatCode="0.00">
                  <c:v>304.43983960705157</c:v>
                </c:pt>
                <c:pt idx="98" formatCode="0.00">
                  <c:v>349.11171214101404</c:v>
                </c:pt>
                <c:pt idx="99" formatCode="0.00">
                  <c:v>349.3314243692526</c:v>
                </c:pt>
                <c:pt idx="100" formatCode="0.00">
                  <c:v>355.09025129622597</c:v>
                </c:pt>
                <c:pt idx="101" formatCode="0.00">
                  <c:v>414.34862729162802</c:v>
                </c:pt>
                <c:pt idx="102" formatCode="0.00">
                  <c:v>462.0398039993562</c:v>
                </c:pt>
                <c:pt idx="103" formatCode="0.00">
                  <c:v>448.89770637867895</c:v>
                </c:pt>
                <c:pt idx="104" formatCode="0.00">
                  <c:v>397.53899176182762</c:v>
                </c:pt>
                <c:pt idx="105" formatCode="0.00">
                  <c:v>345.35615985281925</c:v>
                </c:pt>
                <c:pt idx="106" formatCode="0.00">
                  <c:v>304.16016535703642</c:v>
                </c:pt>
                <c:pt idx="107" formatCode="0.00">
                  <c:v>345.53820500136089</c:v>
                </c:pt>
                <c:pt idx="108" formatCode="0.00">
                  <c:v>352.5679864750611</c:v>
                </c:pt>
                <c:pt idx="109" formatCode="0.00">
                  <c:v>334.79683253259162</c:v>
                </c:pt>
                <c:pt idx="110" formatCode="0.00">
                  <c:v>386.95502303432943</c:v>
                </c:pt>
                <c:pt idx="111" formatCode="0.00">
                  <c:v>372.21922366843512</c:v>
                </c:pt>
                <c:pt idx="112" formatCode="0.00">
                  <c:v>372.12273045789289</c:v>
                </c:pt>
                <c:pt idx="113" formatCode="0.00">
                  <c:v>435.52893564971947</c:v>
                </c:pt>
                <c:pt idx="114" formatCode="0.00">
                  <c:v>478.43304130645697</c:v>
                </c:pt>
                <c:pt idx="115" formatCode="0.00">
                  <c:v>476.2881223949795</c:v>
                </c:pt>
                <c:pt idx="116" formatCode="0.00">
                  <c:v>417.18691111798859</c:v>
                </c:pt>
                <c:pt idx="117" formatCode="0.00">
                  <c:v>354.39481415605547</c:v>
                </c:pt>
                <c:pt idx="118" formatCode="0.00">
                  <c:v>311.82969508526003</c:v>
                </c:pt>
                <c:pt idx="119" formatCode="0.00">
                  <c:v>345.92145887136064</c:v>
                </c:pt>
                <c:pt idx="120" formatCode="0.00">
                  <c:v>350.59674147868873</c:v>
                </c:pt>
                <c:pt idx="121" formatCode="0.00">
                  <c:v>334.96279720446665</c:v>
                </c:pt>
                <c:pt idx="122" formatCode="0.00">
                  <c:v>390.66574437759476</c:v>
                </c:pt>
                <c:pt idx="123" formatCode="0.00">
                  <c:v>386.4922636294321</c:v>
                </c:pt>
                <c:pt idx="124" formatCode="0.00">
                  <c:v>407.13488943708086</c:v>
                </c:pt>
                <c:pt idx="125" formatCode="0.00">
                  <c:v>491.61679442121061</c:v>
                </c:pt>
                <c:pt idx="126" formatCode="0.00">
                  <c:v>543.79750424309384</c:v>
                </c:pt>
                <c:pt idx="127" formatCode="0.00">
                  <c:v>549.94704528376667</c:v>
                </c:pt>
                <c:pt idx="128" formatCode="0.00">
                  <c:v>449.63556471752344</c:v>
                </c:pt>
                <c:pt idx="129" formatCode="0.00">
                  <c:v>399.89650075818173</c:v>
                </c:pt>
                <c:pt idx="130" formatCode="0.00">
                  <c:v>348.37179822221594</c:v>
                </c:pt>
                <c:pt idx="131" formatCode="0.00">
                  <c:v>386.61372242822011</c:v>
                </c:pt>
                <c:pt idx="132" formatCode="0.00">
                  <c:v>413.87123955718505</c:v>
                </c:pt>
                <c:pt idx="133" formatCode="0.00">
                  <c:v>392.41110505851805</c:v>
                </c:pt>
                <c:pt idx="134" formatCode="0.00">
                  <c:v>460.13307102993599</c:v>
                </c:pt>
                <c:pt idx="135" formatCode="0.00">
                  <c:v>435.40103036528564</c:v>
                </c:pt>
                <c:pt idx="136" formatCode="0.00">
                  <c:v>465.08174828034936</c:v>
                </c:pt>
                <c:pt idx="137" formatCode="0.00">
                  <c:v>534.34608582410817</c:v>
                </c:pt>
                <c:pt idx="138" formatCode="0.00">
                  <c:v>616.73657808156997</c:v>
                </c:pt>
                <c:pt idx="139" formatCode="0.00">
                  <c:v>627.55695686871502</c:v>
                </c:pt>
                <c:pt idx="140" formatCode="0.00">
                  <c:v>510.13911388957177</c:v>
                </c:pt>
                <c:pt idx="141" formatCode="0.00">
                  <c:v>446.1631379843501</c:v>
                </c:pt>
                <c:pt idx="142" formatCode="0.00">
                  <c:v>395.44519578227391</c:v>
                </c:pt>
                <c:pt idx="143" formatCode="0.00">
                  <c:v>434.55741361185238</c:v>
                </c:pt>
                <c:pt idx="144" formatCode="0.00">
                  <c:v>447.03399315688881</c:v>
                </c:pt>
                <c:pt idx="145" formatCode="0.00">
                  <c:v>419.68215105732753</c:v>
                </c:pt>
                <c:pt idx="146" formatCode="0.00">
                  <c:v>464.8239004985175</c:v>
                </c:pt>
                <c:pt idx="147" formatCode="0.00">
                  <c:v>496.03362713485558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0-431A-9F49-27D33602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65048"/>
        <c:axId val="541568656"/>
      </c:lineChart>
      <c:catAx>
        <c:axId val="54156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8656"/>
        <c:crosses val="autoZero"/>
        <c:auto val="1"/>
        <c:lblAlgn val="ctr"/>
        <c:lblOffset val="100"/>
        <c:noMultiLvlLbl val="0"/>
      </c:catAx>
      <c:valAx>
        <c:axId val="5415686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Vs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 (MM) AirPassenger'!$C$1</c:f>
              <c:strCache>
                <c:ptCount val="1"/>
                <c:pt idx="0">
                  <c:v>Passengers ( Y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'HW (MM) AirPassenger'!$A$2:$B$157</c:f>
              <c:multiLvlStrCache>
                <c:ptCount val="15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Aug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</c:lvl>
                <c:lvl>
                  <c:pt idx="0">
                    <c:v>1949</c:v>
                  </c:pt>
                  <c:pt idx="1">
                    <c:v>1949</c:v>
                  </c:pt>
                  <c:pt idx="2">
                    <c:v>1949</c:v>
                  </c:pt>
                  <c:pt idx="3">
                    <c:v>1949</c:v>
                  </c:pt>
                  <c:pt idx="4">
                    <c:v>1949</c:v>
                  </c:pt>
                  <c:pt idx="5">
                    <c:v>1949</c:v>
                  </c:pt>
                  <c:pt idx="6">
                    <c:v>1949</c:v>
                  </c:pt>
                  <c:pt idx="7">
                    <c:v>1949</c:v>
                  </c:pt>
                  <c:pt idx="8">
                    <c:v>1949</c:v>
                  </c:pt>
                  <c:pt idx="9">
                    <c:v>1949</c:v>
                  </c:pt>
                  <c:pt idx="10">
                    <c:v>1949</c:v>
                  </c:pt>
                  <c:pt idx="11">
                    <c:v>1949</c:v>
                  </c:pt>
                  <c:pt idx="12">
                    <c:v>1950</c:v>
                  </c:pt>
                  <c:pt idx="13">
                    <c:v>1950</c:v>
                  </c:pt>
                  <c:pt idx="14">
                    <c:v>1950</c:v>
                  </c:pt>
                  <c:pt idx="15">
                    <c:v>1950</c:v>
                  </c:pt>
                  <c:pt idx="16">
                    <c:v>1950</c:v>
                  </c:pt>
                  <c:pt idx="17">
                    <c:v>1950</c:v>
                  </c:pt>
                  <c:pt idx="18">
                    <c:v>1950</c:v>
                  </c:pt>
                  <c:pt idx="19">
                    <c:v>1950</c:v>
                  </c:pt>
                  <c:pt idx="20">
                    <c:v>1950</c:v>
                  </c:pt>
                  <c:pt idx="21">
                    <c:v>1950</c:v>
                  </c:pt>
                  <c:pt idx="22">
                    <c:v>1950</c:v>
                  </c:pt>
                  <c:pt idx="23">
                    <c:v>1950</c:v>
                  </c:pt>
                  <c:pt idx="24">
                    <c:v>1951</c:v>
                  </c:pt>
                  <c:pt idx="25">
                    <c:v>1951</c:v>
                  </c:pt>
                  <c:pt idx="26">
                    <c:v>1951</c:v>
                  </c:pt>
                  <c:pt idx="27">
                    <c:v>1951</c:v>
                  </c:pt>
                  <c:pt idx="28">
                    <c:v>1951</c:v>
                  </c:pt>
                  <c:pt idx="29">
                    <c:v>1951</c:v>
                  </c:pt>
                  <c:pt idx="30">
                    <c:v>1951</c:v>
                  </c:pt>
                  <c:pt idx="31">
                    <c:v>1951</c:v>
                  </c:pt>
                  <c:pt idx="32">
                    <c:v>1951</c:v>
                  </c:pt>
                  <c:pt idx="33">
                    <c:v>1951</c:v>
                  </c:pt>
                  <c:pt idx="34">
                    <c:v>1951</c:v>
                  </c:pt>
                  <c:pt idx="35">
                    <c:v>1951</c:v>
                  </c:pt>
                  <c:pt idx="36">
                    <c:v>1952</c:v>
                  </c:pt>
                  <c:pt idx="37">
                    <c:v>1952</c:v>
                  </c:pt>
                  <c:pt idx="38">
                    <c:v>1952</c:v>
                  </c:pt>
                  <c:pt idx="39">
                    <c:v>1952</c:v>
                  </c:pt>
                  <c:pt idx="40">
                    <c:v>1952</c:v>
                  </c:pt>
                  <c:pt idx="41">
                    <c:v>1952</c:v>
                  </c:pt>
                  <c:pt idx="42">
                    <c:v>1952</c:v>
                  </c:pt>
                  <c:pt idx="43">
                    <c:v>1952</c:v>
                  </c:pt>
                  <c:pt idx="44">
                    <c:v>1952</c:v>
                  </c:pt>
                  <c:pt idx="45">
                    <c:v>1952</c:v>
                  </c:pt>
                  <c:pt idx="46">
                    <c:v>1952</c:v>
                  </c:pt>
                  <c:pt idx="47">
                    <c:v>1952</c:v>
                  </c:pt>
                  <c:pt idx="48">
                    <c:v>1953</c:v>
                  </c:pt>
                  <c:pt idx="49">
                    <c:v>1953</c:v>
                  </c:pt>
                  <c:pt idx="50">
                    <c:v>1953</c:v>
                  </c:pt>
                  <c:pt idx="51">
                    <c:v>1953</c:v>
                  </c:pt>
                  <c:pt idx="52">
                    <c:v>1953</c:v>
                  </c:pt>
                  <c:pt idx="53">
                    <c:v>1953</c:v>
                  </c:pt>
                  <c:pt idx="54">
                    <c:v>1953</c:v>
                  </c:pt>
                  <c:pt idx="55">
                    <c:v>1953</c:v>
                  </c:pt>
                  <c:pt idx="56">
                    <c:v>1953</c:v>
                  </c:pt>
                  <c:pt idx="57">
                    <c:v>1953</c:v>
                  </c:pt>
                  <c:pt idx="58">
                    <c:v>1953</c:v>
                  </c:pt>
                  <c:pt idx="59">
                    <c:v>1953</c:v>
                  </c:pt>
                  <c:pt idx="60">
                    <c:v>1954</c:v>
                  </c:pt>
                  <c:pt idx="61">
                    <c:v>1954</c:v>
                  </c:pt>
                  <c:pt idx="62">
                    <c:v>1954</c:v>
                  </c:pt>
                  <c:pt idx="63">
                    <c:v>1954</c:v>
                  </c:pt>
                  <c:pt idx="64">
                    <c:v>1954</c:v>
                  </c:pt>
                  <c:pt idx="65">
                    <c:v>1954</c:v>
                  </c:pt>
                  <c:pt idx="66">
                    <c:v>1954</c:v>
                  </c:pt>
                  <c:pt idx="67">
                    <c:v>1954</c:v>
                  </c:pt>
                  <c:pt idx="68">
                    <c:v>1954</c:v>
                  </c:pt>
                  <c:pt idx="69">
                    <c:v>1954</c:v>
                  </c:pt>
                  <c:pt idx="70">
                    <c:v>1954</c:v>
                  </c:pt>
                  <c:pt idx="71">
                    <c:v>1954</c:v>
                  </c:pt>
                  <c:pt idx="72">
                    <c:v>1955</c:v>
                  </c:pt>
                  <c:pt idx="73">
                    <c:v>1955</c:v>
                  </c:pt>
                  <c:pt idx="74">
                    <c:v>1955</c:v>
                  </c:pt>
                  <c:pt idx="75">
                    <c:v>1955</c:v>
                  </c:pt>
                  <c:pt idx="76">
                    <c:v>1955</c:v>
                  </c:pt>
                  <c:pt idx="77">
                    <c:v>1955</c:v>
                  </c:pt>
                  <c:pt idx="78">
                    <c:v>1955</c:v>
                  </c:pt>
                  <c:pt idx="79">
                    <c:v>1955</c:v>
                  </c:pt>
                  <c:pt idx="80">
                    <c:v>1955</c:v>
                  </c:pt>
                  <c:pt idx="81">
                    <c:v>1955</c:v>
                  </c:pt>
                  <c:pt idx="82">
                    <c:v>1955</c:v>
                  </c:pt>
                  <c:pt idx="83">
                    <c:v>1955</c:v>
                  </c:pt>
                  <c:pt idx="84">
                    <c:v>1956</c:v>
                  </c:pt>
                  <c:pt idx="85">
                    <c:v>1956</c:v>
                  </c:pt>
                  <c:pt idx="86">
                    <c:v>1956</c:v>
                  </c:pt>
                  <c:pt idx="87">
                    <c:v>1956</c:v>
                  </c:pt>
                  <c:pt idx="88">
                    <c:v>1956</c:v>
                  </c:pt>
                  <c:pt idx="89">
                    <c:v>1956</c:v>
                  </c:pt>
                  <c:pt idx="90">
                    <c:v>1956</c:v>
                  </c:pt>
                  <c:pt idx="91">
                    <c:v>1956</c:v>
                  </c:pt>
                  <c:pt idx="92">
                    <c:v>1956</c:v>
                  </c:pt>
                  <c:pt idx="93">
                    <c:v>1956</c:v>
                  </c:pt>
                  <c:pt idx="94">
                    <c:v>1956</c:v>
                  </c:pt>
                  <c:pt idx="95">
                    <c:v>1956</c:v>
                  </c:pt>
                  <c:pt idx="96">
                    <c:v>1957</c:v>
                  </c:pt>
                  <c:pt idx="97">
                    <c:v>1957</c:v>
                  </c:pt>
                  <c:pt idx="98">
                    <c:v>1957</c:v>
                  </c:pt>
                  <c:pt idx="99">
                    <c:v>1957</c:v>
                  </c:pt>
                  <c:pt idx="100">
                    <c:v>1957</c:v>
                  </c:pt>
                  <c:pt idx="101">
                    <c:v>1957</c:v>
                  </c:pt>
                  <c:pt idx="102">
                    <c:v>1957</c:v>
                  </c:pt>
                  <c:pt idx="103">
                    <c:v>1957</c:v>
                  </c:pt>
                  <c:pt idx="104">
                    <c:v>1957</c:v>
                  </c:pt>
                  <c:pt idx="105">
                    <c:v>1957</c:v>
                  </c:pt>
                  <c:pt idx="106">
                    <c:v>1957</c:v>
                  </c:pt>
                  <c:pt idx="107">
                    <c:v>1957</c:v>
                  </c:pt>
                  <c:pt idx="108">
                    <c:v>1958</c:v>
                  </c:pt>
                  <c:pt idx="109">
                    <c:v>1958</c:v>
                  </c:pt>
                  <c:pt idx="110">
                    <c:v>1958</c:v>
                  </c:pt>
                  <c:pt idx="111">
                    <c:v>1958</c:v>
                  </c:pt>
                  <c:pt idx="112">
                    <c:v>1958</c:v>
                  </c:pt>
                  <c:pt idx="113">
                    <c:v>1958</c:v>
                  </c:pt>
                  <c:pt idx="114">
                    <c:v>1958</c:v>
                  </c:pt>
                  <c:pt idx="115">
                    <c:v>1958</c:v>
                  </c:pt>
                  <c:pt idx="116">
                    <c:v>1958</c:v>
                  </c:pt>
                  <c:pt idx="117">
                    <c:v>1958</c:v>
                  </c:pt>
                  <c:pt idx="118">
                    <c:v>1958</c:v>
                  </c:pt>
                  <c:pt idx="119">
                    <c:v>1958</c:v>
                  </c:pt>
                  <c:pt idx="120">
                    <c:v>1959</c:v>
                  </c:pt>
                  <c:pt idx="121">
                    <c:v>1959</c:v>
                  </c:pt>
                  <c:pt idx="122">
                    <c:v>1959</c:v>
                  </c:pt>
                  <c:pt idx="123">
                    <c:v>1959</c:v>
                  </c:pt>
                  <c:pt idx="124">
                    <c:v>1959</c:v>
                  </c:pt>
                  <c:pt idx="125">
                    <c:v>1959</c:v>
                  </c:pt>
                  <c:pt idx="126">
                    <c:v>1959</c:v>
                  </c:pt>
                  <c:pt idx="127">
                    <c:v>1959</c:v>
                  </c:pt>
                  <c:pt idx="128">
                    <c:v>1959</c:v>
                  </c:pt>
                  <c:pt idx="129">
                    <c:v>1959</c:v>
                  </c:pt>
                  <c:pt idx="130">
                    <c:v>1959</c:v>
                  </c:pt>
                  <c:pt idx="131">
                    <c:v>1959</c:v>
                  </c:pt>
                  <c:pt idx="132">
                    <c:v>1960</c:v>
                  </c:pt>
                  <c:pt idx="133">
                    <c:v>1960</c:v>
                  </c:pt>
                  <c:pt idx="134">
                    <c:v>1960</c:v>
                  </c:pt>
                  <c:pt idx="135">
                    <c:v>1960</c:v>
                  </c:pt>
                  <c:pt idx="136">
                    <c:v>1960</c:v>
                  </c:pt>
                  <c:pt idx="137">
                    <c:v>1960</c:v>
                  </c:pt>
                  <c:pt idx="138">
                    <c:v>1960</c:v>
                  </c:pt>
                  <c:pt idx="139">
                    <c:v>1960</c:v>
                  </c:pt>
                  <c:pt idx="140">
                    <c:v>1960</c:v>
                  </c:pt>
                  <c:pt idx="141">
                    <c:v>1960</c:v>
                  </c:pt>
                  <c:pt idx="142">
                    <c:v>1960</c:v>
                  </c:pt>
                  <c:pt idx="143">
                    <c:v>1960</c:v>
                  </c:pt>
                  <c:pt idx="144">
                    <c:v>1961</c:v>
                  </c:pt>
                  <c:pt idx="145">
                    <c:v>1961</c:v>
                  </c:pt>
                  <c:pt idx="146">
                    <c:v>1961</c:v>
                  </c:pt>
                  <c:pt idx="147">
                    <c:v>1961</c:v>
                  </c:pt>
                  <c:pt idx="148">
                    <c:v>1961</c:v>
                  </c:pt>
                  <c:pt idx="149">
                    <c:v>1961</c:v>
                  </c:pt>
                  <c:pt idx="150">
                    <c:v>1961</c:v>
                  </c:pt>
                  <c:pt idx="151">
                    <c:v>1961</c:v>
                  </c:pt>
                  <c:pt idx="152">
                    <c:v>1961</c:v>
                  </c:pt>
                  <c:pt idx="153">
                    <c:v>1961</c:v>
                  </c:pt>
                  <c:pt idx="154">
                    <c:v>1961</c:v>
                  </c:pt>
                  <c:pt idx="155">
                    <c:v>1961</c:v>
                  </c:pt>
                </c:lvl>
              </c:multiLvlStrCache>
            </c:multiLvlStrRef>
          </c:cat>
          <c:val>
            <c:numRef>
              <c:f>'HW (MM) AirPassenger'!$C$2:$C$145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B-4187-A431-D5A28658B105}"/>
            </c:ext>
          </c:extLst>
        </c:ser>
        <c:ser>
          <c:idx val="1"/>
          <c:order val="1"/>
          <c:tx>
            <c:strRef>
              <c:f>'HW (MM) AirPassenger'!$H$1</c:f>
              <c:strCache>
                <c:ptCount val="1"/>
                <c:pt idx="0">
                  <c:v>Forecast  ( Ft 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'HW (MM) AirPassenger'!$A$2:$B$157</c:f>
              <c:multiLvlStrCache>
                <c:ptCount val="15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  <c:pt idx="125">
                    <c:v>Jun</c:v>
                  </c:pt>
                  <c:pt idx="126">
                    <c:v>Jul</c:v>
                  </c:pt>
                  <c:pt idx="127">
                    <c:v>Aug</c:v>
                  </c:pt>
                  <c:pt idx="128">
                    <c:v>Sep</c:v>
                  </c:pt>
                  <c:pt idx="129">
                    <c:v>Oct</c:v>
                  </c:pt>
                  <c:pt idx="130">
                    <c:v>Nov</c:v>
                  </c:pt>
                  <c:pt idx="131">
                    <c:v>Dec</c:v>
                  </c:pt>
                  <c:pt idx="132">
                    <c:v>Jan</c:v>
                  </c:pt>
                  <c:pt idx="133">
                    <c:v>Feb</c:v>
                  </c:pt>
                  <c:pt idx="134">
                    <c:v>Mar</c:v>
                  </c:pt>
                  <c:pt idx="135">
                    <c:v>Apr</c:v>
                  </c:pt>
                  <c:pt idx="136">
                    <c:v>May</c:v>
                  </c:pt>
                  <c:pt idx="137">
                    <c:v>Jun</c:v>
                  </c:pt>
                  <c:pt idx="138">
                    <c:v>Jul</c:v>
                  </c:pt>
                  <c:pt idx="139">
                    <c:v>Aug</c:v>
                  </c:pt>
                  <c:pt idx="140">
                    <c:v>Sep</c:v>
                  </c:pt>
                  <c:pt idx="141">
                    <c:v>Oct</c:v>
                  </c:pt>
                  <c:pt idx="142">
                    <c:v>Nov</c:v>
                  </c:pt>
                  <c:pt idx="143">
                    <c:v>Dec</c:v>
                  </c:pt>
                  <c:pt idx="144">
                    <c:v>Jan</c:v>
                  </c:pt>
                  <c:pt idx="145">
                    <c:v>Feb</c:v>
                  </c:pt>
                  <c:pt idx="146">
                    <c:v>Mar</c:v>
                  </c:pt>
                  <c:pt idx="147">
                    <c:v>Apr</c:v>
                  </c:pt>
                  <c:pt idx="148">
                    <c:v>May</c:v>
                  </c:pt>
                  <c:pt idx="149">
                    <c:v>Jun</c:v>
                  </c:pt>
                  <c:pt idx="150">
                    <c:v>Jul</c:v>
                  </c:pt>
                  <c:pt idx="151">
                    <c:v>Aug</c:v>
                  </c:pt>
                  <c:pt idx="152">
                    <c:v>Sep</c:v>
                  </c:pt>
                  <c:pt idx="153">
                    <c:v>Oct</c:v>
                  </c:pt>
                  <c:pt idx="154">
                    <c:v>Nov</c:v>
                  </c:pt>
                  <c:pt idx="155">
                    <c:v>Dec</c:v>
                  </c:pt>
                </c:lvl>
                <c:lvl>
                  <c:pt idx="0">
                    <c:v>1949</c:v>
                  </c:pt>
                  <c:pt idx="1">
                    <c:v>1949</c:v>
                  </c:pt>
                  <c:pt idx="2">
                    <c:v>1949</c:v>
                  </c:pt>
                  <c:pt idx="3">
                    <c:v>1949</c:v>
                  </c:pt>
                  <c:pt idx="4">
                    <c:v>1949</c:v>
                  </c:pt>
                  <c:pt idx="5">
                    <c:v>1949</c:v>
                  </c:pt>
                  <c:pt idx="6">
                    <c:v>1949</c:v>
                  </c:pt>
                  <c:pt idx="7">
                    <c:v>1949</c:v>
                  </c:pt>
                  <c:pt idx="8">
                    <c:v>1949</c:v>
                  </c:pt>
                  <c:pt idx="9">
                    <c:v>1949</c:v>
                  </c:pt>
                  <c:pt idx="10">
                    <c:v>1949</c:v>
                  </c:pt>
                  <c:pt idx="11">
                    <c:v>1949</c:v>
                  </c:pt>
                  <c:pt idx="12">
                    <c:v>1950</c:v>
                  </c:pt>
                  <c:pt idx="13">
                    <c:v>1950</c:v>
                  </c:pt>
                  <c:pt idx="14">
                    <c:v>1950</c:v>
                  </c:pt>
                  <c:pt idx="15">
                    <c:v>1950</c:v>
                  </c:pt>
                  <c:pt idx="16">
                    <c:v>1950</c:v>
                  </c:pt>
                  <c:pt idx="17">
                    <c:v>1950</c:v>
                  </c:pt>
                  <c:pt idx="18">
                    <c:v>1950</c:v>
                  </c:pt>
                  <c:pt idx="19">
                    <c:v>1950</c:v>
                  </c:pt>
                  <c:pt idx="20">
                    <c:v>1950</c:v>
                  </c:pt>
                  <c:pt idx="21">
                    <c:v>1950</c:v>
                  </c:pt>
                  <c:pt idx="22">
                    <c:v>1950</c:v>
                  </c:pt>
                  <c:pt idx="23">
                    <c:v>1950</c:v>
                  </c:pt>
                  <c:pt idx="24">
                    <c:v>1951</c:v>
                  </c:pt>
                  <c:pt idx="25">
                    <c:v>1951</c:v>
                  </c:pt>
                  <c:pt idx="26">
                    <c:v>1951</c:v>
                  </c:pt>
                  <c:pt idx="27">
                    <c:v>1951</c:v>
                  </c:pt>
                  <c:pt idx="28">
                    <c:v>1951</c:v>
                  </c:pt>
                  <c:pt idx="29">
                    <c:v>1951</c:v>
                  </c:pt>
                  <c:pt idx="30">
                    <c:v>1951</c:v>
                  </c:pt>
                  <c:pt idx="31">
                    <c:v>1951</c:v>
                  </c:pt>
                  <c:pt idx="32">
                    <c:v>1951</c:v>
                  </c:pt>
                  <c:pt idx="33">
                    <c:v>1951</c:v>
                  </c:pt>
                  <c:pt idx="34">
                    <c:v>1951</c:v>
                  </c:pt>
                  <c:pt idx="35">
                    <c:v>1951</c:v>
                  </c:pt>
                  <c:pt idx="36">
                    <c:v>1952</c:v>
                  </c:pt>
                  <c:pt idx="37">
                    <c:v>1952</c:v>
                  </c:pt>
                  <c:pt idx="38">
                    <c:v>1952</c:v>
                  </c:pt>
                  <c:pt idx="39">
                    <c:v>1952</c:v>
                  </c:pt>
                  <c:pt idx="40">
                    <c:v>1952</c:v>
                  </c:pt>
                  <c:pt idx="41">
                    <c:v>1952</c:v>
                  </c:pt>
                  <c:pt idx="42">
                    <c:v>1952</c:v>
                  </c:pt>
                  <c:pt idx="43">
                    <c:v>1952</c:v>
                  </c:pt>
                  <c:pt idx="44">
                    <c:v>1952</c:v>
                  </c:pt>
                  <c:pt idx="45">
                    <c:v>1952</c:v>
                  </c:pt>
                  <c:pt idx="46">
                    <c:v>1952</c:v>
                  </c:pt>
                  <c:pt idx="47">
                    <c:v>1952</c:v>
                  </c:pt>
                  <c:pt idx="48">
                    <c:v>1953</c:v>
                  </c:pt>
                  <c:pt idx="49">
                    <c:v>1953</c:v>
                  </c:pt>
                  <c:pt idx="50">
                    <c:v>1953</c:v>
                  </c:pt>
                  <c:pt idx="51">
                    <c:v>1953</c:v>
                  </c:pt>
                  <c:pt idx="52">
                    <c:v>1953</c:v>
                  </c:pt>
                  <c:pt idx="53">
                    <c:v>1953</c:v>
                  </c:pt>
                  <c:pt idx="54">
                    <c:v>1953</c:v>
                  </c:pt>
                  <c:pt idx="55">
                    <c:v>1953</c:v>
                  </c:pt>
                  <c:pt idx="56">
                    <c:v>1953</c:v>
                  </c:pt>
                  <c:pt idx="57">
                    <c:v>1953</c:v>
                  </c:pt>
                  <c:pt idx="58">
                    <c:v>1953</c:v>
                  </c:pt>
                  <c:pt idx="59">
                    <c:v>1953</c:v>
                  </c:pt>
                  <c:pt idx="60">
                    <c:v>1954</c:v>
                  </c:pt>
                  <c:pt idx="61">
                    <c:v>1954</c:v>
                  </c:pt>
                  <c:pt idx="62">
                    <c:v>1954</c:v>
                  </c:pt>
                  <c:pt idx="63">
                    <c:v>1954</c:v>
                  </c:pt>
                  <c:pt idx="64">
                    <c:v>1954</c:v>
                  </c:pt>
                  <c:pt idx="65">
                    <c:v>1954</c:v>
                  </c:pt>
                  <c:pt idx="66">
                    <c:v>1954</c:v>
                  </c:pt>
                  <c:pt idx="67">
                    <c:v>1954</c:v>
                  </c:pt>
                  <c:pt idx="68">
                    <c:v>1954</c:v>
                  </c:pt>
                  <c:pt idx="69">
                    <c:v>1954</c:v>
                  </c:pt>
                  <c:pt idx="70">
                    <c:v>1954</c:v>
                  </c:pt>
                  <c:pt idx="71">
                    <c:v>1954</c:v>
                  </c:pt>
                  <c:pt idx="72">
                    <c:v>1955</c:v>
                  </c:pt>
                  <c:pt idx="73">
                    <c:v>1955</c:v>
                  </c:pt>
                  <c:pt idx="74">
                    <c:v>1955</c:v>
                  </c:pt>
                  <c:pt idx="75">
                    <c:v>1955</c:v>
                  </c:pt>
                  <c:pt idx="76">
                    <c:v>1955</c:v>
                  </c:pt>
                  <c:pt idx="77">
                    <c:v>1955</c:v>
                  </c:pt>
                  <c:pt idx="78">
                    <c:v>1955</c:v>
                  </c:pt>
                  <c:pt idx="79">
                    <c:v>1955</c:v>
                  </c:pt>
                  <c:pt idx="80">
                    <c:v>1955</c:v>
                  </c:pt>
                  <c:pt idx="81">
                    <c:v>1955</c:v>
                  </c:pt>
                  <c:pt idx="82">
                    <c:v>1955</c:v>
                  </c:pt>
                  <c:pt idx="83">
                    <c:v>1955</c:v>
                  </c:pt>
                  <c:pt idx="84">
                    <c:v>1956</c:v>
                  </c:pt>
                  <c:pt idx="85">
                    <c:v>1956</c:v>
                  </c:pt>
                  <c:pt idx="86">
                    <c:v>1956</c:v>
                  </c:pt>
                  <c:pt idx="87">
                    <c:v>1956</c:v>
                  </c:pt>
                  <c:pt idx="88">
                    <c:v>1956</c:v>
                  </c:pt>
                  <c:pt idx="89">
                    <c:v>1956</c:v>
                  </c:pt>
                  <c:pt idx="90">
                    <c:v>1956</c:v>
                  </c:pt>
                  <c:pt idx="91">
                    <c:v>1956</c:v>
                  </c:pt>
                  <c:pt idx="92">
                    <c:v>1956</c:v>
                  </c:pt>
                  <c:pt idx="93">
                    <c:v>1956</c:v>
                  </c:pt>
                  <c:pt idx="94">
                    <c:v>1956</c:v>
                  </c:pt>
                  <c:pt idx="95">
                    <c:v>1956</c:v>
                  </c:pt>
                  <c:pt idx="96">
                    <c:v>1957</c:v>
                  </c:pt>
                  <c:pt idx="97">
                    <c:v>1957</c:v>
                  </c:pt>
                  <c:pt idx="98">
                    <c:v>1957</c:v>
                  </c:pt>
                  <c:pt idx="99">
                    <c:v>1957</c:v>
                  </c:pt>
                  <c:pt idx="100">
                    <c:v>1957</c:v>
                  </c:pt>
                  <c:pt idx="101">
                    <c:v>1957</c:v>
                  </c:pt>
                  <c:pt idx="102">
                    <c:v>1957</c:v>
                  </c:pt>
                  <c:pt idx="103">
                    <c:v>1957</c:v>
                  </c:pt>
                  <c:pt idx="104">
                    <c:v>1957</c:v>
                  </c:pt>
                  <c:pt idx="105">
                    <c:v>1957</c:v>
                  </c:pt>
                  <c:pt idx="106">
                    <c:v>1957</c:v>
                  </c:pt>
                  <c:pt idx="107">
                    <c:v>1957</c:v>
                  </c:pt>
                  <c:pt idx="108">
                    <c:v>1958</c:v>
                  </c:pt>
                  <c:pt idx="109">
                    <c:v>1958</c:v>
                  </c:pt>
                  <c:pt idx="110">
                    <c:v>1958</c:v>
                  </c:pt>
                  <c:pt idx="111">
                    <c:v>1958</c:v>
                  </c:pt>
                  <c:pt idx="112">
                    <c:v>1958</c:v>
                  </c:pt>
                  <c:pt idx="113">
                    <c:v>1958</c:v>
                  </c:pt>
                  <c:pt idx="114">
                    <c:v>1958</c:v>
                  </c:pt>
                  <c:pt idx="115">
                    <c:v>1958</c:v>
                  </c:pt>
                  <c:pt idx="116">
                    <c:v>1958</c:v>
                  </c:pt>
                  <c:pt idx="117">
                    <c:v>1958</c:v>
                  </c:pt>
                  <c:pt idx="118">
                    <c:v>1958</c:v>
                  </c:pt>
                  <c:pt idx="119">
                    <c:v>1958</c:v>
                  </c:pt>
                  <c:pt idx="120">
                    <c:v>1959</c:v>
                  </c:pt>
                  <c:pt idx="121">
                    <c:v>1959</c:v>
                  </c:pt>
                  <c:pt idx="122">
                    <c:v>1959</c:v>
                  </c:pt>
                  <c:pt idx="123">
                    <c:v>1959</c:v>
                  </c:pt>
                  <c:pt idx="124">
                    <c:v>1959</c:v>
                  </c:pt>
                  <c:pt idx="125">
                    <c:v>1959</c:v>
                  </c:pt>
                  <c:pt idx="126">
                    <c:v>1959</c:v>
                  </c:pt>
                  <c:pt idx="127">
                    <c:v>1959</c:v>
                  </c:pt>
                  <c:pt idx="128">
                    <c:v>1959</c:v>
                  </c:pt>
                  <c:pt idx="129">
                    <c:v>1959</c:v>
                  </c:pt>
                  <c:pt idx="130">
                    <c:v>1959</c:v>
                  </c:pt>
                  <c:pt idx="131">
                    <c:v>1959</c:v>
                  </c:pt>
                  <c:pt idx="132">
                    <c:v>1960</c:v>
                  </c:pt>
                  <c:pt idx="133">
                    <c:v>1960</c:v>
                  </c:pt>
                  <c:pt idx="134">
                    <c:v>1960</c:v>
                  </c:pt>
                  <c:pt idx="135">
                    <c:v>1960</c:v>
                  </c:pt>
                  <c:pt idx="136">
                    <c:v>1960</c:v>
                  </c:pt>
                  <c:pt idx="137">
                    <c:v>1960</c:v>
                  </c:pt>
                  <c:pt idx="138">
                    <c:v>1960</c:v>
                  </c:pt>
                  <c:pt idx="139">
                    <c:v>1960</c:v>
                  </c:pt>
                  <c:pt idx="140">
                    <c:v>1960</c:v>
                  </c:pt>
                  <c:pt idx="141">
                    <c:v>1960</c:v>
                  </c:pt>
                  <c:pt idx="142">
                    <c:v>1960</c:v>
                  </c:pt>
                  <c:pt idx="143">
                    <c:v>1960</c:v>
                  </c:pt>
                  <c:pt idx="144">
                    <c:v>1961</c:v>
                  </c:pt>
                  <c:pt idx="145">
                    <c:v>1961</c:v>
                  </c:pt>
                  <c:pt idx="146">
                    <c:v>1961</c:v>
                  </c:pt>
                  <c:pt idx="147">
                    <c:v>1961</c:v>
                  </c:pt>
                  <c:pt idx="148">
                    <c:v>1961</c:v>
                  </c:pt>
                  <c:pt idx="149">
                    <c:v>1961</c:v>
                  </c:pt>
                  <c:pt idx="150">
                    <c:v>1961</c:v>
                  </c:pt>
                  <c:pt idx="151">
                    <c:v>1961</c:v>
                  </c:pt>
                  <c:pt idx="152">
                    <c:v>1961</c:v>
                  </c:pt>
                  <c:pt idx="153">
                    <c:v>1961</c:v>
                  </c:pt>
                  <c:pt idx="154">
                    <c:v>1961</c:v>
                  </c:pt>
                  <c:pt idx="155">
                    <c:v>1961</c:v>
                  </c:pt>
                </c:lvl>
              </c:multiLvlStrCache>
            </c:multiLvlStrRef>
          </c:cat>
          <c:val>
            <c:numRef>
              <c:f>'HW (MM) AirPassenger'!$H$2:$H$157</c:f>
              <c:numCache>
                <c:formatCode>General</c:formatCode>
                <c:ptCount val="156"/>
                <c:pt idx="12" formatCode="0.00">
                  <c:v>112.95789473684211</c:v>
                </c:pt>
                <c:pt idx="13" formatCode="0.00">
                  <c:v>120.98659774436091</c:v>
                </c:pt>
                <c:pt idx="14" formatCode="0.00">
                  <c:v>139.35459796737604</c:v>
                </c:pt>
                <c:pt idx="15" formatCode="0.00">
                  <c:v>139.18926357398453</c:v>
                </c:pt>
                <c:pt idx="16" formatCode="0.00">
                  <c:v>131.15228322907944</c:v>
                </c:pt>
                <c:pt idx="17" formatCode="0.00">
                  <c:v>145.21705329852148</c:v>
                </c:pt>
                <c:pt idx="18" formatCode="0.00">
                  <c:v>162.10795237137896</c:v>
                </c:pt>
                <c:pt idx="19" formatCode="0.00">
                  <c:v>167.32223934803127</c:v>
                </c:pt>
                <c:pt idx="20" formatCode="0.00">
                  <c:v>157.47872289736296</c:v>
                </c:pt>
                <c:pt idx="21" formatCode="0.00">
                  <c:v>140.6109737559606</c:v>
                </c:pt>
                <c:pt idx="22" formatCode="0.00">
                  <c:v>122.23608673024231</c:v>
                </c:pt>
                <c:pt idx="23" formatCode="0.00">
                  <c:v>136.01146916121462</c:v>
                </c:pt>
                <c:pt idx="24" formatCode="0.00">
                  <c:v>131.90555001096158</c:v>
                </c:pt>
                <c:pt idx="25" formatCode="0.00">
                  <c:v>147.30352413117387</c:v>
                </c:pt>
                <c:pt idx="26" formatCode="0.00">
                  <c:v>167.2578730124475</c:v>
                </c:pt>
                <c:pt idx="27" formatCode="0.00">
                  <c:v>168.64422805807206</c:v>
                </c:pt>
                <c:pt idx="28" formatCode="0.00">
                  <c:v>159.29255972944111</c:v>
                </c:pt>
                <c:pt idx="29" formatCode="0.00">
                  <c:v>194.3173400889321</c:v>
                </c:pt>
                <c:pt idx="30" formatCode="0.00">
                  <c:v>214.18270651609356</c:v>
                </c:pt>
                <c:pt idx="31" formatCode="0.00">
                  <c:v>209.16322139945777</c:v>
                </c:pt>
                <c:pt idx="32" formatCode="0.00">
                  <c:v>189.11564803927237</c:v>
                </c:pt>
                <c:pt idx="33" formatCode="0.00">
                  <c:v>160.0695762816035</c:v>
                </c:pt>
                <c:pt idx="34" formatCode="0.00">
                  <c:v>139.77854924760021</c:v>
                </c:pt>
                <c:pt idx="35" formatCode="0.00">
                  <c:v>168.86438096099295</c:v>
                </c:pt>
                <c:pt idx="36" formatCode="0.00">
                  <c:v>166.06152089917137</c:v>
                </c:pt>
                <c:pt idx="37" formatCode="0.00">
                  <c:v>174.27865348647757</c:v>
                </c:pt>
                <c:pt idx="38" formatCode="0.00">
                  <c:v>201.01362659029832</c:v>
                </c:pt>
                <c:pt idx="39" formatCode="0.00">
                  <c:v>184.66721739254135</c:v>
                </c:pt>
                <c:pt idx="40" formatCode="0.00">
                  <c:v>180.0270044919055</c:v>
                </c:pt>
                <c:pt idx="41" formatCode="0.00">
                  <c:v>195.83217541484839</c:v>
                </c:pt>
                <c:pt idx="42" formatCode="0.00">
                  <c:v>230.75357805191609</c:v>
                </c:pt>
                <c:pt idx="43" formatCode="0.00">
                  <c:v>235.02495032913501</c:v>
                </c:pt>
                <c:pt idx="44" formatCode="0.00">
                  <c:v>224.61348069242862</c:v>
                </c:pt>
                <c:pt idx="45" formatCode="0.00">
                  <c:v>193.88288817873294</c:v>
                </c:pt>
                <c:pt idx="46" formatCode="0.00">
                  <c:v>172.20382948459132</c:v>
                </c:pt>
                <c:pt idx="47" formatCode="0.00">
                  <c:v>201.05121444218179</c:v>
                </c:pt>
                <c:pt idx="48" formatCode="0.00">
                  <c:v>200.94628170295988</c:v>
                </c:pt>
                <c:pt idx="49" formatCode="0.00">
                  <c:v>206.53884408150765</c:v>
                </c:pt>
                <c:pt idx="50" formatCode="0.00">
                  <c:v>221.22075270906055</c:v>
                </c:pt>
                <c:pt idx="51" formatCode="0.00">
                  <c:v>211.15880044098705</c:v>
                </c:pt>
                <c:pt idx="52" formatCode="0.00">
                  <c:v>221.0505678146445</c:v>
                </c:pt>
                <c:pt idx="53" formatCode="0.00">
                  <c:v>255.99624043968859</c:v>
                </c:pt>
                <c:pt idx="54" formatCode="0.00">
                  <c:v>272.93347782525456</c:v>
                </c:pt>
                <c:pt idx="55" formatCode="0.00">
                  <c:v>276.81277341209403</c:v>
                </c:pt>
                <c:pt idx="56" formatCode="0.00">
                  <c:v>246.18373932212762</c:v>
                </c:pt>
                <c:pt idx="57" formatCode="0.00">
                  <c:v>217.54214890109435</c:v>
                </c:pt>
                <c:pt idx="58" formatCode="0.00">
                  <c:v>191.04859641617426</c:v>
                </c:pt>
                <c:pt idx="59" formatCode="0.00">
                  <c:v>211.61486461167283</c:v>
                </c:pt>
                <c:pt idx="60" formatCode="0.00">
                  <c:v>206.55528659051234</c:v>
                </c:pt>
                <c:pt idx="61" formatCode="0.00">
                  <c:v>206.03432135457729</c:v>
                </c:pt>
                <c:pt idx="62" formatCode="0.00">
                  <c:v>222.64657763789378</c:v>
                </c:pt>
                <c:pt idx="63" formatCode="0.00">
                  <c:v>208.99895016147553</c:v>
                </c:pt>
                <c:pt idx="64" formatCode="0.00">
                  <c:v>203.5967917328156</c:v>
                </c:pt>
                <c:pt idx="65" formatCode="0.00">
                  <c:v>231.0104569590107</c:v>
                </c:pt>
                <c:pt idx="66" formatCode="0.00">
                  <c:v>265.71535812672772</c:v>
                </c:pt>
                <c:pt idx="67" formatCode="0.00">
                  <c:v>294.68875652451709</c:v>
                </c:pt>
                <c:pt idx="68" formatCode="0.00">
                  <c:v>269.40278272788083</c:v>
                </c:pt>
                <c:pt idx="69" formatCode="0.00">
                  <c:v>246.29995475272989</c:v>
                </c:pt>
                <c:pt idx="70" formatCode="0.00">
                  <c:v>216.38665594588295</c:v>
                </c:pt>
                <c:pt idx="71" formatCode="0.00">
                  <c:v>246.09317801800998</c:v>
                </c:pt>
                <c:pt idx="72" formatCode="0.00">
                  <c:v>248.0703331867887</c:v>
                </c:pt>
                <c:pt idx="73" formatCode="0.00">
                  <c:v>243.35581216627187</c:v>
                </c:pt>
                <c:pt idx="74" formatCode="0.00">
                  <c:v>291.61920524818225</c:v>
                </c:pt>
                <c:pt idx="75" formatCode="0.00">
                  <c:v>267.56047129554969</c:v>
                </c:pt>
                <c:pt idx="76" formatCode="0.00">
                  <c:v>259.28077215315341</c:v>
                </c:pt>
                <c:pt idx="77" formatCode="0.00">
                  <c:v>278.56698666460704</c:v>
                </c:pt>
                <c:pt idx="78" formatCode="0.00">
                  <c:v>311.90773117930144</c:v>
                </c:pt>
                <c:pt idx="79" formatCode="0.00">
                  <c:v>324.9459648067197</c:v>
                </c:pt>
                <c:pt idx="80" formatCode="0.00">
                  <c:v>298.08175294294961</c:v>
                </c:pt>
                <c:pt idx="81" formatCode="0.00">
                  <c:v>277.68953410384307</c:v>
                </c:pt>
                <c:pt idx="82" formatCode="0.00">
                  <c:v>252.84015061846409</c:v>
                </c:pt>
                <c:pt idx="83" formatCode="0.00">
                  <c:v>290.54644433243658</c:v>
                </c:pt>
                <c:pt idx="84" formatCode="0.00">
                  <c:v>306.49074289112372</c:v>
                </c:pt>
                <c:pt idx="85" formatCode="0.00">
                  <c:v>296.9023365877984</c:v>
                </c:pt>
                <c:pt idx="86" formatCode="0.00">
                  <c:v>348.83309767019512</c:v>
                </c:pt>
                <c:pt idx="87" formatCode="0.00">
                  <c:v>334.08619477516163</c:v>
                </c:pt>
                <c:pt idx="88" formatCode="0.00">
                  <c:v>320.20542081792638</c:v>
                </c:pt>
                <c:pt idx="89" formatCode="0.00">
                  <c:v>346.55930405165111</c:v>
                </c:pt>
                <c:pt idx="90" formatCode="0.00">
                  <c:v>379.58904609928874</c:v>
                </c:pt>
                <c:pt idx="91" formatCode="0.00">
                  <c:v>361.44377683308016</c:v>
                </c:pt>
                <c:pt idx="92" formatCode="0.00">
                  <c:v>326.98192582300027</c:v>
                </c:pt>
                <c:pt idx="93" formatCode="0.00">
                  <c:v>296.393334758923</c:v>
                </c:pt>
                <c:pt idx="94" formatCode="0.00">
                  <c:v>265.90162212266608</c:v>
                </c:pt>
                <c:pt idx="95" formatCode="0.00">
                  <c:v>317.39472595044066</c:v>
                </c:pt>
                <c:pt idx="96" formatCode="0.00">
                  <c:v>332.879250448243</c:v>
                </c:pt>
                <c:pt idx="97" formatCode="0.00">
                  <c:v>328.02534698435443</c:v>
                </c:pt>
                <c:pt idx="98" formatCode="0.00">
                  <c:v>381.6175492863743</c:v>
                </c:pt>
                <c:pt idx="99" formatCode="0.00">
                  <c:v>376.64072554410313</c:v>
                </c:pt>
                <c:pt idx="100" formatCode="0.00">
                  <c:v>371.51964413716701</c:v>
                </c:pt>
                <c:pt idx="101" formatCode="0.00">
                  <c:v>412.71568818780685</c:v>
                </c:pt>
                <c:pt idx="102" formatCode="0.00">
                  <c:v>443.33193087313651</c:v>
                </c:pt>
                <c:pt idx="103" formatCode="0.00">
                  <c:v>417.44914524526502</c:v>
                </c:pt>
                <c:pt idx="104" formatCode="0.00">
                  <c:v>368.15682922086893</c:v>
                </c:pt>
                <c:pt idx="105" formatCode="0.00">
                  <c:v>324.79547144671704</c:v>
                </c:pt>
                <c:pt idx="106" formatCode="0.00">
                  <c:v>291.75148892707494</c:v>
                </c:pt>
                <c:pt idx="107" formatCode="0.00">
                  <c:v>342.82746873695464</c:v>
                </c:pt>
                <c:pt idx="108" formatCode="0.00">
                  <c:v>359.21465690103429</c:v>
                </c:pt>
                <c:pt idx="109" formatCode="0.00">
                  <c:v>350.15899852043441</c:v>
                </c:pt>
                <c:pt idx="110" formatCode="0.00">
                  <c:v>409.24928457233989</c:v>
                </c:pt>
                <c:pt idx="111" formatCode="0.00">
                  <c:v>393.58100084832995</c:v>
                </c:pt>
                <c:pt idx="112" formatCode="0.00">
                  <c:v>383.57429835645087</c:v>
                </c:pt>
                <c:pt idx="113" formatCode="0.00">
                  <c:v>430.08921216486516</c:v>
                </c:pt>
                <c:pt idx="114" formatCode="0.00">
                  <c:v>456.64964378857883</c:v>
                </c:pt>
                <c:pt idx="115" formatCode="0.00">
                  <c:v>438.36567267391246</c:v>
                </c:pt>
                <c:pt idx="116" formatCode="0.00">
                  <c:v>383.22396458668317</c:v>
                </c:pt>
                <c:pt idx="117" formatCode="0.00">
                  <c:v>324.85728559776658</c:v>
                </c:pt>
                <c:pt idx="118" formatCode="0.00">
                  <c:v>289.3483791605824</c:v>
                </c:pt>
                <c:pt idx="119" formatCode="0.00">
                  <c:v>331.49322228439769</c:v>
                </c:pt>
                <c:pt idx="120" formatCode="0.00">
                  <c:v>345.86408661233031</c:v>
                </c:pt>
                <c:pt idx="121" formatCode="0.00">
                  <c:v>345.13593228286027</c:v>
                </c:pt>
                <c:pt idx="122" formatCode="0.00">
                  <c:v>419.00289801149978</c:v>
                </c:pt>
                <c:pt idx="123" formatCode="0.00">
                  <c:v>428.73386704036653</c:v>
                </c:pt>
                <c:pt idx="124" formatCode="0.00">
                  <c:v>454.52470829047542</c:v>
                </c:pt>
                <c:pt idx="125" formatCode="0.00">
                  <c:v>542.69501595237227</c:v>
                </c:pt>
                <c:pt idx="126" formatCode="0.00">
                  <c:v>578.15135763974104</c:v>
                </c:pt>
                <c:pt idx="127" formatCode="0.00">
                  <c:v>550.72969605612082</c:v>
                </c:pt>
                <c:pt idx="128" formatCode="0.00">
                  <c:v>437.15768646878109</c:v>
                </c:pt>
                <c:pt idx="129" formatCode="0.00">
                  <c:v>371.53672121614022</c:v>
                </c:pt>
                <c:pt idx="130" formatCode="0.00">
                  <c:v>319.50323857435848</c:v>
                </c:pt>
                <c:pt idx="131" formatCode="0.00">
                  <c:v>360.99640578707789</c:v>
                </c:pt>
                <c:pt idx="132" formatCode="0.00">
                  <c:v>394.27327241417225</c:v>
                </c:pt>
                <c:pt idx="133" formatCode="0.00">
                  <c:v>389.91890971037185</c:v>
                </c:pt>
                <c:pt idx="134" formatCode="0.00">
                  <c:v>474.29869414007737</c:v>
                </c:pt>
                <c:pt idx="135" formatCode="0.00">
                  <c:v>461.17306608595356</c:v>
                </c:pt>
                <c:pt idx="136" formatCode="0.00">
                  <c:v>503.61435097173671</c:v>
                </c:pt>
                <c:pt idx="137" formatCode="0.00">
                  <c:v>593.49449654009811</c:v>
                </c:pt>
                <c:pt idx="138" formatCode="0.00">
                  <c:v>671.13194722871663</c:v>
                </c:pt>
                <c:pt idx="139" formatCode="0.00">
                  <c:v>660.92316986396122</c:v>
                </c:pt>
                <c:pt idx="140" formatCode="0.00">
                  <c:v>516.11875882301138</c:v>
                </c:pt>
                <c:pt idx="141" formatCode="0.00">
                  <c:v>427.92907440312268</c:v>
                </c:pt>
                <c:pt idx="142" formatCode="0.00">
                  <c:v>364.11164426388007</c:v>
                </c:pt>
                <c:pt idx="143" formatCode="0.00">
                  <c:v>391.36623645367467</c:v>
                </c:pt>
                <c:pt idx="144" formatCode="0.00">
                  <c:v>403.12616576958095</c:v>
                </c:pt>
                <c:pt idx="145" formatCode="0.00">
                  <c:v>370.013593198016</c:v>
                </c:pt>
                <c:pt idx="146" formatCode="0.00">
                  <c:v>412.20403617438717</c:v>
                </c:pt>
                <c:pt idx="147" formatCode="0.00">
                  <c:v>430.45077147723941</c:v>
                </c:pt>
                <c:pt idx="148" formatCode="0.00">
                  <c:v>450.45934785148575</c:v>
                </c:pt>
                <c:pt idx="149" formatCode="0.00">
                  <c:v>528.98900052685758</c:v>
                </c:pt>
                <c:pt idx="150" formatCode="0.00">
                  <c:v>629.1000798933419</c:v>
                </c:pt>
                <c:pt idx="151" formatCode="0.00">
                  <c:v>643.37143226141609</c:v>
                </c:pt>
                <c:pt idx="152" formatCode="0.00">
                  <c:v>548.99464103766979</c:v>
                </c:pt>
                <c:pt idx="153" formatCode="0.00">
                  <c:v>492.88295911230665</c:v>
                </c:pt>
                <c:pt idx="154" formatCode="0.00">
                  <c:v>419.4632405346764</c:v>
                </c:pt>
                <c:pt idx="155" formatCode="0.00">
                  <c:v>453.74012183881541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B-4187-A431-D5A28658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65048"/>
        <c:axId val="541568656"/>
      </c:lineChart>
      <c:catAx>
        <c:axId val="54156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8656"/>
        <c:crosses val="autoZero"/>
        <c:auto val="1"/>
        <c:lblAlgn val="ctr"/>
        <c:lblOffset val="100"/>
        <c:noMultiLvlLbl val="0"/>
      </c:catAx>
      <c:valAx>
        <c:axId val="5415686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vs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 (Maida_Flour-1 )'!$D$1</c:f>
              <c:strCache>
                <c:ptCount val="1"/>
                <c:pt idx="0">
                  <c:v>Data ( Y ) in Ton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'SES (Maida_Flour-1 )'!$B$2:$C$25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'SES (Maida_Flour-1 )'!$D$2:$D$21</c:f>
              <c:numCache>
                <c:formatCode>General</c:formatCode>
                <c:ptCount val="20"/>
                <c:pt idx="0">
                  <c:v>240</c:v>
                </c:pt>
                <c:pt idx="1">
                  <c:v>260</c:v>
                </c:pt>
                <c:pt idx="2">
                  <c:v>220</c:v>
                </c:pt>
                <c:pt idx="3">
                  <c:v>310</c:v>
                </c:pt>
                <c:pt idx="4">
                  <c:v>240</c:v>
                </c:pt>
                <c:pt idx="5">
                  <c:v>240</c:v>
                </c:pt>
                <c:pt idx="6">
                  <c:v>260</c:v>
                </c:pt>
                <c:pt idx="7">
                  <c:v>230</c:v>
                </c:pt>
                <c:pt idx="8">
                  <c:v>320</c:v>
                </c:pt>
                <c:pt idx="9">
                  <c:v>240</c:v>
                </c:pt>
                <c:pt idx="10">
                  <c:v>240</c:v>
                </c:pt>
                <c:pt idx="11">
                  <c:v>320</c:v>
                </c:pt>
                <c:pt idx="12">
                  <c:v>230</c:v>
                </c:pt>
                <c:pt idx="13">
                  <c:v>230</c:v>
                </c:pt>
                <c:pt idx="14">
                  <c:v>230</c:v>
                </c:pt>
                <c:pt idx="15">
                  <c:v>280</c:v>
                </c:pt>
                <c:pt idx="16">
                  <c:v>250</c:v>
                </c:pt>
                <c:pt idx="17">
                  <c:v>250</c:v>
                </c:pt>
                <c:pt idx="18">
                  <c:v>280</c:v>
                </c:pt>
                <c:pt idx="1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1-4B36-9C0E-5F4C3FCE0E94}"/>
            </c:ext>
          </c:extLst>
        </c:ser>
        <c:ser>
          <c:idx val="1"/>
          <c:order val="1"/>
          <c:tx>
            <c:strRef>
              <c:f>'SES (Maida_Flour-1 )'!$F$1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'SES (Maida_Flour-1 )'!$B$2:$C$25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'SES (Maida_Flour-1 )'!$F$2:$F$25</c:f>
              <c:numCache>
                <c:formatCode>0.00</c:formatCode>
                <c:ptCount val="24"/>
                <c:pt idx="0" formatCode="0">
                  <c:v>240</c:v>
                </c:pt>
                <c:pt idx="1">
                  <c:v>240</c:v>
                </c:pt>
                <c:pt idx="2">
                  <c:v>250</c:v>
                </c:pt>
                <c:pt idx="3">
                  <c:v>235</c:v>
                </c:pt>
                <c:pt idx="4">
                  <c:v>272.5</c:v>
                </c:pt>
                <c:pt idx="5">
                  <c:v>256.25</c:v>
                </c:pt>
                <c:pt idx="6">
                  <c:v>248.125</c:v>
                </c:pt>
                <c:pt idx="7">
                  <c:v>254.0625</c:v>
                </c:pt>
                <c:pt idx="8">
                  <c:v>242.03125</c:v>
                </c:pt>
                <c:pt idx="9">
                  <c:v>281.015625</c:v>
                </c:pt>
                <c:pt idx="10">
                  <c:v>260.5078125</c:v>
                </c:pt>
                <c:pt idx="11">
                  <c:v>250.25390625</c:v>
                </c:pt>
                <c:pt idx="12">
                  <c:v>285.126953125</c:v>
                </c:pt>
                <c:pt idx="13">
                  <c:v>257.5634765625</c:v>
                </c:pt>
                <c:pt idx="14">
                  <c:v>243.78173828125</c:v>
                </c:pt>
                <c:pt idx="15">
                  <c:v>236.890869140625</c:v>
                </c:pt>
                <c:pt idx="16">
                  <c:v>258.4454345703125</c:v>
                </c:pt>
                <c:pt idx="17">
                  <c:v>254.22271728515625</c:v>
                </c:pt>
                <c:pt idx="18">
                  <c:v>252.11135864257813</c:v>
                </c:pt>
                <c:pt idx="19">
                  <c:v>266.05567932128906</c:v>
                </c:pt>
                <c:pt idx="20" formatCode="0.00000">
                  <c:v>243.02783966064453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1-4B36-9C0E-5F4C3FCE0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45032"/>
        <c:axId val="329944048"/>
      </c:lineChart>
      <c:catAx>
        <c:axId val="3299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44048"/>
        <c:crosses val="autoZero"/>
        <c:auto val="1"/>
        <c:lblAlgn val="ctr"/>
        <c:lblOffset val="100"/>
        <c:noMultiLvlLbl val="0"/>
      </c:catAx>
      <c:valAx>
        <c:axId val="32994404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 (Money_withdraw_atm-2 )'!$D$1</c:f>
              <c:strCache>
                <c:ptCount val="1"/>
                <c:pt idx="0">
                  <c:v>Data ( in Crore)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'SES (Money_withdraw_atm-2 )'!$B$2:$C$21</c:f>
              <c:multiLvlStrCache>
                <c:ptCount val="2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'SES (Money_withdraw_atm-2 )'!$D$2:$D$21</c:f>
              <c:numCache>
                <c:formatCode>General</c:formatCode>
                <c:ptCount val="20"/>
                <c:pt idx="0">
                  <c:v>57</c:v>
                </c:pt>
                <c:pt idx="1">
                  <c:v>56</c:v>
                </c:pt>
                <c:pt idx="2">
                  <c:v>67</c:v>
                </c:pt>
                <c:pt idx="3">
                  <c:v>48</c:v>
                </c:pt>
                <c:pt idx="4">
                  <c:v>55</c:v>
                </c:pt>
                <c:pt idx="5">
                  <c:v>60</c:v>
                </c:pt>
                <c:pt idx="6">
                  <c:v>56</c:v>
                </c:pt>
                <c:pt idx="7">
                  <c:v>49</c:v>
                </c:pt>
                <c:pt idx="8">
                  <c:v>67</c:v>
                </c:pt>
                <c:pt idx="9">
                  <c:v>63</c:v>
                </c:pt>
                <c:pt idx="10">
                  <c:v>75</c:v>
                </c:pt>
                <c:pt idx="11">
                  <c:v>58</c:v>
                </c:pt>
                <c:pt idx="12">
                  <c:v>68</c:v>
                </c:pt>
                <c:pt idx="13">
                  <c:v>62</c:v>
                </c:pt>
                <c:pt idx="14">
                  <c:v>60</c:v>
                </c:pt>
                <c:pt idx="15">
                  <c:v>53</c:v>
                </c:pt>
                <c:pt idx="16">
                  <c:v>57</c:v>
                </c:pt>
                <c:pt idx="17">
                  <c:v>64</c:v>
                </c:pt>
                <c:pt idx="18">
                  <c:v>65</c:v>
                </c:pt>
                <c:pt idx="1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E-4887-9EC2-8C40EE891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12464"/>
        <c:axId val="421810824"/>
      </c:lineChart>
      <c:catAx>
        <c:axId val="4218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0824"/>
        <c:crosses val="autoZero"/>
        <c:auto val="1"/>
        <c:lblAlgn val="ctr"/>
        <c:lblOffset val="100"/>
        <c:noMultiLvlLbl val="0"/>
      </c:catAx>
      <c:valAx>
        <c:axId val="421810824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Data vs Forecast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 (Money_withdraw_atm-2 )'!$D$1</c:f>
              <c:strCache>
                <c:ptCount val="1"/>
                <c:pt idx="0">
                  <c:v>Data ( in Crore)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'SES (Money_withdraw_atm-2 )'!$B$2:$C$25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'SES (Money_withdraw_atm-2 )'!$D$2:$D$25</c:f>
              <c:numCache>
                <c:formatCode>General</c:formatCode>
                <c:ptCount val="24"/>
                <c:pt idx="0">
                  <c:v>57</c:v>
                </c:pt>
                <c:pt idx="1">
                  <c:v>56</c:v>
                </c:pt>
                <c:pt idx="2">
                  <c:v>67</c:v>
                </c:pt>
                <c:pt idx="3">
                  <c:v>48</c:v>
                </c:pt>
                <c:pt idx="4">
                  <c:v>55</c:v>
                </c:pt>
                <c:pt idx="5">
                  <c:v>60</c:v>
                </c:pt>
                <c:pt idx="6">
                  <c:v>56</c:v>
                </c:pt>
                <c:pt idx="7">
                  <c:v>49</c:v>
                </c:pt>
                <c:pt idx="8">
                  <c:v>67</c:v>
                </c:pt>
                <c:pt idx="9">
                  <c:v>63</c:v>
                </c:pt>
                <c:pt idx="10">
                  <c:v>75</c:v>
                </c:pt>
                <c:pt idx="11">
                  <c:v>58</c:v>
                </c:pt>
                <c:pt idx="12">
                  <c:v>68</c:v>
                </c:pt>
                <c:pt idx="13">
                  <c:v>62</c:v>
                </c:pt>
                <c:pt idx="14">
                  <c:v>60</c:v>
                </c:pt>
                <c:pt idx="15">
                  <c:v>53</c:v>
                </c:pt>
                <c:pt idx="16">
                  <c:v>57</c:v>
                </c:pt>
                <c:pt idx="17">
                  <c:v>64</c:v>
                </c:pt>
                <c:pt idx="18">
                  <c:v>65</c:v>
                </c:pt>
                <c:pt idx="1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4-4F43-952C-DC54DD6C4C95}"/>
            </c:ext>
          </c:extLst>
        </c:ser>
        <c:ser>
          <c:idx val="1"/>
          <c:order val="1"/>
          <c:tx>
            <c:strRef>
              <c:f>'SES (Money_withdraw_atm-2 )'!$E$1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'SES (Money_withdraw_atm-2 )'!$B$2:$C$25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'SES (Money_withdraw_atm-2 )'!$E$2:$E$25</c:f>
              <c:numCache>
                <c:formatCode>0.00</c:formatCode>
                <c:ptCount val="24"/>
                <c:pt idx="1">
                  <c:v>57</c:v>
                </c:pt>
                <c:pt idx="2">
                  <c:v>56.839999999999996</c:v>
                </c:pt>
                <c:pt idx="3">
                  <c:v>58.465599999999995</c:v>
                </c:pt>
                <c:pt idx="4">
                  <c:v>56.791103999999997</c:v>
                </c:pt>
                <c:pt idx="5">
                  <c:v>56.504527359999997</c:v>
                </c:pt>
                <c:pt idx="6">
                  <c:v>57.063802982399999</c:v>
                </c:pt>
                <c:pt idx="7">
                  <c:v>56.893594505216001</c:v>
                </c:pt>
                <c:pt idx="8">
                  <c:v>55.630619384381433</c:v>
                </c:pt>
                <c:pt idx="9">
                  <c:v>57.449720282880399</c:v>
                </c:pt>
                <c:pt idx="10">
                  <c:v>58.337765037619533</c:v>
                </c:pt>
                <c:pt idx="11">
                  <c:v>61.003722631600404</c:v>
                </c:pt>
                <c:pt idx="12">
                  <c:v>60.523127010544336</c:v>
                </c:pt>
                <c:pt idx="13">
                  <c:v>61.71942668885724</c:v>
                </c:pt>
                <c:pt idx="14">
                  <c:v>61.76431841864008</c:v>
                </c:pt>
                <c:pt idx="15">
                  <c:v>61.482027471657666</c:v>
                </c:pt>
                <c:pt idx="16">
                  <c:v>60.124903076192439</c:v>
                </c:pt>
                <c:pt idx="17">
                  <c:v>59.624918584001648</c:v>
                </c:pt>
                <c:pt idx="18">
                  <c:v>60.324931610561386</c:v>
                </c:pt>
                <c:pt idx="19">
                  <c:v>61.072942552871559</c:v>
                </c:pt>
                <c:pt idx="20">
                  <c:v>63.781271744412109</c:v>
                </c:pt>
                <c:pt idx="21">
                  <c:v>63.781271744412109</c:v>
                </c:pt>
                <c:pt idx="22">
                  <c:v>63.781271744412109</c:v>
                </c:pt>
                <c:pt idx="23">
                  <c:v>63.781271744412109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4-4F43-952C-DC54DD6C4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91240"/>
        <c:axId val="421983696"/>
      </c:lineChart>
      <c:catAx>
        <c:axId val="4219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83696"/>
        <c:crosses val="autoZero"/>
        <c:auto val="1"/>
        <c:lblAlgn val="ctr"/>
        <c:lblOffset val="100"/>
        <c:noMultiLvlLbl val="0"/>
      </c:catAx>
      <c:valAx>
        <c:axId val="42198369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'DES (Mobile Unit -1 )'!$D$1</c:f>
              <c:strCache>
                <c:ptCount val="1"/>
                <c:pt idx="0">
                  <c:v>Sales ( Y )</c:v>
                </c:pt>
              </c:strCache>
            </c:strRef>
          </c:tx>
          <c:marker>
            <c:symbol val="none"/>
          </c:marker>
          <c:cat>
            <c:multiLvlStrRef>
              <c:f>'DES (Mobile Unit -1 )'!$B$2:$C$31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'DES (Mobile Unit -1 )'!$D$2:$D$31</c:f>
              <c:numCache>
                <c:formatCode>General</c:formatCode>
                <c:ptCount val="30"/>
                <c:pt idx="0">
                  <c:v>302</c:v>
                </c:pt>
                <c:pt idx="1">
                  <c:v>332</c:v>
                </c:pt>
                <c:pt idx="2">
                  <c:v>338</c:v>
                </c:pt>
                <c:pt idx="3">
                  <c:v>350</c:v>
                </c:pt>
                <c:pt idx="4">
                  <c:v>380</c:v>
                </c:pt>
                <c:pt idx="5">
                  <c:v>420</c:v>
                </c:pt>
                <c:pt idx="6">
                  <c:v>425</c:v>
                </c:pt>
                <c:pt idx="7">
                  <c:v>440</c:v>
                </c:pt>
                <c:pt idx="8">
                  <c:v>453</c:v>
                </c:pt>
                <c:pt idx="9">
                  <c:v>460</c:v>
                </c:pt>
                <c:pt idx="10">
                  <c:v>467</c:v>
                </c:pt>
                <c:pt idx="11">
                  <c:v>500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610</c:v>
                </c:pt>
                <c:pt idx="16">
                  <c:v>700</c:v>
                </c:pt>
                <c:pt idx="17">
                  <c:v>750</c:v>
                </c:pt>
                <c:pt idx="18">
                  <c:v>770</c:v>
                </c:pt>
                <c:pt idx="19">
                  <c:v>780</c:v>
                </c:pt>
                <c:pt idx="20">
                  <c:v>799</c:v>
                </c:pt>
                <c:pt idx="21">
                  <c:v>800</c:v>
                </c:pt>
                <c:pt idx="22">
                  <c:v>820</c:v>
                </c:pt>
                <c:pt idx="2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1F-4FA7-9536-9D288AED7DA8}"/>
            </c:ext>
          </c:extLst>
        </c:ser>
        <c:ser>
          <c:idx val="4"/>
          <c:order val="1"/>
          <c:tx>
            <c:strRef>
              <c:f>'DES (Mobile Unit -1 )'!$G$1</c:f>
              <c:strCache>
                <c:ptCount val="1"/>
                <c:pt idx="0">
                  <c:v>Forecast ( Ft)</c:v>
                </c:pt>
              </c:strCache>
            </c:strRef>
          </c:tx>
          <c:marker>
            <c:symbol val="none"/>
          </c:marker>
          <c:cat>
            <c:multiLvlStrRef>
              <c:f>'DES (Mobile Unit -1 )'!$B$2:$C$31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'DES (Mobile Unit -1 )'!$G$2:$G$31</c:f>
              <c:numCache>
                <c:formatCode>0</c:formatCode>
                <c:ptCount val="30"/>
                <c:pt idx="1">
                  <c:v>330.5</c:v>
                </c:pt>
                <c:pt idx="2">
                  <c:v>351.57500000000005</c:v>
                </c:pt>
                <c:pt idx="3">
                  <c:v>357.34625</c:v>
                </c:pt>
                <c:pt idx="4">
                  <c:v>364.90643749999998</c:v>
                </c:pt>
                <c:pt idx="5">
                  <c:v>393.457240625</c:v>
                </c:pt>
                <c:pt idx="6">
                  <c:v>439.31244734375002</c:v>
                </c:pt>
                <c:pt idx="7">
                  <c:v>451.55965278906257</c:v>
                </c:pt>
                <c:pt idx="8">
                  <c:v>461.68793594648434</c:v>
                </c:pt>
                <c:pt idx="9">
                  <c:v>470.78564331244132</c:v>
                </c:pt>
                <c:pt idx="10">
                  <c:v>474.63998036287404</c:v>
                </c:pt>
                <c:pt idx="11">
                  <c:v>478.02228835099794</c:v>
                </c:pt>
                <c:pt idx="12">
                  <c:v>509.82917982458582</c:v>
                </c:pt>
                <c:pt idx="13">
                  <c:v>568.43103432805708</c:v>
                </c:pt>
                <c:pt idx="14">
                  <c:v>605.8107286642786</c:v>
                </c:pt>
                <c:pt idx="15">
                  <c:v>632.49088193264754</c:v>
                </c:pt>
                <c:pt idx="16">
                  <c:v>639.62311923673167</c:v>
                </c:pt>
                <c:pt idx="17">
                  <c:v>725.89469869510071</c:v>
                </c:pt>
                <c:pt idx="18">
                  <c:v>795.21302798932618</c:v>
                </c:pt>
                <c:pt idx="19">
                  <c:v>821.1839669813296</c:v>
                </c:pt>
                <c:pt idx="20">
                  <c:v>821.56086023546538</c:v>
                </c:pt>
                <c:pt idx="21">
                  <c:v>827.07762712929321</c:v>
                </c:pt>
                <c:pt idx="22">
                  <c:v>819.95548770218898</c:v>
                </c:pt>
                <c:pt idx="23">
                  <c:v>831.83442517829155</c:v>
                </c:pt>
                <c:pt idx="24">
                  <c:v>862.75605760872031</c:v>
                </c:pt>
                <c:pt idx="25">
                  <c:v>880.96178766395303</c:v>
                </c:pt>
                <c:pt idx="26">
                  <c:v>899.16751771918587</c:v>
                </c:pt>
                <c:pt idx="27">
                  <c:v>917.3732477744187</c:v>
                </c:pt>
                <c:pt idx="28">
                  <c:v>935.57897782965142</c:v>
                </c:pt>
                <c:pt idx="29">
                  <c:v>953.78470788488426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1F-4FA7-9536-9D288AED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02352"/>
        <c:axId val="536633512"/>
        <c:extLst/>
      </c:lineChart>
      <c:catAx>
        <c:axId val="5366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33512"/>
        <c:crosses val="autoZero"/>
        <c:auto val="1"/>
        <c:lblAlgn val="ctr"/>
        <c:lblOffset val="100"/>
        <c:noMultiLvlLbl val="0"/>
      </c:catAx>
      <c:valAx>
        <c:axId val="536633512"/>
        <c:scaling>
          <c:orientation val="minMax"/>
          <c:max val="9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2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 (Mobile Unit -1 )'!$D$1</c:f>
              <c:strCache>
                <c:ptCount val="1"/>
                <c:pt idx="0">
                  <c:v>Sales ( Y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Unit -1 )'!$B$2:$C$25</c:f>
              <c:multiLvlStrCache>
                <c:ptCount val="24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'DES (Mobile Unit -1 )'!$D$2:$D$25</c:f>
              <c:numCache>
                <c:formatCode>General</c:formatCode>
                <c:ptCount val="24"/>
                <c:pt idx="0">
                  <c:v>302</c:v>
                </c:pt>
                <c:pt idx="1">
                  <c:v>332</c:v>
                </c:pt>
                <c:pt idx="2">
                  <c:v>338</c:v>
                </c:pt>
                <c:pt idx="3">
                  <c:v>350</c:v>
                </c:pt>
                <c:pt idx="4">
                  <c:v>380</c:v>
                </c:pt>
                <c:pt idx="5">
                  <c:v>420</c:v>
                </c:pt>
                <c:pt idx="6">
                  <c:v>425</c:v>
                </c:pt>
                <c:pt idx="7">
                  <c:v>440</c:v>
                </c:pt>
                <c:pt idx="8">
                  <c:v>453</c:v>
                </c:pt>
                <c:pt idx="9">
                  <c:v>460</c:v>
                </c:pt>
                <c:pt idx="10">
                  <c:v>467</c:v>
                </c:pt>
                <c:pt idx="11">
                  <c:v>500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610</c:v>
                </c:pt>
                <c:pt idx="16">
                  <c:v>700</c:v>
                </c:pt>
                <c:pt idx="17">
                  <c:v>750</c:v>
                </c:pt>
                <c:pt idx="18">
                  <c:v>770</c:v>
                </c:pt>
                <c:pt idx="19">
                  <c:v>780</c:v>
                </c:pt>
                <c:pt idx="20">
                  <c:v>799</c:v>
                </c:pt>
                <c:pt idx="21">
                  <c:v>800</c:v>
                </c:pt>
                <c:pt idx="22">
                  <c:v>820</c:v>
                </c:pt>
                <c:pt idx="23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F-40BB-AE38-F55AD847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58768"/>
        <c:axId val="536655160"/>
      </c:lineChart>
      <c:catAx>
        <c:axId val="5366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55160"/>
        <c:crosses val="autoZero"/>
        <c:auto val="1"/>
        <c:lblAlgn val="ctr"/>
        <c:lblOffset val="100"/>
        <c:noMultiLvlLbl val="0"/>
      </c:catAx>
      <c:valAx>
        <c:axId val="536655160"/>
        <c:scaling>
          <c:orientation val="minMax"/>
          <c:max val="9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58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3"/>
          <c:tx>
            <c:strRef>
              <c:f>'DES (Mobile Price -2 )'!$D$1</c:f>
              <c:strCache>
                <c:ptCount val="1"/>
                <c:pt idx="0">
                  <c:v>Price ( Y )</c:v>
                </c:pt>
              </c:strCache>
            </c:strRef>
          </c:tx>
          <c:marker>
            <c:symbol val="none"/>
          </c:marker>
          <c:cat>
            <c:multiLvlStrRef>
              <c:f>'DES (Mobile Price -2 )'!$B$2:$C$43</c:f>
              <c:multiLvlStrCache>
                <c:ptCount val="4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</c:lvl>
              </c:multiLvlStrCache>
            </c:multiLvlStrRef>
          </c:cat>
          <c:val>
            <c:numRef>
              <c:f>'DES (Mobile Price -2 )'!$D$2:$D$43</c:f>
              <c:numCache>
                <c:formatCode>General</c:formatCode>
                <c:ptCount val="42"/>
                <c:pt idx="0">
                  <c:v>1027</c:v>
                </c:pt>
                <c:pt idx="1">
                  <c:v>1047</c:v>
                </c:pt>
                <c:pt idx="2">
                  <c:v>1049</c:v>
                </c:pt>
                <c:pt idx="3">
                  <c:v>1018</c:v>
                </c:pt>
                <c:pt idx="4">
                  <c:v>1021</c:v>
                </c:pt>
                <c:pt idx="5">
                  <c:v>1012</c:v>
                </c:pt>
                <c:pt idx="6">
                  <c:v>1018</c:v>
                </c:pt>
                <c:pt idx="7">
                  <c:v>991</c:v>
                </c:pt>
                <c:pt idx="8">
                  <c:v>962</c:v>
                </c:pt>
                <c:pt idx="9">
                  <c:v>921</c:v>
                </c:pt>
                <c:pt idx="10">
                  <c:v>871</c:v>
                </c:pt>
                <c:pt idx="11">
                  <c:v>829</c:v>
                </c:pt>
                <c:pt idx="12">
                  <c:v>822</c:v>
                </c:pt>
                <c:pt idx="13">
                  <c:v>820</c:v>
                </c:pt>
                <c:pt idx="14">
                  <c:v>802</c:v>
                </c:pt>
                <c:pt idx="15">
                  <c:v>821</c:v>
                </c:pt>
                <c:pt idx="16">
                  <c:v>819</c:v>
                </c:pt>
                <c:pt idx="17">
                  <c:v>791</c:v>
                </c:pt>
                <c:pt idx="18">
                  <c:v>746</c:v>
                </c:pt>
                <c:pt idx="19">
                  <c:v>726</c:v>
                </c:pt>
                <c:pt idx="20">
                  <c:v>661</c:v>
                </c:pt>
                <c:pt idx="21">
                  <c:v>620</c:v>
                </c:pt>
                <c:pt idx="22">
                  <c:v>588</c:v>
                </c:pt>
                <c:pt idx="23">
                  <c:v>568</c:v>
                </c:pt>
                <c:pt idx="24">
                  <c:v>542</c:v>
                </c:pt>
                <c:pt idx="25">
                  <c:v>551</c:v>
                </c:pt>
                <c:pt idx="26">
                  <c:v>541</c:v>
                </c:pt>
                <c:pt idx="27">
                  <c:v>557</c:v>
                </c:pt>
                <c:pt idx="28">
                  <c:v>556</c:v>
                </c:pt>
                <c:pt idx="29">
                  <c:v>534</c:v>
                </c:pt>
                <c:pt idx="30">
                  <c:v>528</c:v>
                </c:pt>
                <c:pt idx="31">
                  <c:v>529</c:v>
                </c:pt>
                <c:pt idx="32">
                  <c:v>523</c:v>
                </c:pt>
                <c:pt idx="33">
                  <c:v>531</c:v>
                </c:pt>
                <c:pt idx="34">
                  <c:v>532</c:v>
                </c:pt>
                <c:pt idx="35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8D-46B4-BA2F-B818C55F4C9C}"/>
            </c:ext>
          </c:extLst>
        </c:ser>
        <c:ser>
          <c:idx val="9"/>
          <c:order val="4"/>
          <c:tx>
            <c:strRef>
              <c:f>'DES (Mobile Price -2 )'!$G$1</c:f>
              <c:strCache>
                <c:ptCount val="1"/>
                <c:pt idx="0">
                  <c:v>Forecast ( Ft)</c:v>
                </c:pt>
              </c:strCache>
            </c:strRef>
          </c:tx>
          <c:marker>
            <c:symbol val="none"/>
          </c:marker>
          <c:cat>
            <c:multiLvlStrRef>
              <c:f>'DES (Mobile Price -2 )'!$B$2:$C$43</c:f>
              <c:multiLvlStrCache>
                <c:ptCount val="4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</c:lvl>
              </c:multiLvlStrCache>
            </c:multiLvlStrRef>
          </c:cat>
          <c:val>
            <c:numRef>
              <c:f>'DES (Mobile Price -2 )'!$G$2:$G$43</c:f>
              <c:numCache>
                <c:formatCode>0</c:formatCode>
                <c:ptCount val="42"/>
                <c:pt idx="1">
                  <c:v>1047</c:v>
                </c:pt>
                <c:pt idx="2">
                  <c:v>1067</c:v>
                </c:pt>
                <c:pt idx="3">
                  <c:v>1064.0500000000002</c:v>
                </c:pt>
                <c:pt idx="4">
                  <c:v>1017.68625</c:v>
                </c:pt>
                <c:pt idx="5">
                  <c:v>1014.6900312500001</c:v>
                </c:pt>
                <c:pt idx="6">
                  <c:v>1005.44733515625</c:v>
                </c:pt>
                <c:pt idx="7">
                  <c:v>1014.4958133007812</c:v>
                </c:pt>
                <c:pt idx="8">
                  <c:v>982.91736436962901</c:v>
                </c:pt>
                <c:pt idx="9">
                  <c:v>944.64071717286367</c:v>
                </c:pt>
                <c:pt idx="10">
                  <c:v>894.00191529488188</c:v>
                </c:pt>
                <c:pt idx="11">
                  <c:v>834.13028101285988</c:v>
                </c:pt>
                <c:pt idx="12">
                  <c:v>787.269166440091</c:v>
                </c:pt>
                <c:pt idx="13">
                  <c:v>789.05060351713701</c:v>
                </c:pt>
                <c:pt idx="14">
                  <c:v>800.77131258391069</c:v>
                </c:pt>
                <c:pt idx="15">
                  <c:v>787.7516110957647</c:v>
                </c:pt>
                <c:pt idx="16">
                  <c:v>816.07922115684289</c:v>
                </c:pt>
                <c:pt idx="17">
                  <c:v>819.86969367434631</c:v>
                </c:pt>
                <c:pt idx="18">
                  <c:v>784.36864474037463</c:v>
                </c:pt>
                <c:pt idx="19">
                  <c:v>724.48681338561971</c:v>
                </c:pt>
                <c:pt idx="20">
                  <c:v>699.14764299351816</c:v>
                </c:pt>
                <c:pt idx="21">
                  <c:v>623.88401916245766</c:v>
                </c:pt>
                <c:pt idx="22">
                  <c:v>576.09376744375402</c:v>
                </c:pt>
                <c:pt idx="23">
                  <c:v>546.78537852235308</c:v>
                </c:pt>
                <c:pt idx="24">
                  <c:v>534.40533431214294</c:v>
                </c:pt>
                <c:pt idx="25">
                  <c:v>513.67606059795071</c:v>
                </c:pt>
                <c:pt idx="26">
                  <c:v>534.07934378669279</c:v>
                </c:pt>
                <c:pt idx="27">
                  <c:v>531.58111515565963</c:v>
                </c:pt>
                <c:pt idx="28">
                  <c:v>555.60940691984922</c:v>
                </c:pt>
                <c:pt idx="29">
                  <c:v>558.52965274354176</c:v>
                </c:pt>
                <c:pt idx="30">
                  <c:v>529.8425872010904</c:v>
                </c:pt>
                <c:pt idx="31">
                  <c:v>519.6564278092593</c:v>
                </c:pt>
                <c:pt idx="32">
                  <c:v>522.94952208154939</c:v>
                </c:pt>
                <c:pt idx="33">
                  <c:v>518.36493933773443</c:v>
                </c:pt>
                <c:pt idx="34">
                  <c:v>529.8471527076249</c:v>
                </c:pt>
                <c:pt idx="35">
                  <c:v>533.33444481236802</c:v>
                </c:pt>
                <c:pt idx="36" formatCode="0.00">
                  <c:v>535.84039958282301</c:v>
                </c:pt>
                <c:pt idx="37" formatCode="0.00">
                  <c:v>537.78063244379086</c:v>
                </c:pt>
                <c:pt idx="38" formatCode="0.00">
                  <c:v>539.72086530475872</c:v>
                </c:pt>
                <c:pt idx="39" formatCode="0.00">
                  <c:v>541.66109816572646</c:v>
                </c:pt>
                <c:pt idx="40" formatCode="0.00">
                  <c:v>543.60133102669431</c:v>
                </c:pt>
                <c:pt idx="41" formatCode="0.00">
                  <c:v>545.54156388766216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8D-46B4-BA2F-B818C55F4C9C}"/>
            </c:ext>
          </c:extLst>
        </c:ser>
        <c:ser>
          <c:idx val="0"/>
          <c:order val="5"/>
          <c:tx>
            <c:strRef>
              <c:f>'DES (Mobile Price -2 )'!$B$1</c:f>
              <c:strCache>
                <c:ptCount val="1"/>
                <c:pt idx="0">
                  <c:v>Year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-2 )'!$B$2:$C$43</c:f>
              <c:multiLvlStrCache>
                <c:ptCount val="4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'DES (Mobile Price -2 )'!$B$2:$B$43</c:f>
              <c:numCache>
                <c:formatCode>General</c:formatCode>
                <c:ptCount val="42"/>
                <c:pt idx="0">
                  <c:v>2017</c:v>
                </c:pt>
                <c:pt idx="12">
                  <c:v>2018</c:v>
                </c:pt>
                <c:pt idx="24">
                  <c:v>2019</c:v>
                </c:pt>
                <c:pt idx="36">
                  <c:v>2020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D18D-46B4-BA2F-B818C55F4C9C}"/>
            </c:ext>
          </c:extLst>
        </c:ser>
        <c:ser>
          <c:idx val="1"/>
          <c:order val="6"/>
          <c:tx>
            <c:strRef>
              <c:f>'DES (Mobile Price -2 )'!$A$1</c:f>
              <c:strCache>
                <c:ptCount val="1"/>
                <c:pt idx="0">
                  <c:v>Sr.no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-2 )'!$B$2:$C$43</c:f>
              <c:multiLvlStrCache>
                <c:ptCount val="4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'DES (Mobile Price -2 )'!$A$2:$A$43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D18D-46B4-BA2F-B818C55F4C9C}"/>
            </c:ext>
          </c:extLst>
        </c:ser>
        <c:ser>
          <c:idx val="2"/>
          <c:order val="7"/>
          <c:tx>
            <c:strRef>
              <c:f>'DES (Mobile Price -2 )'!$C$1</c:f>
              <c:strCache>
                <c:ptCount val="1"/>
                <c:pt idx="0">
                  <c:v>Monthly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-2 )'!$B$2:$C$43</c:f>
              <c:multiLvlStrCache>
                <c:ptCount val="4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'DES (Mobile Price -2 )'!$C$2:$C$43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0-D18D-46B4-BA2F-B818C55F4C9C}"/>
            </c:ext>
          </c:extLst>
        </c:ser>
        <c:ser>
          <c:idx val="3"/>
          <c:order val="8"/>
          <c:tx>
            <c:strRef>
              <c:f>'DES (Mobile Price -2 )'!$D$1</c:f>
              <c:strCache>
                <c:ptCount val="1"/>
                <c:pt idx="0">
                  <c:v>Price ( Y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-2 )'!$B$2:$C$43</c:f>
              <c:multiLvlStrCache>
                <c:ptCount val="4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</c:lvl>
              </c:multiLvlStrCache>
            </c:multiLvlStrRef>
          </c:cat>
          <c:val>
            <c:numRef>
              <c:f>'DES (Mobile Price -2 )'!$D$2:$D$43</c:f>
              <c:numCache>
                <c:formatCode>General</c:formatCode>
                <c:ptCount val="42"/>
                <c:pt idx="0">
                  <c:v>1027</c:v>
                </c:pt>
                <c:pt idx="1">
                  <c:v>1047</c:v>
                </c:pt>
                <c:pt idx="2">
                  <c:v>1049</c:v>
                </c:pt>
                <c:pt idx="3">
                  <c:v>1018</c:v>
                </c:pt>
                <c:pt idx="4">
                  <c:v>1021</c:v>
                </c:pt>
                <c:pt idx="5">
                  <c:v>1012</c:v>
                </c:pt>
                <c:pt idx="6">
                  <c:v>1018</c:v>
                </c:pt>
                <c:pt idx="7">
                  <c:v>991</c:v>
                </c:pt>
                <c:pt idx="8">
                  <c:v>962</c:v>
                </c:pt>
                <c:pt idx="9">
                  <c:v>921</c:v>
                </c:pt>
                <c:pt idx="10">
                  <c:v>871</c:v>
                </c:pt>
                <c:pt idx="11">
                  <c:v>829</c:v>
                </c:pt>
                <c:pt idx="12">
                  <c:v>822</c:v>
                </c:pt>
                <c:pt idx="13">
                  <c:v>820</c:v>
                </c:pt>
                <c:pt idx="14">
                  <c:v>802</c:v>
                </c:pt>
                <c:pt idx="15">
                  <c:v>821</c:v>
                </c:pt>
                <c:pt idx="16">
                  <c:v>819</c:v>
                </c:pt>
                <c:pt idx="17">
                  <c:v>791</c:v>
                </c:pt>
                <c:pt idx="18">
                  <c:v>746</c:v>
                </c:pt>
                <c:pt idx="19">
                  <c:v>726</c:v>
                </c:pt>
                <c:pt idx="20">
                  <c:v>661</c:v>
                </c:pt>
                <c:pt idx="21">
                  <c:v>620</c:v>
                </c:pt>
                <c:pt idx="22">
                  <c:v>588</c:v>
                </c:pt>
                <c:pt idx="23">
                  <c:v>568</c:v>
                </c:pt>
                <c:pt idx="24">
                  <c:v>542</c:v>
                </c:pt>
                <c:pt idx="25">
                  <c:v>551</c:v>
                </c:pt>
                <c:pt idx="26">
                  <c:v>541</c:v>
                </c:pt>
                <c:pt idx="27">
                  <c:v>557</c:v>
                </c:pt>
                <c:pt idx="28">
                  <c:v>556</c:v>
                </c:pt>
                <c:pt idx="29">
                  <c:v>534</c:v>
                </c:pt>
                <c:pt idx="30">
                  <c:v>528</c:v>
                </c:pt>
                <c:pt idx="31">
                  <c:v>529</c:v>
                </c:pt>
                <c:pt idx="32">
                  <c:v>523</c:v>
                </c:pt>
                <c:pt idx="33">
                  <c:v>531</c:v>
                </c:pt>
                <c:pt idx="34">
                  <c:v>532</c:v>
                </c:pt>
                <c:pt idx="35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8D-46B4-BA2F-B818C55F4C9C}"/>
            </c:ext>
          </c:extLst>
        </c:ser>
        <c:ser>
          <c:idx val="4"/>
          <c:order val="9"/>
          <c:tx>
            <c:strRef>
              <c:f>'DES (Mobile Price -2 )'!$G$1</c:f>
              <c:strCache>
                <c:ptCount val="1"/>
                <c:pt idx="0">
                  <c:v>Forecast ( Ft)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-2 )'!$B$2:$C$43</c:f>
              <c:multiLvlStrCache>
                <c:ptCount val="4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  <c:pt idx="36">
                    <c:v>2020</c:v>
                  </c:pt>
                </c:lvl>
              </c:multiLvlStrCache>
            </c:multiLvlStrRef>
          </c:cat>
          <c:val>
            <c:numRef>
              <c:f>'DES (Mobile Price -2 )'!$G$2:$G$43</c:f>
              <c:numCache>
                <c:formatCode>0</c:formatCode>
                <c:ptCount val="42"/>
                <c:pt idx="1">
                  <c:v>1047</c:v>
                </c:pt>
                <c:pt idx="2">
                  <c:v>1067</c:v>
                </c:pt>
                <c:pt idx="3">
                  <c:v>1064.0500000000002</c:v>
                </c:pt>
                <c:pt idx="4">
                  <c:v>1017.68625</c:v>
                </c:pt>
                <c:pt idx="5">
                  <c:v>1014.6900312500001</c:v>
                </c:pt>
                <c:pt idx="6">
                  <c:v>1005.44733515625</c:v>
                </c:pt>
                <c:pt idx="7">
                  <c:v>1014.4958133007812</c:v>
                </c:pt>
                <c:pt idx="8">
                  <c:v>982.91736436962901</c:v>
                </c:pt>
                <c:pt idx="9">
                  <c:v>944.64071717286367</c:v>
                </c:pt>
                <c:pt idx="10">
                  <c:v>894.00191529488188</c:v>
                </c:pt>
                <c:pt idx="11">
                  <c:v>834.13028101285988</c:v>
                </c:pt>
                <c:pt idx="12">
                  <c:v>787.269166440091</c:v>
                </c:pt>
                <c:pt idx="13">
                  <c:v>789.05060351713701</c:v>
                </c:pt>
                <c:pt idx="14">
                  <c:v>800.77131258391069</c:v>
                </c:pt>
                <c:pt idx="15">
                  <c:v>787.7516110957647</c:v>
                </c:pt>
                <c:pt idx="16">
                  <c:v>816.07922115684289</c:v>
                </c:pt>
                <c:pt idx="17">
                  <c:v>819.86969367434631</c:v>
                </c:pt>
                <c:pt idx="18">
                  <c:v>784.36864474037463</c:v>
                </c:pt>
                <c:pt idx="19">
                  <c:v>724.48681338561971</c:v>
                </c:pt>
                <c:pt idx="20">
                  <c:v>699.14764299351816</c:v>
                </c:pt>
                <c:pt idx="21">
                  <c:v>623.88401916245766</c:v>
                </c:pt>
                <c:pt idx="22">
                  <c:v>576.09376744375402</c:v>
                </c:pt>
                <c:pt idx="23">
                  <c:v>546.78537852235308</c:v>
                </c:pt>
                <c:pt idx="24">
                  <c:v>534.40533431214294</c:v>
                </c:pt>
                <c:pt idx="25">
                  <c:v>513.67606059795071</c:v>
                </c:pt>
                <c:pt idx="26">
                  <c:v>534.07934378669279</c:v>
                </c:pt>
                <c:pt idx="27">
                  <c:v>531.58111515565963</c:v>
                </c:pt>
                <c:pt idx="28">
                  <c:v>555.60940691984922</c:v>
                </c:pt>
                <c:pt idx="29">
                  <c:v>558.52965274354176</c:v>
                </c:pt>
                <c:pt idx="30">
                  <c:v>529.8425872010904</c:v>
                </c:pt>
                <c:pt idx="31">
                  <c:v>519.6564278092593</c:v>
                </c:pt>
                <c:pt idx="32">
                  <c:v>522.94952208154939</c:v>
                </c:pt>
                <c:pt idx="33">
                  <c:v>518.36493933773443</c:v>
                </c:pt>
                <c:pt idx="34">
                  <c:v>529.8471527076249</c:v>
                </c:pt>
                <c:pt idx="35">
                  <c:v>533.33444481236802</c:v>
                </c:pt>
                <c:pt idx="36" formatCode="0.00">
                  <c:v>535.84039958282301</c:v>
                </c:pt>
                <c:pt idx="37" formatCode="0.00">
                  <c:v>537.78063244379086</c:v>
                </c:pt>
                <c:pt idx="38" formatCode="0.00">
                  <c:v>539.72086530475872</c:v>
                </c:pt>
                <c:pt idx="39" formatCode="0.00">
                  <c:v>541.66109816572646</c:v>
                </c:pt>
                <c:pt idx="40" formatCode="0.00">
                  <c:v>543.60133102669431</c:v>
                </c:pt>
                <c:pt idx="41" formatCode="0.00">
                  <c:v>545.54156388766216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8D-46B4-BA2F-B818C55F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02352"/>
        <c:axId val="536633512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'DES (Mobile Price -2 )'!$B$1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'DES (Mobile Price -2 )'!$B$2:$C$43</c15:sqref>
                        </c15:formulaRef>
                      </c:ext>
                    </c:extLst>
                    <c:multiLvlStrCache>
                      <c:ptCount val="42"/>
                      <c:lvl>
                        <c:pt idx="0">
                          <c:v>January</c:v>
                        </c:pt>
                        <c:pt idx="1">
                          <c:v>February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  <c:pt idx="12">
                          <c:v>January</c:v>
                        </c:pt>
                        <c:pt idx="13">
                          <c:v>February</c:v>
                        </c:pt>
                        <c:pt idx="14">
                          <c:v>March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September</c:v>
                        </c:pt>
                        <c:pt idx="21">
                          <c:v>October</c:v>
                        </c:pt>
                        <c:pt idx="22">
                          <c:v>November</c:v>
                        </c:pt>
                        <c:pt idx="23">
                          <c:v>December</c:v>
                        </c:pt>
                        <c:pt idx="24">
                          <c:v>January</c:v>
                        </c:pt>
                        <c:pt idx="25">
                          <c:v>February</c:v>
                        </c:pt>
                        <c:pt idx="26">
                          <c:v>March</c:v>
                        </c:pt>
                        <c:pt idx="27">
                          <c:v>April</c:v>
                        </c:pt>
                        <c:pt idx="28">
                          <c:v>May</c:v>
                        </c:pt>
                        <c:pt idx="29">
                          <c:v>June</c:v>
                        </c:pt>
                        <c:pt idx="30">
                          <c:v>July</c:v>
                        </c:pt>
                        <c:pt idx="31">
                          <c:v>August</c:v>
                        </c:pt>
                        <c:pt idx="32">
                          <c:v>September</c:v>
                        </c:pt>
                        <c:pt idx="33">
                          <c:v>October</c:v>
                        </c:pt>
                        <c:pt idx="34">
                          <c:v>November</c:v>
                        </c:pt>
                        <c:pt idx="35">
                          <c:v>December</c:v>
                        </c:pt>
                        <c:pt idx="36">
                          <c:v>January</c:v>
                        </c:pt>
                        <c:pt idx="37">
                          <c:v>February</c:v>
                        </c:pt>
                        <c:pt idx="38">
                          <c:v>March</c:v>
                        </c:pt>
                        <c:pt idx="39">
                          <c:v>April</c:v>
                        </c:pt>
                        <c:pt idx="40">
                          <c:v>May</c:v>
                        </c:pt>
                        <c:pt idx="41">
                          <c:v>June</c:v>
                        </c:pt>
                      </c:lvl>
                      <c:lvl>
                        <c:pt idx="0">
                          <c:v>2017</c:v>
                        </c:pt>
                        <c:pt idx="12">
                          <c:v>2018</c:v>
                        </c:pt>
                        <c:pt idx="24">
                          <c:v>2019</c:v>
                        </c:pt>
                        <c:pt idx="36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'DES (Mobile Price -2 )'!$B$2:$B$43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2017</c:v>
                      </c:pt>
                      <c:pt idx="12">
                        <c:v>2018</c:v>
                      </c:pt>
                      <c:pt idx="24">
                        <c:v>2019</c:v>
                      </c:pt>
                      <c:pt idx="36">
                        <c:v>2020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D18D-46B4-BA2F-B818C55F4C9C}"/>
                  </c:ext>
                </c:extLst>
              </c15:ser>
            </c15:filteredLineSeries>
            <c15:filteredLine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-2 )'!$A$1</c15:sqref>
                        </c15:formulaRef>
                      </c:ext>
                    </c:extLst>
                    <c:strCache>
                      <c:ptCount val="1"/>
                      <c:pt idx="0">
                        <c:v>Sr.no</c:v>
                      </c:pt>
                    </c:strCache>
                  </c:strRef>
                </c:tx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-2 )'!$B$2:$C$43</c15:sqref>
                        </c15:formulaRef>
                      </c:ext>
                    </c:extLst>
                    <c:multiLvlStrCache>
                      <c:ptCount val="42"/>
                      <c:lvl>
                        <c:pt idx="0">
                          <c:v>January</c:v>
                        </c:pt>
                        <c:pt idx="1">
                          <c:v>February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  <c:pt idx="12">
                          <c:v>January</c:v>
                        </c:pt>
                        <c:pt idx="13">
                          <c:v>February</c:v>
                        </c:pt>
                        <c:pt idx="14">
                          <c:v>March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September</c:v>
                        </c:pt>
                        <c:pt idx="21">
                          <c:v>October</c:v>
                        </c:pt>
                        <c:pt idx="22">
                          <c:v>November</c:v>
                        </c:pt>
                        <c:pt idx="23">
                          <c:v>December</c:v>
                        </c:pt>
                        <c:pt idx="24">
                          <c:v>January</c:v>
                        </c:pt>
                        <c:pt idx="25">
                          <c:v>February</c:v>
                        </c:pt>
                        <c:pt idx="26">
                          <c:v>March</c:v>
                        </c:pt>
                        <c:pt idx="27">
                          <c:v>April</c:v>
                        </c:pt>
                        <c:pt idx="28">
                          <c:v>May</c:v>
                        </c:pt>
                        <c:pt idx="29">
                          <c:v>June</c:v>
                        </c:pt>
                        <c:pt idx="30">
                          <c:v>July</c:v>
                        </c:pt>
                        <c:pt idx="31">
                          <c:v>August</c:v>
                        </c:pt>
                        <c:pt idx="32">
                          <c:v>September</c:v>
                        </c:pt>
                        <c:pt idx="33">
                          <c:v>October</c:v>
                        </c:pt>
                        <c:pt idx="34">
                          <c:v>November</c:v>
                        </c:pt>
                        <c:pt idx="35">
                          <c:v>December</c:v>
                        </c:pt>
                        <c:pt idx="36">
                          <c:v>January</c:v>
                        </c:pt>
                        <c:pt idx="37">
                          <c:v>February</c:v>
                        </c:pt>
                        <c:pt idx="38">
                          <c:v>March</c:v>
                        </c:pt>
                        <c:pt idx="39">
                          <c:v>April</c:v>
                        </c:pt>
                        <c:pt idx="40">
                          <c:v>May</c:v>
                        </c:pt>
                        <c:pt idx="41">
                          <c:v>June</c:v>
                        </c:pt>
                      </c:lvl>
                      <c:lvl>
                        <c:pt idx="0">
                          <c:v>2017</c:v>
                        </c:pt>
                        <c:pt idx="12">
                          <c:v>2018</c:v>
                        </c:pt>
                        <c:pt idx="24">
                          <c:v>2019</c:v>
                        </c:pt>
                        <c:pt idx="36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-2 )'!$A$2:$A$43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18D-46B4-BA2F-B818C55F4C9C}"/>
                  </c:ext>
                </c:extLst>
              </c15:ser>
            </c15:filteredLineSeries>
            <c15:filteredLin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-2 )'!$C$1</c15:sqref>
                        </c15:formulaRef>
                      </c:ext>
                    </c:extLst>
                    <c:strCache>
                      <c:ptCount val="1"/>
                      <c:pt idx="0">
                        <c:v>Monthly</c:v>
                      </c:pt>
                    </c:strCache>
                  </c:strRef>
                </c:tx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-2 )'!$B$2:$C$43</c15:sqref>
                        </c15:formulaRef>
                      </c:ext>
                    </c:extLst>
                    <c:multiLvlStrCache>
                      <c:ptCount val="42"/>
                      <c:lvl>
                        <c:pt idx="0">
                          <c:v>January</c:v>
                        </c:pt>
                        <c:pt idx="1">
                          <c:v>February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  <c:pt idx="12">
                          <c:v>January</c:v>
                        </c:pt>
                        <c:pt idx="13">
                          <c:v>February</c:v>
                        </c:pt>
                        <c:pt idx="14">
                          <c:v>March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September</c:v>
                        </c:pt>
                        <c:pt idx="21">
                          <c:v>October</c:v>
                        </c:pt>
                        <c:pt idx="22">
                          <c:v>November</c:v>
                        </c:pt>
                        <c:pt idx="23">
                          <c:v>December</c:v>
                        </c:pt>
                        <c:pt idx="24">
                          <c:v>January</c:v>
                        </c:pt>
                        <c:pt idx="25">
                          <c:v>February</c:v>
                        </c:pt>
                        <c:pt idx="26">
                          <c:v>March</c:v>
                        </c:pt>
                        <c:pt idx="27">
                          <c:v>April</c:v>
                        </c:pt>
                        <c:pt idx="28">
                          <c:v>May</c:v>
                        </c:pt>
                        <c:pt idx="29">
                          <c:v>June</c:v>
                        </c:pt>
                        <c:pt idx="30">
                          <c:v>July</c:v>
                        </c:pt>
                        <c:pt idx="31">
                          <c:v>August</c:v>
                        </c:pt>
                        <c:pt idx="32">
                          <c:v>September</c:v>
                        </c:pt>
                        <c:pt idx="33">
                          <c:v>October</c:v>
                        </c:pt>
                        <c:pt idx="34">
                          <c:v>November</c:v>
                        </c:pt>
                        <c:pt idx="35">
                          <c:v>December</c:v>
                        </c:pt>
                        <c:pt idx="36">
                          <c:v>January</c:v>
                        </c:pt>
                        <c:pt idx="37">
                          <c:v>February</c:v>
                        </c:pt>
                        <c:pt idx="38">
                          <c:v>March</c:v>
                        </c:pt>
                        <c:pt idx="39">
                          <c:v>April</c:v>
                        </c:pt>
                        <c:pt idx="40">
                          <c:v>May</c:v>
                        </c:pt>
                        <c:pt idx="41">
                          <c:v>June</c:v>
                        </c:pt>
                      </c:lvl>
                      <c:lvl>
                        <c:pt idx="0">
                          <c:v>2017</c:v>
                        </c:pt>
                        <c:pt idx="12">
                          <c:v>2018</c:v>
                        </c:pt>
                        <c:pt idx="24">
                          <c:v>2019</c:v>
                        </c:pt>
                        <c:pt idx="36">
                          <c:v>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18D-46B4-BA2F-B818C55F4C9C}"/>
                  </c:ext>
                </c:extLst>
              </c15:ser>
            </c15:filteredLineSeries>
          </c:ext>
        </c:extLst>
      </c:lineChart>
      <c:catAx>
        <c:axId val="5366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33512"/>
        <c:crosses val="autoZero"/>
        <c:auto val="1"/>
        <c:lblAlgn val="ctr"/>
        <c:lblOffset val="100"/>
        <c:noMultiLvlLbl val="0"/>
      </c:catAx>
      <c:valAx>
        <c:axId val="536633512"/>
        <c:scaling>
          <c:orientation val="minMax"/>
          <c:max val="11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2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 (Mobile Price -2 )'!$D$1</c:f>
              <c:strCache>
                <c:ptCount val="1"/>
                <c:pt idx="0">
                  <c:v>Price ( Y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-2 )'!$B$2:$C$37</c:f>
              <c:multiLvlStrCache>
                <c:ptCount val="36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'DES (Mobile Price -2 )'!$D$2:$D$37</c:f>
              <c:numCache>
                <c:formatCode>General</c:formatCode>
                <c:ptCount val="36"/>
                <c:pt idx="0">
                  <c:v>1027</c:v>
                </c:pt>
                <c:pt idx="1">
                  <c:v>1047</c:v>
                </c:pt>
                <c:pt idx="2">
                  <c:v>1049</c:v>
                </c:pt>
                <c:pt idx="3">
                  <c:v>1018</c:v>
                </c:pt>
                <c:pt idx="4">
                  <c:v>1021</c:v>
                </c:pt>
                <c:pt idx="5">
                  <c:v>1012</c:v>
                </c:pt>
                <c:pt idx="6">
                  <c:v>1018</c:v>
                </c:pt>
                <c:pt idx="7">
                  <c:v>991</c:v>
                </c:pt>
                <c:pt idx="8">
                  <c:v>962</c:v>
                </c:pt>
                <c:pt idx="9">
                  <c:v>921</c:v>
                </c:pt>
                <c:pt idx="10">
                  <c:v>871</c:v>
                </c:pt>
                <c:pt idx="11">
                  <c:v>829</c:v>
                </c:pt>
                <c:pt idx="12">
                  <c:v>822</c:v>
                </c:pt>
                <c:pt idx="13">
                  <c:v>820</c:v>
                </c:pt>
                <c:pt idx="14">
                  <c:v>802</c:v>
                </c:pt>
                <c:pt idx="15">
                  <c:v>821</c:v>
                </c:pt>
                <c:pt idx="16">
                  <c:v>819</c:v>
                </c:pt>
                <c:pt idx="17">
                  <c:v>791</c:v>
                </c:pt>
                <c:pt idx="18">
                  <c:v>746</c:v>
                </c:pt>
                <c:pt idx="19">
                  <c:v>726</c:v>
                </c:pt>
                <c:pt idx="20">
                  <c:v>661</c:v>
                </c:pt>
                <c:pt idx="21">
                  <c:v>620</c:v>
                </c:pt>
                <c:pt idx="22">
                  <c:v>588</c:v>
                </c:pt>
                <c:pt idx="23">
                  <c:v>568</c:v>
                </c:pt>
                <c:pt idx="24">
                  <c:v>542</c:v>
                </c:pt>
                <c:pt idx="25">
                  <c:v>551</c:v>
                </c:pt>
                <c:pt idx="26">
                  <c:v>541</c:v>
                </c:pt>
                <c:pt idx="27">
                  <c:v>557</c:v>
                </c:pt>
                <c:pt idx="28">
                  <c:v>556</c:v>
                </c:pt>
                <c:pt idx="29">
                  <c:v>534</c:v>
                </c:pt>
                <c:pt idx="30">
                  <c:v>528</c:v>
                </c:pt>
                <c:pt idx="31">
                  <c:v>529</c:v>
                </c:pt>
                <c:pt idx="32">
                  <c:v>523</c:v>
                </c:pt>
                <c:pt idx="33">
                  <c:v>531</c:v>
                </c:pt>
                <c:pt idx="34">
                  <c:v>532</c:v>
                </c:pt>
                <c:pt idx="35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A-488D-8E30-E19904A4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58768"/>
        <c:axId val="536655160"/>
      </c:lineChart>
      <c:catAx>
        <c:axId val="5366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55160"/>
        <c:crosses val="autoZero"/>
        <c:auto val="1"/>
        <c:lblAlgn val="ctr"/>
        <c:lblOffset val="100"/>
        <c:noMultiLvlLbl val="0"/>
      </c:catAx>
      <c:valAx>
        <c:axId val="53665516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5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3"/>
          <c:tx>
            <c:strRef>
              <c:f>'DES (Mobile Price -2 ) (2)'!$D$1</c:f>
              <c:strCache>
                <c:ptCount val="1"/>
                <c:pt idx="0">
                  <c:v>Sales ( Y )</c:v>
                </c:pt>
              </c:strCache>
            </c:strRef>
          </c:tx>
          <c:marker>
            <c:symbol val="none"/>
          </c:marker>
          <c:cat>
            <c:multiLvlStrRef>
              <c:f>'DES (Mobile Price -2 ) (2)'!$B$2:$C$31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'DES (Mobile Price -2 ) (2)'!$D$2:$D$31</c:f>
              <c:numCache>
                <c:formatCode>General</c:formatCode>
                <c:ptCount val="30"/>
                <c:pt idx="0">
                  <c:v>1027</c:v>
                </c:pt>
                <c:pt idx="1">
                  <c:v>1047</c:v>
                </c:pt>
                <c:pt idx="2">
                  <c:v>1049</c:v>
                </c:pt>
                <c:pt idx="3">
                  <c:v>1018</c:v>
                </c:pt>
                <c:pt idx="4">
                  <c:v>1021</c:v>
                </c:pt>
                <c:pt idx="5">
                  <c:v>1012</c:v>
                </c:pt>
                <c:pt idx="6">
                  <c:v>1018</c:v>
                </c:pt>
                <c:pt idx="7">
                  <c:v>991</c:v>
                </c:pt>
                <c:pt idx="8">
                  <c:v>962</c:v>
                </c:pt>
                <c:pt idx="9">
                  <c:v>921</c:v>
                </c:pt>
                <c:pt idx="10">
                  <c:v>871</c:v>
                </c:pt>
                <c:pt idx="11">
                  <c:v>829</c:v>
                </c:pt>
                <c:pt idx="12">
                  <c:v>822</c:v>
                </c:pt>
                <c:pt idx="13">
                  <c:v>820</c:v>
                </c:pt>
                <c:pt idx="14">
                  <c:v>802</c:v>
                </c:pt>
                <c:pt idx="15">
                  <c:v>821</c:v>
                </c:pt>
                <c:pt idx="16">
                  <c:v>819</c:v>
                </c:pt>
                <c:pt idx="17">
                  <c:v>791</c:v>
                </c:pt>
                <c:pt idx="18">
                  <c:v>746</c:v>
                </c:pt>
                <c:pt idx="19">
                  <c:v>726</c:v>
                </c:pt>
                <c:pt idx="20">
                  <c:v>661</c:v>
                </c:pt>
                <c:pt idx="21">
                  <c:v>620</c:v>
                </c:pt>
                <c:pt idx="22">
                  <c:v>588</c:v>
                </c:pt>
                <c:pt idx="23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5-4CF2-9362-3E8BA48B1464}"/>
            </c:ext>
          </c:extLst>
        </c:ser>
        <c:ser>
          <c:idx val="9"/>
          <c:order val="4"/>
          <c:tx>
            <c:strRef>
              <c:f>'DES (Mobile Price -2 ) (2)'!$H$1</c:f>
              <c:strCache>
                <c:ptCount val="1"/>
                <c:pt idx="0">
                  <c:v>Forecast ( Ft)</c:v>
                </c:pt>
              </c:strCache>
            </c:strRef>
          </c:tx>
          <c:marker>
            <c:symbol val="none"/>
          </c:marker>
          <c:cat>
            <c:multiLvlStrRef>
              <c:f>'DES (Mobile Price -2 ) (2)'!$B$2:$C$31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'DES (Mobile Price -2 ) (2)'!$H$2:$H$31</c:f>
              <c:numCache>
                <c:formatCode>0</c:formatCode>
                <c:ptCount val="30"/>
                <c:pt idx="1">
                  <c:v>1047</c:v>
                </c:pt>
                <c:pt idx="2">
                  <c:v>1067</c:v>
                </c:pt>
                <c:pt idx="3">
                  <c:v>1064.0500000000002</c:v>
                </c:pt>
                <c:pt idx="4">
                  <c:v>1017.68625</c:v>
                </c:pt>
                <c:pt idx="5">
                  <c:v>1014.6900312500001</c:v>
                </c:pt>
                <c:pt idx="6">
                  <c:v>1005.44733515625</c:v>
                </c:pt>
                <c:pt idx="7">
                  <c:v>1014.4958133007812</c:v>
                </c:pt>
                <c:pt idx="8">
                  <c:v>982.91736436962901</c:v>
                </c:pt>
                <c:pt idx="9">
                  <c:v>944.64071717286367</c:v>
                </c:pt>
                <c:pt idx="10">
                  <c:v>894.00191529488188</c:v>
                </c:pt>
                <c:pt idx="11">
                  <c:v>834.13028101285988</c:v>
                </c:pt>
                <c:pt idx="12">
                  <c:v>787.269166440091</c:v>
                </c:pt>
                <c:pt idx="13">
                  <c:v>789.05060351713701</c:v>
                </c:pt>
                <c:pt idx="14">
                  <c:v>800.77131258391069</c:v>
                </c:pt>
                <c:pt idx="15">
                  <c:v>787.7516110957647</c:v>
                </c:pt>
                <c:pt idx="16">
                  <c:v>816.07922115684289</c:v>
                </c:pt>
                <c:pt idx="17">
                  <c:v>819.86969367434631</c:v>
                </c:pt>
                <c:pt idx="18">
                  <c:v>784.36864474037463</c:v>
                </c:pt>
                <c:pt idx="19">
                  <c:v>724.48681338561971</c:v>
                </c:pt>
                <c:pt idx="20">
                  <c:v>699.14764299351816</c:v>
                </c:pt>
                <c:pt idx="21">
                  <c:v>623.88401916245766</c:v>
                </c:pt>
                <c:pt idx="22">
                  <c:v>576.09376744375402</c:v>
                </c:pt>
                <c:pt idx="23">
                  <c:v>546.78537852235308</c:v>
                </c:pt>
                <c:pt idx="24" formatCode="0.00">
                  <c:v>534.40533431214294</c:v>
                </c:pt>
                <c:pt idx="25" formatCode="0.00">
                  <c:v>503.99286184593279</c:v>
                </c:pt>
                <c:pt idx="26" formatCode="0.00">
                  <c:v>473.5803893797227</c:v>
                </c:pt>
                <c:pt idx="27" formatCode="0.00">
                  <c:v>443.16791691351261</c:v>
                </c:pt>
                <c:pt idx="28" formatCode="0.00">
                  <c:v>412.75544444730252</c:v>
                </c:pt>
                <c:pt idx="29" formatCode="0.00">
                  <c:v>382.34297198109243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5-4CF2-9362-3E8BA48B1464}"/>
            </c:ext>
          </c:extLst>
        </c:ser>
        <c:ser>
          <c:idx val="0"/>
          <c:order val="5"/>
          <c:tx>
            <c:strRef>
              <c:f>'DES (Mobile Price -2 ) (2)'!$B$1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 (2)'!$B$2:$C$31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'DES (Mobile Price -2 ) (2)'!$B$2:$B$31</c:f>
              <c:numCache>
                <c:formatCode>General</c:formatCode>
                <c:ptCount val="30"/>
                <c:pt idx="0">
                  <c:v>2017</c:v>
                </c:pt>
                <c:pt idx="12">
                  <c:v>2018</c:v>
                </c:pt>
                <c:pt idx="24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5-4CF2-9362-3E8BA48B1464}"/>
            </c:ext>
          </c:extLst>
        </c:ser>
        <c:ser>
          <c:idx val="1"/>
          <c:order val="6"/>
          <c:tx>
            <c:strRef>
              <c:f>'DES (Mobile Price -2 ) (2)'!$A$1</c:f>
              <c:strCache>
                <c:ptCount val="1"/>
                <c:pt idx="0">
                  <c:v>Sr.no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 (2)'!$B$2:$C$31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'DES (Mobile Price -2 ) (2)'!$A$2:$A$31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5-4CF2-9362-3E8BA48B1464}"/>
            </c:ext>
          </c:extLst>
        </c:ser>
        <c:ser>
          <c:idx val="2"/>
          <c:order val="7"/>
          <c:tx>
            <c:strRef>
              <c:f>'DES (Mobile Price -2 ) (2)'!$C$1</c:f>
              <c:strCache>
                <c:ptCount val="1"/>
                <c:pt idx="0">
                  <c:v>Monthly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 (2)'!$B$2:$C$31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'DES (Mobile Price -2 ) (2)'!$C$2:$C$31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5-4CF2-9362-3E8BA48B1464}"/>
            </c:ext>
          </c:extLst>
        </c:ser>
        <c:ser>
          <c:idx val="3"/>
          <c:order val="8"/>
          <c:tx>
            <c:strRef>
              <c:f>'DES (Mobile Price -2 ) (2)'!$D$1</c:f>
              <c:strCache>
                <c:ptCount val="1"/>
                <c:pt idx="0">
                  <c:v>Sales ( Y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 (2)'!$B$2:$C$31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'DES (Mobile Price -2 ) (2)'!$D$2:$D$31</c:f>
              <c:numCache>
                <c:formatCode>General</c:formatCode>
                <c:ptCount val="30"/>
                <c:pt idx="0">
                  <c:v>1027</c:v>
                </c:pt>
                <c:pt idx="1">
                  <c:v>1047</c:v>
                </c:pt>
                <c:pt idx="2">
                  <c:v>1049</c:v>
                </c:pt>
                <c:pt idx="3">
                  <c:v>1018</c:v>
                </c:pt>
                <c:pt idx="4">
                  <c:v>1021</c:v>
                </c:pt>
                <c:pt idx="5">
                  <c:v>1012</c:v>
                </c:pt>
                <c:pt idx="6">
                  <c:v>1018</c:v>
                </c:pt>
                <c:pt idx="7">
                  <c:v>991</c:v>
                </c:pt>
                <c:pt idx="8">
                  <c:v>962</c:v>
                </c:pt>
                <c:pt idx="9">
                  <c:v>921</c:v>
                </c:pt>
                <c:pt idx="10">
                  <c:v>871</c:v>
                </c:pt>
                <c:pt idx="11">
                  <c:v>829</c:v>
                </c:pt>
                <c:pt idx="12">
                  <c:v>822</c:v>
                </c:pt>
                <c:pt idx="13">
                  <c:v>820</c:v>
                </c:pt>
                <c:pt idx="14">
                  <c:v>802</c:v>
                </c:pt>
                <c:pt idx="15">
                  <c:v>821</c:v>
                </c:pt>
                <c:pt idx="16">
                  <c:v>819</c:v>
                </c:pt>
                <c:pt idx="17">
                  <c:v>791</c:v>
                </c:pt>
                <c:pt idx="18">
                  <c:v>746</c:v>
                </c:pt>
                <c:pt idx="19">
                  <c:v>726</c:v>
                </c:pt>
                <c:pt idx="20">
                  <c:v>661</c:v>
                </c:pt>
                <c:pt idx="21">
                  <c:v>620</c:v>
                </c:pt>
                <c:pt idx="22">
                  <c:v>588</c:v>
                </c:pt>
                <c:pt idx="23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5-4CF2-9362-3E8BA48B1464}"/>
            </c:ext>
          </c:extLst>
        </c:ser>
        <c:ser>
          <c:idx val="4"/>
          <c:order val="9"/>
          <c:tx>
            <c:strRef>
              <c:f>'DES (Mobile Price -2 ) (2)'!$H$1</c:f>
              <c:strCache>
                <c:ptCount val="1"/>
                <c:pt idx="0">
                  <c:v>Forecast ( Ft)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'DES (Mobile Price -2 ) (2)'!$B$2:$C$31</c:f>
              <c:multiLvlStrCache>
                <c:ptCount val="30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'DES (Mobile Price -2 ) (2)'!$H$2:$H$31</c:f>
              <c:numCache>
                <c:formatCode>0</c:formatCode>
                <c:ptCount val="30"/>
                <c:pt idx="1">
                  <c:v>1047</c:v>
                </c:pt>
                <c:pt idx="2">
                  <c:v>1067</c:v>
                </c:pt>
                <c:pt idx="3">
                  <c:v>1064.0500000000002</c:v>
                </c:pt>
                <c:pt idx="4">
                  <c:v>1017.68625</c:v>
                </c:pt>
                <c:pt idx="5">
                  <c:v>1014.6900312500001</c:v>
                </c:pt>
                <c:pt idx="6">
                  <c:v>1005.44733515625</c:v>
                </c:pt>
                <c:pt idx="7">
                  <c:v>1014.4958133007812</c:v>
                </c:pt>
                <c:pt idx="8">
                  <c:v>982.91736436962901</c:v>
                </c:pt>
                <c:pt idx="9">
                  <c:v>944.64071717286367</c:v>
                </c:pt>
                <c:pt idx="10">
                  <c:v>894.00191529488188</c:v>
                </c:pt>
                <c:pt idx="11">
                  <c:v>834.13028101285988</c:v>
                </c:pt>
                <c:pt idx="12">
                  <c:v>787.269166440091</c:v>
                </c:pt>
                <c:pt idx="13">
                  <c:v>789.05060351713701</c:v>
                </c:pt>
                <c:pt idx="14">
                  <c:v>800.77131258391069</c:v>
                </c:pt>
                <c:pt idx="15">
                  <c:v>787.7516110957647</c:v>
                </c:pt>
                <c:pt idx="16">
                  <c:v>816.07922115684289</c:v>
                </c:pt>
                <c:pt idx="17">
                  <c:v>819.86969367434631</c:v>
                </c:pt>
                <c:pt idx="18">
                  <c:v>784.36864474037463</c:v>
                </c:pt>
                <c:pt idx="19">
                  <c:v>724.48681338561971</c:v>
                </c:pt>
                <c:pt idx="20">
                  <c:v>699.14764299351816</c:v>
                </c:pt>
                <c:pt idx="21">
                  <c:v>623.88401916245766</c:v>
                </c:pt>
                <c:pt idx="22">
                  <c:v>576.09376744375402</c:v>
                </c:pt>
                <c:pt idx="23">
                  <c:v>546.78537852235308</c:v>
                </c:pt>
                <c:pt idx="24" formatCode="0.00">
                  <c:v>534.40533431214294</c:v>
                </c:pt>
                <c:pt idx="25" formatCode="0.00">
                  <c:v>503.99286184593279</c:v>
                </c:pt>
                <c:pt idx="26" formatCode="0.00">
                  <c:v>473.5803893797227</c:v>
                </c:pt>
                <c:pt idx="27" formatCode="0.00">
                  <c:v>443.16791691351261</c:v>
                </c:pt>
                <c:pt idx="28" formatCode="0.00">
                  <c:v>412.75544444730252</c:v>
                </c:pt>
                <c:pt idx="29" formatCode="0.00">
                  <c:v>382.34297198109243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A5-4CF2-9362-3E8BA48B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02352"/>
        <c:axId val="536633512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'DES (Mobile Price -2 ) (2)'!$B$1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'DES (Mobile Price -2 ) (2)'!$B$2:$C$31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January</c:v>
                        </c:pt>
                        <c:pt idx="1">
                          <c:v>February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  <c:pt idx="12">
                          <c:v>January</c:v>
                        </c:pt>
                        <c:pt idx="13">
                          <c:v>February</c:v>
                        </c:pt>
                        <c:pt idx="14">
                          <c:v>March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September</c:v>
                        </c:pt>
                        <c:pt idx="21">
                          <c:v>October</c:v>
                        </c:pt>
                        <c:pt idx="22">
                          <c:v>November</c:v>
                        </c:pt>
                        <c:pt idx="23">
                          <c:v>December</c:v>
                        </c:pt>
                        <c:pt idx="24">
                          <c:v>January</c:v>
                        </c:pt>
                        <c:pt idx="25">
                          <c:v>February</c:v>
                        </c:pt>
                        <c:pt idx="26">
                          <c:v>March</c:v>
                        </c:pt>
                        <c:pt idx="27">
                          <c:v>April</c:v>
                        </c:pt>
                        <c:pt idx="28">
                          <c:v>May</c:v>
                        </c:pt>
                        <c:pt idx="29">
                          <c:v>June</c:v>
                        </c:pt>
                      </c:lvl>
                      <c:lvl>
                        <c:pt idx="0">
                          <c:v>2017</c:v>
                        </c:pt>
                        <c:pt idx="12">
                          <c:v>2018</c:v>
                        </c:pt>
                        <c:pt idx="24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'DES (Mobile Price -2 ) (2)'!$B$2:$B$31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2017</c:v>
                      </c:pt>
                      <c:pt idx="12">
                        <c:v>2018</c:v>
                      </c:pt>
                      <c:pt idx="24">
                        <c:v>2019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AA5-4CF2-9362-3E8BA48B1464}"/>
                  </c:ext>
                </c:extLst>
              </c15:ser>
            </c15:filteredLineSeries>
            <c15:filteredLine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 (2)'!$A$1</c15:sqref>
                        </c15:formulaRef>
                      </c:ext>
                    </c:extLst>
                    <c:strCache>
                      <c:ptCount val="1"/>
                      <c:pt idx="0">
                        <c:v>Sr.no</c:v>
                      </c:pt>
                    </c:strCache>
                  </c:strRef>
                </c:tx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 (2)'!$B$2:$C$31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January</c:v>
                        </c:pt>
                        <c:pt idx="1">
                          <c:v>February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  <c:pt idx="12">
                          <c:v>January</c:v>
                        </c:pt>
                        <c:pt idx="13">
                          <c:v>February</c:v>
                        </c:pt>
                        <c:pt idx="14">
                          <c:v>March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September</c:v>
                        </c:pt>
                        <c:pt idx="21">
                          <c:v>October</c:v>
                        </c:pt>
                        <c:pt idx="22">
                          <c:v>November</c:v>
                        </c:pt>
                        <c:pt idx="23">
                          <c:v>December</c:v>
                        </c:pt>
                        <c:pt idx="24">
                          <c:v>January</c:v>
                        </c:pt>
                        <c:pt idx="25">
                          <c:v>February</c:v>
                        </c:pt>
                        <c:pt idx="26">
                          <c:v>March</c:v>
                        </c:pt>
                        <c:pt idx="27">
                          <c:v>April</c:v>
                        </c:pt>
                        <c:pt idx="28">
                          <c:v>May</c:v>
                        </c:pt>
                        <c:pt idx="29">
                          <c:v>June</c:v>
                        </c:pt>
                      </c:lvl>
                      <c:lvl>
                        <c:pt idx="0">
                          <c:v>2017</c:v>
                        </c:pt>
                        <c:pt idx="12">
                          <c:v>2018</c:v>
                        </c:pt>
                        <c:pt idx="24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 (2)'!$A$2:$A$31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A5-4CF2-9362-3E8BA48B1464}"/>
                  </c:ext>
                </c:extLst>
              </c15:ser>
            </c15:filteredLineSeries>
            <c15:filteredLin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 (2)'!$C$1</c15:sqref>
                        </c15:formulaRef>
                      </c:ext>
                    </c:extLst>
                    <c:strCache>
                      <c:ptCount val="1"/>
                      <c:pt idx="0">
                        <c:v>Monthly</c:v>
                      </c:pt>
                    </c:strCache>
                  </c:strRef>
                </c:tx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 (2)'!$B$2:$C$31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January</c:v>
                        </c:pt>
                        <c:pt idx="1">
                          <c:v>February</c:v>
                        </c:pt>
                        <c:pt idx="2">
                          <c:v>March</c:v>
                        </c:pt>
                        <c:pt idx="3">
                          <c:v>April</c:v>
                        </c:pt>
                        <c:pt idx="4">
                          <c:v>May</c:v>
                        </c:pt>
                        <c:pt idx="5">
                          <c:v>June</c:v>
                        </c:pt>
                        <c:pt idx="6">
                          <c:v>July</c:v>
                        </c:pt>
                        <c:pt idx="7">
                          <c:v>August</c:v>
                        </c:pt>
                        <c:pt idx="8">
                          <c:v>September</c:v>
                        </c:pt>
                        <c:pt idx="9">
                          <c:v>October</c:v>
                        </c:pt>
                        <c:pt idx="10">
                          <c:v>November</c:v>
                        </c:pt>
                        <c:pt idx="11">
                          <c:v>December</c:v>
                        </c:pt>
                        <c:pt idx="12">
                          <c:v>January</c:v>
                        </c:pt>
                        <c:pt idx="13">
                          <c:v>February</c:v>
                        </c:pt>
                        <c:pt idx="14">
                          <c:v>March</c:v>
                        </c:pt>
                        <c:pt idx="15">
                          <c:v>April</c:v>
                        </c:pt>
                        <c:pt idx="16">
                          <c:v>May</c:v>
                        </c:pt>
                        <c:pt idx="17">
                          <c:v>June</c:v>
                        </c:pt>
                        <c:pt idx="18">
                          <c:v>July</c:v>
                        </c:pt>
                        <c:pt idx="19">
                          <c:v>August</c:v>
                        </c:pt>
                        <c:pt idx="20">
                          <c:v>September</c:v>
                        </c:pt>
                        <c:pt idx="21">
                          <c:v>October</c:v>
                        </c:pt>
                        <c:pt idx="22">
                          <c:v>November</c:v>
                        </c:pt>
                        <c:pt idx="23">
                          <c:v>December</c:v>
                        </c:pt>
                        <c:pt idx="24">
                          <c:v>January</c:v>
                        </c:pt>
                        <c:pt idx="25">
                          <c:v>February</c:v>
                        </c:pt>
                        <c:pt idx="26">
                          <c:v>March</c:v>
                        </c:pt>
                        <c:pt idx="27">
                          <c:v>April</c:v>
                        </c:pt>
                        <c:pt idx="28">
                          <c:v>May</c:v>
                        </c:pt>
                        <c:pt idx="29">
                          <c:v>June</c:v>
                        </c:pt>
                      </c:lvl>
                      <c:lvl>
                        <c:pt idx="0">
                          <c:v>2017</c:v>
                        </c:pt>
                        <c:pt idx="12">
                          <c:v>2018</c:v>
                        </c:pt>
                        <c:pt idx="24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'DES (Mobile Price -2 ) (2)'!$C$2:$C$31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A5-4CF2-9362-3E8BA48B1464}"/>
                  </c:ext>
                </c:extLst>
              </c15:ser>
            </c15:filteredLineSeries>
          </c:ext>
        </c:extLst>
      </c:lineChart>
      <c:catAx>
        <c:axId val="5366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33512"/>
        <c:crosses val="autoZero"/>
        <c:auto val="1"/>
        <c:lblAlgn val="ctr"/>
        <c:lblOffset val="100"/>
        <c:noMultiLvlLbl val="0"/>
      </c:catAx>
      <c:valAx>
        <c:axId val="536633512"/>
        <c:scaling>
          <c:orientation val="minMax"/>
          <c:max val="11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023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57150</xdr:rowOff>
    </xdr:from>
    <xdr:to>
      <xdr:col>21</xdr:col>
      <xdr:colOff>409575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500062</xdr:colOff>
      <xdr:row>15</xdr:row>
      <xdr:rowOff>160337</xdr:rowOff>
    </xdr:from>
    <xdr:to>
      <xdr:col>21</xdr:col>
      <xdr:colOff>412749</xdr:colOff>
      <xdr:row>30</xdr:row>
      <xdr:rowOff>46037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11</xdr:row>
      <xdr:rowOff>0</xdr:rowOff>
    </xdr:from>
    <xdr:to>
      <xdr:col>25</xdr:col>
      <xdr:colOff>217945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9525</xdr:rowOff>
    </xdr:from>
    <xdr:to>
      <xdr:col>16</xdr:col>
      <xdr:colOff>457200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</xdr:colOff>
      <xdr:row>3</xdr:row>
      <xdr:rowOff>152400</xdr:rowOff>
    </xdr:from>
    <xdr:to>
      <xdr:col>24</xdr:col>
      <xdr:colOff>338137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230822</xdr:colOff>
      <xdr:row>35</xdr:row>
      <xdr:rowOff>78008</xdr:rowOff>
    </xdr:from>
    <xdr:to>
      <xdr:col>18</xdr:col>
      <xdr:colOff>319292</xdr:colOff>
      <xdr:row>47</xdr:row>
      <xdr:rowOff>189783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218337</xdr:colOff>
      <xdr:row>20</xdr:row>
      <xdr:rowOff>54004</xdr:rowOff>
    </xdr:from>
    <xdr:to>
      <xdr:col>18</xdr:col>
      <xdr:colOff>327318</xdr:colOff>
      <xdr:row>34</xdr:row>
      <xdr:rowOff>154015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207009</xdr:colOff>
      <xdr:row>33</xdr:row>
      <xdr:rowOff>174392</xdr:rowOff>
    </xdr:from>
    <xdr:to>
      <xdr:col>21</xdr:col>
      <xdr:colOff>168910</xdr:colOff>
      <xdr:row>51</xdr:row>
      <xdr:rowOff>21986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19299</xdr:colOff>
      <xdr:row>20</xdr:row>
      <xdr:rowOff>73025</xdr:rowOff>
    </xdr:from>
    <xdr:to>
      <xdr:col>20</xdr:col>
      <xdr:colOff>570085</xdr:colOff>
      <xdr:row>34</xdr:row>
      <xdr:rowOff>149224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177851</xdr:colOff>
      <xdr:row>35</xdr:row>
      <xdr:rowOff>68035</xdr:rowOff>
    </xdr:from>
    <xdr:to>
      <xdr:col>21</xdr:col>
      <xdr:colOff>334139</xdr:colOff>
      <xdr:row>48</xdr:row>
      <xdr:rowOff>90021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19299</xdr:colOff>
      <xdr:row>20</xdr:row>
      <xdr:rowOff>73025</xdr:rowOff>
    </xdr:from>
    <xdr:to>
      <xdr:col>21</xdr:col>
      <xdr:colOff>570085</xdr:colOff>
      <xdr:row>34</xdr:row>
      <xdr:rowOff>106913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22</xdr:row>
      <xdr:rowOff>85725</xdr:rowOff>
    </xdr:from>
    <xdr:to>
      <xdr:col>6</xdr:col>
      <xdr:colOff>771525</xdr:colOff>
      <xdr:row>36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22</xdr:row>
      <xdr:rowOff>76200</xdr:rowOff>
    </xdr:from>
    <xdr:to>
      <xdr:col>15</xdr:col>
      <xdr:colOff>133350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17</xdr:row>
      <xdr:rowOff>57150</xdr:rowOff>
    </xdr:from>
    <xdr:to>
      <xdr:col>13</xdr:col>
      <xdr:colOff>561975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17</xdr:row>
      <xdr:rowOff>76199</xdr:rowOff>
    </xdr:from>
    <xdr:to>
      <xdr:col>21</xdr:col>
      <xdr:colOff>295275</xdr:colOff>
      <xdr:row>31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184356</xdr:colOff>
      <xdr:row>7</xdr:row>
      <xdr:rowOff>153774</xdr:rowOff>
    </xdr:from>
    <xdr:to>
      <xdr:col>14</xdr:col>
      <xdr:colOff>166731</xdr:colOff>
      <xdr:row>10</xdr:row>
      <xdr:rowOff>171745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6675" y="1498028"/>
          <a:ext cx="2993504" cy="594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135148</xdr:colOff>
      <xdr:row>10</xdr:row>
      <xdr:rowOff>135803</xdr:rowOff>
    </xdr:from>
    <xdr:to>
      <xdr:col>16</xdr:col>
      <xdr:colOff>498696</xdr:colOff>
      <xdr:row>14</xdr:row>
      <xdr:rowOff>137960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467" y="2056166"/>
          <a:ext cx="4588346" cy="770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</xdr:row>
      <xdr:rowOff>57150</xdr:rowOff>
    </xdr:from>
    <xdr:to>
      <xdr:col>18</xdr:col>
      <xdr:colOff>104775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133350</xdr:colOff>
      <xdr:row>7</xdr:row>
      <xdr:rowOff>76200</xdr:rowOff>
    </xdr:from>
    <xdr:to>
      <xdr:col>25</xdr:col>
      <xdr:colOff>438150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11</xdr:row>
      <xdr:rowOff>0</xdr:rowOff>
    </xdr:from>
    <xdr:to>
      <xdr:col>25</xdr:col>
      <xdr:colOff>38100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opLeftCell="G1" zoomScale="175" zoomScaleNormal="175" workbookViewId="0">
      <pane ySplit="1" topLeftCell="A2" activePane="bottomLeft" state="frozen"/>
      <selection pane="bottomLeft" activeCell="L9" sqref="L9"/>
    </sheetView>
  </sheetViews>
  <sheetFormatPr defaultRowHeight="15"/>
  <cols>
    <col min="1" max="1" width="5.5703125" bestFit="1" customWidth="1"/>
    <col min="2" max="2" width="5.42578125" bestFit="1" customWidth="1"/>
    <col min="3" max="3" width="10.85546875" bestFit="1" customWidth="1"/>
    <col min="4" max="4" width="15.28515625" bestFit="1" customWidth="1"/>
    <col min="5" max="5" width="9" hidden="1" customWidth="1"/>
    <col min="6" max="6" width="11.28515625" bestFit="1" customWidth="1"/>
    <col min="7" max="7" width="6.7109375" bestFit="1" customWidth="1"/>
    <col min="8" max="8" width="8.140625" bestFit="1" customWidth="1"/>
    <col min="9" max="9" width="6.28515625" bestFit="1" customWidth="1"/>
    <col min="10" max="10" width="6.140625" style="17" customWidth="1"/>
    <col min="11" max="11" width="53.140625" bestFit="1" customWidth="1"/>
    <col min="12" max="12" width="15.5703125" bestFit="1" customWidth="1"/>
  </cols>
  <sheetData>
    <row r="1" spans="1:12">
      <c r="A1" s="6" t="s">
        <v>22</v>
      </c>
      <c r="B1" s="6" t="s">
        <v>17</v>
      </c>
      <c r="C1" s="12" t="s">
        <v>4</v>
      </c>
      <c r="D1" s="6" t="s">
        <v>66</v>
      </c>
      <c r="E1" s="19" t="s">
        <v>61</v>
      </c>
      <c r="F1" s="6" t="s">
        <v>36</v>
      </c>
      <c r="G1" s="6" t="s">
        <v>0</v>
      </c>
      <c r="H1" s="6" t="s">
        <v>1</v>
      </c>
      <c r="I1" s="6" t="s">
        <v>21</v>
      </c>
      <c r="K1" s="9">
        <v>0.06</v>
      </c>
      <c r="L1" s="10">
        <f>1-K1</f>
        <v>0.94</v>
      </c>
    </row>
    <row r="2" spans="1:12">
      <c r="A2" s="1">
        <v>1</v>
      </c>
      <c r="B2" s="1">
        <v>2017</v>
      </c>
      <c r="C2" s="1" t="s">
        <v>15</v>
      </c>
      <c r="D2" s="1">
        <v>240</v>
      </c>
      <c r="E2" s="1" t="s">
        <v>37</v>
      </c>
      <c r="F2" s="11">
        <f>D2</f>
        <v>240</v>
      </c>
      <c r="G2" s="3"/>
      <c r="H2" s="3"/>
      <c r="I2" s="3"/>
    </row>
    <row r="3" spans="1:12">
      <c r="A3" s="1">
        <v>2</v>
      </c>
      <c r="B3" s="1"/>
      <c r="C3" s="1" t="s">
        <v>16</v>
      </c>
      <c r="D3" s="1">
        <v>260</v>
      </c>
      <c r="E3" s="1" t="s">
        <v>54</v>
      </c>
      <c r="F3" s="77">
        <f>$K$4*D2+$L$4*F2</f>
        <v>240</v>
      </c>
      <c r="G3" s="3">
        <f>(D3-F3)</f>
        <v>20</v>
      </c>
      <c r="H3" s="3">
        <f>G3*G3</f>
        <v>400</v>
      </c>
      <c r="I3" s="3">
        <f>ABS((D3-F3)/(D3))*100</f>
        <v>7.6923076923076925</v>
      </c>
      <c r="K3" s="2" t="s">
        <v>2</v>
      </c>
      <c r="L3" s="2" t="s">
        <v>25</v>
      </c>
    </row>
    <row r="4" spans="1:12">
      <c r="A4" s="1">
        <v>3</v>
      </c>
      <c r="B4" s="1"/>
      <c r="C4" s="1" t="s">
        <v>6</v>
      </c>
      <c r="D4" s="1">
        <v>220</v>
      </c>
      <c r="E4" s="1" t="s">
        <v>38</v>
      </c>
      <c r="F4" s="77">
        <f>$K$4*D3+$L$4*F3</f>
        <v>250</v>
      </c>
      <c r="G4" s="3">
        <f t="shared" ref="G4:G21" si="0">(D4-F4)</f>
        <v>-30</v>
      </c>
      <c r="H4" s="3">
        <f t="shared" ref="H4:H21" si="1">G4*G4</f>
        <v>900</v>
      </c>
      <c r="I4" s="3">
        <f t="shared" ref="I4:I21" si="2">ABS((D4-F4)/(D4))*100</f>
        <v>13.636363636363635</v>
      </c>
      <c r="K4" s="3">
        <v>0.5</v>
      </c>
      <c r="L4" s="3">
        <f>1-K4</f>
        <v>0.5</v>
      </c>
    </row>
    <row r="5" spans="1:12">
      <c r="A5" s="1">
        <v>4</v>
      </c>
      <c r="B5" s="1"/>
      <c r="C5" s="1" t="s">
        <v>7</v>
      </c>
      <c r="D5" s="1">
        <v>310</v>
      </c>
      <c r="E5" s="1" t="s">
        <v>39</v>
      </c>
      <c r="F5" s="77">
        <f t="shared" ref="F5:F22" si="3">$K$4*D4+$L$4*F4</f>
        <v>235</v>
      </c>
      <c r="G5" s="3">
        <f t="shared" si="0"/>
        <v>75</v>
      </c>
      <c r="H5" s="3">
        <f t="shared" si="1"/>
        <v>5625</v>
      </c>
      <c r="I5" s="3">
        <f t="shared" si="2"/>
        <v>24.193548387096776</v>
      </c>
    </row>
    <row r="6" spans="1:12">
      <c r="A6" s="1">
        <v>5</v>
      </c>
      <c r="B6" s="1"/>
      <c r="C6" s="1" t="s">
        <v>5</v>
      </c>
      <c r="D6" s="1">
        <v>240</v>
      </c>
      <c r="E6" s="1" t="s">
        <v>40</v>
      </c>
      <c r="F6" s="77">
        <f t="shared" si="3"/>
        <v>272.5</v>
      </c>
      <c r="G6" s="3">
        <f t="shared" si="0"/>
        <v>-32.5</v>
      </c>
      <c r="H6" s="3">
        <f t="shared" si="1"/>
        <v>1056.25</v>
      </c>
      <c r="I6" s="3">
        <f t="shared" si="2"/>
        <v>13.541666666666666</v>
      </c>
      <c r="K6" s="16" t="s">
        <v>18</v>
      </c>
      <c r="L6" s="10">
        <f>SUM(H3:H21)</f>
        <v>30846.945764293196</v>
      </c>
    </row>
    <row r="7" spans="1:12">
      <c r="A7" s="1">
        <v>6</v>
      </c>
      <c r="B7" s="1"/>
      <c r="C7" s="1" t="s">
        <v>8</v>
      </c>
      <c r="D7" s="1">
        <v>240</v>
      </c>
      <c r="E7" s="1" t="s">
        <v>41</v>
      </c>
      <c r="F7" s="77">
        <f t="shared" si="3"/>
        <v>256.25</v>
      </c>
      <c r="G7" s="3">
        <f t="shared" si="0"/>
        <v>-16.25</v>
      </c>
      <c r="H7" s="3">
        <f t="shared" si="1"/>
        <v>264.0625</v>
      </c>
      <c r="I7" s="3">
        <f t="shared" si="2"/>
        <v>6.770833333333333</v>
      </c>
      <c r="K7" s="16" t="s">
        <v>19</v>
      </c>
      <c r="L7" s="10">
        <f>AVERAGE(H3:H21)</f>
        <v>1623.5234612785891</v>
      </c>
    </row>
    <row r="8" spans="1:12">
      <c r="A8" s="1">
        <v>7</v>
      </c>
      <c r="B8" s="1"/>
      <c r="C8" s="1" t="s">
        <v>9</v>
      </c>
      <c r="D8" s="1">
        <v>260</v>
      </c>
      <c r="E8" s="1" t="s">
        <v>42</v>
      </c>
      <c r="F8" s="77">
        <f t="shared" si="3"/>
        <v>248.125</v>
      </c>
      <c r="G8" s="3">
        <f t="shared" si="0"/>
        <v>11.875</v>
      </c>
      <c r="H8" s="3">
        <f t="shared" si="1"/>
        <v>141.015625</v>
      </c>
      <c r="I8" s="3">
        <f t="shared" si="2"/>
        <v>4.5673076923076916</v>
      </c>
      <c r="K8" s="16" t="s">
        <v>20</v>
      </c>
      <c r="L8" s="3">
        <f>SQRT(L7)</f>
        <v>40.292970370507426</v>
      </c>
    </row>
    <row r="9" spans="1:12">
      <c r="A9" s="1">
        <v>8</v>
      </c>
      <c r="B9" s="1"/>
      <c r="C9" s="1" t="s">
        <v>10</v>
      </c>
      <c r="D9" s="1">
        <v>230</v>
      </c>
      <c r="E9" s="1" t="s">
        <v>43</v>
      </c>
      <c r="F9" s="77">
        <f t="shared" si="3"/>
        <v>254.0625</v>
      </c>
      <c r="G9" s="3">
        <f t="shared" si="0"/>
        <v>-24.0625</v>
      </c>
      <c r="H9" s="3">
        <f t="shared" si="1"/>
        <v>579.00390625</v>
      </c>
      <c r="I9" s="3">
        <f t="shared" si="2"/>
        <v>10.461956521739131</v>
      </c>
      <c r="K9" s="16" t="s">
        <v>21</v>
      </c>
      <c r="L9" s="3">
        <f>AVERAGE(I3:I21)</f>
        <v>12.945371933507122</v>
      </c>
    </row>
    <row r="10" spans="1:12">
      <c r="A10" s="1">
        <v>9</v>
      </c>
      <c r="B10" s="1"/>
      <c r="C10" s="1" t="s">
        <v>11</v>
      </c>
      <c r="D10" s="1">
        <v>320</v>
      </c>
      <c r="E10" s="1" t="s">
        <v>44</v>
      </c>
      <c r="F10" s="77">
        <f t="shared" si="3"/>
        <v>242.03125</v>
      </c>
      <c r="G10" s="3">
        <f t="shared" si="0"/>
        <v>77.96875</v>
      </c>
      <c r="H10" s="3">
        <f t="shared" si="1"/>
        <v>6079.1259765625</v>
      </c>
      <c r="I10" s="3">
        <f t="shared" si="2"/>
        <v>24.365234375</v>
      </c>
    </row>
    <row r="11" spans="1:12">
      <c r="A11" s="1">
        <v>10</v>
      </c>
      <c r="B11" s="1"/>
      <c r="C11" s="1" t="s">
        <v>12</v>
      </c>
      <c r="D11" s="1">
        <v>240</v>
      </c>
      <c r="E11" s="1" t="s">
        <v>45</v>
      </c>
      <c r="F11" s="77">
        <f t="shared" si="3"/>
        <v>281.015625</v>
      </c>
      <c r="G11" s="3">
        <f t="shared" si="0"/>
        <v>-41.015625</v>
      </c>
      <c r="H11" s="3">
        <f t="shared" si="1"/>
        <v>1682.281494140625</v>
      </c>
      <c r="I11" s="3">
        <f t="shared" si="2"/>
        <v>17.08984375</v>
      </c>
      <c r="K11" s="21" t="s">
        <v>35</v>
      </c>
      <c r="L11" s="27" t="s">
        <v>34</v>
      </c>
    </row>
    <row r="12" spans="1:12">
      <c r="A12" s="1">
        <v>11</v>
      </c>
      <c r="B12" s="1"/>
      <c r="C12" s="1" t="s">
        <v>13</v>
      </c>
      <c r="D12" s="1">
        <v>240</v>
      </c>
      <c r="E12" s="1" t="s">
        <v>46</v>
      </c>
      <c r="F12" s="77">
        <f t="shared" si="3"/>
        <v>260.5078125</v>
      </c>
      <c r="G12" s="3">
        <f t="shared" si="0"/>
        <v>-20.5078125</v>
      </c>
      <c r="H12" s="3">
        <f t="shared" si="1"/>
        <v>420.57037353515625</v>
      </c>
      <c r="I12" s="3">
        <f t="shared" si="2"/>
        <v>8.544921875</v>
      </c>
    </row>
    <row r="13" spans="1:12">
      <c r="A13" s="1">
        <v>12</v>
      </c>
      <c r="B13" s="1"/>
      <c r="C13" s="1" t="s">
        <v>14</v>
      </c>
      <c r="D13" s="1">
        <v>320</v>
      </c>
      <c r="E13" s="1" t="s">
        <v>47</v>
      </c>
      <c r="F13" s="77">
        <f t="shared" si="3"/>
        <v>250.25390625</v>
      </c>
      <c r="G13" s="3">
        <f t="shared" si="0"/>
        <v>69.74609375</v>
      </c>
      <c r="H13" s="3">
        <f t="shared" si="1"/>
        <v>4864.5175933837891</v>
      </c>
      <c r="I13" s="3">
        <f t="shared" si="2"/>
        <v>21.795654296875</v>
      </c>
      <c r="K13" s="23" t="s">
        <v>33</v>
      </c>
      <c r="L13" s="27" t="s">
        <v>65</v>
      </c>
    </row>
    <row r="14" spans="1:12">
      <c r="A14" s="1">
        <v>13</v>
      </c>
      <c r="B14" s="1">
        <v>2018</v>
      </c>
      <c r="C14" s="1" t="s">
        <v>15</v>
      </c>
      <c r="D14" s="1">
        <v>230</v>
      </c>
      <c r="E14" s="1" t="s">
        <v>48</v>
      </c>
      <c r="F14" s="77">
        <f t="shared" si="3"/>
        <v>285.126953125</v>
      </c>
      <c r="G14" s="3">
        <f t="shared" si="0"/>
        <v>-55.126953125</v>
      </c>
      <c r="H14" s="3">
        <f t="shared" si="1"/>
        <v>3038.9809608459473</v>
      </c>
      <c r="I14" s="3">
        <f t="shared" si="2"/>
        <v>23.968240489130434</v>
      </c>
      <c r="K14" t="s">
        <v>69</v>
      </c>
      <c r="L14" t="s">
        <v>70</v>
      </c>
    </row>
    <row r="15" spans="1:12">
      <c r="A15" s="1">
        <v>14</v>
      </c>
      <c r="B15" s="1"/>
      <c r="C15" s="1" t="s">
        <v>16</v>
      </c>
      <c r="D15" s="1">
        <v>230</v>
      </c>
      <c r="E15" s="1" t="s">
        <v>49</v>
      </c>
      <c r="F15" s="77">
        <f t="shared" si="3"/>
        <v>257.5634765625</v>
      </c>
      <c r="G15" s="3">
        <f t="shared" si="0"/>
        <v>-27.5634765625</v>
      </c>
      <c r="H15" s="3">
        <f t="shared" si="1"/>
        <v>759.74524021148682</v>
      </c>
      <c r="I15" s="3">
        <f t="shared" si="2"/>
        <v>11.984120244565217</v>
      </c>
      <c r="K15" t="s">
        <v>62</v>
      </c>
    </row>
    <row r="16" spans="1:12">
      <c r="A16" s="1">
        <v>15</v>
      </c>
      <c r="B16" s="1"/>
      <c r="C16" s="1" t="s">
        <v>6</v>
      </c>
      <c r="D16" s="1">
        <v>230</v>
      </c>
      <c r="E16" s="1" t="s">
        <v>50</v>
      </c>
      <c r="F16" s="77">
        <f t="shared" si="3"/>
        <v>243.78173828125</v>
      </c>
      <c r="G16" s="3">
        <f t="shared" si="0"/>
        <v>-13.78173828125</v>
      </c>
      <c r="H16" s="3">
        <f t="shared" si="1"/>
        <v>189.9363100528717</v>
      </c>
      <c r="I16" s="3">
        <f t="shared" si="2"/>
        <v>5.9920601222826084</v>
      </c>
      <c r="K16" s="28" t="s">
        <v>63</v>
      </c>
    </row>
    <row r="17" spans="1:11">
      <c r="A17" s="1">
        <v>16</v>
      </c>
      <c r="B17" s="1"/>
      <c r="C17" s="1" t="s">
        <v>7</v>
      </c>
      <c r="D17" s="1">
        <v>280</v>
      </c>
      <c r="E17" s="1" t="s">
        <v>51</v>
      </c>
      <c r="F17" s="77">
        <f t="shared" si="3"/>
        <v>236.890869140625</v>
      </c>
      <c r="G17" s="3">
        <f t="shared" si="0"/>
        <v>43.109130859375</v>
      </c>
      <c r="H17" s="3">
        <f t="shared" si="1"/>
        <v>1858.3971634507179</v>
      </c>
      <c r="I17" s="3">
        <f t="shared" si="2"/>
        <v>15.3961181640625</v>
      </c>
    </row>
    <row r="18" spans="1:11">
      <c r="A18" s="1">
        <v>17</v>
      </c>
      <c r="B18" s="1"/>
      <c r="C18" s="1" t="s">
        <v>5</v>
      </c>
      <c r="D18" s="1">
        <v>250</v>
      </c>
      <c r="E18" s="1" t="s">
        <v>52</v>
      </c>
      <c r="F18" s="77">
        <f t="shared" si="3"/>
        <v>258.4454345703125</v>
      </c>
      <c r="G18" s="3">
        <f t="shared" si="0"/>
        <v>-8.4454345703125</v>
      </c>
      <c r="H18" s="3">
        <f t="shared" si="1"/>
        <v>71.325365081429482</v>
      </c>
      <c r="I18" s="3">
        <f t="shared" si="2"/>
        <v>3.378173828125</v>
      </c>
      <c r="K18" t="s">
        <v>64</v>
      </c>
    </row>
    <row r="19" spans="1:11">
      <c r="A19" s="1">
        <v>18</v>
      </c>
      <c r="B19" s="1"/>
      <c r="C19" s="1" t="s">
        <v>8</v>
      </c>
      <c r="D19" s="1">
        <v>250</v>
      </c>
      <c r="E19" s="1" t="s">
        <v>53</v>
      </c>
      <c r="F19" s="77">
        <f t="shared" si="3"/>
        <v>254.22271728515625</v>
      </c>
      <c r="G19" s="3">
        <f t="shared" si="0"/>
        <v>-4.22271728515625</v>
      </c>
      <c r="H19" s="3">
        <f t="shared" si="1"/>
        <v>17.83134127035737</v>
      </c>
      <c r="I19" s="3">
        <f t="shared" si="2"/>
        <v>1.6890869140625</v>
      </c>
      <c r="K19" t="s">
        <v>71</v>
      </c>
    </row>
    <row r="20" spans="1:11">
      <c r="A20" s="1">
        <v>19</v>
      </c>
      <c r="B20" s="1"/>
      <c r="C20" s="1" t="s">
        <v>9</v>
      </c>
      <c r="D20" s="1">
        <v>280</v>
      </c>
      <c r="E20" s="1" t="s">
        <v>55</v>
      </c>
      <c r="F20" s="77">
        <f t="shared" si="3"/>
        <v>252.11135864257813</v>
      </c>
      <c r="G20" s="3">
        <f t="shared" si="0"/>
        <v>27.888641357421875</v>
      </c>
      <c r="H20" s="3">
        <f t="shared" si="1"/>
        <v>777.77631676290184</v>
      </c>
      <c r="I20" s="3">
        <f t="shared" si="2"/>
        <v>9.960229056222099</v>
      </c>
    </row>
    <row r="21" spans="1:11">
      <c r="A21" s="78">
        <v>20</v>
      </c>
      <c r="B21" s="78"/>
      <c r="C21" s="78" t="s">
        <v>10</v>
      </c>
      <c r="D21" s="78">
        <v>220</v>
      </c>
      <c r="E21" s="1" t="s">
        <v>56</v>
      </c>
      <c r="F21" s="77">
        <f t="shared" si="3"/>
        <v>266.05567932128906</v>
      </c>
      <c r="G21" s="3">
        <f t="shared" si="0"/>
        <v>-46.055679321289063</v>
      </c>
      <c r="H21" s="3">
        <f t="shared" si="1"/>
        <v>2121.125597745413</v>
      </c>
      <c r="I21" s="3">
        <f t="shared" si="2"/>
        <v>20.934399691495027</v>
      </c>
    </row>
    <row r="22" spans="1:11">
      <c r="A22" s="1">
        <v>21</v>
      </c>
      <c r="B22" s="1"/>
      <c r="C22" s="1" t="s">
        <v>11</v>
      </c>
      <c r="D22" s="24"/>
      <c r="E22" s="1" t="s">
        <v>57</v>
      </c>
      <c r="F22" s="101">
        <f t="shared" si="3"/>
        <v>243.02783966064453</v>
      </c>
    </row>
    <row r="23" spans="1:11">
      <c r="A23" s="1">
        <v>22</v>
      </c>
      <c r="B23" s="1"/>
      <c r="C23" s="1" t="s">
        <v>12</v>
      </c>
      <c r="E23" s="1" t="s">
        <v>58</v>
      </c>
    </row>
    <row r="24" spans="1:11">
      <c r="A24" s="1">
        <v>23</v>
      </c>
      <c r="B24" s="1"/>
      <c r="C24" s="1" t="s">
        <v>13</v>
      </c>
      <c r="E24" s="1" t="s">
        <v>59</v>
      </c>
    </row>
    <row r="25" spans="1:11">
      <c r="A25" s="1">
        <v>24</v>
      </c>
      <c r="B25" s="1"/>
      <c r="C25" s="1" t="s">
        <v>14</v>
      </c>
      <c r="E25" s="1" t="s">
        <v>60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157"/>
  <sheetViews>
    <sheetView zoomScale="150" zoomScaleNormal="150" workbookViewId="0">
      <pane ySplit="1" topLeftCell="A2" activePane="bottomLeft" state="frozen"/>
      <selection pane="bottomLeft" activeCell="H9" sqref="H9"/>
    </sheetView>
  </sheetViews>
  <sheetFormatPr defaultRowHeight="15"/>
  <cols>
    <col min="1" max="1" width="7.140625" bestFit="1" customWidth="1"/>
    <col min="2" max="2" width="6.85546875" bestFit="1" customWidth="1"/>
    <col min="3" max="3" width="14.7109375" bestFit="1" customWidth="1"/>
    <col min="4" max="4" width="9.42578125" bestFit="1" customWidth="1"/>
    <col min="5" max="5" width="9.5703125" bestFit="1" customWidth="1"/>
    <col min="6" max="6" width="10.7109375" bestFit="1" customWidth="1"/>
    <col min="7" max="8" width="13.42578125" bestFit="1" customWidth="1"/>
    <col min="9" max="9" width="13.140625" bestFit="1" customWidth="1"/>
    <col min="10" max="10" width="6.5703125" bestFit="1" customWidth="1"/>
  </cols>
  <sheetData>
    <row r="1" spans="1:19">
      <c r="A1" s="33" t="s">
        <v>17</v>
      </c>
      <c r="B1" s="33" t="s">
        <v>81</v>
      </c>
      <c r="C1" s="33" t="s">
        <v>142</v>
      </c>
      <c r="D1" s="33" t="s">
        <v>72</v>
      </c>
      <c r="E1" s="33" t="s">
        <v>74</v>
      </c>
      <c r="F1" s="33" t="s">
        <v>75</v>
      </c>
      <c r="G1" s="61" t="s">
        <v>76</v>
      </c>
      <c r="H1" s="33" t="s">
        <v>77</v>
      </c>
      <c r="I1" s="61" t="s">
        <v>28</v>
      </c>
      <c r="J1" s="61" t="s">
        <v>21</v>
      </c>
      <c r="L1" s="26" t="s">
        <v>2</v>
      </c>
      <c r="M1" s="26" t="s">
        <v>3</v>
      </c>
      <c r="N1" s="26" t="s">
        <v>32</v>
      </c>
      <c r="P1" s="26" t="s">
        <v>2</v>
      </c>
      <c r="Q1" s="26" t="s">
        <v>3</v>
      </c>
      <c r="R1" s="26" t="s">
        <v>32</v>
      </c>
      <c r="S1" s="26" t="s">
        <v>21</v>
      </c>
    </row>
    <row r="2" spans="1:19">
      <c r="A2" s="38">
        <v>1949</v>
      </c>
      <c r="B2" s="38" t="s">
        <v>83</v>
      </c>
      <c r="C2" s="68">
        <v>112</v>
      </c>
      <c r="D2" s="1">
        <v>1</v>
      </c>
      <c r="E2" s="1"/>
      <c r="F2" s="1"/>
      <c r="G2" s="59">
        <f>C2/$E$13</f>
        <v>0.88421052631578945</v>
      </c>
      <c r="H2" s="1"/>
      <c r="I2" s="1"/>
      <c r="J2" s="1"/>
      <c r="L2" s="1">
        <v>0.3</v>
      </c>
      <c r="M2" s="1">
        <v>0.5</v>
      </c>
      <c r="N2" s="1">
        <v>0.6</v>
      </c>
      <c r="P2" s="1">
        <v>0.4</v>
      </c>
      <c r="Q2" s="1">
        <v>0.3</v>
      </c>
      <c r="R2" s="1">
        <v>0.8</v>
      </c>
      <c r="S2" s="79">
        <v>4.54</v>
      </c>
    </row>
    <row r="3" spans="1:19">
      <c r="A3" s="38">
        <v>1949</v>
      </c>
      <c r="B3" s="38" t="s">
        <v>84</v>
      </c>
      <c r="C3" s="1">
        <v>118</v>
      </c>
      <c r="D3" s="1">
        <v>2</v>
      </c>
      <c r="E3" s="1"/>
      <c r="F3" s="1"/>
      <c r="G3" s="59">
        <f t="shared" ref="G3:G13" si="0">C3/$E$13</f>
        <v>0.93157894736842106</v>
      </c>
      <c r="H3" s="1"/>
      <c r="I3" s="1"/>
      <c r="J3" s="1"/>
      <c r="L3" s="1">
        <f>1-L2</f>
        <v>0.7</v>
      </c>
      <c r="M3" s="1">
        <f t="shared" ref="M3:N3" si="1">1-M2</f>
        <v>0.5</v>
      </c>
      <c r="N3" s="1">
        <f t="shared" si="1"/>
        <v>0.4</v>
      </c>
      <c r="P3" s="1">
        <f>1-P2</f>
        <v>0.6</v>
      </c>
      <c r="Q3" s="1">
        <f t="shared" ref="Q3:R3" si="2">1-Q2</f>
        <v>0.7</v>
      </c>
      <c r="R3" s="1">
        <f t="shared" si="2"/>
        <v>0.19999999999999996</v>
      </c>
    </row>
    <row r="4" spans="1:19">
      <c r="A4" s="38">
        <v>1949</v>
      </c>
      <c r="B4" s="38" t="s">
        <v>85</v>
      </c>
      <c r="C4" s="1">
        <v>132</v>
      </c>
      <c r="D4" s="1">
        <v>3</v>
      </c>
      <c r="E4" s="1"/>
      <c r="F4" s="1"/>
      <c r="G4" s="59">
        <f t="shared" si="0"/>
        <v>1.0421052631578946</v>
      </c>
      <c r="H4" s="1"/>
      <c r="I4" s="1"/>
      <c r="J4" s="1"/>
    </row>
    <row r="5" spans="1:19">
      <c r="A5" s="38">
        <v>1949</v>
      </c>
      <c r="B5" s="38" t="s">
        <v>86</v>
      </c>
      <c r="C5" s="1">
        <v>129</v>
      </c>
      <c r="D5" s="1">
        <v>4</v>
      </c>
      <c r="E5" s="1"/>
      <c r="F5" s="1"/>
      <c r="G5" s="59">
        <f t="shared" si="0"/>
        <v>1.0184210526315789</v>
      </c>
      <c r="H5" s="1"/>
      <c r="I5" s="1"/>
      <c r="J5" s="1"/>
    </row>
    <row r="6" spans="1:19">
      <c r="A6" s="38">
        <v>1949</v>
      </c>
      <c r="B6" s="38" t="s">
        <v>5</v>
      </c>
      <c r="C6" s="1">
        <v>121</v>
      </c>
      <c r="D6" s="1">
        <v>5</v>
      </c>
      <c r="E6" s="1"/>
      <c r="F6" s="1"/>
      <c r="G6" s="59">
        <f t="shared" si="0"/>
        <v>0.95526315789473681</v>
      </c>
      <c r="H6" s="1"/>
      <c r="I6" s="1"/>
      <c r="J6" s="1"/>
    </row>
    <row r="7" spans="1:19">
      <c r="A7" s="38">
        <v>1949</v>
      </c>
      <c r="B7" s="38" t="s">
        <v>87</v>
      </c>
      <c r="C7" s="1">
        <v>135</v>
      </c>
      <c r="D7" s="1">
        <v>6</v>
      </c>
      <c r="E7" s="1"/>
      <c r="F7" s="1"/>
      <c r="G7" s="59">
        <f t="shared" si="0"/>
        <v>1.0657894736842104</v>
      </c>
      <c r="H7" s="1"/>
      <c r="I7" s="1"/>
      <c r="J7" s="1"/>
    </row>
    <row r="8" spans="1:19">
      <c r="A8" s="38">
        <v>1949</v>
      </c>
      <c r="B8" s="38" t="s">
        <v>88</v>
      </c>
      <c r="C8" s="1">
        <v>148</v>
      </c>
      <c r="D8" s="1">
        <v>7</v>
      </c>
      <c r="E8" s="1"/>
      <c r="F8" s="1"/>
      <c r="G8" s="59">
        <f t="shared" si="0"/>
        <v>1.1684210526315788</v>
      </c>
      <c r="H8" s="1"/>
      <c r="I8" s="1"/>
      <c r="J8" s="1"/>
    </row>
    <row r="9" spans="1:19">
      <c r="A9" s="38">
        <v>1949</v>
      </c>
      <c r="B9" s="38" t="s">
        <v>89</v>
      </c>
      <c r="C9" s="1">
        <v>148</v>
      </c>
      <c r="D9" s="1">
        <v>8</v>
      </c>
      <c r="E9" s="1"/>
      <c r="F9" s="1"/>
      <c r="G9" s="59">
        <f t="shared" si="0"/>
        <v>1.1684210526315788</v>
      </c>
      <c r="H9" s="1"/>
      <c r="I9" s="1"/>
      <c r="J9" s="1"/>
      <c r="L9" s="34" t="s">
        <v>19</v>
      </c>
      <c r="M9" s="26" t="s">
        <v>20</v>
      </c>
      <c r="N9" s="26" t="s">
        <v>21</v>
      </c>
    </row>
    <row r="10" spans="1:19">
      <c r="A10" s="38">
        <v>1949</v>
      </c>
      <c r="B10" s="38" t="s">
        <v>90</v>
      </c>
      <c r="C10" s="1">
        <v>136</v>
      </c>
      <c r="D10" s="1">
        <v>9</v>
      </c>
      <c r="E10" s="1"/>
      <c r="F10" s="1"/>
      <c r="G10" s="59">
        <f t="shared" si="0"/>
        <v>1.0736842105263158</v>
      </c>
      <c r="H10" s="1"/>
      <c r="I10" s="1"/>
      <c r="J10" s="1"/>
      <c r="L10" s="3">
        <f>AVERAGE(I14:I145)</f>
        <v>569.05872482339566</v>
      </c>
      <c r="M10" s="1">
        <f>SQRT(L10)</f>
        <v>23.854951788326794</v>
      </c>
      <c r="N10" s="83">
        <f>AVERAGE(J14:J145)</f>
        <v>5.7316659016671965</v>
      </c>
    </row>
    <row r="11" spans="1:19">
      <c r="A11" s="38">
        <v>1949</v>
      </c>
      <c r="B11" s="38" t="s">
        <v>91</v>
      </c>
      <c r="C11" s="1">
        <v>119</v>
      </c>
      <c r="D11" s="1">
        <v>10</v>
      </c>
      <c r="E11" s="1"/>
      <c r="F11" s="1"/>
      <c r="G11" s="59">
        <f t="shared" si="0"/>
        <v>0.93947368421052624</v>
      </c>
      <c r="H11" s="1"/>
      <c r="I11" s="1"/>
      <c r="J11" s="1"/>
    </row>
    <row r="12" spans="1:19">
      <c r="A12" s="38">
        <v>1949</v>
      </c>
      <c r="B12" s="38" t="s">
        <v>92</v>
      </c>
      <c r="C12" s="1">
        <v>104</v>
      </c>
      <c r="D12" s="1">
        <v>11</v>
      </c>
      <c r="E12" s="1"/>
      <c r="F12" s="1"/>
      <c r="G12" s="59">
        <f t="shared" si="0"/>
        <v>0.82105263157894737</v>
      </c>
      <c r="H12" s="1"/>
      <c r="I12" s="1"/>
      <c r="J12" s="1"/>
    </row>
    <row r="13" spans="1:19">
      <c r="A13" s="38">
        <v>1949</v>
      </c>
      <c r="B13" s="38" t="s">
        <v>93</v>
      </c>
      <c r="C13" s="1">
        <v>118</v>
      </c>
      <c r="D13" s="1">
        <v>12</v>
      </c>
      <c r="E13" s="59">
        <f>AVERAGE(C2:C13)</f>
        <v>126.66666666666667</v>
      </c>
      <c r="F13" s="59">
        <f>((C14-C2)+(C15-C3)+(C16-C4)+(C17-C5)+(C18-C6)+(C19-C7)+(C20-C8)+(C21-C9)+(C22-C10)+(C23-C11)+(C24-C12)+(C25-C13))/144</f>
        <v>1.0833333333333333</v>
      </c>
      <c r="G13" s="59">
        <f t="shared" si="0"/>
        <v>0.93157894736842106</v>
      </c>
      <c r="H13" s="1"/>
      <c r="I13" s="1"/>
      <c r="J13" s="1"/>
    </row>
    <row r="14" spans="1:19">
      <c r="A14" s="38">
        <v>1950</v>
      </c>
      <c r="B14" s="38" t="s">
        <v>83</v>
      </c>
      <c r="C14" s="68">
        <v>115</v>
      </c>
      <c r="D14" s="1">
        <v>13</v>
      </c>
      <c r="E14" s="79">
        <f t="shared" ref="E14:E45" si="3">$L$2*(C14/G2)+$L$3*(E13+F13)</f>
        <v>128.44285714285715</v>
      </c>
      <c r="F14" s="3">
        <f t="shared" ref="F14:F45" si="4">$M$2*(E14-E13)+$M$3*F13</f>
        <v>1.4297619047619059</v>
      </c>
      <c r="G14" s="3">
        <f t="shared" ref="G14:G45" si="5">$N$2*(C14/E14)+$N$3*G2</f>
        <v>0.89088808106351969</v>
      </c>
      <c r="H14" s="79">
        <f>(E13+F13*1)*G2</f>
        <v>112.95789473684211</v>
      </c>
      <c r="I14" s="3">
        <f>(C14-H14)^2</f>
        <v>4.1701939058171682</v>
      </c>
      <c r="J14" s="3">
        <f>ABS((C14-H14)/C14)*100</f>
        <v>1.77574370709382</v>
      </c>
    </row>
    <row r="15" spans="1:19">
      <c r="A15" s="38">
        <v>1950</v>
      </c>
      <c r="B15" s="38" t="s">
        <v>84</v>
      </c>
      <c r="C15" s="1">
        <v>126</v>
      </c>
      <c r="D15" s="80">
        <v>14</v>
      </c>
      <c r="E15" s="3">
        <f t="shared" si="3"/>
        <v>131.48710451977399</v>
      </c>
      <c r="F15" s="3">
        <f t="shared" si="4"/>
        <v>2.2370046408393742</v>
      </c>
      <c r="G15" s="3">
        <f t="shared" si="5"/>
        <v>0.94759290520146289</v>
      </c>
      <c r="H15" s="3">
        <f>(E14+F14)*G3</f>
        <v>120.98659774436091</v>
      </c>
      <c r="I15" s="3">
        <f t="shared" ref="I15:I45" si="6">(C15-H15)^2</f>
        <v>25.134202176847147</v>
      </c>
      <c r="J15" s="3">
        <f t="shared" ref="J15:J45" si="7">ABS((C15-H15)/C15)*100</f>
        <v>3.9788906790786456</v>
      </c>
    </row>
    <row r="16" spans="1:19">
      <c r="A16" s="38">
        <v>1950</v>
      </c>
      <c r="B16" s="38" t="s">
        <v>85</v>
      </c>
      <c r="C16" s="1">
        <v>141</v>
      </c>
      <c r="D16" s="1">
        <v>15</v>
      </c>
      <c r="E16" s="3">
        <f t="shared" si="3"/>
        <v>134.19778550333845</v>
      </c>
      <c r="F16" s="3">
        <f t="shared" si="4"/>
        <v>2.4738428122019163</v>
      </c>
      <c r="G16" s="3">
        <f t="shared" si="5"/>
        <v>1.0472548924987222</v>
      </c>
      <c r="H16" s="3">
        <f t="shared" ref="H16:H45" si="8">(E15+F15)*G4</f>
        <v>139.35459796737604</v>
      </c>
      <c r="I16" s="3">
        <f t="shared" si="6"/>
        <v>2.7073478489630687</v>
      </c>
      <c r="J16" s="3">
        <f t="shared" si="7"/>
        <v>1.1669517961872078</v>
      </c>
    </row>
    <row r="17" spans="1:10">
      <c r="A17" s="38">
        <v>1950</v>
      </c>
      <c r="B17" s="38" t="s">
        <v>86</v>
      </c>
      <c r="C17" s="1">
        <v>135</v>
      </c>
      <c r="D17" s="1">
        <v>16</v>
      </c>
      <c r="E17" s="3">
        <f t="shared" si="3"/>
        <v>135.43758168134337</v>
      </c>
      <c r="F17" s="3">
        <f t="shared" si="4"/>
        <v>1.8568194951034196</v>
      </c>
      <c r="G17" s="3">
        <f t="shared" si="5"/>
        <v>1.0054298970067448</v>
      </c>
      <c r="H17" s="3">
        <f t="shared" si="8"/>
        <v>139.18926357398453</v>
      </c>
      <c r="I17" s="3">
        <f t="shared" si="6"/>
        <v>17.549929292313664</v>
      </c>
      <c r="J17" s="3">
        <f t="shared" si="7"/>
        <v>3.1031582029515059</v>
      </c>
    </row>
    <row r="18" spans="1:10">
      <c r="A18" s="38">
        <v>1950</v>
      </c>
      <c r="B18" s="38" t="s">
        <v>5</v>
      </c>
      <c r="C18" s="1">
        <v>125</v>
      </c>
      <c r="D18" s="1">
        <v>17</v>
      </c>
      <c r="E18" s="3">
        <f t="shared" si="3"/>
        <v>135.36227917062018</v>
      </c>
      <c r="F18" s="3">
        <f t="shared" si="4"/>
        <v>0.89075849219011449</v>
      </c>
      <c r="G18" s="3">
        <f t="shared" si="5"/>
        <v>0.93617394801998022</v>
      </c>
      <c r="H18" s="3">
        <f t="shared" si="8"/>
        <v>131.15228322907944</v>
      </c>
      <c r="I18" s="3">
        <f t="shared" si="6"/>
        <v>37.850588930812194</v>
      </c>
      <c r="J18" s="3">
        <f t="shared" si="7"/>
        <v>4.9218265832635559</v>
      </c>
    </row>
    <row r="19" spans="1:10">
      <c r="A19" s="38">
        <v>1950</v>
      </c>
      <c r="B19" s="38" t="s">
        <v>87</v>
      </c>
      <c r="C19" s="1">
        <v>149</v>
      </c>
      <c r="D19" s="1">
        <v>18</v>
      </c>
      <c r="E19" s="3">
        <f t="shared" si="3"/>
        <v>137.31786710470794</v>
      </c>
      <c r="F19" s="3">
        <f t="shared" si="4"/>
        <v>1.423173213138937</v>
      </c>
      <c r="G19" s="3">
        <f t="shared" si="5"/>
        <v>1.0773599826654594</v>
      </c>
      <c r="H19" s="3">
        <f t="shared" si="8"/>
        <v>145.21705329852148</v>
      </c>
      <c r="I19" s="3">
        <f t="shared" si="6"/>
        <v>14.310685746227232</v>
      </c>
      <c r="J19" s="3">
        <f t="shared" si="7"/>
        <v>2.5388904036768607</v>
      </c>
    </row>
    <row r="20" spans="1:10">
      <c r="A20" s="38">
        <v>1950</v>
      </c>
      <c r="B20" s="38" t="s">
        <v>88</v>
      </c>
      <c r="C20" s="1">
        <v>170</v>
      </c>
      <c r="D20" s="1">
        <v>19</v>
      </c>
      <c r="E20" s="3">
        <f t="shared" si="3"/>
        <v>140.76737687114147</v>
      </c>
      <c r="F20" s="3">
        <f t="shared" si="4"/>
        <v>2.4363414897862294</v>
      </c>
      <c r="G20" s="3">
        <f t="shared" si="5"/>
        <v>1.191968127796978</v>
      </c>
      <c r="H20" s="3">
        <f t="shared" si="8"/>
        <v>162.10795237137896</v>
      </c>
      <c r="I20" s="3">
        <f t="shared" si="6"/>
        <v>62.284415772423031</v>
      </c>
      <c r="J20" s="3">
        <f t="shared" si="7"/>
        <v>4.6423809580123789</v>
      </c>
    </row>
    <row r="21" spans="1:10">
      <c r="A21" s="38">
        <v>1950</v>
      </c>
      <c r="B21" s="38" t="s">
        <v>89</v>
      </c>
      <c r="C21" s="1">
        <v>170</v>
      </c>
      <c r="D21" s="1">
        <v>20</v>
      </c>
      <c r="E21" s="3">
        <f t="shared" si="3"/>
        <v>143.89125150129803</v>
      </c>
      <c r="F21" s="3">
        <f t="shared" si="4"/>
        <v>2.780108059971397</v>
      </c>
      <c r="G21" s="3">
        <f t="shared" si="5"/>
        <v>1.1762370905219486</v>
      </c>
      <c r="H21" s="3">
        <f t="shared" si="8"/>
        <v>167.32223934803127</v>
      </c>
      <c r="I21" s="3">
        <f t="shared" si="6"/>
        <v>7.170402109231973</v>
      </c>
      <c r="J21" s="3">
        <f t="shared" si="7"/>
        <v>1.5751533246874856</v>
      </c>
    </row>
    <row r="22" spans="1:10">
      <c r="A22" s="38">
        <v>1950</v>
      </c>
      <c r="B22" s="38" t="s">
        <v>90</v>
      </c>
      <c r="C22" s="1">
        <v>158</v>
      </c>
      <c r="D22" s="1">
        <v>21</v>
      </c>
      <c r="E22" s="3">
        <f t="shared" si="3"/>
        <v>146.81701051641801</v>
      </c>
      <c r="F22" s="3">
        <f t="shared" si="4"/>
        <v>2.8529335375456881</v>
      </c>
      <c r="G22" s="3">
        <f t="shared" si="5"/>
        <v>1.0751754299860874</v>
      </c>
      <c r="H22" s="3">
        <f t="shared" si="8"/>
        <v>157.47872289736296</v>
      </c>
      <c r="I22" s="3">
        <f t="shared" si="6"/>
        <v>0.27172981773367055</v>
      </c>
      <c r="J22" s="3">
        <f t="shared" si="7"/>
        <v>0.32992221685888817</v>
      </c>
    </row>
    <row r="23" spans="1:10">
      <c r="A23" s="38">
        <v>1950</v>
      </c>
      <c r="B23" s="38" t="s">
        <v>91</v>
      </c>
      <c r="C23" s="1">
        <v>133</v>
      </c>
      <c r="D23" s="1">
        <v>22</v>
      </c>
      <c r="E23" s="3">
        <f t="shared" si="3"/>
        <v>147.2395490730687</v>
      </c>
      <c r="F23" s="3">
        <f t="shared" si="4"/>
        <v>1.6377360470981905</v>
      </c>
      <c r="G23" s="3">
        <f t="shared" si="5"/>
        <v>0.91776342363429264</v>
      </c>
      <c r="H23" s="3">
        <f t="shared" si="8"/>
        <v>140.6109737559606</v>
      </c>
      <c r="I23" s="3">
        <f t="shared" si="6"/>
        <v>57.926921513921009</v>
      </c>
      <c r="J23" s="3">
        <f t="shared" si="7"/>
        <v>5.7225366586169928</v>
      </c>
    </row>
    <row r="24" spans="1:10">
      <c r="A24" s="38">
        <v>1950</v>
      </c>
      <c r="B24" s="38" t="s">
        <v>92</v>
      </c>
      <c r="C24" s="1">
        <v>114</v>
      </c>
      <c r="D24" s="1">
        <v>23</v>
      </c>
      <c r="E24" s="3">
        <f t="shared" si="3"/>
        <v>145.86794573796297</v>
      </c>
      <c r="F24" s="3">
        <f t="shared" si="4"/>
        <v>0.13306635599622929</v>
      </c>
      <c r="G24" s="3">
        <f t="shared" si="5"/>
        <v>0.79733833020038547</v>
      </c>
      <c r="H24" s="3">
        <f t="shared" si="8"/>
        <v>122.23608673024231</v>
      </c>
      <c r="I24" s="3">
        <f t="shared" si="6"/>
        <v>67.833124628073392</v>
      </c>
      <c r="J24" s="3">
        <f t="shared" si="7"/>
        <v>7.2246374826686885</v>
      </c>
    </row>
    <row r="25" spans="1:10">
      <c r="A25" s="38">
        <v>1950</v>
      </c>
      <c r="B25" s="38" t="s">
        <v>93</v>
      </c>
      <c r="C25" s="1">
        <v>140</v>
      </c>
      <c r="D25" s="1">
        <v>24</v>
      </c>
      <c r="E25" s="3">
        <f t="shared" si="3"/>
        <v>147.28545422848327</v>
      </c>
      <c r="F25" s="3">
        <f t="shared" si="4"/>
        <v>0.77528742325826716</v>
      </c>
      <c r="G25" s="3">
        <f t="shared" si="5"/>
        <v>0.94295266353791574</v>
      </c>
      <c r="H25" s="3">
        <f t="shared" si="8"/>
        <v>136.01146916121462</v>
      </c>
      <c r="I25" s="3">
        <f t="shared" si="6"/>
        <v>15.908378251942004</v>
      </c>
      <c r="J25" s="3">
        <f t="shared" si="7"/>
        <v>2.8489505991324142</v>
      </c>
    </row>
    <row r="26" spans="1:10">
      <c r="A26" s="38">
        <v>1951</v>
      </c>
      <c r="B26" s="38" t="s">
        <v>83</v>
      </c>
      <c r="C26" s="1">
        <v>145</v>
      </c>
      <c r="D26" s="1">
        <v>25</v>
      </c>
      <c r="E26" s="3">
        <f t="shared" si="3"/>
        <v>152.47020124628679</v>
      </c>
      <c r="F26" s="3">
        <f t="shared" si="4"/>
        <v>2.9800172205308919</v>
      </c>
      <c r="G26" s="3">
        <f t="shared" si="5"/>
        <v>0.92695853253824723</v>
      </c>
      <c r="H26" s="3">
        <f t="shared" si="8"/>
        <v>131.90555001096158</v>
      </c>
      <c r="I26" s="3">
        <f t="shared" si="6"/>
        <v>171.46462051542838</v>
      </c>
      <c r="J26" s="3">
        <f t="shared" si="7"/>
        <v>9.0306551648540854</v>
      </c>
    </row>
    <row r="27" spans="1:10">
      <c r="A27" s="38">
        <v>1951</v>
      </c>
      <c r="B27" s="38" t="s">
        <v>84</v>
      </c>
      <c r="C27" s="1">
        <v>150</v>
      </c>
      <c r="D27" s="1">
        <v>26</v>
      </c>
      <c r="E27" s="3">
        <f t="shared" si="3"/>
        <v>156.30390020737045</v>
      </c>
      <c r="F27" s="3">
        <f t="shared" si="4"/>
        <v>3.4068580908072734</v>
      </c>
      <c r="G27" s="3">
        <f t="shared" si="5"/>
        <v>0.95483853287552889</v>
      </c>
      <c r="H27" s="3">
        <f t="shared" si="8"/>
        <v>147.30352413117387</v>
      </c>
      <c r="I27" s="3">
        <f t="shared" si="6"/>
        <v>7.2709821111616169</v>
      </c>
      <c r="J27" s="3">
        <f t="shared" si="7"/>
        <v>1.797650579217418</v>
      </c>
    </row>
    <row r="28" spans="1:10">
      <c r="A28" s="38">
        <v>1951</v>
      </c>
      <c r="B28" s="38" t="s">
        <v>85</v>
      </c>
      <c r="C28" s="1">
        <v>178</v>
      </c>
      <c r="D28" s="1">
        <v>27</v>
      </c>
      <c r="E28" s="3">
        <f t="shared" si="3"/>
        <v>162.7879824957908</v>
      </c>
      <c r="F28" s="3">
        <f t="shared" si="4"/>
        <v>4.9454701896138129</v>
      </c>
      <c r="G28" s="3">
        <f t="shared" si="5"/>
        <v>1.0749700423863295</v>
      </c>
      <c r="H28" s="3">
        <f t="shared" si="8"/>
        <v>167.2578730124475</v>
      </c>
      <c r="I28" s="3">
        <f t="shared" si="6"/>
        <v>115.39329221670366</v>
      </c>
      <c r="J28" s="3">
        <f t="shared" si="7"/>
        <v>6.0349028019957842</v>
      </c>
    </row>
    <row r="29" spans="1:10">
      <c r="A29" s="38">
        <v>1951</v>
      </c>
      <c r="B29" s="38" t="s">
        <v>86</v>
      </c>
      <c r="C29" s="1">
        <v>163</v>
      </c>
      <c r="D29" s="1">
        <v>28</v>
      </c>
      <c r="E29" s="3">
        <f t="shared" si="3"/>
        <v>166.04932888675626</v>
      </c>
      <c r="F29" s="3">
        <f t="shared" si="4"/>
        <v>4.1034082902896349</v>
      </c>
      <c r="G29" s="3">
        <f t="shared" si="5"/>
        <v>0.99115356237604624</v>
      </c>
      <c r="H29" s="3">
        <f t="shared" si="8"/>
        <v>168.64422805807206</v>
      </c>
      <c r="I29" s="3">
        <f t="shared" si="6"/>
        <v>31.857310371527888</v>
      </c>
      <c r="J29" s="3">
        <f t="shared" si="7"/>
        <v>3.4627166000442076</v>
      </c>
    </row>
    <row r="30" spans="1:10">
      <c r="A30" s="38">
        <v>1951</v>
      </c>
      <c r="B30" s="38" t="s">
        <v>5</v>
      </c>
      <c r="C30" s="1">
        <v>172</v>
      </c>
      <c r="D30" s="1">
        <v>29</v>
      </c>
      <c r="E30" s="3">
        <f t="shared" si="3"/>
        <v>174.22487792528031</v>
      </c>
      <c r="F30" s="3">
        <f t="shared" si="4"/>
        <v>6.1394786644068446</v>
      </c>
      <c r="G30" s="3">
        <f t="shared" si="5"/>
        <v>0.96680748886208479</v>
      </c>
      <c r="H30" s="3">
        <f t="shared" si="8"/>
        <v>159.29255972944111</v>
      </c>
      <c r="I30" s="3">
        <f t="shared" si="6"/>
        <v>161.47903822982181</v>
      </c>
      <c r="J30" s="3">
        <f t="shared" si="7"/>
        <v>7.3880466689295874</v>
      </c>
    </row>
    <row r="31" spans="1:10">
      <c r="A31" s="38">
        <v>1951</v>
      </c>
      <c r="B31" s="38" t="s">
        <v>87</v>
      </c>
      <c r="C31" s="1">
        <v>178</v>
      </c>
      <c r="D31" s="1">
        <v>30</v>
      </c>
      <c r="E31" s="3">
        <f t="shared" si="3"/>
        <v>175.82065522204533</v>
      </c>
      <c r="F31" s="3">
        <f t="shared" si="4"/>
        <v>3.867627980585933</v>
      </c>
      <c r="G31" s="3">
        <f t="shared" si="5"/>
        <v>1.0383811560384264</v>
      </c>
      <c r="H31" s="3">
        <f t="shared" si="8"/>
        <v>194.3173400889321</v>
      </c>
      <c r="I31" s="3">
        <f t="shared" si="6"/>
        <v>266.25558757787059</v>
      </c>
      <c r="J31" s="3">
        <f t="shared" si="7"/>
        <v>9.1670449937820777</v>
      </c>
    </row>
    <row r="32" spans="1:10">
      <c r="A32" s="38">
        <v>1951</v>
      </c>
      <c r="B32" s="38" t="s">
        <v>88</v>
      </c>
      <c r="C32" s="1">
        <v>199</v>
      </c>
      <c r="D32" s="1">
        <v>31</v>
      </c>
      <c r="E32" s="3">
        <f t="shared" si="3"/>
        <v>175.86703005952381</v>
      </c>
      <c r="F32" s="3">
        <f t="shared" si="4"/>
        <v>1.9570014090322072</v>
      </c>
      <c r="G32" s="3">
        <f t="shared" si="5"/>
        <v>1.1557092751024109</v>
      </c>
      <c r="H32" s="3">
        <f t="shared" si="8"/>
        <v>214.18270651609356</v>
      </c>
      <c r="I32" s="3">
        <f t="shared" si="6"/>
        <v>230.51457715382986</v>
      </c>
      <c r="J32" s="3">
        <f t="shared" si="7"/>
        <v>7.6295007618560602</v>
      </c>
    </row>
    <row r="33" spans="1:10">
      <c r="A33" s="38">
        <v>1951</v>
      </c>
      <c r="B33" s="38" t="s">
        <v>89</v>
      </c>
      <c r="C33" s="1">
        <v>199</v>
      </c>
      <c r="D33" s="1">
        <v>32</v>
      </c>
      <c r="E33" s="3">
        <f t="shared" si="3"/>
        <v>175.23189554255458</v>
      </c>
      <c r="F33" s="3">
        <f t="shared" si="4"/>
        <v>0.66093344603148818</v>
      </c>
      <c r="G33" s="3">
        <f t="shared" si="5"/>
        <v>1.1518776382969074</v>
      </c>
      <c r="H33" s="3">
        <f t="shared" si="8"/>
        <v>209.16322139945777</v>
      </c>
      <c r="I33" s="3">
        <f t="shared" si="6"/>
        <v>103.29106921439632</v>
      </c>
      <c r="J33" s="3">
        <f t="shared" si="7"/>
        <v>5.1071464318883253</v>
      </c>
    </row>
    <row r="34" spans="1:10">
      <c r="A34" s="38">
        <v>1951</v>
      </c>
      <c r="B34" s="38" t="s">
        <v>90</v>
      </c>
      <c r="C34" s="1">
        <v>184</v>
      </c>
      <c r="D34" s="1">
        <v>33</v>
      </c>
      <c r="E34" s="3">
        <f t="shared" si="3"/>
        <v>174.46543921666617</v>
      </c>
      <c r="F34" s="3">
        <f t="shared" si="4"/>
        <v>-5.2761439928462384E-2</v>
      </c>
      <c r="G34" s="3">
        <f t="shared" si="5"/>
        <v>1.0628602563554745</v>
      </c>
      <c r="H34" s="3">
        <f t="shared" si="8"/>
        <v>189.11564803927237</v>
      </c>
      <c r="I34" s="3">
        <f t="shared" si="6"/>
        <v>26.169854861711265</v>
      </c>
      <c r="J34" s="3">
        <f t="shared" si="7"/>
        <v>2.7802434996045502</v>
      </c>
    </row>
    <row r="35" spans="1:10">
      <c r="A35" s="38">
        <v>1951</v>
      </c>
      <c r="B35" s="38" t="s">
        <v>91</v>
      </c>
      <c r="C35" s="1">
        <v>162</v>
      </c>
      <c r="D35" s="1">
        <v>34</v>
      </c>
      <c r="E35" s="3">
        <f t="shared" si="3"/>
        <v>175.04369782025353</v>
      </c>
      <c r="F35" s="3">
        <f t="shared" si="4"/>
        <v>0.26274858182944771</v>
      </c>
      <c r="G35" s="3">
        <f t="shared" si="5"/>
        <v>0.92239528397444093</v>
      </c>
      <c r="H35" s="3">
        <f t="shared" si="8"/>
        <v>160.0695762816035</v>
      </c>
      <c r="I35" s="3">
        <f t="shared" si="6"/>
        <v>3.7265357325477586</v>
      </c>
      <c r="J35" s="3">
        <f t="shared" si="7"/>
        <v>1.1916195792570969</v>
      </c>
    </row>
    <row r="36" spans="1:10">
      <c r="A36" s="38">
        <v>1951</v>
      </c>
      <c r="B36" s="38" t="s">
        <v>92</v>
      </c>
      <c r="C36" s="1">
        <v>146</v>
      </c>
      <c r="D36" s="1">
        <v>35</v>
      </c>
      <c r="E36" s="3">
        <f t="shared" si="3"/>
        <v>177.64727858714909</v>
      </c>
      <c r="F36" s="3">
        <f t="shared" si="4"/>
        <v>1.4331646743625046</v>
      </c>
      <c r="G36" s="3">
        <f t="shared" si="5"/>
        <v>0.81204730484266263</v>
      </c>
      <c r="H36" s="3">
        <f t="shared" si="8"/>
        <v>139.77854924760021</v>
      </c>
      <c r="I36" s="3">
        <f t="shared" si="6"/>
        <v>38.706449464535908</v>
      </c>
      <c r="J36" s="3">
        <f t="shared" si="7"/>
        <v>4.2612676386299926</v>
      </c>
    </row>
    <row r="37" spans="1:10">
      <c r="A37" s="38">
        <v>1951</v>
      </c>
      <c r="B37" s="38" t="s">
        <v>93</v>
      </c>
      <c r="C37" s="1">
        <v>166</v>
      </c>
      <c r="D37" s="1">
        <v>36</v>
      </c>
      <c r="E37" s="3">
        <f t="shared" si="3"/>
        <v>178.16914164317396</v>
      </c>
      <c r="F37" s="3">
        <f t="shared" si="4"/>
        <v>0.97751386519368721</v>
      </c>
      <c r="G37" s="3">
        <f t="shared" si="5"/>
        <v>0.93620042803561754</v>
      </c>
      <c r="H37" s="3">
        <f t="shared" si="8"/>
        <v>168.86438096099295</v>
      </c>
      <c r="I37" s="3">
        <f t="shared" si="6"/>
        <v>8.2046782896988741</v>
      </c>
      <c r="J37" s="3">
        <f t="shared" si="7"/>
        <v>1.7255306993933412</v>
      </c>
    </row>
    <row r="38" spans="1:10">
      <c r="A38" s="38">
        <v>1952</v>
      </c>
      <c r="B38" s="38" t="s">
        <v>83</v>
      </c>
      <c r="C38" s="1">
        <v>171</v>
      </c>
      <c r="D38" s="1">
        <v>37</v>
      </c>
      <c r="E38" s="3">
        <f t="shared" si="3"/>
        <v>180.74494030563008</v>
      </c>
      <c r="F38" s="3">
        <f t="shared" si="4"/>
        <v>1.776656263824905</v>
      </c>
      <c r="G38" s="3">
        <f t="shared" si="5"/>
        <v>0.93843415790757012</v>
      </c>
      <c r="H38" s="3">
        <f t="shared" si="8"/>
        <v>166.06152089917137</v>
      </c>
      <c r="I38" s="3">
        <f t="shared" si="6"/>
        <v>24.388575829321152</v>
      </c>
      <c r="J38" s="3">
        <f t="shared" si="7"/>
        <v>2.8879994741687893</v>
      </c>
    </row>
    <row r="39" spans="1:10">
      <c r="A39" s="38">
        <v>1952</v>
      </c>
      <c r="B39" s="38" t="s">
        <v>84</v>
      </c>
      <c r="C39" s="1">
        <v>180</v>
      </c>
      <c r="D39" s="1">
        <v>38</v>
      </c>
      <c r="E39" s="3">
        <f t="shared" si="3"/>
        <v>184.31918212445737</v>
      </c>
      <c r="F39" s="3">
        <f t="shared" si="4"/>
        <v>2.6754490413260972</v>
      </c>
      <c r="G39" s="3">
        <f t="shared" si="5"/>
        <v>0.96787551311807829</v>
      </c>
      <c r="H39" s="3">
        <f t="shared" si="8"/>
        <v>174.27865348647757</v>
      </c>
      <c r="I39" s="3">
        <f t="shared" si="6"/>
        <v>32.733805927795309</v>
      </c>
      <c r="J39" s="3">
        <f t="shared" si="7"/>
        <v>3.1785258408457966</v>
      </c>
    </row>
    <row r="40" spans="1:10">
      <c r="A40" s="38">
        <v>1952</v>
      </c>
      <c r="B40" s="38" t="s">
        <v>85</v>
      </c>
      <c r="C40" s="1">
        <v>193</v>
      </c>
      <c r="D40" s="1">
        <v>39</v>
      </c>
      <c r="E40" s="3">
        <f t="shared" si="3"/>
        <v>184.75820793323211</v>
      </c>
      <c r="F40" s="3">
        <f t="shared" si="4"/>
        <v>1.5572374250504206</v>
      </c>
      <c r="G40" s="3">
        <f t="shared" si="5"/>
        <v>1.0567531349721724</v>
      </c>
      <c r="H40" s="3">
        <f t="shared" si="8"/>
        <v>201.01362659029832</v>
      </c>
      <c r="I40" s="3">
        <f t="shared" si="6"/>
        <v>64.218211128736201</v>
      </c>
      <c r="J40" s="3">
        <f t="shared" si="7"/>
        <v>4.1521381296882467</v>
      </c>
    </row>
    <row r="41" spans="1:10">
      <c r="A41" s="38">
        <v>1952</v>
      </c>
      <c r="B41" s="38" t="s">
        <v>86</v>
      </c>
      <c r="C41" s="1">
        <v>181</v>
      </c>
      <c r="D41" s="1">
        <v>40</v>
      </c>
      <c r="E41" s="3">
        <f t="shared" si="3"/>
        <v>185.20546073074911</v>
      </c>
      <c r="F41" s="3">
        <f t="shared" si="4"/>
        <v>1.0022451112837079</v>
      </c>
      <c r="G41" s="3">
        <f t="shared" si="5"/>
        <v>0.9828372238685843</v>
      </c>
      <c r="H41" s="3">
        <f t="shared" si="8"/>
        <v>184.66721739254135</v>
      </c>
      <c r="I41" s="3">
        <f t="shared" si="6"/>
        <v>13.448483404157749</v>
      </c>
      <c r="J41" s="3">
        <f t="shared" si="7"/>
        <v>2.0260869572051634</v>
      </c>
    </row>
    <row r="42" spans="1:10">
      <c r="A42" s="38">
        <v>1952</v>
      </c>
      <c r="B42" s="38" t="s">
        <v>5</v>
      </c>
      <c r="C42" s="1">
        <v>183</v>
      </c>
      <c r="D42" s="1">
        <v>41</v>
      </c>
      <c r="E42" s="3">
        <f t="shared" si="3"/>
        <v>187.13022522950476</v>
      </c>
      <c r="F42" s="3">
        <f t="shared" si="4"/>
        <v>1.4635048050196788</v>
      </c>
      <c r="G42" s="3">
        <f t="shared" si="5"/>
        <v>0.97348015818564426</v>
      </c>
      <c r="H42" s="3">
        <f t="shared" si="8"/>
        <v>180.0270044919055</v>
      </c>
      <c r="I42" s="3">
        <f t="shared" si="6"/>
        <v>8.8387022911500672</v>
      </c>
      <c r="J42" s="3">
        <f t="shared" si="7"/>
        <v>1.6245877093412562</v>
      </c>
    </row>
    <row r="43" spans="1:10">
      <c r="A43" s="38">
        <v>1952</v>
      </c>
      <c r="B43" s="38" t="s">
        <v>87</v>
      </c>
      <c r="C43" s="1">
        <v>218</v>
      </c>
      <c r="D43" s="1">
        <v>42</v>
      </c>
      <c r="E43" s="3">
        <f t="shared" si="3"/>
        <v>194.99826399286158</v>
      </c>
      <c r="F43" s="3">
        <f t="shared" si="4"/>
        <v>4.6657717841882498</v>
      </c>
      <c r="G43" s="3">
        <f t="shared" si="5"/>
        <v>1.0861276648283944</v>
      </c>
      <c r="H43" s="3">
        <f t="shared" si="8"/>
        <v>195.83217541484839</v>
      </c>
      <c r="I43" s="3">
        <f t="shared" si="6"/>
        <v>491.41244683805201</v>
      </c>
      <c r="J43" s="3">
        <f t="shared" si="7"/>
        <v>10.168726873922756</v>
      </c>
    </row>
    <row r="44" spans="1:10">
      <c r="A44" s="38">
        <v>1952</v>
      </c>
      <c r="B44" s="38" t="s">
        <v>88</v>
      </c>
      <c r="C44" s="1">
        <v>230</v>
      </c>
      <c r="D44" s="1">
        <v>43</v>
      </c>
      <c r="E44" s="3">
        <f t="shared" si="3"/>
        <v>199.46842134317345</v>
      </c>
      <c r="F44" s="3">
        <f t="shared" si="4"/>
        <v>4.5679645672500575</v>
      </c>
      <c r="G44" s="3">
        <f t="shared" si="5"/>
        <v>1.1541225438309972</v>
      </c>
      <c r="H44" s="3">
        <f t="shared" si="8"/>
        <v>230.75357805191609</v>
      </c>
      <c r="I44" s="3">
        <f t="shared" si="6"/>
        <v>0.56787988032965486</v>
      </c>
      <c r="J44" s="3">
        <f t="shared" si="7"/>
        <v>0.32764263126786686</v>
      </c>
    </row>
    <row r="45" spans="1:10">
      <c r="A45" s="38">
        <v>1952</v>
      </c>
      <c r="B45" s="38" t="s">
        <v>89</v>
      </c>
      <c r="C45" s="1">
        <v>242</v>
      </c>
      <c r="D45" s="1">
        <v>44</v>
      </c>
      <c r="E45" s="3">
        <f t="shared" si="3"/>
        <v>205.85299805019326</v>
      </c>
      <c r="F45" s="3">
        <f t="shared" si="4"/>
        <v>5.4762706371349381</v>
      </c>
      <c r="G45" s="3">
        <f t="shared" si="5"/>
        <v>1.1661087687128413</v>
      </c>
      <c r="H45" s="3">
        <f t="shared" si="8"/>
        <v>235.02495032913501</v>
      </c>
      <c r="I45" s="3">
        <f t="shared" si="6"/>
        <v>48.651317911033814</v>
      </c>
      <c r="J45" s="3">
        <f t="shared" si="7"/>
        <v>2.8822519301095002</v>
      </c>
    </row>
    <row r="46" spans="1:10">
      <c r="A46" s="38">
        <v>1952</v>
      </c>
      <c r="B46" s="38" t="s">
        <v>90</v>
      </c>
      <c r="C46" s="1">
        <v>209</v>
      </c>
      <c r="D46" s="1">
        <v>45</v>
      </c>
      <c r="E46" s="3">
        <f t="shared" ref="E46:E77" si="9">$L$2*(C46/G34)+$L$3*(E45+F45)</f>
        <v>206.92225075649498</v>
      </c>
      <c r="F46" s="3">
        <f t="shared" ref="F46:F77" si="10">$M$2*(E46-E45)+$M$3*F45</f>
        <v>3.2727616717183245</v>
      </c>
      <c r="G46" s="3">
        <f t="shared" ref="G46:G77" si="11">$N$2*(C46/E46)+$N$3*G34</f>
        <v>1.0311688270053412</v>
      </c>
      <c r="H46" s="3">
        <f t="shared" ref="H46:H77" si="12">(E45+F45)*G34</f>
        <v>224.61348069242862</v>
      </c>
      <c r="I46" s="3">
        <f t="shared" ref="I46:I77" si="13">(C46-H46)^2</f>
        <v>243.7807793328414</v>
      </c>
      <c r="J46" s="3">
        <f t="shared" ref="J46:J77" si="14">ABS((C46-H46)/C46)*100</f>
        <v>7.4705649246069967</v>
      </c>
    </row>
    <row r="47" spans="1:10">
      <c r="A47" s="38">
        <v>1952</v>
      </c>
      <c r="B47" s="38" t="s">
        <v>91</v>
      </c>
      <c r="C47" s="1">
        <v>191</v>
      </c>
      <c r="D47" s="1">
        <v>46</v>
      </c>
      <c r="E47" s="3">
        <f t="shared" si="9"/>
        <v>209.25738138364275</v>
      </c>
      <c r="F47" s="3">
        <f t="shared" si="10"/>
        <v>2.8039461494330506</v>
      </c>
      <c r="G47" s="3">
        <f t="shared" si="11"/>
        <v>0.91660904586392966</v>
      </c>
      <c r="H47" s="3">
        <f t="shared" si="12"/>
        <v>193.88288817873294</v>
      </c>
      <c r="I47" s="3">
        <f t="shared" si="13"/>
        <v>8.3110442510781315</v>
      </c>
      <c r="J47" s="3">
        <f t="shared" si="14"/>
        <v>1.509365538603634</v>
      </c>
    </row>
    <row r="48" spans="1:10">
      <c r="A48" s="38">
        <v>1952</v>
      </c>
      <c r="B48" s="38" t="s">
        <v>92</v>
      </c>
      <c r="C48" s="1">
        <v>172</v>
      </c>
      <c r="D48" s="1">
        <v>47</v>
      </c>
      <c r="E48" s="3">
        <f t="shared" si="9"/>
        <v>211.98602546013899</v>
      </c>
      <c r="F48" s="3">
        <f t="shared" si="10"/>
        <v>2.7662951129646443</v>
      </c>
      <c r="G48" s="3">
        <f t="shared" si="11"/>
        <v>0.81164346509264829</v>
      </c>
      <c r="H48" s="3">
        <f t="shared" si="12"/>
        <v>172.20382948459132</v>
      </c>
      <c r="I48" s="3">
        <f t="shared" si="13"/>
        <v>4.1546458788764874E-2</v>
      </c>
      <c r="J48" s="3">
        <f t="shared" si="14"/>
        <v>0.11850551429728153</v>
      </c>
    </row>
    <row r="49" spans="1:10">
      <c r="A49" s="38">
        <v>1952</v>
      </c>
      <c r="B49" s="38" t="s">
        <v>93</v>
      </c>
      <c r="C49" s="1">
        <v>194</v>
      </c>
      <c r="D49" s="1">
        <v>48</v>
      </c>
      <c r="E49" s="3">
        <f t="shared" si="9"/>
        <v>212.49279978107293</v>
      </c>
      <c r="F49" s="3">
        <f t="shared" si="10"/>
        <v>1.6365347169492934</v>
      </c>
      <c r="G49" s="3">
        <f t="shared" si="11"/>
        <v>0.92226343784692622</v>
      </c>
      <c r="H49" s="3">
        <f t="shared" si="12"/>
        <v>201.05121444218179</v>
      </c>
      <c r="I49" s="3">
        <f t="shared" si="13"/>
        <v>49.719625109633022</v>
      </c>
      <c r="J49" s="3">
        <f t="shared" si="14"/>
        <v>3.6346466196813338</v>
      </c>
    </row>
    <row r="50" spans="1:10">
      <c r="A50" s="38">
        <v>1953</v>
      </c>
      <c r="B50" s="38" t="s">
        <v>83</v>
      </c>
      <c r="C50" s="1">
        <v>196</v>
      </c>
      <c r="D50" s="1">
        <v>49</v>
      </c>
      <c r="E50" s="3">
        <f t="shared" si="9"/>
        <v>212.54809995068155</v>
      </c>
      <c r="F50" s="3">
        <f t="shared" si="10"/>
        <v>0.8459174432789538</v>
      </c>
      <c r="G50" s="3">
        <f t="shared" si="11"/>
        <v>0.92866018996466604</v>
      </c>
      <c r="H50" s="3">
        <f t="shared" si="12"/>
        <v>200.94628170295988</v>
      </c>
      <c r="I50" s="3">
        <f t="shared" si="13"/>
        <v>24.465702685035687</v>
      </c>
      <c r="J50" s="3">
        <f t="shared" si="14"/>
        <v>2.5236131137550406</v>
      </c>
    </row>
    <row r="51" spans="1:10">
      <c r="A51" s="38">
        <v>1953</v>
      </c>
      <c r="B51" s="38" t="s">
        <v>84</v>
      </c>
      <c r="C51" s="1">
        <v>196</v>
      </c>
      <c r="D51" s="1">
        <v>50</v>
      </c>
      <c r="E51" s="3">
        <f t="shared" si="9"/>
        <v>210.1274266169433</v>
      </c>
      <c r="F51" s="3">
        <f t="shared" si="10"/>
        <v>-0.78737794522964821</v>
      </c>
      <c r="G51" s="3">
        <f t="shared" si="11"/>
        <v>0.94681060700136155</v>
      </c>
      <c r="H51" s="3">
        <f t="shared" si="12"/>
        <v>206.53884408150765</v>
      </c>
      <c r="I51" s="3">
        <f t="shared" si="13"/>
        <v>111.06723457432878</v>
      </c>
      <c r="J51" s="3">
        <f t="shared" si="14"/>
        <v>5.3769612660753303</v>
      </c>
    </row>
    <row r="52" spans="1:10">
      <c r="A52" s="38">
        <v>1953</v>
      </c>
      <c r="B52" s="38" t="s">
        <v>85</v>
      </c>
      <c r="C52" s="1">
        <v>236</v>
      </c>
      <c r="D52" s="1">
        <v>51</v>
      </c>
      <c r="E52" s="3">
        <f t="shared" si="9"/>
        <v>213.53570614416446</v>
      </c>
      <c r="F52" s="3">
        <f t="shared" si="10"/>
        <v>1.3104507909957601</v>
      </c>
      <c r="G52" s="3">
        <f t="shared" si="11"/>
        <v>1.0858222025032196</v>
      </c>
      <c r="H52" s="3">
        <f t="shared" si="12"/>
        <v>221.22075270906055</v>
      </c>
      <c r="I52" s="3">
        <f t="shared" si="13"/>
        <v>218.42615048674114</v>
      </c>
      <c r="J52" s="3">
        <f t="shared" si="14"/>
        <v>6.2623929198895976</v>
      </c>
    </row>
    <row r="53" spans="1:10">
      <c r="A53" s="38">
        <v>1953</v>
      </c>
      <c r="B53" s="38" t="s">
        <v>86</v>
      </c>
      <c r="C53" s="1">
        <v>235</v>
      </c>
      <c r="D53" s="1">
        <v>52</v>
      </c>
      <c r="E53" s="3">
        <f t="shared" si="9"/>
        <v>222.12341474958362</v>
      </c>
      <c r="F53" s="3">
        <f t="shared" si="10"/>
        <v>4.9490796982074565</v>
      </c>
      <c r="G53" s="3">
        <f t="shared" si="11"/>
        <v>1.0279171350795397</v>
      </c>
      <c r="H53" s="3">
        <f t="shared" si="12"/>
        <v>211.15880044098705</v>
      </c>
      <c r="I53" s="3">
        <f t="shared" si="13"/>
        <v>568.40279641267921</v>
      </c>
      <c r="J53" s="3">
        <f t="shared" si="14"/>
        <v>10.145191301707639</v>
      </c>
    </row>
    <row r="54" spans="1:10">
      <c r="A54" s="38">
        <v>1953</v>
      </c>
      <c r="B54" s="38" t="s">
        <v>5</v>
      </c>
      <c r="C54" s="1">
        <v>229</v>
      </c>
      <c r="D54" s="1">
        <v>53</v>
      </c>
      <c r="E54" s="3">
        <f t="shared" si="9"/>
        <v>229.52229235641147</v>
      </c>
      <c r="F54" s="3">
        <f t="shared" si="10"/>
        <v>6.1739786525176541</v>
      </c>
      <c r="G54" s="3">
        <f t="shared" si="11"/>
        <v>0.9880267256827342</v>
      </c>
      <c r="H54" s="3">
        <f t="shared" si="12"/>
        <v>221.0505678146445</v>
      </c>
      <c r="I54" s="3">
        <f t="shared" si="13"/>
        <v>63.193472069565999</v>
      </c>
      <c r="J54" s="3">
        <f t="shared" si="14"/>
        <v>3.4713677665307885</v>
      </c>
    </row>
    <row r="55" spans="1:10">
      <c r="A55" s="38">
        <v>1953</v>
      </c>
      <c r="B55" s="38" t="s">
        <v>87</v>
      </c>
      <c r="C55" s="1">
        <v>243</v>
      </c>
      <c r="D55" s="1">
        <v>54</v>
      </c>
      <c r="E55" s="3">
        <f t="shared" si="9"/>
        <v>232.10657132797809</v>
      </c>
      <c r="F55" s="3">
        <f t="shared" si="10"/>
        <v>4.3791288120421363</v>
      </c>
      <c r="G55" s="3">
        <f t="shared" si="11"/>
        <v>1.0626107908620983</v>
      </c>
      <c r="H55" s="3">
        <f t="shared" si="12"/>
        <v>255.99624043968859</v>
      </c>
      <c r="I55" s="3">
        <f t="shared" si="13"/>
        <v>168.90226556619712</v>
      </c>
      <c r="J55" s="3">
        <f t="shared" si="14"/>
        <v>5.3482470945220539</v>
      </c>
    </row>
    <row r="56" spans="1:10">
      <c r="A56" s="38">
        <v>1953</v>
      </c>
      <c r="B56" s="38" t="s">
        <v>88</v>
      </c>
      <c r="C56" s="1">
        <v>264</v>
      </c>
      <c r="D56" s="1">
        <v>55</v>
      </c>
      <c r="E56" s="3">
        <f t="shared" si="9"/>
        <v>234.1635521481092</v>
      </c>
      <c r="F56" s="3">
        <f t="shared" si="10"/>
        <v>3.2180548160866262</v>
      </c>
      <c r="G56" s="3">
        <f t="shared" si="11"/>
        <v>1.1380992957542269</v>
      </c>
      <c r="H56" s="3">
        <f t="shared" si="12"/>
        <v>272.93347782525456</v>
      </c>
      <c r="I56" s="3">
        <f t="shared" si="13"/>
        <v>79.807026054314875</v>
      </c>
      <c r="J56" s="3">
        <f t="shared" si="14"/>
        <v>3.383893115626726</v>
      </c>
    </row>
    <row r="57" spans="1:10">
      <c r="A57" s="38">
        <v>1953</v>
      </c>
      <c r="B57" s="38" t="s">
        <v>89</v>
      </c>
      <c r="C57" s="1">
        <v>272</v>
      </c>
      <c r="D57" s="1">
        <v>56</v>
      </c>
      <c r="E57" s="3">
        <f t="shared" si="9"/>
        <v>236.14344457114402</v>
      </c>
      <c r="F57" s="3">
        <f t="shared" si="10"/>
        <v>2.5989736195607192</v>
      </c>
      <c r="G57" s="3">
        <f t="shared" si="11"/>
        <v>1.1575488663333768</v>
      </c>
      <c r="H57" s="3">
        <f t="shared" si="12"/>
        <v>276.81277341209403</v>
      </c>
      <c r="I57" s="3">
        <f t="shared" si="13"/>
        <v>23.162787916159228</v>
      </c>
      <c r="J57" s="3">
        <f t="shared" si="14"/>
        <v>1.7694019897404527</v>
      </c>
    </row>
    <row r="58" spans="1:10">
      <c r="A58" s="38">
        <v>1953</v>
      </c>
      <c r="B58" s="38" t="s">
        <v>90</v>
      </c>
      <c r="C58" s="1">
        <v>237</v>
      </c>
      <c r="D58" s="1">
        <v>57</v>
      </c>
      <c r="E58" s="3">
        <f t="shared" si="9"/>
        <v>236.07057462398291</v>
      </c>
      <c r="F58" s="3">
        <f t="shared" si="10"/>
        <v>1.2630518361998049</v>
      </c>
      <c r="G58" s="3">
        <f t="shared" si="11"/>
        <v>1.0148297702574287</v>
      </c>
      <c r="H58" s="3">
        <f t="shared" si="12"/>
        <v>246.18373932212762</v>
      </c>
      <c r="I58" s="3">
        <f t="shared" si="13"/>
        <v>84.34106793679311</v>
      </c>
      <c r="J58" s="3">
        <f t="shared" si="14"/>
        <v>3.8749954945686165</v>
      </c>
    </row>
    <row r="59" spans="1:10">
      <c r="A59" s="38">
        <v>1953</v>
      </c>
      <c r="B59" s="38" t="s">
        <v>91</v>
      </c>
      <c r="C59" s="1">
        <v>211</v>
      </c>
      <c r="D59" s="1">
        <v>58</v>
      </c>
      <c r="E59" s="3">
        <f t="shared" si="9"/>
        <v>235.19242495318855</v>
      </c>
      <c r="F59" s="3">
        <f t="shared" si="10"/>
        <v>0.19245108270272371</v>
      </c>
      <c r="G59" s="3">
        <f t="shared" si="11"/>
        <v>0.90492626084648486</v>
      </c>
      <c r="H59" s="3">
        <f t="shared" si="12"/>
        <v>217.54214890109435</v>
      </c>
      <c r="I59" s="3">
        <f t="shared" si="13"/>
        <v>42.799712244090017</v>
      </c>
      <c r="J59" s="3">
        <f t="shared" si="14"/>
        <v>3.1005445028883178</v>
      </c>
    </row>
    <row r="60" spans="1:10">
      <c r="A60" s="38">
        <v>1953</v>
      </c>
      <c r="B60" s="38" t="s">
        <v>92</v>
      </c>
      <c r="C60" s="1">
        <v>180</v>
      </c>
      <c r="D60" s="1">
        <v>59</v>
      </c>
      <c r="E60" s="3">
        <f t="shared" si="9"/>
        <v>231.30108916714104</v>
      </c>
      <c r="F60" s="3">
        <f t="shared" si="10"/>
        <v>-1.849442351672391</v>
      </c>
      <c r="G60" s="3">
        <f t="shared" si="11"/>
        <v>0.7915812573810368</v>
      </c>
      <c r="H60" s="3">
        <f t="shared" si="12"/>
        <v>191.04859641617426</v>
      </c>
      <c r="I60" s="3">
        <f t="shared" si="13"/>
        <v>122.07148276749876</v>
      </c>
      <c r="J60" s="3">
        <f t="shared" si="14"/>
        <v>6.1381091200968125</v>
      </c>
    </row>
    <row r="61" spans="1:10">
      <c r="A61" s="38">
        <v>1953</v>
      </c>
      <c r="B61" s="38" t="s">
        <v>93</v>
      </c>
      <c r="C61" s="1">
        <v>201</v>
      </c>
      <c r="D61" s="1">
        <v>60</v>
      </c>
      <c r="E61" s="3">
        <f t="shared" si="9"/>
        <v>225.99877288290102</v>
      </c>
      <c r="F61" s="3">
        <f t="shared" si="10"/>
        <v>-3.5758793179562058</v>
      </c>
      <c r="G61" s="3">
        <f t="shared" si="11"/>
        <v>0.9025365911918225</v>
      </c>
      <c r="H61" s="3">
        <f t="shared" si="12"/>
        <v>211.61486461167283</v>
      </c>
      <c r="I61" s="3">
        <f t="shared" si="13"/>
        <v>112.67535072414415</v>
      </c>
      <c r="J61" s="3">
        <f t="shared" si="14"/>
        <v>5.2810271699864817</v>
      </c>
    </row>
    <row r="62" spans="1:10">
      <c r="A62" s="38">
        <v>1954</v>
      </c>
      <c r="B62" s="38" t="s">
        <v>83</v>
      </c>
      <c r="C62" s="1">
        <v>204</v>
      </c>
      <c r="D62" s="1">
        <v>61</v>
      </c>
      <c r="E62" s="3">
        <f t="shared" si="9"/>
        <v>221.59741834221251</v>
      </c>
      <c r="F62" s="3">
        <f t="shared" si="10"/>
        <v>-3.9886169293223608</v>
      </c>
      <c r="G62" s="3">
        <f t="shared" si="11"/>
        <v>0.92381708133982721</v>
      </c>
      <c r="H62" s="3">
        <f t="shared" si="12"/>
        <v>206.55528659051234</v>
      </c>
      <c r="I62" s="3">
        <f t="shared" si="13"/>
        <v>6.5294895596521707</v>
      </c>
      <c r="J62" s="3">
        <f t="shared" si="14"/>
        <v>1.2525914659374207</v>
      </c>
    </row>
    <row r="63" spans="1:10">
      <c r="A63" s="38">
        <v>1954</v>
      </c>
      <c r="B63" s="38" t="s">
        <v>84</v>
      </c>
      <c r="C63" s="1">
        <v>188</v>
      </c>
      <c r="D63" s="1">
        <v>62</v>
      </c>
      <c r="E63" s="3">
        <f t="shared" si="9"/>
        <v>211.89456842229438</v>
      </c>
      <c r="F63" s="3">
        <f t="shared" si="10"/>
        <v>-6.8457334246202421</v>
      </c>
      <c r="G63" s="3">
        <f t="shared" si="11"/>
        <v>0.91106445727548913</v>
      </c>
      <c r="H63" s="3">
        <f t="shared" si="12"/>
        <v>206.03432135457729</v>
      </c>
      <c r="I63" s="3">
        <f t="shared" si="13"/>
        <v>325.23674672016233</v>
      </c>
      <c r="J63" s="3">
        <f t="shared" si="14"/>
        <v>9.5927241247751525</v>
      </c>
    </row>
    <row r="64" spans="1:10">
      <c r="A64" s="38">
        <v>1954</v>
      </c>
      <c r="B64" s="38" t="s">
        <v>85</v>
      </c>
      <c r="C64" s="1">
        <v>235</v>
      </c>
      <c r="D64" s="1">
        <v>63</v>
      </c>
      <c r="E64" s="3">
        <f t="shared" si="9"/>
        <v>208.46194139767965</v>
      </c>
      <c r="F64" s="3">
        <f t="shared" si="10"/>
        <v>-5.1391802246174869</v>
      </c>
      <c r="G64" s="3">
        <f t="shared" si="11"/>
        <v>1.1107113374565718</v>
      </c>
      <c r="H64" s="3">
        <f t="shared" si="12"/>
        <v>222.64657763789378</v>
      </c>
      <c r="I64" s="3">
        <f t="shared" si="13"/>
        <v>152.60704405658589</v>
      </c>
      <c r="J64" s="3">
        <f t="shared" si="14"/>
        <v>5.2567754732366874</v>
      </c>
    </row>
    <row r="65" spans="1:10">
      <c r="A65" s="38">
        <v>1954</v>
      </c>
      <c r="B65" s="38" t="s">
        <v>86</v>
      </c>
      <c r="C65" s="1">
        <v>227</v>
      </c>
      <c r="D65" s="1">
        <v>64</v>
      </c>
      <c r="E65" s="3">
        <f t="shared" si="9"/>
        <v>208.57640931965079</v>
      </c>
      <c r="F65" s="3">
        <f t="shared" si="10"/>
        <v>-2.5123561513231731</v>
      </c>
      <c r="G65" s="3">
        <f t="shared" si="11"/>
        <v>1.0641649588715087</v>
      </c>
      <c r="H65" s="3">
        <f t="shared" si="12"/>
        <v>208.99895016147553</v>
      </c>
      <c r="I65" s="3">
        <f t="shared" si="13"/>
        <v>324.0377952890417</v>
      </c>
      <c r="J65" s="3">
        <f t="shared" si="14"/>
        <v>7.9299779024336852</v>
      </c>
    </row>
    <row r="66" spans="1:10">
      <c r="A66" s="38">
        <v>1954</v>
      </c>
      <c r="B66" s="38" t="s">
        <v>5</v>
      </c>
      <c r="C66" s="1">
        <v>234</v>
      </c>
      <c r="D66" s="1">
        <v>65</v>
      </c>
      <c r="E66" s="3">
        <f t="shared" si="9"/>
        <v>215.29554685474858</v>
      </c>
      <c r="F66" s="3">
        <f t="shared" si="10"/>
        <v>2.1033906918873067</v>
      </c>
      <c r="G66" s="3">
        <f t="shared" si="11"/>
        <v>1.0473375087377708</v>
      </c>
      <c r="H66" s="3">
        <f t="shared" si="12"/>
        <v>203.5967917328156</v>
      </c>
      <c r="I66" s="3">
        <f t="shared" si="13"/>
        <v>924.3550729377896</v>
      </c>
      <c r="J66" s="3">
        <f t="shared" si="14"/>
        <v>12.992824045805298</v>
      </c>
    </row>
    <row r="67" spans="1:10">
      <c r="A67" s="38">
        <v>1954</v>
      </c>
      <c r="B67" s="38" t="s">
        <v>87</v>
      </c>
      <c r="C67" s="1">
        <v>264</v>
      </c>
      <c r="D67" s="1">
        <v>66</v>
      </c>
      <c r="E67" s="3">
        <f t="shared" si="9"/>
        <v>226.71266087544518</v>
      </c>
      <c r="F67" s="3">
        <f t="shared" si="10"/>
        <v>6.7602523562919536</v>
      </c>
      <c r="G67" s="3">
        <f t="shared" si="11"/>
        <v>1.123726072310044</v>
      </c>
      <c r="H67" s="3">
        <f t="shared" si="12"/>
        <v>231.0104569590107</v>
      </c>
      <c r="I67" s="3">
        <f t="shared" si="13"/>
        <v>1088.3099500532858</v>
      </c>
      <c r="J67" s="3">
        <f t="shared" si="14"/>
        <v>12.496039030677766</v>
      </c>
    </row>
    <row r="68" spans="1:10">
      <c r="A68" s="38">
        <v>1954</v>
      </c>
      <c r="B68" s="38" t="s">
        <v>88</v>
      </c>
      <c r="C68" s="1">
        <v>302</v>
      </c>
      <c r="D68" s="1">
        <v>67</v>
      </c>
      <c r="E68" s="3">
        <f t="shared" si="9"/>
        <v>243.0374500015871</v>
      </c>
      <c r="F68" s="3">
        <f t="shared" si="10"/>
        <v>11.542520741216938</v>
      </c>
      <c r="G68" s="3">
        <f t="shared" si="11"/>
        <v>1.2008038278610065</v>
      </c>
      <c r="H68" s="3">
        <f t="shared" si="12"/>
        <v>265.71535812672772</v>
      </c>
      <c r="I68" s="3">
        <f t="shared" si="13"/>
        <v>1316.575235871624</v>
      </c>
      <c r="J68" s="3">
        <f t="shared" si="14"/>
        <v>12.014782077242476</v>
      </c>
    </row>
    <row r="69" spans="1:10">
      <c r="A69" s="38">
        <v>1954</v>
      </c>
      <c r="B69" s="38" t="s">
        <v>89</v>
      </c>
      <c r="C69" s="1">
        <v>293</v>
      </c>
      <c r="D69" s="1">
        <v>68</v>
      </c>
      <c r="E69" s="3">
        <f t="shared" si="9"/>
        <v>254.14229854416942</v>
      </c>
      <c r="F69" s="3">
        <f t="shared" si="10"/>
        <v>11.323684641899629</v>
      </c>
      <c r="G69" s="3">
        <f t="shared" si="11"/>
        <v>1.1547579978145976</v>
      </c>
      <c r="H69" s="3">
        <f t="shared" si="12"/>
        <v>294.68875652451709</v>
      </c>
      <c r="I69" s="3">
        <f t="shared" si="13"/>
        <v>2.8518985990990373</v>
      </c>
      <c r="J69" s="3">
        <f t="shared" si="14"/>
        <v>0.57636741451095186</v>
      </c>
    </row>
    <row r="70" spans="1:10">
      <c r="A70" s="38">
        <v>1954</v>
      </c>
      <c r="B70" s="38" t="s">
        <v>90</v>
      </c>
      <c r="C70" s="1">
        <v>259</v>
      </c>
      <c r="D70" s="1">
        <v>69</v>
      </c>
      <c r="E70" s="3">
        <f t="shared" si="9"/>
        <v>262.39075332010577</v>
      </c>
      <c r="F70" s="3">
        <f t="shared" si="10"/>
        <v>9.7860697089179904</v>
      </c>
      <c r="G70" s="3">
        <f t="shared" si="11"/>
        <v>0.99817838795669744</v>
      </c>
      <c r="H70" s="3">
        <f t="shared" si="12"/>
        <v>269.40278272788083</v>
      </c>
      <c r="I70" s="3">
        <f t="shared" si="13"/>
        <v>108.21788848349578</v>
      </c>
      <c r="J70" s="3">
        <f t="shared" si="14"/>
        <v>4.0165184277532173</v>
      </c>
    </row>
    <row r="71" spans="1:10">
      <c r="A71" s="38">
        <v>1954</v>
      </c>
      <c r="B71" s="38" t="s">
        <v>91</v>
      </c>
      <c r="C71" s="1">
        <v>229</v>
      </c>
      <c r="D71" s="1">
        <v>70</v>
      </c>
      <c r="E71" s="3">
        <f t="shared" si="9"/>
        <v>266.4415640909483</v>
      </c>
      <c r="F71" s="3">
        <f t="shared" si="10"/>
        <v>6.9184402398802609</v>
      </c>
      <c r="G71" s="3">
        <f t="shared" si="11"/>
        <v>0.87765581218005106</v>
      </c>
      <c r="H71" s="3">
        <f t="shared" si="12"/>
        <v>246.29995475272989</v>
      </c>
      <c r="I71" s="3">
        <f t="shared" si="13"/>
        <v>299.28843444650147</v>
      </c>
      <c r="J71" s="3">
        <f t="shared" si="14"/>
        <v>7.5545653942051914</v>
      </c>
    </row>
    <row r="72" spans="1:10">
      <c r="A72" s="38">
        <v>1954</v>
      </c>
      <c r="B72" s="38" t="s">
        <v>92</v>
      </c>
      <c r="C72" s="1">
        <v>203</v>
      </c>
      <c r="D72" s="1">
        <v>71</v>
      </c>
      <c r="E72" s="3">
        <f t="shared" si="9"/>
        <v>268.28661894389825</v>
      </c>
      <c r="F72" s="3">
        <f t="shared" si="10"/>
        <v>4.3817475464151023</v>
      </c>
      <c r="G72" s="3">
        <f t="shared" si="11"/>
        <v>0.77062458231687136</v>
      </c>
      <c r="H72" s="3">
        <f t="shared" si="12"/>
        <v>216.38665594588295</v>
      </c>
      <c r="I72" s="3">
        <f t="shared" si="13"/>
        <v>179.20255741344334</v>
      </c>
      <c r="J72" s="3">
        <f t="shared" si="14"/>
        <v>6.5944117960014541</v>
      </c>
    </row>
    <row r="73" spans="1:10">
      <c r="A73" s="38">
        <v>1954</v>
      </c>
      <c r="B73" s="38" t="s">
        <v>93</v>
      </c>
      <c r="C73" s="1">
        <v>229</v>
      </c>
      <c r="D73" s="1">
        <v>72</v>
      </c>
      <c r="E73" s="3">
        <f t="shared" si="9"/>
        <v>266.98665401965172</v>
      </c>
      <c r="F73" s="3">
        <f t="shared" si="10"/>
        <v>1.5408913110842892</v>
      </c>
      <c r="G73" s="3">
        <f t="shared" si="11"/>
        <v>0.87564710192530748</v>
      </c>
      <c r="H73" s="3">
        <f t="shared" si="12"/>
        <v>246.09317801800998</v>
      </c>
      <c r="I73" s="3">
        <f t="shared" si="13"/>
        <v>292.17673475537958</v>
      </c>
      <c r="J73" s="3">
        <f t="shared" si="14"/>
        <v>7.4642698768602536</v>
      </c>
    </row>
    <row r="74" spans="1:10">
      <c r="A74" s="38">
        <v>1955</v>
      </c>
      <c r="B74" s="38" t="s">
        <v>83</v>
      </c>
      <c r="C74" s="1">
        <v>242</v>
      </c>
      <c r="D74" s="1">
        <v>73</v>
      </c>
      <c r="E74" s="3">
        <f t="shared" si="9"/>
        <v>266.55626769058301</v>
      </c>
      <c r="F74" s="3">
        <f t="shared" si="10"/>
        <v>0.55525249100778939</v>
      </c>
      <c r="G74" s="3">
        <f t="shared" si="11"/>
        <v>0.91425234680726408</v>
      </c>
      <c r="H74" s="3">
        <f t="shared" si="12"/>
        <v>248.0703331867887</v>
      </c>
      <c r="I74" s="3">
        <f t="shared" si="13"/>
        <v>36.848944998628276</v>
      </c>
      <c r="J74" s="3">
        <f t="shared" si="14"/>
        <v>2.5084021433011161</v>
      </c>
    </row>
    <row r="75" spans="1:10">
      <c r="A75" s="38">
        <v>1955</v>
      </c>
      <c r="B75" s="38" t="s">
        <v>84</v>
      </c>
      <c r="C75" s="1">
        <v>233</v>
      </c>
      <c r="D75" s="1">
        <v>74</v>
      </c>
      <c r="E75" s="3">
        <f t="shared" si="9"/>
        <v>263.70150497896486</v>
      </c>
      <c r="F75" s="3">
        <f t="shared" si="10"/>
        <v>-1.1497551103051804</v>
      </c>
      <c r="G75" s="3">
        <f t="shared" si="11"/>
        <v>0.89457065262245483</v>
      </c>
      <c r="H75" s="3">
        <f t="shared" si="12"/>
        <v>243.35581216627187</v>
      </c>
      <c r="I75" s="3">
        <f t="shared" si="13"/>
        <v>107.24284562310459</v>
      </c>
      <c r="J75" s="3">
        <f t="shared" si="14"/>
        <v>4.4445545777990878</v>
      </c>
    </row>
    <row r="76" spans="1:10">
      <c r="A76" s="38">
        <v>1955</v>
      </c>
      <c r="B76" s="38" t="s">
        <v>85</v>
      </c>
      <c r="C76" s="1">
        <v>267</v>
      </c>
      <c r="D76" s="1">
        <v>75</v>
      </c>
      <c r="E76" s="3">
        <f t="shared" si="9"/>
        <v>255.90217195819429</v>
      </c>
      <c r="F76" s="3">
        <f t="shared" si="10"/>
        <v>-4.4745440655378781</v>
      </c>
      <c r="G76" s="3">
        <f t="shared" si="11"/>
        <v>1.0703050129415703</v>
      </c>
      <c r="H76" s="3">
        <f t="shared" si="12"/>
        <v>291.61920524818225</v>
      </c>
      <c r="I76" s="3">
        <f t="shared" si="13"/>
        <v>606.10526705212465</v>
      </c>
      <c r="J76" s="3">
        <f t="shared" si="14"/>
        <v>9.2206761229147016</v>
      </c>
    </row>
    <row r="77" spans="1:10">
      <c r="A77" s="38">
        <v>1955</v>
      </c>
      <c r="B77" s="38" t="s">
        <v>86</v>
      </c>
      <c r="C77" s="1">
        <v>269</v>
      </c>
      <c r="D77" s="1">
        <v>76</v>
      </c>
      <c r="E77" s="3">
        <f t="shared" si="9"/>
        <v>251.83344712935917</v>
      </c>
      <c r="F77" s="3">
        <f t="shared" si="10"/>
        <v>-4.2716344471864964</v>
      </c>
      <c r="G77" s="3">
        <f t="shared" si="11"/>
        <v>1.0665657601263101</v>
      </c>
      <c r="H77" s="3">
        <f t="shared" si="12"/>
        <v>267.56047129554969</v>
      </c>
      <c r="I77" s="3">
        <f t="shared" si="13"/>
        <v>2.0722428909363897</v>
      </c>
      <c r="J77" s="3">
        <f t="shared" si="14"/>
        <v>0.53514078232353557</v>
      </c>
    </row>
    <row r="78" spans="1:10">
      <c r="A78" s="38">
        <v>1955</v>
      </c>
      <c r="B78" s="38" t="s">
        <v>5</v>
      </c>
      <c r="C78" s="1">
        <v>270</v>
      </c>
      <c r="D78" s="1">
        <v>77</v>
      </c>
      <c r="E78" s="3">
        <f t="shared" ref="E78:E109" si="15">$L$2*(C78/G66)+$L$3*(E77+F77)</f>
        <v>250.63223489776729</v>
      </c>
      <c r="F78" s="3">
        <f t="shared" ref="F78:F109" si="16">$M$2*(E78-E77)+$M$3*F77</f>
        <v>-2.736423339389189</v>
      </c>
      <c r="G78" s="3">
        <f t="shared" ref="G78:G109" si="17">$N$2*(C78/E78)+$N$3*G66</f>
        <v>1.0653003844928068</v>
      </c>
      <c r="H78" s="3">
        <f t="shared" ref="H78:H109" si="18">(E77+F77)*G66</f>
        <v>259.28077215315341</v>
      </c>
      <c r="I78" s="3">
        <f t="shared" ref="I78:I109" si="19">(C78-H78)^2</f>
        <v>114.90184563261144</v>
      </c>
      <c r="J78" s="3">
        <f t="shared" ref="J78:J109" si="20">ABS((C78-H78)/C78)*100</f>
        <v>3.9700843877209602</v>
      </c>
    </row>
    <row r="79" spans="1:10">
      <c r="A79" s="38">
        <v>1955</v>
      </c>
      <c r="B79" s="38" t="s">
        <v>87</v>
      </c>
      <c r="C79" s="1">
        <v>315</v>
      </c>
      <c r="D79" s="1">
        <v>78</v>
      </c>
      <c r="E79" s="3">
        <f t="shared" si="15"/>
        <v>257.62229585908432</v>
      </c>
      <c r="F79" s="3">
        <f t="shared" si="16"/>
        <v>2.1268188109639192</v>
      </c>
      <c r="G79" s="3">
        <f t="shared" si="17"/>
        <v>1.1831225835857409</v>
      </c>
      <c r="H79" s="3">
        <f t="shared" si="18"/>
        <v>278.56698666460704</v>
      </c>
      <c r="I79" s="3">
        <f t="shared" si="19"/>
        <v>1327.364460696921</v>
      </c>
      <c r="J79" s="3">
        <f t="shared" si="20"/>
        <v>11.566035979489827</v>
      </c>
    </row>
    <row r="80" spans="1:10">
      <c r="A80" s="38">
        <v>1955</v>
      </c>
      <c r="B80" s="38" t="s">
        <v>88</v>
      </c>
      <c r="C80" s="1">
        <v>364</v>
      </c>
      <c r="D80" s="1">
        <v>79</v>
      </c>
      <c r="E80" s="3">
        <f t="shared" si="15"/>
        <v>272.76346412798358</v>
      </c>
      <c r="F80" s="3">
        <f t="shared" si="16"/>
        <v>8.6339935399315912</v>
      </c>
      <c r="G80" s="3">
        <f t="shared" si="17"/>
        <v>1.2810152776409067</v>
      </c>
      <c r="H80" s="3">
        <f t="shared" si="18"/>
        <v>311.90773117930144</v>
      </c>
      <c r="I80" s="3">
        <f t="shared" si="19"/>
        <v>2713.604470887924</v>
      </c>
      <c r="J80" s="3">
        <f t="shared" si="20"/>
        <v>14.311062862829276</v>
      </c>
    </row>
    <row r="81" spans="1:10">
      <c r="A81" s="38">
        <v>1955</v>
      </c>
      <c r="B81" s="38" t="s">
        <v>89</v>
      </c>
      <c r="C81" s="1">
        <v>347</v>
      </c>
      <c r="D81" s="1">
        <v>80</v>
      </c>
      <c r="E81" s="3">
        <f t="shared" si="15"/>
        <v>287.12697897931145</v>
      </c>
      <c r="F81" s="3">
        <f t="shared" si="16"/>
        <v>11.498754195629727</v>
      </c>
      <c r="G81" s="3">
        <f t="shared" si="17"/>
        <v>1.1870179227234483</v>
      </c>
      <c r="H81" s="3">
        <f t="shared" si="18"/>
        <v>324.9459648067197</v>
      </c>
      <c r="I81" s="3">
        <f t="shared" si="19"/>
        <v>486.38046830644601</v>
      </c>
      <c r="J81" s="3">
        <f t="shared" si="20"/>
        <v>6.355629738697492</v>
      </c>
    </row>
    <row r="82" spans="1:10">
      <c r="A82" s="38">
        <v>1955</v>
      </c>
      <c r="B82" s="38" t="s">
        <v>90</v>
      </c>
      <c r="C82" s="1">
        <v>312</v>
      </c>
      <c r="D82" s="1">
        <v>81</v>
      </c>
      <c r="E82" s="3">
        <f t="shared" si="15"/>
        <v>302.80882726663197</v>
      </c>
      <c r="F82" s="3">
        <f t="shared" si="16"/>
        <v>13.590301241475125</v>
      </c>
      <c r="G82" s="3">
        <f t="shared" si="17"/>
        <v>1.0174831876771293</v>
      </c>
      <c r="H82" s="3">
        <f t="shared" si="18"/>
        <v>298.08175294294961</v>
      </c>
      <c r="I82" s="3">
        <f t="shared" si="19"/>
        <v>193.71760114109196</v>
      </c>
      <c r="J82" s="3">
        <f t="shared" si="20"/>
        <v>4.4609766208494852</v>
      </c>
    </row>
    <row r="83" spans="1:10">
      <c r="A83" s="38">
        <v>1955</v>
      </c>
      <c r="B83" s="38" t="s">
        <v>91</v>
      </c>
      <c r="C83" s="1">
        <v>274</v>
      </c>
      <c r="D83" s="1">
        <v>82</v>
      </c>
      <c r="E83" s="3">
        <f t="shared" si="15"/>
        <v>315.1379732627455</v>
      </c>
      <c r="F83" s="3">
        <f t="shared" si="16"/>
        <v>12.959723618794332</v>
      </c>
      <c r="G83" s="3">
        <f t="shared" si="17"/>
        <v>0.87273858717041342</v>
      </c>
      <c r="H83" s="3">
        <f t="shared" si="18"/>
        <v>277.68953410384307</v>
      </c>
      <c r="I83" s="3">
        <f t="shared" si="19"/>
        <v>13.612661903421108</v>
      </c>
      <c r="J83" s="3">
        <f t="shared" si="20"/>
        <v>1.3465452933733844</v>
      </c>
    </row>
    <row r="84" spans="1:10">
      <c r="A84" s="38">
        <v>1955</v>
      </c>
      <c r="B84" s="38" t="s">
        <v>92</v>
      </c>
      <c r="C84" s="1">
        <v>237</v>
      </c>
      <c r="D84" s="1">
        <v>83</v>
      </c>
      <c r="E84" s="3">
        <f t="shared" si="15"/>
        <v>321.93121154668029</v>
      </c>
      <c r="F84" s="3">
        <f t="shared" si="16"/>
        <v>9.8764809513645577</v>
      </c>
      <c r="G84" s="3">
        <f t="shared" si="17"/>
        <v>0.74995910155223222</v>
      </c>
      <c r="H84" s="3">
        <f t="shared" si="18"/>
        <v>252.84015061846409</v>
      </c>
      <c r="I84" s="3">
        <f t="shared" si="19"/>
        <v>250.91037161562841</v>
      </c>
      <c r="J84" s="3">
        <f t="shared" si="20"/>
        <v>6.6836078558920224</v>
      </c>
    </row>
    <row r="85" spans="1:10">
      <c r="A85" s="38">
        <v>1955</v>
      </c>
      <c r="B85" s="38" t="s">
        <v>93</v>
      </c>
      <c r="C85" s="1">
        <v>278</v>
      </c>
      <c r="D85" s="1">
        <v>84</v>
      </c>
      <c r="E85" s="3">
        <f t="shared" si="15"/>
        <v>327.50923334543057</v>
      </c>
      <c r="F85" s="3">
        <f t="shared" si="16"/>
        <v>7.7272513750574214</v>
      </c>
      <c r="G85" s="3">
        <f t="shared" si="17"/>
        <v>0.85955745899891867</v>
      </c>
      <c r="H85" s="3">
        <f t="shared" si="18"/>
        <v>290.54644433243658</v>
      </c>
      <c r="I85" s="3">
        <f t="shared" si="19"/>
        <v>157.41326538692996</v>
      </c>
      <c r="J85" s="3">
        <f t="shared" si="20"/>
        <v>4.5131094720994884</v>
      </c>
    </row>
    <row r="86" spans="1:10">
      <c r="A86" s="38">
        <v>1956</v>
      </c>
      <c r="B86" s="38" t="s">
        <v>83</v>
      </c>
      <c r="C86" s="1">
        <v>284</v>
      </c>
      <c r="D86" s="1">
        <v>85</v>
      </c>
      <c r="E86" s="3">
        <f t="shared" si="15"/>
        <v>327.85644036960429</v>
      </c>
      <c r="F86" s="3">
        <f t="shared" si="16"/>
        <v>4.0372291996155667</v>
      </c>
      <c r="G86" s="3">
        <f t="shared" si="17"/>
        <v>0.88544061444165001</v>
      </c>
      <c r="H86" s="3">
        <f t="shared" si="18"/>
        <v>306.49074289112372</v>
      </c>
      <c r="I86" s="3">
        <f t="shared" si="19"/>
        <v>505.83351579463198</v>
      </c>
      <c r="J86" s="3">
        <f t="shared" si="20"/>
        <v>7.9192756658886321</v>
      </c>
    </row>
    <row r="87" spans="1:10">
      <c r="A87" s="38">
        <v>1956</v>
      </c>
      <c r="B87" s="38" t="s">
        <v>84</v>
      </c>
      <c r="C87" s="1">
        <v>277</v>
      </c>
      <c r="D87" s="1">
        <v>86</v>
      </c>
      <c r="E87" s="3">
        <f t="shared" si="15"/>
        <v>325.21929347736364</v>
      </c>
      <c r="F87" s="3">
        <f t="shared" si="16"/>
        <v>0.70004115368745801</v>
      </c>
      <c r="G87" s="3">
        <f t="shared" si="17"/>
        <v>0.86886805276284007</v>
      </c>
      <c r="H87" s="3">
        <f t="shared" si="18"/>
        <v>296.9023365877984</v>
      </c>
      <c r="I87" s="3">
        <f t="shared" si="19"/>
        <v>396.10300165401895</v>
      </c>
      <c r="J87" s="3">
        <f t="shared" si="20"/>
        <v>7.1849590569669317</v>
      </c>
    </row>
    <row r="88" spans="1:10">
      <c r="A88" s="38">
        <v>1956</v>
      </c>
      <c r="B88" s="38" t="s">
        <v>85</v>
      </c>
      <c r="C88" s="1">
        <v>317</v>
      </c>
      <c r="D88" s="1">
        <v>87</v>
      </c>
      <c r="E88" s="3">
        <f t="shared" si="15"/>
        <v>316.99671053269986</v>
      </c>
      <c r="F88" s="3">
        <f t="shared" si="16"/>
        <v>-3.7612708954881562</v>
      </c>
      <c r="G88" s="3">
        <f t="shared" si="17"/>
        <v>1.0281282313623092</v>
      </c>
      <c r="H88" s="3">
        <f t="shared" si="18"/>
        <v>348.83309767019512</v>
      </c>
      <c r="I88" s="3">
        <f t="shared" si="19"/>
        <v>1013.3461072801817</v>
      </c>
      <c r="J88" s="3">
        <f t="shared" si="20"/>
        <v>10.041986646749249</v>
      </c>
    </row>
    <row r="89" spans="1:10">
      <c r="A89" s="38">
        <v>1956</v>
      </c>
      <c r="B89" s="38" t="s">
        <v>86</v>
      </c>
      <c r="C89" s="1">
        <v>313</v>
      </c>
      <c r="D89" s="1">
        <v>88</v>
      </c>
      <c r="E89" s="3">
        <f t="shared" si="15"/>
        <v>307.30438627975218</v>
      </c>
      <c r="F89" s="3">
        <f t="shared" si="16"/>
        <v>-6.7267975742179207</v>
      </c>
      <c r="G89" s="3">
        <f t="shared" si="17"/>
        <v>1.0377467708734014</v>
      </c>
      <c r="H89" s="3">
        <f t="shared" si="18"/>
        <v>334.08619477516163</v>
      </c>
      <c r="I89" s="3">
        <f t="shared" si="19"/>
        <v>444.62761009605362</v>
      </c>
      <c r="J89" s="3">
        <f t="shared" si="20"/>
        <v>6.7368034425436516</v>
      </c>
    </row>
    <row r="90" spans="1:10">
      <c r="A90" s="38">
        <v>1956</v>
      </c>
      <c r="B90" s="38" t="s">
        <v>5</v>
      </c>
      <c r="C90" s="1">
        <v>318</v>
      </c>
      <c r="D90" s="1">
        <v>89</v>
      </c>
      <c r="E90" s="3">
        <f t="shared" si="15"/>
        <v>299.95651857826402</v>
      </c>
      <c r="F90" s="3">
        <f t="shared" si="16"/>
        <v>-7.0373326378530381</v>
      </c>
      <c r="G90" s="3">
        <f t="shared" si="17"/>
        <v>1.0622123477736203</v>
      </c>
      <c r="H90" s="3">
        <f t="shared" si="18"/>
        <v>320.20542081792638</v>
      </c>
      <c r="I90" s="3">
        <f t="shared" si="19"/>
        <v>4.8638809841430675</v>
      </c>
      <c r="J90" s="3">
        <f t="shared" si="20"/>
        <v>0.69352855909634625</v>
      </c>
    </row>
    <row r="91" spans="1:10">
      <c r="A91" s="38">
        <v>1956</v>
      </c>
      <c r="B91" s="38" t="s">
        <v>87</v>
      </c>
      <c r="C91" s="1">
        <v>374</v>
      </c>
      <c r="D91" s="1">
        <v>90</v>
      </c>
      <c r="E91" s="3">
        <f t="shared" si="15"/>
        <v>299.87722131114572</v>
      </c>
      <c r="F91" s="3">
        <f t="shared" si="16"/>
        <v>-3.5583149524856723</v>
      </c>
      <c r="G91" s="3">
        <f t="shared" si="17"/>
        <v>1.2215552869698647</v>
      </c>
      <c r="H91" s="3">
        <f t="shared" si="18"/>
        <v>346.55930405165111</v>
      </c>
      <c r="I91" s="3">
        <f t="shared" si="19"/>
        <v>752.99179412973115</v>
      </c>
      <c r="J91" s="3">
        <f t="shared" si="20"/>
        <v>7.3370844781681512</v>
      </c>
    </row>
    <row r="92" spans="1:10">
      <c r="A92" s="38">
        <v>1956</v>
      </c>
      <c r="B92" s="38" t="s">
        <v>88</v>
      </c>
      <c r="C92" s="1">
        <v>413</v>
      </c>
      <c r="D92" s="1">
        <v>91</v>
      </c>
      <c r="E92" s="3">
        <f t="shared" si="15"/>
        <v>304.14339240903098</v>
      </c>
      <c r="F92" s="3">
        <f t="shared" si="16"/>
        <v>0.35392807269979509</v>
      </c>
      <c r="G92" s="3">
        <f t="shared" si="17"/>
        <v>1.3271533854825752</v>
      </c>
      <c r="H92" s="3">
        <f t="shared" si="18"/>
        <v>379.58904609928874</v>
      </c>
      <c r="I92" s="3">
        <f t="shared" si="19"/>
        <v>1116.2918405554531</v>
      </c>
      <c r="J92" s="3">
        <f t="shared" si="20"/>
        <v>8.0898193464191905</v>
      </c>
    </row>
    <row r="93" spans="1:10">
      <c r="A93" s="38">
        <v>1956</v>
      </c>
      <c r="B93" s="38" t="s">
        <v>89</v>
      </c>
      <c r="C93" s="1">
        <v>405</v>
      </c>
      <c r="D93" s="1">
        <v>92</v>
      </c>
      <c r="E93" s="3">
        <f t="shared" si="15"/>
        <v>315.50546677837286</v>
      </c>
      <c r="F93" s="3">
        <f t="shared" si="16"/>
        <v>5.8580012210208388</v>
      </c>
      <c r="G93" s="3">
        <f t="shared" si="17"/>
        <v>1.2449998458796538</v>
      </c>
      <c r="H93" s="3">
        <f t="shared" si="18"/>
        <v>361.44377683308016</v>
      </c>
      <c r="I93" s="3">
        <f t="shared" si="19"/>
        <v>1897.1445765665242</v>
      </c>
      <c r="J93" s="3">
        <f t="shared" si="20"/>
        <v>10.754623004177736</v>
      </c>
    </row>
    <row r="94" spans="1:10">
      <c r="A94" s="38">
        <v>1956</v>
      </c>
      <c r="B94" s="38" t="s">
        <v>90</v>
      </c>
      <c r="C94" s="1">
        <v>355</v>
      </c>
      <c r="D94" s="1">
        <v>93</v>
      </c>
      <c r="E94" s="3">
        <f t="shared" si="15"/>
        <v>329.6244617483805</v>
      </c>
      <c r="F94" s="3">
        <f t="shared" si="16"/>
        <v>9.9884980955142364</v>
      </c>
      <c r="G94" s="3">
        <f t="shared" si="17"/>
        <v>1.0531831812149957</v>
      </c>
      <c r="H94" s="3">
        <f t="shared" si="18"/>
        <v>326.98192582300027</v>
      </c>
      <c r="I94" s="3">
        <f t="shared" si="19"/>
        <v>785.01248058785927</v>
      </c>
      <c r="J94" s="3">
        <f t="shared" si="20"/>
        <v>7.8924152611266853</v>
      </c>
    </row>
    <row r="95" spans="1:10">
      <c r="A95" s="38">
        <v>1956</v>
      </c>
      <c r="B95" s="38" t="s">
        <v>91</v>
      </c>
      <c r="C95" s="1">
        <v>306</v>
      </c>
      <c r="D95" s="1">
        <v>94</v>
      </c>
      <c r="E95" s="3">
        <f t="shared" si="15"/>
        <v>342.91520820862792</v>
      </c>
      <c r="F95" s="3">
        <f t="shared" si="16"/>
        <v>11.639622277880829</v>
      </c>
      <c r="G95" s="3">
        <f t="shared" si="17"/>
        <v>0.88450475940386419</v>
      </c>
      <c r="H95" s="3">
        <f t="shared" si="18"/>
        <v>296.393334758923</v>
      </c>
      <c r="I95" s="3">
        <f t="shared" si="19"/>
        <v>92.288017054116935</v>
      </c>
      <c r="J95" s="3">
        <f t="shared" si="20"/>
        <v>3.13943308531928</v>
      </c>
    </row>
    <row r="96" spans="1:10">
      <c r="A96" s="38">
        <v>1956</v>
      </c>
      <c r="B96" s="38" t="s">
        <v>92</v>
      </c>
      <c r="C96" s="1">
        <v>271</v>
      </c>
      <c r="D96" s="1">
        <v>95</v>
      </c>
      <c r="E96" s="3">
        <f t="shared" si="15"/>
        <v>356.59429285190231</v>
      </c>
      <c r="F96" s="3">
        <f t="shared" si="16"/>
        <v>12.659353460577611</v>
      </c>
      <c r="G96" s="3">
        <f t="shared" si="17"/>
        <v>0.75596401736665764</v>
      </c>
      <c r="H96" s="3">
        <f t="shared" si="18"/>
        <v>265.90162212266608</v>
      </c>
      <c r="I96" s="3">
        <f t="shared" si="19"/>
        <v>25.993456980087895</v>
      </c>
      <c r="J96" s="3">
        <f t="shared" si="20"/>
        <v>1.8813202499387147</v>
      </c>
    </row>
    <row r="97" spans="1:10">
      <c r="A97" s="38">
        <v>1956</v>
      </c>
      <c r="B97" s="38" t="s">
        <v>93</v>
      </c>
      <c r="C97" s="1">
        <v>306</v>
      </c>
      <c r="D97" s="1">
        <v>96</v>
      </c>
      <c r="E97" s="3">
        <f t="shared" si="15"/>
        <v>365.27669544160563</v>
      </c>
      <c r="F97" s="3">
        <f t="shared" si="16"/>
        <v>10.670878025140464</v>
      </c>
      <c r="G97" s="3">
        <f t="shared" si="17"/>
        <v>0.84645565163231606</v>
      </c>
      <c r="H97" s="3">
        <f t="shared" si="18"/>
        <v>317.39472595044066</v>
      </c>
      <c r="I97" s="3">
        <f t="shared" si="19"/>
        <v>129.83977948564578</v>
      </c>
      <c r="J97" s="3">
        <f t="shared" si="20"/>
        <v>3.7237666504708034</v>
      </c>
    </row>
    <row r="98" spans="1:10">
      <c r="A98" s="38">
        <v>1957</v>
      </c>
      <c r="B98" s="38" t="s">
        <v>83</v>
      </c>
      <c r="C98" s="1">
        <v>315</v>
      </c>
      <c r="D98" s="1">
        <v>97</v>
      </c>
      <c r="E98" s="3">
        <f t="shared" si="15"/>
        <v>369.88982656990277</v>
      </c>
      <c r="F98" s="3">
        <f t="shared" si="16"/>
        <v>7.6420045767188025</v>
      </c>
      <c r="G98" s="3">
        <f t="shared" si="17"/>
        <v>0.86513920399763244</v>
      </c>
      <c r="H98" s="3">
        <f t="shared" si="18"/>
        <v>332.879250448243</v>
      </c>
      <c r="I98" s="3">
        <f t="shared" si="19"/>
        <v>319.6675965909975</v>
      </c>
      <c r="J98" s="3">
        <f t="shared" si="20"/>
        <v>5.6759525232517456</v>
      </c>
    </row>
    <row r="99" spans="1:10">
      <c r="A99" s="38">
        <v>1957</v>
      </c>
      <c r="B99" s="38" t="s">
        <v>84</v>
      </c>
      <c r="C99" s="1">
        <v>301</v>
      </c>
      <c r="D99" s="1">
        <v>98</v>
      </c>
      <c r="E99" s="3">
        <f t="shared" si="15"/>
        <v>368.20060522626966</v>
      </c>
      <c r="F99" s="3">
        <f t="shared" si="16"/>
        <v>2.9763916165428475</v>
      </c>
      <c r="G99" s="3">
        <f t="shared" si="17"/>
        <v>0.83804071143771219</v>
      </c>
      <c r="H99" s="3">
        <f t="shared" si="18"/>
        <v>328.02534698435443</v>
      </c>
      <c r="I99" s="3">
        <f t="shared" si="19"/>
        <v>730.36937962475497</v>
      </c>
      <c r="J99" s="3">
        <f t="shared" si="20"/>
        <v>8.9785205928087795</v>
      </c>
    </row>
    <row r="100" spans="1:10">
      <c r="A100" s="38">
        <v>1957</v>
      </c>
      <c r="B100" s="38" t="s">
        <v>85</v>
      </c>
      <c r="C100" s="1">
        <v>356</v>
      </c>
      <c r="D100" s="1">
        <v>99</v>
      </c>
      <c r="E100" s="3">
        <f t="shared" si="15"/>
        <v>363.70199075750247</v>
      </c>
      <c r="F100" s="3">
        <f t="shared" si="16"/>
        <v>-0.76111142611216964</v>
      </c>
      <c r="G100" s="3">
        <f t="shared" si="17"/>
        <v>0.99854530090358939</v>
      </c>
      <c r="H100" s="3">
        <f t="shared" si="18"/>
        <v>381.6175492863743</v>
      </c>
      <c r="I100" s="3">
        <f t="shared" si="19"/>
        <v>656.25883143981639</v>
      </c>
      <c r="J100" s="3">
        <f t="shared" si="20"/>
        <v>7.1959408107792973</v>
      </c>
    </row>
    <row r="101" spans="1:10">
      <c r="A101" s="38">
        <v>1957</v>
      </c>
      <c r="B101" s="38" t="s">
        <v>86</v>
      </c>
      <c r="C101" s="1">
        <v>348</v>
      </c>
      <c r="D101" s="1">
        <v>100</v>
      </c>
      <c r="E101" s="3">
        <f t="shared" si="15"/>
        <v>354.66119308770345</v>
      </c>
      <c r="F101" s="3">
        <f t="shared" si="16"/>
        <v>-4.9009545479555943</v>
      </c>
      <c r="G101" s="3">
        <f t="shared" si="17"/>
        <v>1.0038295987582424</v>
      </c>
      <c r="H101" s="3">
        <f t="shared" si="18"/>
        <v>376.64072554410313</v>
      </c>
      <c r="I101" s="3">
        <f t="shared" si="19"/>
        <v>820.29115969264171</v>
      </c>
      <c r="J101" s="3">
        <f t="shared" si="20"/>
        <v>8.2300935471560734</v>
      </c>
    </row>
    <row r="102" spans="1:10">
      <c r="A102" s="38">
        <v>1957</v>
      </c>
      <c r="B102" s="38" t="s">
        <v>5</v>
      </c>
      <c r="C102" s="1">
        <v>355</v>
      </c>
      <c r="D102" s="1">
        <v>101</v>
      </c>
      <c r="E102" s="3">
        <f t="shared" si="15"/>
        <v>345.09460529651017</v>
      </c>
      <c r="F102" s="3">
        <f t="shared" si="16"/>
        <v>-7.2337711695744398</v>
      </c>
      <c r="G102" s="3">
        <f t="shared" si="17"/>
        <v>1.0421069899061779</v>
      </c>
      <c r="H102" s="3">
        <f t="shared" si="18"/>
        <v>371.51964413716701</v>
      </c>
      <c r="I102" s="3">
        <f t="shared" si="19"/>
        <v>272.89864241863626</v>
      </c>
      <c r="J102" s="3">
        <f t="shared" si="20"/>
        <v>4.6534208837090159</v>
      </c>
    </row>
    <row r="103" spans="1:10">
      <c r="A103" s="38">
        <v>1957</v>
      </c>
      <c r="B103" s="38" t="s">
        <v>87</v>
      </c>
      <c r="C103" s="1">
        <v>422</v>
      </c>
      <c r="D103" s="1">
        <v>102</v>
      </c>
      <c r="E103" s="3">
        <f t="shared" si="15"/>
        <v>340.14095486593806</v>
      </c>
      <c r="F103" s="3">
        <f t="shared" si="16"/>
        <v>-6.0937108000732749</v>
      </c>
      <c r="G103" s="3">
        <f t="shared" si="17"/>
        <v>1.2330193900287219</v>
      </c>
      <c r="H103" s="3">
        <f t="shared" si="18"/>
        <v>412.71568818780685</v>
      </c>
      <c r="I103" s="3">
        <f t="shared" si="19"/>
        <v>86.1984458260293</v>
      </c>
      <c r="J103" s="3">
        <f t="shared" si="20"/>
        <v>2.2000738891452971</v>
      </c>
    </row>
    <row r="104" spans="1:10">
      <c r="A104" s="38">
        <v>1957</v>
      </c>
      <c r="B104" s="38" t="s">
        <v>88</v>
      </c>
      <c r="C104" s="1">
        <v>465</v>
      </c>
      <c r="D104" s="1">
        <v>103</v>
      </c>
      <c r="E104" s="3">
        <f t="shared" si="15"/>
        <v>338.94526173975657</v>
      </c>
      <c r="F104" s="3">
        <f t="shared" si="16"/>
        <v>-3.6447019631273783</v>
      </c>
      <c r="G104" s="3">
        <f t="shared" si="17"/>
        <v>1.3540031162814974</v>
      </c>
      <c r="H104" s="3">
        <f t="shared" si="18"/>
        <v>443.33193087313651</v>
      </c>
      <c r="I104" s="3">
        <f t="shared" si="19"/>
        <v>469.50521968653453</v>
      </c>
      <c r="J104" s="3">
        <f t="shared" si="20"/>
        <v>4.6597998122287061</v>
      </c>
    </row>
    <row r="105" spans="1:10">
      <c r="A105" s="38">
        <v>1957</v>
      </c>
      <c r="B105" s="38" t="s">
        <v>89</v>
      </c>
      <c r="C105" s="1">
        <v>467</v>
      </c>
      <c r="D105" s="1">
        <v>104</v>
      </c>
      <c r="E105" s="3">
        <f t="shared" si="15"/>
        <v>347.24052625583579</v>
      </c>
      <c r="F105" s="3">
        <f t="shared" si="16"/>
        <v>2.3252812764759181</v>
      </c>
      <c r="G105" s="3">
        <f t="shared" si="17"/>
        <v>1.3049334003566897</v>
      </c>
      <c r="H105" s="3">
        <f t="shared" si="18"/>
        <v>417.44914524526502</v>
      </c>
      <c r="I105" s="3">
        <f t="shared" si="19"/>
        <v>2455.2872069248428</v>
      </c>
      <c r="J105" s="3">
        <f t="shared" si="20"/>
        <v>10.610461403583509</v>
      </c>
    </row>
    <row r="106" spans="1:10">
      <c r="A106" s="38">
        <v>1957</v>
      </c>
      <c r="B106" s="38" t="s">
        <v>90</v>
      </c>
      <c r="C106" s="1">
        <v>404</v>
      </c>
      <c r="D106" s="1">
        <v>105</v>
      </c>
      <c r="E106" s="3">
        <f t="shared" si="15"/>
        <v>359.77576096257275</v>
      </c>
      <c r="F106" s="3">
        <f t="shared" si="16"/>
        <v>7.430257991606438</v>
      </c>
      <c r="G106" s="3">
        <f t="shared" si="17"/>
        <v>1.0950262772783825</v>
      </c>
      <c r="H106" s="3">
        <f t="shared" si="18"/>
        <v>368.15682922086893</v>
      </c>
      <c r="I106" s="3">
        <f t="shared" si="19"/>
        <v>1284.7328915019555</v>
      </c>
      <c r="J106" s="3">
        <f t="shared" si="20"/>
        <v>8.8720719750324424</v>
      </c>
    </row>
    <row r="107" spans="1:10">
      <c r="A107" s="38">
        <v>1957</v>
      </c>
      <c r="B107" s="38" t="s">
        <v>91</v>
      </c>
      <c r="C107" s="1">
        <v>347</v>
      </c>
      <c r="D107" s="1">
        <v>106</v>
      </c>
      <c r="E107" s="3">
        <f t="shared" si="15"/>
        <v>374.73719218435429</v>
      </c>
      <c r="F107" s="3">
        <f t="shared" si="16"/>
        <v>11.195844606693989</v>
      </c>
      <c r="G107" s="3">
        <f t="shared" si="17"/>
        <v>0.90939127237050599</v>
      </c>
      <c r="H107" s="3">
        <f t="shared" si="18"/>
        <v>324.79547144671704</v>
      </c>
      <c r="I107" s="3">
        <f t="shared" si="19"/>
        <v>493.04108827355805</v>
      </c>
      <c r="J107" s="3">
        <f t="shared" si="20"/>
        <v>6.3989995830786617</v>
      </c>
    </row>
    <row r="108" spans="1:10">
      <c r="A108" s="38">
        <v>1957</v>
      </c>
      <c r="B108" s="38" t="s">
        <v>92</v>
      </c>
      <c r="C108" s="1">
        <v>305</v>
      </c>
      <c r="D108" s="1">
        <v>107</v>
      </c>
      <c r="E108" s="3">
        <f t="shared" si="15"/>
        <v>391.19063269584086</v>
      </c>
      <c r="F108" s="3">
        <f t="shared" si="16"/>
        <v>13.824642559090282</v>
      </c>
      <c r="G108" s="3">
        <f t="shared" si="17"/>
        <v>0.77018821954727312</v>
      </c>
      <c r="H108" s="3">
        <f t="shared" si="18"/>
        <v>291.75148892707494</v>
      </c>
      <c r="I108" s="3">
        <f t="shared" si="19"/>
        <v>175.52304564941778</v>
      </c>
      <c r="J108" s="3">
        <f t="shared" si="20"/>
        <v>4.34377412227051</v>
      </c>
    </row>
    <row r="109" spans="1:10">
      <c r="A109" s="38">
        <v>1957</v>
      </c>
      <c r="B109" s="38" t="s">
        <v>93</v>
      </c>
      <c r="C109" s="1">
        <v>336</v>
      </c>
      <c r="D109" s="1">
        <v>108</v>
      </c>
      <c r="E109" s="3">
        <f t="shared" si="15"/>
        <v>402.59549033514645</v>
      </c>
      <c r="F109" s="3">
        <f t="shared" si="16"/>
        <v>12.614750099197936</v>
      </c>
      <c r="G109" s="3">
        <f t="shared" si="17"/>
        <v>0.83933302622204686</v>
      </c>
      <c r="H109" s="3">
        <f t="shared" si="18"/>
        <v>342.82746873695464</v>
      </c>
      <c r="I109" s="3">
        <f t="shared" si="19"/>
        <v>46.614329354093023</v>
      </c>
      <c r="J109" s="3">
        <f t="shared" si="20"/>
        <v>2.0319847431412628</v>
      </c>
    </row>
    <row r="110" spans="1:10">
      <c r="A110" s="38">
        <v>1958</v>
      </c>
      <c r="B110" s="38" t="s">
        <v>83</v>
      </c>
      <c r="C110" s="1">
        <v>340</v>
      </c>
      <c r="D110" s="1">
        <v>109</v>
      </c>
      <c r="E110" s="3">
        <f t="shared" ref="E110:E141" si="21">$L$2*(C110/G98)+$L$3*(E109+F109)</f>
        <v>408.54726984686641</v>
      </c>
      <c r="F110" s="3">
        <f t="shared" ref="F110:F141" si="22">$M$2*(E110-E109)+$M$3*F109</f>
        <v>9.2832648054589484</v>
      </c>
      <c r="G110" s="3">
        <f t="shared" ref="G110:G141" si="23">$N$2*(C110/E110)+$N$3*G98</f>
        <v>0.84538590616881748</v>
      </c>
      <c r="H110" s="3">
        <f t="shared" ref="H110:H141" si="24">(E109+F109)*G98</f>
        <v>359.21465690103429</v>
      </c>
      <c r="I110" s="3">
        <f t="shared" ref="I110:I141" si="25">(C110-H110)^2</f>
        <v>369.20303982446461</v>
      </c>
      <c r="J110" s="3">
        <f t="shared" ref="J110:J145" si="26">ABS((C110-H110)/C110)*100</f>
        <v>5.6513696767747907</v>
      </c>
    </row>
    <row r="111" spans="1:10">
      <c r="A111" s="38">
        <v>1958</v>
      </c>
      <c r="B111" s="38" t="s">
        <v>84</v>
      </c>
      <c r="C111" s="1">
        <v>318</v>
      </c>
      <c r="D111" s="1">
        <v>110</v>
      </c>
      <c r="E111" s="3">
        <f t="shared" si="21"/>
        <v>406.31832596788195</v>
      </c>
      <c r="F111" s="3">
        <f t="shared" si="22"/>
        <v>3.5271604632372409</v>
      </c>
      <c r="G111" s="3">
        <f t="shared" si="23"/>
        <v>0.80479884535547674</v>
      </c>
      <c r="H111" s="3">
        <f t="shared" si="24"/>
        <v>350.15899852043441</v>
      </c>
      <c r="I111" s="3">
        <f t="shared" si="25"/>
        <v>1034.2011858373025</v>
      </c>
      <c r="J111" s="3">
        <f t="shared" si="26"/>
        <v>10.112892616488809</v>
      </c>
    </row>
    <row r="112" spans="1:10">
      <c r="A112" s="38">
        <v>1958</v>
      </c>
      <c r="B112" s="38" t="s">
        <v>85</v>
      </c>
      <c r="C112" s="1">
        <v>362</v>
      </c>
      <c r="D112" s="1">
        <v>111</v>
      </c>
      <c r="E112" s="3">
        <f t="shared" si="21"/>
        <v>395.65005097228209</v>
      </c>
      <c r="F112" s="3">
        <f t="shared" si="22"/>
        <v>-3.570557266181309</v>
      </c>
      <c r="G112" s="3">
        <f t="shared" si="23"/>
        <v>0.94838809892265752</v>
      </c>
      <c r="H112" s="3">
        <f t="shared" si="24"/>
        <v>409.24928457233989</v>
      </c>
      <c r="I112" s="3">
        <f t="shared" si="25"/>
        <v>2232.4948925979561</v>
      </c>
      <c r="J112" s="3">
        <f t="shared" si="26"/>
        <v>13.052288555894997</v>
      </c>
    </row>
    <row r="113" spans="1:10">
      <c r="A113" s="38">
        <v>1958</v>
      </c>
      <c r="B113" s="38" t="s">
        <v>86</v>
      </c>
      <c r="C113" s="1">
        <v>348</v>
      </c>
      <c r="D113" s="1">
        <v>112</v>
      </c>
      <c r="E113" s="3">
        <f t="shared" si="21"/>
        <v>378.45736075503578</v>
      </c>
      <c r="F113" s="3">
        <f t="shared" si="22"/>
        <v>-10.38162374171381</v>
      </c>
      <c r="G113" s="3">
        <f t="shared" si="23"/>
        <v>0.95324524675064615</v>
      </c>
      <c r="H113" s="3">
        <f t="shared" si="24"/>
        <v>393.58100084832995</v>
      </c>
      <c r="I113" s="3">
        <f t="shared" si="25"/>
        <v>2077.6276383354557</v>
      </c>
      <c r="J113" s="3">
        <f t="shared" si="26"/>
        <v>13.0979887495201</v>
      </c>
    </row>
    <row r="114" spans="1:10">
      <c r="A114" s="38">
        <v>1958</v>
      </c>
      <c r="B114" s="38" t="s">
        <v>5</v>
      </c>
      <c r="C114" s="1">
        <v>363</v>
      </c>
      <c r="D114" s="1">
        <v>113</v>
      </c>
      <c r="E114" s="3">
        <f t="shared" si="21"/>
        <v>362.15284275513164</v>
      </c>
      <c r="F114" s="3">
        <f t="shared" si="22"/>
        <v>-13.343070870808972</v>
      </c>
      <c r="G114" s="3">
        <f t="shared" si="23"/>
        <v>1.01824633139534</v>
      </c>
      <c r="H114" s="3">
        <f t="shared" si="24"/>
        <v>383.57429835645087</v>
      </c>
      <c r="I114" s="3">
        <f t="shared" si="25"/>
        <v>423.3017528602569</v>
      </c>
      <c r="J114" s="3">
        <f t="shared" si="26"/>
        <v>5.6678507869010657</v>
      </c>
    </row>
    <row r="115" spans="1:10">
      <c r="A115" s="38">
        <v>1958</v>
      </c>
      <c r="B115" s="38" t="s">
        <v>87</v>
      </c>
      <c r="C115" s="1">
        <v>435</v>
      </c>
      <c r="D115" s="1">
        <v>114</v>
      </c>
      <c r="E115" s="3">
        <f t="shared" si="21"/>
        <v>350.00459198403428</v>
      </c>
      <c r="F115" s="3">
        <f t="shared" si="22"/>
        <v>-12.745660820953169</v>
      </c>
      <c r="G115" s="3">
        <f t="shared" si="23"/>
        <v>1.2389122581167231</v>
      </c>
      <c r="H115" s="3">
        <f t="shared" si="24"/>
        <v>430.08921216486516</v>
      </c>
      <c r="I115" s="3">
        <f t="shared" si="25"/>
        <v>24.115837161708331</v>
      </c>
      <c r="J115" s="3">
        <f t="shared" si="26"/>
        <v>1.1289167437091587</v>
      </c>
    </row>
    <row r="116" spans="1:10">
      <c r="A116" s="38">
        <v>1958</v>
      </c>
      <c r="B116" s="38" t="s">
        <v>88</v>
      </c>
      <c r="C116" s="1">
        <v>491</v>
      </c>
      <c r="D116" s="1">
        <v>115</v>
      </c>
      <c r="E116" s="3">
        <f t="shared" si="21"/>
        <v>344.86977543626659</v>
      </c>
      <c r="F116" s="3">
        <f t="shared" si="22"/>
        <v>-8.9402386843604269</v>
      </c>
      <c r="G116" s="3">
        <f t="shared" si="23"/>
        <v>1.3958367318558</v>
      </c>
      <c r="H116" s="3">
        <f t="shared" si="24"/>
        <v>456.64964378857883</v>
      </c>
      <c r="I116" s="3">
        <f t="shared" si="25"/>
        <v>1179.9469718515211</v>
      </c>
      <c r="J116" s="3">
        <f t="shared" si="26"/>
        <v>6.9959992283953509</v>
      </c>
    </row>
    <row r="117" spans="1:10">
      <c r="A117" s="38">
        <v>1958</v>
      </c>
      <c r="B117" s="38" t="s">
        <v>89</v>
      </c>
      <c r="C117" s="1">
        <v>505</v>
      </c>
      <c r="D117" s="1">
        <v>116</v>
      </c>
      <c r="E117" s="3">
        <f t="shared" si="21"/>
        <v>351.24855471279375</v>
      </c>
      <c r="F117" s="3">
        <f t="shared" si="22"/>
        <v>-1.2807297039166361</v>
      </c>
      <c r="G117" s="3">
        <f t="shared" si="23"/>
        <v>1.3846103615895706</v>
      </c>
      <c r="H117" s="3">
        <f t="shared" si="24"/>
        <v>438.36567267391246</v>
      </c>
      <c r="I117" s="3">
        <f t="shared" si="25"/>
        <v>4440.133578200177</v>
      </c>
      <c r="J117" s="3">
        <f t="shared" si="26"/>
        <v>13.194916302195553</v>
      </c>
    </row>
    <row r="118" spans="1:10">
      <c r="A118" s="38">
        <v>1958</v>
      </c>
      <c r="B118" s="38" t="s">
        <v>90</v>
      </c>
      <c r="C118" s="1">
        <v>404</v>
      </c>
      <c r="D118" s="1">
        <v>117</v>
      </c>
      <c r="E118" s="3">
        <f t="shared" si="21"/>
        <v>355.6597529135538</v>
      </c>
      <c r="F118" s="3">
        <f t="shared" si="22"/>
        <v>1.5652342484217092</v>
      </c>
      <c r="G118" s="3">
        <f t="shared" si="23"/>
        <v>1.1195607791502149</v>
      </c>
      <c r="H118" s="3">
        <f t="shared" si="24"/>
        <v>383.22396458668317</v>
      </c>
      <c r="I118" s="3">
        <f t="shared" si="25"/>
        <v>431.64364749539516</v>
      </c>
      <c r="J118" s="3">
        <f t="shared" si="26"/>
        <v>5.1425830230982257</v>
      </c>
    </row>
    <row r="119" spans="1:10">
      <c r="A119" s="38">
        <v>1958</v>
      </c>
      <c r="B119" s="38" t="s">
        <v>91</v>
      </c>
      <c r="C119" s="1">
        <v>359</v>
      </c>
      <c r="D119" s="1">
        <v>118</v>
      </c>
      <c r="E119" s="3">
        <f t="shared" si="21"/>
        <v>368.48836150025136</v>
      </c>
      <c r="F119" s="3">
        <f t="shared" si="22"/>
        <v>7.1969214175596328</v>
      </c>
      <c r="G119" s="3">
        <f t="shared" si="23"/>
        <v>0.94830685708681817</v>
      </c>
      <c r="H119" s="3">
        <f t="shared" si="24"/>
        <v>324.85728559776658</v>
      </c>
      <c r="I119" s="3">
        <f t="shared" si="25"/>
        <v>1165.7249467524775</v>
      </c>
      <c r="J119" s="3">
        <f t="shared" si="26"/>
        <v>9.5105054045218456</v>
      </c>
    </row>
    <row r="120" spans="1:10">
      <c r="A120" s="38">
        <v>1958</v>
      </c>
      <c r="B120" s="38" t="s">
        <v>92</v>
      </c>
      <c r="C120" s="1">
        <v>310</v>
      </c>
      <c r="D120" s="1">
        <v>119</v>
      </c>
      <c r="E120" s="3">
        <f t="shared" si="21"/>
        <v>383.72940264670922</v>
      </c>
      <c r="F120" s="3">
        <f t="shared" si="22"/>
        <v>11.218981282008746</v>
      </c>
      <c r="G120" s="3">
        <f t="shared" si="23"/>
        <v>0.79279185818619458</v>
      </c>
      <c r="H120" s="3">
        <f t="shared" si="24"/>
        <v>289.3483791605824</v>
      </c>
      <c r="I120" s="3">
        <f t="shared" si="25"/>
        <v>426.48944329506742</v>
      </c>
      <c r="J120" s="3">
        <f t="shared" si="26"/>
        <v>6.6618131740056787</v>
      </c>
    </row>
    <row r="121" spans="1:10">
      <c r="A121" s="38">
        <v>1958</v>
      </c>
      <c r="B121" s="38" t="s">
        <v>93</v>
      </c>
      <c r="C121" s="1">
        <v>337</v>
      </c>
      <c r="D121" s="1">
        <v>120</v>
      </c>
      <c r="E121" s="3">
        <f t="shared" si="21"/>
        <v>396.91665309372002</v>
      </c>
      <c r="F121" s="3">
        <f t="shared" si="22"/>
        <v>12.203115864509773</v>
      </c>
      <c r="G121" s="3">
        <f t="shared" si="23"/>
        <v>0.84516005973783859</v>
      </c>
      <c r="H121" s="3">
        <f t="shared" si="24"/>
        <v>331.49322228439769</v>
      </c>
      <c r="I121" s="3">
        <f t="shared" si="25"/>
        <v>30.324600809054211</v>
      </c>
      <c r="J121" s="3">
        <f t="shared" si="26"/>
        <v>1.6340586693181933</v>
      </c>
    </row>
    <row r="122" spans="1:10">
      <c r="A122" s="38">
        <v>1959</v>
      </c>
      <c r="B122" s="38" t="s">
        <v>83</v>
      </c>
      <c r="C122" s="1">
        <v>360</v>
      </c>
      <c r="D122" s="1">
        <v>121</v>
      </c>
      <c r="E122" s="3">
        <f t="shared" si="21"/>
        <v>414.13614548563078</v>
      </c>
      <c r="F122" s="3">
        <f t="shared" si="22"/>
        <v>14.711304128210267</v>
      </c>
      <c r="G122" s="3">
        <f t="shared" si="23"/>
        <v>0.85972197339583833</v>
      </c>
      <c r="H122" s="3">
        <f t="shared" si="24"/>
        <v>345.86408661233031</v>
      </c>
      <c r="I122" s="3">
        <f t="shared" si="25"/>
        <v>199.82404730369913</v>
      </c>
      <c r="J122" s="3">
        <f t="shared" si="26"/>
        <v>3.9266426076860248</v>
      </c>
    </row>
    <row r="123" spans="1:10">
      <c r="A123" s="38">
        <v>1959</v>
      </c>
      <c r="B123" s="38" t="s">
        <v>84</v>
      </c>
      <c r="C123" s="1">
        <v>342</v>
      </c>
      <c r="D123" s="1">
        <v>122</v>
      </c>
      <c r="E123" s="3">
        <f t="shared" si="21"/>
        <v>427.678487095707</v>
      </c>
      <c r="F123" s="3">
        <f t="shared" si="22"/>
        <v>14.126822869143243</v>
      </c>
      <c r="G123" s="3">
        <f t="shared" si="23"/>
        <v>0.80171921521615075</v>
      </c>
      <c r="H123" s="3">
        <f t="shared" si="24"/>
        <v>345.13593228286027</v>
      </c>
      <c r="I123" s="3">
        <f t="shared" si="25"/>
        <v>9.8340712826852066</v>
      </c>
      <c r="J123" s="3">
        <f t="shared" si="26"/>
        <v>0.9169392639942302</v>
      </c>
    </row>
    <row r="124" spans="1:10">
      <c r="A124" s="38">
        <v>1959</v>
      </c>
      <c r="B124" s="38" t="s">
        <v>85</v>
      </c>
      <c r="C124" s="1">
        <v>406</v>
      </c>
      <c r="D124" s="1">
        <v>123</v>
      </c>
      <c r="E124" s="3">
        <f t="shared" si="21"/>
        <v>437.69215269528809</v>
      </c>
      <c r="F124" s="3">
        <f t="shared" si="22"/>
        <v>12.070244234362166</v>
      </c>
      <c r="G124" s="3">
        <f t="shared" si="23"/>
        <v>0.93591079693951718</v>
      </c>
      <c r="H124" s="3">
        <f t="shared" si="24"/>
        <v>419.00289801149978</v>
      </c>
      <c r="I124" s="3">
        <f t="shared" si="25"/>
        <v>169.07535669746494</v>
      </c>
      <c r="J124" s="3">
        <f t="shared" si="26"/>
        <v>3.2026842392856603</v>
      </c>
    </row>
    <row r="125" spans="1:10">
      <c r="A125" s="38">
        <v>1959</v>
      </c>
      <c r="B125" s="38" t="s">
        <v>86</v>
      </c>
      <c r="C125" s="1">
        <v>396</v>
      </c>
      <c r="D125" s="1">
        <v>124</v>
      </c>
      <c r="E125" s="3">
        <f t="shared" si="21"/>
        <v>439.46057780641388</v>
      </c>
      <c r="F125" s="3">
        <f t="shared" si="22"/>
        <v>6.9193346727439797</v>
      </c>
      <c r="G125" s="3">
        <f t="shared" si="23"/>
        <v>0.92196092945060815</v>
      </c>
      <c r="H125" s="3">
        <f t="shared" si="24"/>
        <v>428.73386704036653</v>
      </c>
      <c r="I125" s="3">
        <f t="shared" si="25"/>
        <v>1071.5060514163945</v>
      </c>
      <c r="J125" s="3">
        <f t="shared" si="26"/>
        <v>8.2661280404966</v>
      </c>
    </row>
    <row r="126" spans="1:10">
      <c r="A126" s="38">
        <v>1959</v>
      </c>
      <c r="B126" s="38" t="s">
        <v>5</v>
      </c>
      <c r="C126" s="1">
        <v>420</v>
      </c>
      <c r="D126" s="1">
        <v>125</v>
      </c>
      <c r="E126" s="3">
        <f t="shared" si="21"/>
        <v>436.20809828469908</v>
      </c>
      <c r="F126" s="3">
        <f t="shared" si="22"/>
        <v>1.8334275755145879</v>
      </c>
      <c r="G126" s="3">
        <f t="shared" si="23"/>
        <v>0.98500445088230171</v>
      </c>
      <c r="H126" s="3">
        <f t="shared" si="24"/>
        <v>454.52470829047542</v>
      </c>
      <c r="I126" s="3">
        <f t="shared" si="25"/>
        <v>1191.955482542422</v>
      </c>
      <c r="J126" s="3">
        <f t="shared" si="26"/>
        <v>8.2201686405893835</v>
      </c>
    </row>
    <row r="127" spans="1:10">
      <c r="A127" s="38">
        <v>1959</v>
      </c>
      <c r="B127" s="38" t="s">
        <v>87</v>
      </c>
      <c r="C127" s="1">
        <v>472</v>
      </c>
      <c r="D127" s="1">
        <v>126</v>
      </c>
      <c r="E127" s="3">
        <f t="shared" si="21"/>
        <v>420.9228762974505</v>
      </c>
      <c r="F127" s="3">
        <f t="shared" si="22"/>
        <v>-6.7258972058669944</v>
      </c>
      <c r="G127" s="3">
        <f t="shared" si="23"/>
        <v>1.1683722414724051</v>
      </c>
      <c r="H127" s="3">
        <f t="shared" si="24"/>
        <v>542.69501595237227</v>
      </c>
      <c r="I127" s="3">
        <f t="shared" si="25"/>
        <v>4997.7852805061702</v>
      </c>
      <c r="J127" s="3">
        <f t="shared" si="26"/>
        <v>14.977757617028024</v>
      </c>
    </row>
    <row r="128" spans="1:10">
      <c r="A128" s="38">
        <v>1959</v>
      </c>
      <c r="B128" s="38" t="s">
        <v>88</v>
      </c>
      <c r="C128" s="1">
        <v>548</v>
      </c>
      <c r="D128" s="1">
        <v>127</v>
      </c>
      <c r="E128" s="3">
        <f t="shared" si="21"/>
        <v>407.71670307828765</v>
      </c>
      <c r="F128" s="3">
        <f t="shared" si="22"/>
        <v>-9.966035212514921</v>
      </c>
      <c r="G128" s="3">
        <f t="shared" si="23"/>
        <v>1.3647770030954123</v>
      </c>
      <c r="H128" s="3">
        <f t="shared" si="24"/>
        <v>578.15135763974104</v>
      </c>
      <c r="I128" s="3">
        <f t="shared" si="25"/>
        <v>909.10436751957013</v>
      </c>
      <c r="J128" s="3">
        <f t="shared" si="26"/>
        <v>5.5020725619965392</v>
      </c>
    </row>
    <row r="129" spans="1:10">
      <c r="A129" s="38">
        <v>1959</v>
      </c>
      <c r="B129" s="38" t="s">
        <v>89</v>
      </c>
      <c r="C129" s="1">
        <v>559</v>
      </c>
      <c r="D129" s="1">
        <v>128</v>
      </c>
      <c r="E129" s="3">
        <f t="shared" si="21"/>
        <v>399.5425735541827</v>
      </c>
      <c r="F129" s="3">
        <f t="shared" si="22"/>
        <v>-9.0700823683099383</v>
      </c>
      <c r="G129" s="3">
        <f t="shared" si="23"/>
        <v>1.3933041226211675</v>
      </c>
      <c r="H129" s="3">
        <f t="shared" si="24"/>
        <v>550.72969605612082</v>
      </c>
      <c r="I129" s="3">
        <f t="shared" si="25"/>
        <v>68.397927324143595</v>
      </c>
      <c r="J129" s="3">
        <f t="shared" si="26"/>
        <v>1.479481921981965</v>
      </c>
    </row>
    <row r="130" spans="1:10">
      <c r="A130" s="38">
        <v>1959</v>
      </c>
      <c r="B130" s="38" t="s">
        <v>90</v>
      </c>
      <c r="C130" s="1">
        <v>463</v>
      </c>
      <c r="D130" s="1">
        <v>129</v>
      </c>
      <c r="E130" s="3">
        <f t="shared" si="21"/>
        <v>397.3972550787721</v>
      </c>
      <c r="F130" s="3">
        <f t="shared" si="22"/>
        <v>-5.6077004218602644</v>
      </c>
      <c r="G130" s="3">
        <f t="shared" si="23"/>
        <v>1.1468729247284739</v>
      </c>
      <c r="H130" s="3">
        <f t="shared" si="24"/>
        <v>437.15768646878109</v>
      </c>
      <c r="I130" s="3">
        <f t="shared" si="25"/>
        <v>667.82516864581976</v>
      </c>
      <c r="J130" s="3">
        <f t="shared" si="26"/>
        <v>5.5814932032870201</v>
      </c>
    </row>
    <row r="131" spans="1:10">
      <c r="A131" s="38">
        <v>1959</v>
      </c>
      <c r="B131" s="38" t="s">
        <v>91</v>
      </c>
      <c r="C131" s="1">
        <v>407</v>
      </c>
      <c r="D131" s="1">
        <v>130</v>
      </c>
      <c r="E131" s="3">
        <f t="shared" si="21"/>
        <v>403.00847979243247</v>
      </c>
      <c r="F131" s="3">
        <f t="shared" si="22"/>
        <v>1.7621459000491946E-3</v>
      </c>
      <c r="G131" s="3">
        <f t="shared" si="23"/>
        <v>0.98526532777927733</v>
      </c>
      <c r="H131" s="3">
        <f t="shared" si="24"/>
        <v>371.53672121614022</v>
      </c>
      <c r="I131" s="3">
        <f t="shared" si="25"/>
        <v>1257.6441421017591</v>
      </c>
      <c r="J131" s="3">
        <f t="shared" si="26"/>
        <v>8.7133363105306572</v>
      </c>
    </row>
    <row r="132" spans="1:10">
      <c r="A132" s="38">
        <v>1959</v>
      </c>
      <c r="B132" s="38" t="s">
        <v>92</v>
      </c>
      <c r="C132" s="1">
        <v>362</v>
      </c>
      <c r="D132" s="1">
        <v>131</v>
      </c>
      <c r="E132" s="3">
        <f t="shared" si="21"/>
        <v>419.09142175375166</v>
      </c>
      <c r="F132" s="3">
        <f t="shared" si="22"/>
        <v>8.0423520536096209</v>
      </c>
      <c r="G132" s="3">
        <f t="shared" si="23"/>
        <v>0.83538075137823165</v>
      </c>
      <c r="H132" s="3">
        <f t="shared" si="24"/>
        <v>319.50323857435848</v>
      </c>
      <c r="I132" s="3">
        <f t="shared" si="25"/>
        <v>1805.9747316678934</v>
      </c>
      <c r="J132" s="3">
        <f t="shared" si="26"/>
        <v>11.739436857912022</v>
      </c>
    </row>
    <row r="133" spans="1:10">
      <c r="A133" s="38">
        <v>1959</v>
      </c>
      <c r="B133" s="38" t="s">
        <v>93</v>
      </c>
      <c r="C133" s="1">
        <v>405</v>
      </c>
      <c r="D133" s="1">
        <v>132</v>
      </c>
      <c r="E133" s="3">
        <f t="shared" si="21"/>
        <v>442.75339296917014</v>
      </c>
      <c r="F133" s="3">
        <f t="shared" si="22"/>
        <v>15.852161634514047</v>
      </c>
      <c r="G133" s="3">
        <f t="shared" si="23"/>
        <v>0.88690227981544778</v>
      </c>
      <c r="H133" s="3">
        <f t="shared" si="24"/>
        <v>360.99640578707789</v>
      </c>
      <c r="I133" s="3">
        <f t="shared" si="25"/>
        <v>1936.3163036555122</v>
      </c>
      <c r="J133" s="3">
        <f t="shared" si="26"/>
        <v>10.865084990844966</v>
      </c>
    </row>
    <row r="134" spans="1:10">
      <c r="A134" s="38">
        <v>1960</v>
      </c>
      <c r="B134" s="38" t="s">
        <v>83</v>
      </c>
      <c r="C134" s="1">
        <v>417</v>
      </c>
      <c r="D134" s="1">
        <v>133</v>
      </c>
      <c r="E134" s="3">
        <f t="shared" si="21"/>
        <v>466.53604665429168</v>
      </c>
      <c r="F134" s="3">
        <f t="shared" si="22"/>
        <v>19.817407659817796</v>
      </c>
      <c r="G134" s="59">
        <f t="shared" si="23"/>
        <v>0.88018175491647355</v>
      </c>
      <c r="H134" s="3">
        <f t="shared" si="24"/>
        <v>394.27327241417225</v>
      </c>
      <c r="I134" s="3">
        <f t="shared" si="25"/>
        <v>516.50414676042385</v>
      </c>
      <c r="J134" s="3">
        <f t="shared" si="26"/>
        <v>5.4500545769371094</v>
      </c>
    </row>
    <row r="135" spans="1:10">
      <c r="A135" s="38">
        <v>1960</v>
      </c>
      <c r="B135" s="38" t="s">
        <v>84</v>
      </c>
      <c r="C135" s="1">
        <v>391</v>
      </c>
      <c r="D135" s="1">
        <v>134</v>
      </c>
      <c r="E135" s="3">
        <f t="shared" si="21"/>
        <v>486.75799380964963</v>
      </c>
      <c r="F135" s="3">
        <f t="shared" si="22"/>
        <v>20.019677407587874</v>
      </c>
      <c r="G135" s="59">
        <f t="shared" si="23"/>
        <v>0.80265203589381462</v>
      </c>
      <c r="H135" s="3">
        <f t="shared" si="24"/>
        <v>389.91890971037185</v>
      </c>
      <c r="I135" s="3">
        <f t="shared" si="25"/>
        <v>1.1687562143282781</v>
      </c>
      <c r="J135" s="3">
        <f t="shared" si="26"/>
        <v>0.27649368021180315</v>
      </c>
    </row>
    <row r="136" spans="1:10">
      <c r="A136" s="38">
        <v>1960</v>
      </c>
      <c r="B136" s="38" t="s">
        <v>85</v>
      </c>
      <c r="C136" s="1">
        <v>419</v>
      </c>
      <c r="D136" s="1">
        <v>135</v>
      </c>
      <c r="E136" s="3">
        <f t="shared" si="21"/>
        <v>489.05204149240456</v>
      </c>
      <c r="F136" s="3">
        <f t="shared" si="22"/>
        <v>11.156862545171398</v>
      </c>
      <c r="G136" s="59">
        <f t="shared" si="23"/>
        <v>0.88842004019314502</v>
      </c>
      <c r="H136" s="3">
        <f t="shared" si="24"/>
        <v>474.29869414007737</v>
      </c>
      <c r="I136" s="3">
        <f t="shared" si="25"/>
        <v>3057.9455735978277</v>
      </c>
      <c r="J136" s="3">
        <f t="shared" si="26"/>
        <v>13.197779031044718</v>
      </c>
    </row>
    <row r="137" spans="1:10">
      <c r="A137" s="38">
        <v>1960</v>
      </c>
      <c r="B137" s="38" t="s">
        <v>86</v>
      </c>
      <c r="C137" s="1">
        <v>461</v>
      </c>
      <c r="D137" s="1">
        <v>136</v>
      </c>
      <c r="E137" s="3">
        <f t="shared" si="21"/>
        <v>500.1525894757246</v>
      </c>
      <c r="F137" s="3">
        <f t="shared" si="22"/>
        <v>11.12870526424572</v>
      </c>
      <c r="G137" s="59">
        <f t="shared" si="23"/>
        <v>0.92181559829041815</v>
      </c>
      <c r="H137" s="3">
        <f t="shared" si="24"/>
        <v>461.17306608595356</v>
      </c>
      <c r="I137" s="3">
        <f t="shared" si="25"/>
        <v>2.9951870107286629E-2</v>
      </c>
      <c r="J137" s="3">
        <f t="shared" si="26"/>
        <v>3.7541450315306868E-2</v>
      </c>
    </row>
    <row r="138" spans="1:10">
      <c r="A138" s="38">
        <v>1960</v>
      </c>
      <c r="B138" s="38" t="s">
        <v>5</v>
      </c>
      <c r="C138" s="1">
        <v>472</v>
      </c>
      <c r="D138" s="1">
        <v>137</v>
      </c>
      <c r="E138" s="3">
        <f t="shared" si="21"/>
        <v>501.65260191221137</v>
      </c>
      <c r="F138" s="3">
        <f t="shared" si="22"/>
        <v>6.3143588503662453</v>
      </c>
      <c r="G138" s="59">
        <f t="shared" si="23"/>
        <v>0.95853588008746105</v>
      </c>
      <c r="H138" s="3">
        <f t="shared" si="24"/>
        <v>503.61435097173671</v>
      </c>
      <c r="I138" s="3">
        <f t="shared" si="25"/>
        <v>999.46718736415005</v>
      </c>
      <c r="J138" s="3">
        <f t="shared" si="26"/>
        <v>6.6979557143509991</v>
      </c>
    </row>
    <row r="139" spans="1:10">
      <c r="A139" s="38">
        <v>1960</v>
      </c>
      <c r="B139" s="38" t="s">
        <v>87</v>
      </c>
      <c r="C139" s="1">
        <v>535</v>
      </c>
      <c r="D139" s="1">
        <v>138</v>
      </c>
      <c r="E139" s="3">
        <f t="shared" si="21"/>
        <v>492.94747609909854</v>
      </c>
      <c r="F139" s="3">
        <f t="shared" si="22"/>
        <v>-1.195383481373292</v>
      </c>
      <c r="G139" s="59">
        <f t="shared" si="23"/>
        <v>1.1185338920781538</v>
      </c>
      <c r="H139" s="3">
        <f t="shared" si="24"/>
        <v>593.49449654009811</v>
      </c>
      <c r="I139" s="3">
        <f t="shared" si="25"/>
        <v>3421.60612547955</v>
      </c>
      <c r="J139" s="3">
        <f t="shared" si="26"/>
        <v>10.933550755158526</v>
      </c>
    </row>
    <row r="140" spans="1:10">
      <c r="A140" s="38">
        <v>1960</v>
      </c>
      <c r="B140" s="38" t="s">
        <v>88</v>
      </c>
      <c r="C140" s="1">
        <v>622</v>
      </c>
      <c r="D140" s="1">
        <v>139</v>
      </c>
      <c r="E140" s="3">
        <f t="shared" si="21"/>
        <v>480.95209808734808</v>
      </c>
      <c r="F140" s="3">
        <f t="shared" si="22"/>
        <v>-6.5953807465618759</v>
      </c>
      <c r="G140" s="59">
        <f t="shared" si="23"/>
        <v>1.3218716536476731</v>
      </c>
      <c r="H140" s="3">
        <f t="shared" si="24"/>
        <v>671.13194722871663</v>
      </c>
      <c r="I140" s="3">
        <f t="shared" si="25"/>
        <v>2413.9482384853954</v>
      </c>
      <c r="J140" s="3">
        <f t="shared" si="26"/>
        <v>7.8990268856457604</v>
      </c>
    </row>
    <row r="141" spans="1:10">
      <c r="A141" s="38">
        <v>1960</v>
      </c>
      <c r="B141" s="38" t="s">
        <v>89</v>
      </c>
      <c r="C141" s="1">
        <v>606</v>
      </c>
      <c r="D141" s="1">
        <v>140</v>
      </c>
      <c r="E141" s="3">
        <f t="shared" si="21"/>
        <v>462.53090652771618</v>
      </c>
      <c r="F141" s="3">
        <f t="shared" si="22"/>
        <v>-12.508286153096885</v>
      </c>
      <c r="G141" s="59">
        <f t="shared" si="23"/>
        <v>1.3434312794936965</v>
      </c>
      <c r="H141" s="3">
        <f t="shared" si="24"/>
        <v>660.92316986396122</v>
      </c>
      <c r="I141" s="3">
        <f t="shared" si="25"/>
        <v>3016.554587905538</v>
      </c>
      <c r="J141" s="3">
        <f t="shared" si="26"/>
        <v>9.0632293504886494</v>
      </c>
    </row>
    <row r="142" spans="1:10">
      <c r="A142" s="38">
        <v>1960</v>
      </c>
      <c r="B142" s="38" t="s">
        <v>90</v>
      </c>
      <c r="C142" s="1">
        <v>508</v>
      </c>
      <c r="D142" s="1">
        <v>141</v>
      </c>
      <c r="E142" s="3">
        <f t="shared" ref="E142:E145" si="27">$L$2*(C142/G130)+$L$3*(E141+F141)</f>
        <v>447.89890850176289</v>
      </c>
      <c r="F142" s="3">
        <f t="shared" ref="F142:F145" si="28">$M$2*(E142-E141)+$M$3*F141</f>
        <v>-13.570142089525088</v>
      </c>
      <c r="G142" s="59">
        <f t="shared" ref="G142:G145" si="29">$N$2*(C142/E142)+$N$3*G130</f>
        <v>1.139259870441133</v>
      </c>
      <c r="H142" s="3">
        <f t="shared" ref="H142:H145" si="30">(E141+F141)*G130</f>
        <v>516.11875882301138</v>
      </c>
      <c r="I142" s="3">
        <f t="shared" ref="I142:I145" si="31">(C142-H142)^2</f>
        <v>65.914244826225058</v>
      </c>
      <c r="J142" s="3">
        <f t="shared" si="26"/>
        <v>1.5981808706715308</v>
      </c>
    </row>
    <row r="143" spans="1:10">
      <c r="A143" s="38">
        <v>1960</v>
      </c>
      <c r="B143" s="38" t="s">
        <v>91</v>
      </c>
      <c r="C143" s="1">
        <v>461</v>
      </c>
      <c r="D143" s="1">
        <v>142</v>
      </c>
      <c r="E143" s="3">
        <f t="shared" si="27"/>
        <v>444.39841709346609</v>
      </c>
      <c r="F143" s="3">
        <f t="shared" si="28"/>
        <v>-8.5353167489109421</v>
      </c>
      <c r="G143" s="59">
        <f t="shared" si="29"/>
        <v>1.0165205893113345</v>
      </c>
      <c r="H143" s="3">
        <f t="shared" si="30"/>
        <v>427.92907440312268</v>
      </c>
      <c r="I143" s="3">
        <f t="shared" si="31"/>
        <v>1093.6861198341953</v>
      </c>
      <c r="J143" s="3">
        <f t="shared" si="26"/>
        <v>7.1737365719907409</v>
      </c>
    </row>
    <row r="144" spans="1:10">
      <c r="A144" s="38">
        <v>1960</v>
      </c>
      <c r="B144" s="38" t="s">
        <v>92</v>
      </c>
      <c r="C144" s="1">
        <v>390</v>
      </c>
      <c r="D144" s="1">
        <v>143</v>
      </c>
      <c r="E144" s="3">
        <f t="shared" si="27"/>
        <v>445.16006667759859</v>
      </c>
      <c r="F144" s="3">
        <f t="shared" si="28"/>
        <v>-3.8868335823892215</v>
      </c>
      <c r="G144" s="59">
        <f t="shared" si="29"/>
        <v>0.85980591936403195</v>
      </c>
      <c r="H144" s="3">
        <f t="shared" si="30"/>
        <v>364.11164426388007</v>
      </c>
      <c r="I144" s="3">
        <f t="shared" si="31"/>
        <v>670.20696271989391</v>
      </c>
      <c r="J144" s="3">
        <f t="shared" si="26"/>
        <v>6.6380399323384447</v>
      </c>
    </row>
    <row r="145" spans="1:10">
      <c r="A145" s="38">
        <v>1960</v>
      </c>
      <c r="B145" s="81" t="s">
        <v>93</v>
      </c>
      <c r="C145" s="82">
        <v>432</v>
      </c>
      <c r="D145" s="82">
        <v>144</v>
      </c>
      <c r="E145" s="59">
        <f t="shared" si="27"/>
        <v>455.01784661275963</v>
      </c>
      <c r="F145" s="59">
        <f t="shared" si="28"/>
        <v>2.9854731763859061</v>
      </c>
      <c r="G145" s="59">
        <f t="shared" si="29"/>
        <v>0.92440889810855564</v>
      </c>
      <c r="H145" s="3">
        <f t="shared" si="30"/>
        <v>391.36623645367467</v>
      </c>
      <c r="I145" s="3">
        <f t="shared" si="31"/>
        <v>1651.1027399386769</v>
      </c>
      <c r="J145" s="3">
        <f t="shared" si="26"/>
        <v>9.4059637838716021</v>
      </c>
    </row>
    <row r="146" spans="1:10">
      <c r="A146" s="61">
        <v>1961</v>
      </c>
      <c r="B146" s="63" t="s">
        <v>83</v>
      </c>
      <c r="C146" s="80" t="s">
        <v>143</v>
      </c>
      <c r="D146" s="61" t="s">
        <v>144</v>
      </c>
      <c r="E146" s="18"/>
      <c r="F146" s="61"/>
      <c r="G146" s="61"/>
      <c r="H146" s="18">
        <f>($E$145+$F$145*1)*G134</f>
        <v>403.12616576958095</v>
      </c>
    </row>
    <row r="147" spans="1:10">
      <c r="A147" s="1">
        <v>1961</v>
      </c>
      <c r="B147" s="38" t="s">
        <v>84</v>
      </c>
      <c r="C147" s="80" t="s">
        <v>143</v>
      </c>
      <c r="D147" s="1" t="s">
        <v>145</v>
      </c>
      <c r="E147" s="1"/>
      <c r="F147" s="1"/>
      <c r="G147" s="1"/>
      <c r="H147" s="18">
        <f>($E$145+$F$145*2)*G135</f>
        <v>370.013593198016</v>
      </c>
    </row>
    <row r="148" spans="1:10">
      <c r="A148" s="1">
        <v>1961</v>
      </c>
      <c r="B148" s="38" t="s">
        <v>85</v>
      </c>
      <c r="C148" s="1"/>
      <c r="D148" s="1" t="s">
        <v>146</v>
      </c>
      <c r="E148" s="1"/>
      <c r="F148" s="1"/>
      <c r="G148" s="1"/>
      <c r="H148" s="18">
        <f>($E$145+$F$145*3)*G136</f>
        <v>412.20403617438717</v>
      </c>
    </row>
    <row r="149" spans="1:10">
      <c r="A149" s="1">
        <v>1961</v>
      </c>
      <c r="B149" s="38" t="s">
        <v>86</v>
      </c>
      <c r="C149" s="1"/>
      <c r="D149" s="1" t="s">
        <v>147</v>
      </c>
      <c r="E149" s="1"/>
      <c r="F149" s="1"/>
      <c r="G149" s="1"/>
      <c r="H149" s="18">
        <f>($E$145+$F$145*4)*G137</f>
        <v>430.45077147723941</v>
      </c>
    </row>
    <row r="150" spans="1:10">
      <c r="A150" s="1">
        <v>1961</v>
      </c>
      <c r="B150" s="38" t="s">
        <v>5</v>
      </c>
      <c r="D150" s="64" t="s">
        <v>148</v>
      </c>
      <c r="H150" s="18">
        <f>($E$145+$F$145*5)*G138</f>
        <v>450.45934785148575</v>
      </c>
    </row>
    <row r="151" spans="1:10">
      <c r="A151" s="1">
        <v>1961</v>
      </c>
      <c r="B151" s="38" t="s">
        <v>87</v>
      </c>
      <c r="H151" s="18">
        <f>($E$145+$F$145*6)*G139</f>
        <v>528.98900052685758</v>
      </c>
    </row>
    <row r="152" spans="1:10">
      <c r="A152" s="1">
        <v>1961</v>
      </c>
      <c r="B152" s="38" t="s">
        <v>88</v>
      </c>
      <c r="H152" s="18">
        <f>($E$145+$F$145*7)*G140</f>
        <v>629.1000798933419</v>
      </c>
    </row>
    <row r="153" spans="1:10">
      <c r="A153" s="1">
        <v>1961</v>
      </c>
      <c r="B153" s="38" t="s">
        <v>89</v>
      </c>
      <c r="H153" s="18">
        <f>($E$145+$F$145*8)*G141</f>
        <v>643.37143226141609</v>
      </c>
    </row>
    <row r="154" spans="1:10">
      <c r="A154" s="1">
        <v>1961</v>
      </c>
      <c r="B154" s="38" t="s">
        <v>90</v>
      </c>
      <c r="H154" s="18">
        <f>($E$145+$F$145*9)*G142</f>
        <v>548.99464103766979</v>
      </c>
    </row>
    <row r="155" spans="1:10">
      <c r="A155" s="1">
        <v>1961</v>
      </c>
      <c r="B155" s="38" t="s">
        <v>91</v>
      </c>
      <c r="H155" s="18">
        <f>($E$145+$F$145*10)*G143</f>
        <v>492.88295911230665</v>
      </c>
    </row>
    <row r="156" spans="1:10">
      <c r="A156" s="1">
        <v>1961</v>
      </c>
      <c r="B156" s="38" t="s">
        <v>92</v>
      </c>
      <c r="H156" s="18">
        <f>($E$145+$F$145*11)*G144</f>
        <v>419.4632405346764</v>
      </c>
    </row>
    <row r="157" spans="1:10">
      <c r="A157" s="1">
        <v>1961</v>
      </c>
      <c r="B157" s="81" t="s">
        <v>93</v>
      </c>
      <c r="H157" s="18">
        <f>($E$145+$F$145*12)*G145</f>
        <v>453.74012183881541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"/>
  <sheetViews>
    <sheetView zoomScale="120" zoomScaleNormal="120" workbookViewId="0">
      <selection activeCell="H1" sqref="H1:H3"/>
    </sheetView>
  </sheetViews>
  <sheetFormatPr defaultRowHeight="15"/>
  <cols>
    <col min="1" max="1" width="5.5703125" bestFit="1" customWidth="1"/>
    <col min="2" max="2" width="5.42578125" bestFit="1" customWidth="1"/>
    <col min="3" max="3" width="10.85546875" bestFit="1" customWidth="1"/>
    <col min="4" max="4" width="14.85546875" bestFit="1" customWidth="1"/>
    <col min="5" max="5" width="8.42578125" bestFit="1" customWidth="1"/>
    <col min="6" max="6" width="6.7109375" bestFit="1" customWidth="1"/>
    <col min="7" max="7" width="7.28515625" bestFit="1" customWidth="1"/>
    <col min="8" max="8" width="6.140625" bestFit="1" customWidth="1"/>
    <col min="9" max="10" width="6.140625" style="17" customWidth="1"/>
    <col min="11" max="11" width="6.140625" bestFit="1" customWidth="1"/>
    <col min="12" max="12" width="7.85546875" bestFit="1" customWidth="1"/>
  </cols>
  <sheetData>
    <row r="1" spans="1:20">
      <c r="A1" s="45" t="s">
        <v>22</v>
      </c>
      <c r="B1" s="45" t="s">
        <v>17</v>
      </c>
      <c r="C1" s="46" t="s">
        <v>4</v>
      </c>
      <c r="D1" s="45" t="s">
        <v>67</v>
      </c>
      <c r="E1" s="6" t="s">
        <v>27</v>
      </c>
      <c r="F1" s="6" t="s">
        <v>0</v>
      </c>
      <c r="G1" s="6" t="s">
        <v>1</v>
      </c>
      <c r="H1" s="6" t="s">
        <v>21</v>
      </c>
    </row>
    <row r="2" spans="1:20">
      <c r="A2" s="1">
        <v>1</v>
      </c>
      <c r="B2" s="1">
        <v>2017</v>
      </c>
      <c r="C2" s="1" t="s">
        <v>15</v>
      </c>
      <c r="D2" s="1">
        <v>57</v>
      </c>
      <c r="E2" s="11"/>
      <c r="F2" s="3"/>
      <c r="G2" s="3"/>
      <c r="H2" s="3"/>
      <c r="N2" t="s">
        <v>68</v>
      </c>
    </row>
    <row r="3" spans="1:20">
      <c r="A3" s="1">
        <v>2</v>
      </c>
      <c r="B3" s="1"/>
      <c r="C3" s="1" t="s">
        <v>16</v>
      </c>
      <c r="D3" s="1">
        <v>56</v>
      </c>
      <c r="E3" s="3">
        <f>D2</f>
        <v>57</v>
      </c>
      <c r="F3" s="3">
        <f>(D3-E3)</f>
        <v>-1</v>
      </c>
      <c r="G3" s="3">
        <f>F3*F3</f>
        <v>1</v>
      </c>
      <c r="H3" s="3">
        <f>ABS((D3-E3)/(D3))*100</f>
        <v>1.7857142857142856</v>
      </c>
      <c r="K3" s="2" t="s">
        <v>2</v>
      </c>
      <c r="L3" s="2" t="s">
        <v>25</v>
      </c>
      <c r="N3" s="84" t="s">
        <v>26</v>
      </c>
      <c r="O3" s="85"/>
      <c r="P3" s="85"/>
      <c r="Q3" s="85"/>
      <c r="R3" s="85"/>
      <c r="S3" s="85"/>
      <c r="T3" s="86"/>
    </row>
    <row r="4" spans="1:20">
      <c r="A4" s="1">
        <v>3</v>
      </c>
      <c r="B4" s="1"/>
      <c r="C4" s="1" t="s">
        <v>6</v>
      </c>
      <c r="D4" s="1">
        <v>67</v>
      </c>
      <c r="E4" s="3">
        <f>$K$4*D3+$L$4*E3</f>
        <v>56.839999999999996</v>
      </c>
      <c r="F4" s="3">
        <f t="shared" ref="F4:F21" si="0">(D4-E4)</f>
        <v>10.160000000000004</v>
      </c>
      <c r="G4" s="3">
        <f t="shared" ref="G4:G21" si="1">F4*F4</f>
        <v>103.22560000000007</v>
      </c>
      <c r="H4" s="3">
        <f t="shared" ref="H4:H21" si="2">ABS((D4-E4)/(D4))*100</f>
        <v>15.164179104477618</v>
      </c>
      <c r="K4" s="3">
        <v>0.16</v>
      </c>
      <c r="L4" s="3">
        <f>1-K4</f>
        <v>0.84</v>
      </c>
    </row>
    <row r="5" spans="1:20">
      <c r="A5" s="1">
        <v>4</v>
      </c>
      <c r="B5" s="1"/>
      <c r="C5" s="1" t="s">
        <v>7</v>
      </c>
      <c r="D5" s="1">
        <v>48</v>
      </c>
      <c r="E5" s="3">
        <f t="shared" ref="E5:E22" si="3">$K$4*D4+$L$4*E4</f>
        <v>58.465599999999995</v>
      </c>
      <c r="F5" s="3">
        <f t="shared" si="0"/>
        <v>-10.465599999999995</v>
      </c>
      <c r="G5" s="3">
        <f t="shared" si="1"/>
        <v>109.52878335999989</v>
      </c>
      <c r="H5" s="3">
        <f t="shared" si="2"/>
        <v>21.80333333333332</v>
      </c>
    </row>
    <row r="6" spans="1:20">
      <c r="A6" s="1">
        <v>5</v>
      </c>
      <c r="B6" s="1"/>
      <c r="C6" s="1" t="s">
        <v>5</v>
      </c>
      <c r="D6" s="1">
        <v>55</v>
      </c>
      <c r="E6" s="3">
        <f t="shared" si="3"/>
        <v>56.791103999999997</v>
      </c>
      <c r="F6" s="3">
        <f t="shared" si="0"/>
        <v>-1.7911039999999971</v>
      </c>
      <c r="G6" s="3">
        <f t="shared" si="1"/>
        <v>3.2080535388159896</v>
      </c>
      <c r="H6" s="3">
        <f t="shared" si="2"/>
        <v>3.2565527272727222</v>
      </c>
      <c r="K6" s="16" t="s">
        <v>18</v>
      </c>
      <c r="L6" s="10">
        <f>SUM(G3:G21)</f>
        <v>1207.6699764763898</v>
      </c>
    </row>
    <row r="7" spans="1:20">
      <c r="A7" s="1">
        <v>6</v>
      </c>
      <c r="B7" s="1"/>
      <c r="C7" s="1" t="s">
        <v>8</v>
      </c>
      <c r="D7" s="1">
        <v>60</v>
      </c>
      <c r="E7" s="3">
        <f t="shared" si="3"/>
        <v>56.504527359999997</v>
      </c>
      <c r="F7" s="3">
        <f t="shared" si="0"/>
        <v>3.4954726400000027</v>
      </c>
      <c r="G7" s="3">
        <f t="shared" si="1"/>
        <v>12.218328976988589</v>
      </c>
      <c r="H7" s="3">
        <f t="shared" si="2"/>
        <v>5.8257877333333381</v>
      </c>
      <c r="K7" s="16" t="s">
        <v>19</v>
      </c>
      <c r="L7" s="10">
        <f>AVERAGE(G3:G21)</f>
        <v>63.561577709283675</v>
      </c>
    </row>
    <row r="8" spans="1:20">
      <c r="A8" s="1">
        <v>7</v>
      </c>
      <c r="B8" s="1"/>
      <c r="C8" s="1" t="s">
        <v>9</v>
      </c>
      <c r="D8" s="1">
        <v>56</v>
      </c>
      <c r="E8" s="3">
        <f t="shared" si="3"/>
        <v>57.063802982399999</v>
      </c>
      <c r="F8" s="3">
        <f t="shared" si="0"/>
        <v>-1.0638029823999986</v>
      </c>
      <c r="G8" s="3">
        <f t="shared" si="1"/>
        <v>1.1316767853631318</v>
      </c>
      <c r="H8" s="3">
        <f t="shared" si="2"/>
        <v>1.8996481828571405</v>
      </c>
      <c r="K8" s="16" t="s">
        <v>20</v>
      </c>
      <c r="L8" s="3">
        <f>SQRT(L7)</f>
        <v>7.9725515181329296</v>
      </c>
    </row>
    <row r="9" spans="1:20">
      <c r="A9" s="1">
        <v>8</v>
      </c>
      <c r="B9" s="1"/>
      <c r="C9" s="1" t="s">
        <v>10</v>
      </c>
      <c r="D9" s="1">
        <v>49</v>
      </c>
      <c r="E9" s="3">
        <f t="shared" si="3"/>
        <v>56.893594505216001</v>
      </c>
      <c r="F9" s="3">
        <f t="shared" si="0"/>
        <v>-7.8935945052160008</v>
      </c>
      <c r="G9" s="3">
        <f t="shared" si="1"/>
        <v>62.30883421277624</v>
      </c>
      <c r="H9" s="3">
        <f t="shared" si="2"/>
        <v>16.109376541257145</v>
      </c>
      <c r="K9" s="16" t="s">
        <v>21</v>
      </c>
      <c r="L9" s="3">
        <f>AVERAGE(H3:H21)</f>
        <v>10.032807605697982</v>
      </c>
    </row>
    <row r="10" spans="1:20">
      <c r="A10" s="1">
        <v>9</v>
      </c>
      <c r="B10" s="1"/>
      <c r="C10" s="1" t="s">
        <v>11</v>
      </c>
      <c r="D10" s="1">
        <v>67</v>
      </c>
      <c r="E10" s="3">
        <f t="shared" si="3"/>
        <v>55.630619384381433</v>
      </c>
      <c r="F10" s="3">
        <f t="shared" si="0"/>
        <v>11.369380615618567</v>
      </c>
      <c r="G10" s="3">
        <f t="shared" si="1"/>
        <v>129.26281558280323</v>
      </c>
      <c r="H10" s="3">
        <f t="shared" si="2"/>
        <v>16.969224799430695</v>
      </c>
    </row>
    <row r="11" spans="1:20">
      <c r="A11" s="1">
        <v>10</v>
      </c>
      <c r="B11" s="1"/>
      <c r="C11" s="1" t="s">
        <v>12</v>
      </c>
      <c r="D11" s="1">
        <v>63</v>
      </c>
      <c r="E11" s="3">
        <f t="shared" si="3"/>
        <v>57.449720282880399</v>
      </c>
      <c r="F11" s="3">
        <f t="shared" si="0"/>
        <v>5.5502797171196008</v>
      </c>
      <c r="G11" s="3">
        <f t="shared" si="1"/>
        <v>30.805604938269237</v>
      </c>
      <c r="H11" s="3">
        <f t="shared" si="2"/>
        <v>8.8099678049517482</v>
      </c>
    </row>
    <row r="12" spans="1:20">
      <c r="A12" s="1">
        <v>11</v>
      </c>
      <c r="B12" s="1"/>
      <c r="C12" s="1" t="s">
        <v>13</v>
      </c>
      <c r="D12" s="1">
        <v>75</v>
      </c>
      <c r="E12" s="3">
        <f t="shared" si="3"/>
        <v>58.337765037619533</v>
      </c>
      <c r="F12" s="3">
        <f t="shared" si="0"/>
        <v>16.662234962380467</v>
      </c>
      <c r="G12" s="3">
        <f t="shared" si="1"/>
        <v>277.63007394157398</v>
      </c>
      <c r="H12" s="3">
        <f t="shared" si="2"/>
        <v>22.216313283173957</v>
      </c>
    </row>
    <row r="13" spans="1:20">
      <c r="A13" s="1">
        <v>12</v>
      </c>
      <c r="B13" s="1"/>
      <c r="C13" s="1" t="s">
        <v>14</v>
      </c>
      <c r="D13" s="1">
        <v>58</v>
      </c>
      <c r="E13" s="3">
        <f t="shared" si="3"/>
        <v>61.003722631600404</v>
      </c>
      <c r="F13" s="3">
        <f t="shared" si="0"/>
        <v>-3.0037226316004038</v>
      </c>
      <c r="G13" s="3">
        <f t="shared" si="1"/>
        <v>9.0223496475884541</v>
      </c>
      <c r="H13" s="3">
        <f t="shared" si="2"/>
        <v>5.1788321234489718</v>
      </c>
    </row>
    <row r="14" spans="1:20">
      <c r="A14" s="1">
        <v>13</v>
      </c>
      <c r="B14" s="1">
        <v>2018</v>
      </c>
      <c r="C14" s="1" t="s">
        <v>15</v>
      </c>
      <c r="D14" s="1">
        <v>68</v>
      </c>
      <c r="E14" s="3">
        <f t="shared" si="3"/>
        <v>60.523127010544336</v>
      </c>
      <c r="F14" s="3">
        <f t="shared" si="0"/>
        <v>7.4768729894556643</v>
      </c>
      <c r="G14" s="3">
        <f t="shared" si="1"/>
        <v>55.903629700451681</v>
      </c>
      <c r="H14" s="3">
        <f t="shared" si="2"/>
        <v>10.99540145508186</v>
      </c>
    </row>
    <row r="15" spans="1:20">
      <c r="A15" s="1">
        <v>14</v>
      </c>
      <c r="B15" s="1"/>
      <c r="C15" s="1" t="s">
        <v>16</v>
      </c>
      <c r="D15" s="1">
        <v>62</v>
      </c>
      <c r="E15" s="3">
        <f t="shared" si="3"/>
        <v>61.71942668885724</v>
      </c>
      <c r="F15" s="3">
        <f t="shared" si="0"/>
        <v>0.28057331114275996</v>
      </c>
      <c r="G15" s="3">
        <f t="shared" si="1"/>
        <v>7.8721382925611996E-2</v>
      </c>
      <c r="H15" s="3">
        <f t="shared" si="2"/>
        <v>0.45253759861735482</v>
      </c>
    </row>
    <row r="16" spans="1:20">
      <c r="A16" s="1">
        <v>15</v>
      </c>
      <c r="B16" s="1"/>
      <c r="C16" s="1" t="s">
        <v>6</v>
      </c>
      <c r="D16" s="1">
        <v>60</v>
      </c>
      <c r="E16" s="3">
        <f t="shared" si="3"/>
        <v>61.76431841864008</v>
      </c>
      <c r="F16" s="3">
        <f t="shared" si="0"/>
        <v>-1.7643184186400802</v>
      </c>
      <c r="G16" s="3">
        <f t="shared" si="1"/>
        <v>3.1128194823526334</v>
      </c>
      <c r="H16" s="3">
        <f t="shared" si="2"/>
        <v>2.9405306977334669</v>
      </c>
    </row>
    <row r="17" spans="1:8">
      <c r="A17" s="1">
        <v>16</v>
      </c>
      <c r="B17" s="1"/>
      <c r="C17" s="1" t="s">
        <v>7</v>
      </c>
      <c r="D17" s="1">
        <v>53</v>
      </c>
      <c r="E17" s="3">
        <f t="shared" si="3"/>
        <v>61.482027471657666</v>
      </c>
      <c r="F17" s="3">
        <f t="shared" si="0"/>
        <v>-8.4820274716576662</v>
      </c>
      <c r="G17" s="3">
        <f t="shared" si="1"/>
        <v>71.944790029955342</v>
      </c>
      <c r="H17" s="3">
        <f t="shared" si="2"/>
        <v>16.003825418222011</v>
      </c>
    </row>
    <row r="18" spans="1:8">
      <c r="A18" s="1">
        <v>17</v>
      </c>
      <c r="B18" s="1"/>
      <c r="C18" s="1" t="s">
        <v>5</v>
      </c>
      <c r="D18" s="1">
        <v>57</v>
      </c>
      <c r="E18" s="3">
        <f t="shared" si="3"/>
        <v>60.124903076192439</v>
      </c>
      <c r="F18" s="3">
        <f t="shared" si="0"/>
        <v>-3.1249030761924388</v>
      </c>
      <c r="G18" s="3">
        <f t="shared" si="1"/>
        <v>9.7650192355969665</v>
      </c>
      <c r="H18" s="3">
        <f t="shared" si="2"/>
        <v>5.4822860985832254</v>
      </c>
    </row>
    <row r="19" spans="1:8">
      <c r="A19" s="1">
        <v>18</v>
      </c>
      <c r="B19" s="1"/>
      <c r="C19" s="1" t="s">
        <v>8</v>
      </c>
      <c r="D19" s="1">
        <v>64</v>
      </c>
      <c r="E19" s="3">
        <f t="shared" si="3"/>
        <v>59.624918584001648</v>
      </c>
      <c r="F19" s="3">
        <f t="shared" si="0"/>
        <v>4.375081415998352</v>
      </c>
      <c r="G19" s="3">
        <f t="shared" si="1"/>
        <v>19.141337396614144</v>
      </c>
      <c r="H19" s="3">
        <f t="shared" si="2"/>
        <v>6.836064712497425</v>
      </c>
    </row>
    <row r="20" spans="1:8">
      <c r="A20" s="1">
        <v>19</v>
      </c>
      <c r="B20" s="1"/>
      <c r="C20" s="1" t="s">
        <v>9</v>
      </c>
      <c r="D20" s="1">
        <v>65</v>
      </c>
      <c r="E20" s="3">
        <f t="shared" si="3"/>
        <v>60.324931610561386</v>
      </c>
      <c r="F20" s="3">
        <f t="shared" si="0"/>
        <v>4.6750683894386142</v>
      </c>
      <c r="G20" s="3">
        <f t="shared" si="1"/>
        <v>21.856264445928158</v>
      </c>
      <c r="H20" s="3">
        <f t="shared" si="2"/>
        <v>7.192412906828638</v>
      </c>
    </row>
    <row r="21" spans="1:8">
      <c r="A21" s="1">
        <v>20</v>
      </c>
      <c r="B21" s="1"/>
      <c r="C21" s="1" t="s">
        <v>10</v>
      </c>
      <c r="D21" s="1">
        <v>78</v>
      </c>
      <c r="E21" s="3">
        <f t="shared" si="3"/>
        <v>61.072942552871559</v>
      </c>
      <c r="F21" s="3">
        <f t="shared" si="0"/>
        <v>16.927057447128441</v>
      </c>
      <c r="G21" s="3">
        <f t="shared" si="1"/>
        <v>286.52527381838638</v>
      </c>
      <c r="H21" s="3">
        <f t="shared" si="2"/>
        <v>21.701355701446719</v>
      </c>
    </row>
    <row r="22" spans="1:8">
      <c r="A22" s="1">
        <v>21</v>
      </c>
      <c r="B22" s="1"/>
      <c r="C22" s="1" t="s">
        <v>11</v>
      </c>
      <c r="E22" s="3">
        <f t="shared" si="3"/>
        <v>63.781271744412109</v>
      </c>
    </row>
    <row r="23" spans="1:8">
      <c r="A23" s="1">
        <v>22</v>
      </c>
      <c r="B23" s="1"/>
      <c r="C23" s="1" t="s">
        <v>12</v>
      </c>
      <c r="E23" s="3">
        <f>$K$4*E22+$L$4*E22</f>
        <v>63.781271744412109</v>
      </c>
    </row>
    <row r="24" spans="1:8">
      <c r="A24" s="1">
        <v>23</v>
      </c>
      <c r="B24" s="1"/>
      <c r="C24" s="1" t="s">
        <v>13</v>
      </c>
      <c r="E24" s="3">
        <f t="shared" ref="E24:E25" si="4">$K$4*E23+$L$4*E23</f>
        <v>63.781271744412109</v>
      </c>
    </row>
    <row r="25" spans="1:8">
      <c r="A25" s="1">
        <v>24</v>
      </c>
      <c r="B25" s="1"/>
      <c r="C25" s="1" t="s">
        <v>14</v>
      </c>
      <c r="E25" s="3">
        <f t="shared" si="4"/>
        <v>63.781271744412109</v>
      </c>
    </row>
  </sheetData>
  <mergeCells count="1">
    <mergeCell ref="N3:T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1"/>
  <sheetViews>
    <sheetView tabSelected="1" topLeftCell="C1" zoomScale="160" zoomScaleNormal="160" workbookViewId="0">
      <pane ySplit="1" topLeftCell="A2" activePane="bottomLeft" state="frozen"/>
      <selection pane="bottomLeft" activeCell="F2" sqref="F2"/>
    </sheetView>
  </sheetViews>
  <sheetFormatPr defaultRowHeight="15"/>
  <cols>
    <col min="1" max="1" width="5.5703125" bestFit="1" customWidth="1"/>
    <col min="2" max="2" width="7.42578125" bestFit="1" customWidth="1"/>
    <col min="3" max="3" width="10.85546875" bestFit="1" customWidth="1"/>
    <col min="4" max="4" width="11.5703125" bestFit="1" customWidth="1"/>
    <col min="5" max="5" width="14.7109375" bestFit="1" customWidth="1"/>
    <col min="6" max="6" width="12.28515625" bestFit="1" customWidth="1"/>
    <col min="7" max="7" width="11" bestFit="1" customWidth="1"/>
    <col min="8" max="8" width="7.85546875" bestFit="1" customWidth="1"/>
    <col min="9" max="9" width="9.85546875" bestFit="1" customWidth="1"/>
    <col min="10" max="10" width="6.140625" customWidth="1"/>
    <col min="17" max="17" width="12.85546875" bestFit="1" customWidth="1"/>
    <col min="22" max="22" width="11.7109375" bestFit="1" customWidth="1"/>
    <col min="23" max="23" width="10.5703125" bestFit="1" customWidth="1"/>
  </cols>
  <sheetData>
    <row r="1" spans="1:25" ht="15.75" thickBot="1">
      <c r="A1" s="26" t="s">
        <v>22</v>
      </c>
      <c r="B1" s="26" t="s">
        <v>17</v>
      </c>
      <c r="C1" s="49" t="s">
        <v>4</v>
      </c>
      <c r="D1" s="26" t="s">
        <v>95</v>
      </c>
      <c r="E1" s="6" t="s">
        <v>94</v>
      </c>
      <c r="F1" s="6" t="s">
        <v>24</v>
      </c>
      <c r="G1" s="6" t="s">
        <v>112</v>
      </c>
      <c r="H1" s="6" t="s">
        <v>0</v>
      </c>
      <c r="I1" s="6" t="s">
        <v>1</v>
      </c>
      <c r="J1" s="6" t="s">
        <v>21</v>
      </c>
      <c r="L1" s="13" t="s">
        <v>2</v>
      </c>
      <c r="M1" s="13" t="s">
        <v>3</v>
      </c>
      <c r="O1" s="2" t="s">
        <v>18</v>
      </c>
      <c r="P1" s="2" t="s">
        <v>19</v>
      </c>
      <c r="Q1" s="2" t="s">
        <v>20</v>
      </c>
      <c r="R1" s="2" t="s">
        <v>21</v>
      </c>
      <c r="T1" s="94" t="s">
        <v>133</v>
      </c>
      <c r="U1" s="91"/>
      <c r="V1" s="95"/>
      <c r="W1" s="92"/>
    </row>
    <row r="2" spans="1:25">
      <c r="A2" s="1">
        <v>1</v>
      </c>
      <c r="B2" s="1">
        <v>2017</v>
      </c>
      <c r="C2" s="1" t="s">
        <v>15</v>
      </c>
      <c r="D2" s="1">
        <v>302</v>
      </c>
      <c r="E2" s="39">
        <v>311</v>
      </c>
      <c r="F2" s="39">
        <v>19.5</v>
      </c>
      <c r="G2" s="40"/>
      <c r="H2" s="1"/>
      <c r="I2" s="1"/>
      <c r="J2" s="1"/>
      <c r="L2" s="3">
        <v>0.7</v>
      </c>
      <c r="M2" s="3">
        <v>0.5</v>
      </c>
      <c r="O2" s="3">
        <f>SUM(I4:I25)</f>
        <v>12569.132916919027</v>
      </c>
      <c r="P2" s="3">
        <f>AVERAGE(I4:I25)</f>
        <v>571.32422349631941</v>
      </c>
      <c r="Q2" s="30">
        <f>SQRT(P2)</f>
        <v>23.90238949344436</v>
      </c>
      <c r="R2" s="3">
        <f>AVERAGE(J4:J25)</f>
        <v>3.388278460434071</v>
      </c>
      <c r="T2" s="1" t="s">
        <v>134</v>
      </c>
      <c r="V2" s="1" t="s">
        <v>135</v>
      </c>
    </row>
    <row r="3" spans="1:25" ht="15.75" thickBot="1">
      <c r="A3" s="1">
        <v>2</v>
      </c>
      <c r="B3" s="1"/>
      <c r="C3" s="1" t="s">
        <v>16</v>
      </c>
      <c r="D3" s="1">
        <v>332</v>
      </c>
      <c r="E3" s="11">
        <f t="shared" ref="E3:E13" si="0">$L$2*D3+(1-$L$2)*(E2+F2)</f>
        <v>331.55</v>
      </c>
      <c r="F3" s="11">
        <f t="shared" ref="F3:F13" si="1">$M$2*(E3-E2)+(1-$M$2)*(F2)</f>
        <v>20.025000000000006</v>
      </c>
      <c r="G3" s="11">
        <f>E2+F2*1</f>
        <v>330.5</v>
      </c>
      <c r="H3" s="3">
        <f t="shared" ref="H3:H25" si="2">(D3-G3)</f>
        <v>1.5</v>
      </c>
      <c r="I3" s="3">
        <f>H3*H3</f>
        <v>2.25</v>
      </c>
      <c r="J3" s="3">
        <f t="shared" ref="J3:J25" si="3">ABS((D3-G3)/(D3))*100</f>
        <v>0.45180722891566261</v>
      </c>
    </row>
    <row r="4" spans="1:25" ht="15.75" thickBot="1">
      <c r="A4" s="1">
        <v>3</v>
      </c>
      <c r="B4" s="1"/>
      <c r="C4" s="1" t="s">
        <v>6</v>
      </c>
      <c r="D4" s="1">
        <v>338</v>
      </c>
      <c r="E4" s="11">
        <f t="shared" si="0"/>
        <v>342.07249999999999</v>
      </c>
      <c r="F4" s="11">
        <f t="shared" si="1"/>
        <v>15.273749999999993</v>
      </c>
      <c r="G4" s="11">
        <f t="shared" ref="G4:G25" si="4">E3+F3*1</f>
        <v>351.57500000000005</v>
      </c>
      <c r="H4" s="3">
        <f t="shared" si="2"/>
        <v>-13.575000000000045</v>
      </c>
      <c r="I4" s="3">
        <f t="shared" ref="I4:I25" si="5">H4*H4</f>
        <v>184.28062500000124</v>
      </c>
      <c r="J4" s="3">
        <f t="shared" si="3"/>
        <v>4.0162721893491256</v>
      </c>
      <c r="L4" s="90" t="s">
        <v>100</v>
      </c>
      <c r="M4" s="91"/>
      <c r="N4" s="91"/>
      <c r="O4" s="92"/>
      <c r="Q4" s="90" t="s">
        <v>24</v>
      </c>
      <c r="R4" s="91"/>
      <c r="S4" s="91"/>
      <c r="T4" s="92"/>
      <c r="V4" s="96" t="s">
        <v>105</v>
      </c>
      <c r="W4" s="97"/>
      <c r="X4" s="97"/>
      <c r="Y4" s="98"/>
    </row>
    <row r="5" spans="1:25">
      <c r="A5" s="1">
        <v>4</v>
      </c>
      <c r="B5" s="1"/>
      <c r="C5" s="1" t="s">
        <v>7</v>
      </c>
      <c r="D5" s="1">
        <v>350</v>
      </c>
      <c r="E5" s="11">
        <f t="shared" si="0"/>
        <v>352.20387499999998</v>
      </c>
      <c r="F5" s="11">
        <f t="shared" si="1"/>
        <v>12.702562499999992</v>
      </c>
      <c r="G5" s="11">
        <f t="shared" si="4"/>
        <v>357.34625</v>
      </c>
      <c r="H5" s="3">
        <f t="shared" si="2"/>
        <v>-7.3462499999999977</v>
      </c>
      <c r="I5" s="3">
        <f t="shared" si="5"/>
        <v>53.967389062499969</v>
      </c>
      <c r="J5" s="3">
        <f t="shared" si="3"/>
        <v>2.0989285714285706</v>
      </c>
      <c r="L5" s="93" t="s">
        <v>136</v>
      </c>
      <c r="M5" s="93"/>
      <c r="N5" s="93"/>
      <c r="O5" s="93"/>
      <c r="Q5" s="93" t="s">
        <v>102</v>
      </c>
      <c r="R5" s="93"/>
      <c r="S5" s="93"/>
      <c r="T5" s="93"/>
      <c r="V5" s="87" t="s">
        <v>106</v>
      </c>
      <c r="W5" s="88"/>
    </row>
    <row r="6" spans="1:25">
      <c r="A6" s="1">
        <v>5</v>
      </c>
      <c r="B6" s="1"/>
      <c r="C6" s="1" t="s">
        <v>5</v>
      </c>
      <c r="D6" s="1">
        <v>380</v>
      </c>
      <c r="E6" s="11">
        <f t="shared" si="0"/>
        <v>375.47193125000001</v>
      </c>
      <c r="F6" s="11">
        <f t="shared" si="1"/>
        <v>17.985309375000011</v>
      </c>
      <c r="G6" s="11">
        <f t="shared" si="4"/>
        <v>364.90643749999998</v>
      </c>
      <c r="H6" s="3">
        <f t="shared" si="2"/>
        <v>15.093562500000019</v>
      </c>
      <c r="I6" s="3">
        <f t="shared" si="5"/>
        <v>227.8156289414068</v>
      </c>
      <c r="J6" s="3">
        <f t="shared" si="3"/>
        <v>3.9719901315789521</v>
      </c>
    </row>
    <row r="7" spans="1:25">
      <c r="A7" s="1">
        <v>6</v>
      </c>
      <c r="B7" s="1"/>
      <c r="C7" s="1" t="s">
        <v>8</v>
      </c>
      <c r="D7" s="1">
        <v>420</v>
      </c>
      <c r="E7" s="11">
        <f t="shared" si="0"/>
        <v>412.0371721875</v>
      </c>
      <c r="F7" s="11">
        <f t="shared" si="1"/>
        <v>27.275275156250004</v>
      </c>
      <c r="G7" s="11">
        <f t="shared" si="4"/>
        <v>393.457240625</v>
      </c>
      <c r="H7" s="3">
        <f t="shared" si="2"/>
        <v>26.542759375000003</v>
      </c>
      <c r="I7" s="3">
        <f t="shared" si="5"/>
        <v>704.51807523915056</v>
      </c>
      <c r="J7" s="3">
        <f t="shared" si="3"/>
        <v>6.3197046130952392</v>
      </c>
      <c r="L7" s="1" t="s">
        <v>96</v>
      </c>
      <c r="Q7" s="1" t="s">
        <v>96</v>
      </c>
      <c r="V7" s="1" t="s">
        <v>132</v>
      </c>
      <c r="W7" s="1" t="s">
        <v>137</v>
      </c>
    </row>
    <row r="8" spans="1:25">
      <c r="A8" s="1">
        <v>7</v>
      </c>
      <c r="B8" s="1"/>
      <c r="C8" s="1" t="s">
        <v>9</v>
      </c>
      <c r="D8" s="1">
        <v>425</v>
      </c>
      <c r="E8" s="11">
        <f t="shared" si="0"/>
        <v>429.29373420312504</v>
      </c>
      <c r="F8" s="11">
        <f t="shared" si="1"/>
        <v>22.26591858593752</v>
      </c>
      <c r="G8" s="11">
        <f t="shared" si="4"/>
        <v>439.31244734375002</v>
      </c>
      <c r="H8" s="3">
        <f t="shared" si="2"/>
        <v>-14.312447343750023</v>
      </c>
      <c r="I8" s="3">
        <f t="shared" si="5"/>
        <v>204.8461489676171</v>
      </c>
      <c r="J8" s="3">
        <f t="shared" si="3"/>
        <v>3.3676346691176522</v>
      </c>
      <c r="V8" s="60" t="s">
        <v>107</v>
      </c>
    </row>
    <row r="9" spans="1:25">
      <c r="A9" s="1">
        <v>8</v>
      </c>
      <c r="B9" s="1"/>
      <c r="C9" s="1" t="s">
        <v>10</v>
      </c>
      <c r="D9" s="1">
        <v>440</v>
      </c>
      <c r="E9" s="11">
        <f t="shared" si="0"/>
        <v>443.46789583671875</v>
      </c>
      <c r="F9" s="11">
        <f t="shared" si="1"/>
        <v>18.220040109765616</v>
      </c>
      <c r="G9" s="11">
        <f t="shared" si="4"/>
        <v>451.55965278906257</v>
      </c>
      <c r="H9" s="3">
        <f t="shared" si="2"/>
        <v>-11.559652789062568</v>
      </c>
      <c r="I9" s="3">
        <f t="shared" si="5"/>
        <v>133.625572603682</v>
      </c>
      <c r="J9" s="3">
        <f t="shared" si="3"/>
        <v>2.6271938156960379</v>
      </c>
      <c r="L9" s="89" t="s">
        <v>97</v>
      </c>
      <c r="M9" s="89"/>
      <c r="N9" s="89"/>
      <c r="O9" s="89"/>
      <c r="Q9" s="89" t="s">
        <v>128</v>
      </c>
      <c r="R9" s="89"/>
      <c r="S9" s="89"/>
      <c r="T9" s="89"/>
    </row>
    <row r="10" spans="1:25">
      <c r="A10" s="1">
        <v>9</v>
      </c>
      <c r="B10" s="1"/>
      <c r="C10" s="1" t="s">
        <v>11</v>
      </c>
      <c r="D10" s="1">
        <v>453</v>
      </c>
      <c r="E10" s="11">
        <f t="shared" si="0"/>
        <v>455.60638078394527</v>
      </c>
      <c r="F10" s="11">
        <f t="shared" si="1"/>
        <v>15.179262528496066</v>
      </c>
      <c r="G10" s="11">
        <f t="shared" si="4"/>
        <v>461.68793594648434</v>
      </c>
      <c r="H10" s="3">
        <f t="shared" si="2"/>
        <v>-8.6879359464843446</v>
      </c>
      <c r="I10" s="3">
        <f t="shared" si="5"/>
        <v>75.480231010214823</v>
      </c>
      <c r="J10" s="3">
        <f t="shared" si="3"/>
        <v>1.9178666548530561</v>
      </c>
      <c r="V10" s="87" t="s">
        <v>108</v>
      </c>
      <c r="W10" s="88"/>
    </row>
    <row r="11" spans="1:25">
      <c r="A11" s="1">
        <v>10</v>
      </c>
      <c r="B11" s="1"/>
      <c r="C11" s="1" t="s">
        <v>12</v>
      </c>
      <c r="D11" s="1">
        <v>460</v>
      </c>
      <c r="E11" s="11">
        <f t="shared" si="0"/>
        <v>463.23569299373241</v>
      </c>
      <c r="F11" s="11">
        <f t="shared" si="1"/>
        <v>11.404287369141606</v>
      </c>
      <c r="G11" s="11">
        <f t="shared" si="4"/>
        <v>470.78564331244132</v>
      </c>
      <c r="H11" s="3">
        <f t="shared" si="2"/>
        <v>-10.785643312441323</v>
      </c>
      <c r="I11" s="3">
        <f t="shared" si="5"/>
        <v>116.33010166321023</v>
      </c>
      <c r="J11" s="3">
        <f t="shared" si="3"/>
        <v>2.3447050679220269</v>
      </c>
      <c r="L11" s="89" t="s">
        <v>98</v>
      </c>
      <c r="M11" s="89"/>
      <c r="N11" s="89"/>
      <c r="O11" s="89"/>
      <c r="Q11" s="89" t="s">
        <v>129</v>
      </c>
      <c r="R11" s="89"/>
      <c r="S11" s="89"/>
      <c r="T11" s="89"/>
      <c r="V11" s="87" t="s">
        <v>111</v>
      </c>
      <c r="W11" s="88"/>
    </row>
    <row r="12" spans="1:25">
      <c r="A12" s="1">
        <v>11</v>
      </c>
      <c r="B12" s="1"/>
      <c r="C12" s="1" t="s">
        <v>13</v>
      </c>
      <c r="D12" s="1">
        <v>467</v>
      </c>
      <c r="E12" s="11">
        <f t="shared" si="0"/>
        <v>469.29199410886224</v>
      </c>
      <c r="F12" s="11">
        <f t="shared" si="1"/>
        <v>8.7302942421357166</v>
      </c>
      <c r="G12" s="11">
        <f t="shared" si="4"/>
        <v>474.63998036287404</v>
      </c>
      <c r="H12" s="3">
        <f t="shared" si="2"/>
        <v>-7.6399803628740415</v>
      </c>
      <c r="I12" s="3">
        <f t="shared" si="5"/>
        <v>58.36929994510097</v>
      </c>
      <c r="J12" s="3">
        <f t="shared" si="3"/>
        <v>1.6359700991164972</v>
      </c>
      <c r="L12" s="89"/>
      <c r="M12" s="89"/>
      <c r="N12" s="89"/>
      <c r="O12" s="89"/>
    </row>
    <row r="13" spans="1:25">
      <c r="A13" s="1">
        <v>12</v>
      </c>
      <c r="B13" s="1"/>
      <c r="C13" s="1" t="s">
        <v>14</v>
      </c>
      <c r="D13" s="1">
        <v>500</v>
      </c>
      <c r="E13" s="11">
        <f t="shared" si="0"/>
        <v>493.40668650529938</v>
      </c>
      <c r="F13" s="11">
        <f t="shared" si="1"/>
        <v>16.422493319286424</v>
      </c>
      <c r="G13" s="11">
        <f t="shared" si="4"/>
        <v>478.02228835099794</v>
      </c>
      <c r="H13" s="3">
        <f t="shared" si="2"/>
        <v>21.97771164900206</v>
      </c>
      <c r="I13" s="3">
        <f t="shared" si="5"/>
        <v>483.01980932668084</v>
      </c>
      <c r="J13" s="3">
        <f t="shared" si="3"/>
        <v>4.3955423298004126</v>
      </c>
      <c r="L13" s="89" t="s">
        <v>99</v>
      </c>
      <c r="M13" s="89"/>
      <c r="N13" s="89"/>
      <c r="O13" s="89"/>
      <c r="Q13" s="89" t="s">
        <v>130</v>
      </c>
      <c r="R13" s="89"/>
      <c r="S13" s="89"/>
      <c r="T13" s="89"/>
      <c r="V13" s="87" t="s">
        <v>109</v>
      </c>
      <c r="W13" s="88"/>
    </row>
    <row r="14" spans="1:25">
      <c r="A14" s="1">
        <v>13</v>
      </c>
      <c r="B14" s="1">
        <v>2018</v>
      </c>
      <c r="C14" s="1" t="s">
        <v>15</v>
      </c>
      <c r="D14" s="1">
        <v>550</v>
      </c>
      <c r="E14" s="11">
        <f t="shared" ref="E14:E25" si="6">$L$2*D14+(1-$L$2)*(E13+F13)</f>
        <v>537.94875394737574</v>
      </c>
      <c r="F14" s="11">
        <f t="shared" ref="F14:F25" si="7">$M$2*(E14-E13)+(1-$M$2)*(F13)</f>
        <v>30.482280380681392</v>
      </c>
      <c r="G14" s="11">
        <f t="shared" si="4"/>
        <v>509.82917982458582</v>
      </c>
      <c r="H14" s="3">
        <f t="shared" si="2"/>
        <v>40.170820175414178</v>
      </c>
      <c r="I14" s="3">
        <f t="shared" si="5"/>
        <v>1613.6947935654628</v>
      </c>
      <c r="J14" s="3">
        <f t="shared" si="3"/>
        <v>7.303785486438942</v>
      </c>
    </row>
    <row r="15" spans="1:25">
      <c r="A15" s="1">
        <v>14</v>
      </c>
      <c r="B15" s="1"/>
      <c r="C15" s="1" t="s">
        <v>16</v>
      </c>
      <c r="D15" s="1">
        <v>575</v>
      </c>
      <c r="E15" s="11">
        <f t="shared" si="6"/>
        <v>573.02931029841716</v>
      </c>
      <c r="F15" s="11">
        <f t="shared" si="7"/>
        <v>32.781418365861406</v>
      </c>
      <c r="G15" s="11">
        <f t="shared" si="4"/>
        <v>568.43103432805708</v>
      </c>
      <c r="H15" s="3">
        <f t="shared" si="2"/>
        <v>6.5689656719429195</v>
      </c>
      <c r="I15" s="3">
        <f t="shared" si="5"/>
        <v>43.151309999164489</v>
      </c>
      <c r="J15" s="3">
        <f t="shared" si="3"/>
        <v>1.1424288125118121</v>
      </c>
      <c r="L15" s="89" t="s">
        <v>101</v>
      </c>
      <c r="M15" s="89"/>
      <c r="N15" s="89"/>
      <c r="O15" s="89"/>
      <c r="Q15" s="89" t="s">
        <v>131</v>
      </c>
      <c r="R15" s="89"/>
      <c r="S15" s="89"/>
      <c r="T15" s="89"/>
      <c r="V15" s="87" t="s">
        <v>110</v>
      </c>
      <c r="W15" s="88"/>
    </row>
    <row r="16" spans="1:25">
      <c r="A16" s="1">
        <v>15</v>
      </c>
      <c r="B16" s="1"/>
      <c r="C16" s="1" t="s">
        <v>6</v>
      </c>
      <c r="D16" s="1">
        <v>600</v>
      </c>
      <c r="E16" s="11">
        <f t="shared" si="6"/>
        <v>601.74321859928364</v>
      </c>
      <c r="F16" s="11">
        <f t="shared" si="7"/>
        <v>30.747663333363942</v>
      </c>
      <c r="G16" s="11">
        <f t="shared" si="4"/>
        <v>605.8107286642786</v>
      </c>
      <c r="H16" s="3">
        <f t="shared" si="2"/>
        <v>-5.8107286642785994</v>
      </c>
      <c r="I16" s="3">
        <f t="shared" si="5"/>
        <v>33.764567609868955</v>
      </c>
      <c r="J16" s="3">
        <f t="shared" si="3"/>
        <v>0.96845477737976648</v>
      </c>
    </row>
    <row r="17" spans="1:10">
      <c r="A17" s="1">
        <v>16</v>
      </c>
      <c r="B17" s="1"/>
      <c r="C17" s="1" t="s">
        <v>7</v>
      </c>
      <c r="D17" s="1">
        <v>610</v>
      </c>
      <c r="E17" s="11">
        <f t="shared" si="6"/>
        <v>616.74726457979432</v>
      </c>
      <c r="F17" s="11">
        <f t="shared" si="7"/>
        <v>22.875854656937314</v>
      </c>
      <c r="G17" s="11">
        <f t="shared" si="4"/>
        <v>632.49088193264754</v>
      </c>
      <c r="H17" s="3">
        <f t="shared" si="2"/>
        <v>-22.49088193264754</v>
      </c>
      <c r="I17" s="3">
        <f t="shared" si="5"/>
        <v>505.83977010829153</v>
      </c>
      <c r="J17" s="3">
        <f t="shared" si="3"/>
        <v>3.6870298250241866</v>
      </c>
    </row>
    <row r="18" spans="1:10">
      <c r="A18" s="1">
        <v>17</v>
      </c>
      <c r="B18" s="1"/>
      <c r="C18" s="1" t="s">
        <v>5</v>
      </c>
      <c r="D18" s="1">
        <v>700</v>
      </c>
      <c r="E18" s="11">
        <f t="shared" si="6"/>
        <v>681.88693577101947</v>
      </c>
      <c r="F18" s="11">
        <f t="shared" si="7"/>
        <v>44.007762924081234</v>
      </c>
      <c r="G18" s="11">
        <f t="shared" si="4"/>
        <v>639.62311923673167</v>
      </c>
      <c r="H18" s="3">
        <f t="shared" si="2"/>
        <v>60.376880763268332</v>
      </c>
      <c r="I18" s="3">
        <f t="shared" si="5"/>
        <v>3645.3677307019216</v>
      </c>
      <c r="J18" s="3">
        <f t="shared" si="3"/>
        <v>8.6252686804669043</v>
      </c>
    </row>
    <row r="19" spans="1:10">
      <c r="A19" s="1">
        <v>18</v>
      </c>
      <c r="B19" s="1"/>
      <c r="C19" s="1" t="s">
        <v>8</v>
      </c>
      <c r="D19" s="1">
        <v>750</v>
      </c>
      <c r="E19" s="11">
        <f t="shared" si="6"/>
        <v>742.76840960853019</v>
      </c>
      <c r="F19" s="11">
        <f t="shared" si="7"/>
        <v>52.44461838079598</v>
      </c>
      <c r="G19" s="11">
        <f t="shared" si="4"/>
        <v>725.89469869510071</v>
      </c>
      <c r="H19" s="3">
        <f t="shared" si="2"/>
        <v>24.105301304899285</v>
      </c>
      <c r="I19" s="3">
        <f t="shared" si="5"/>
        <v>581.06555099997922</v>
      </c>
      <c r="J19" s="3">
        <f t="shared" si="3"/>
        <v>3.2140401739865716</v>
      </c>
    </row>
    <row r="20" spans="1:10">
      <c r="A20" s="1">
        <v>19</v>
      </c>
      <c r="B20" s="1"/>
      <c r="C20" s="1" t="s">
        <v>9</v>
      </c>
      <c r="D20" s="1">
        <v>770</v>
      </c>
      <c r="E20" s="11">
        <f t="shared" si="6"/>
        <v>777.56390839679784</v>
      </c>
      <c r="F20" s="11">
        <f t="shared" si="7"/>
        <v>43.620058584531819</v>
      </c>
      <c r="G20" s="11">
        <f t="shared" si="4"/>
        <v>795.21302798932618</v>
      </c>
      <c r="H20" s="3">
        <f t="shared" si="2"/>
        <v>-25.213027989326179</v>
      </c>
      <c r="I20" s="3">
        <f t="shared" si="5"/>
        <v>635.69678039054531</v>
      </c>
      <c r="J20" s="3">
        <f t="shared" si="3"/>
        <v>3.2744192193930099</v>
      </c>
    </row>
    <row r="21" spans="1:10">
      <c r="A21" s="1">
        <v>20</v>
      </c>
      <c r="B21" s="1"/>
      <c r="C21" s="1" t="s">
        <v>10</v>
      </c>
      <c r="D21" s="1">
        <v>780</v>
      </c>
      <c r="E21" s="11">
        <f t="shared" si="6"/>
        <v>792.35519009439895</v>
      </c>
      <c r="F21" s="11">
        <f t="shared" si="7"/>
        <v>29.205670141066463</v>
      </c>
      <c r="G21" s="11">
        <f t="shared" si="4"/>
        <v>821.1839669813296</v>
      </c>
      <c r="H21" s="3">
        <f t="shared" si="2"/>
        <v>-41.183966981329604</v>
      </c>
      <c r="I21" s="3">
        <f t="shared" si="5"/>
        <v>1696.119136319247</v>
      </c>
      <c r="J21" s="3">
        <f t="shared" si="3"/>
        <v>5.2799957668371293</v>
      </c>
    </row>
    <row r="22" spans="1:10">
      <c r="A22" s="1">
        <v>21</v>
      </c>
      <c r="B22" s="1"/>
      <c r="C22" s="1" t="s">
        <v>11</v>
      </c>
      <c r="D22" s="1">
        <v>799</v>
      </c>
      <c r="E22" s="11">
        <f t="shared" si="6"/>
        <v>805.7682580706396</v>
      </c>
      <c r="F22" s="11">
        <f t="shared" si="7"/>
        <v>21.309369058653559</v>
      </c>
      <c r="G22" s="11">
        <f t="shared" si="4"/>
        <v>821.56086023546538</v>
      </c>
      <c r="H22" s="3">
        <f t="shared" si="2"/>
        <v>-22.560860235465384</v>
      </c>
      <c r="I22" s="3">
        <f t="shared" si="5"/>
        <v>508.99241456420316</v>
      </c>
      <c r="J22" s="3">
        <f t="shared" si="3"/>
        <v>2.8236370757778952</v>
      </c>
    </row>
    <row r="23" spans="1:10">
      <c r="A23" s="1">
        <v>22</v>
      </c>
      <c r="B23" s="1"/>
      <c r="C23" s="1" t="s">
        <v>12</v>
      </c>
      <c r="D23" s="1">
        <v>800</v>
      </c>
      <c r="E23" s="11">
        <f t="shared" si="6"/>
        <v>808.12328813878798</v>
      </c>
      <c r="F23" s="11">
        <f t="shared" si="7"/>
        <v>11.83219956340097</v>
      </c>
      <c r="G23" s="11">
        <f t="shared" si="4"/>
        <v>827.07762712929321</v>
      </c>
      <c r="H23" s="3">
        <f t="shared" si="2"/>
        <v>-27.077627129293205</v>
      </c>
      <c r="I23" s="3">
        <f t="shared" si="5"/>
        <v>733.19789095303543</v>
      </c>
      <c r="J23" s="3">
        <f t="shared" si="3"/>
        <v>3.3847033911616502</v>
      </c>
    </row>
    <row r="24" spans="1:10">
      <c r="A24" s="1">
        <v>23</v>
      </c>
      <c r="B24" s="1"/>
      <c r="C24" s="1" t="s">
        <v>13</v>
      </c>
      <c r="D24" s="1">
        <v>820</v>
      </c>
      <c r="E24" s="11">
        <f t="shared" si="6"/>
        <v>819.98664631065674</v>
      </c>
      <c r="F24" s="11">
        <f t="shared" si="7"/>
        <v>11.847778867634862</v>
      </c>
      <c r="G24" s="11">
        <f t="shared" si="4"/>
        <v>819.95548770218898</v>
      </c>
      <c r="H24" s="3">
        <f t="shared" si="2"/>
        <v>4.4512297811024837E-2</v>
      </c>
      <c r="I24" s="3">
        <f t="shared" si="5"/>
        <v>1.9813446564173665E-3</v>
      </c>
      <c r="J24" s="3">
        <f t="shared" si="3"/>
        <v>5.4283290013444922E-3</v>
      </c>
    </row>
    <row r="25" spans="1:10">
      <c r="A25" s="1">
        <v>24</v>
      </c>
      <c r="B25" s="1"/>
      <c r="C25" s="1" t="s">
        <v>14</v>
      </c>
      <c r="D25" s="1">
        <v>850</v>
      </c>
      <c r="E25" s="58">
        <f t="shared" si="6"/>
        <v>844.55032755348748</v>
      </c>
      <c r="F25" s="58">
        <f t="shared" si="7"/>
        <v>18.205730055232799</v>
      </c>
      <c r="G25" s="11">
        <f t="shared" si="4"/>
        <v>831.83442517829155</v>
      </c>
      <c r="H25" s="3">
        <f t="shared" si="2"/>
        <v>18.165574821708447</v>
      </c>
      <c r="I25" s="3">
        <f t="shared" si="5"/>
        <v>329.98810860308788</v>
      </c>
      <c r="J25" s="3">
        <f t="shared" si="3"/>
        <v>2.1371264496127584</v>
      </c>
    </row>
    <row r="26" spans="1:10">
      <c r="A26" s="1">
        <v>25</v>
      </c>
      <c r="B26" s="16">
        <v>2019</v>
      </c>
      <c r="C26" s="6" t="s">
        <v>15</v>
      </c>
      <c r="G26" s="41">
        <f>$E$25+$F$25*1</f>
        <v>862.75605760872031</v>
      </c>
    </row>
    <row r="27" spans="1:10">
      <c r="A27" s="1">
        <v>26</v>
      </c>
      <c r="B27" s="1"/>
      <c r="C27" s="8" t="s">
        <v>16</v>
      </c>
      <c r="G27" s="42">
        <f>$E$25+$F$25*2</f>
        <v>880.96178766395303</v>
      </c>
    </row>
    <row r="28" spans="1:10">
      <c r="A28" s="1">
        <v>27</v>
      </c>
      <c r="C28" s="1" t="s">
        <v>6</v>
      </c>
      <c r="G28" s="42">
        <f>$E$25+$F$25*3</f>
        <v>899.16751771918587</v>
      </c>
    </row>
    <row r="29" spans="1:10">
      <c r="A29" s="1">
        <v>28</v>
      </c>
      <c r="C29" s="1" t="s">
        <v>7</v>
      </c>
      <c r="G29" s="42">
        <f>$E$25+$F$25*4</f>
        <v>917.3732477744187</v>
      </c>
    </row>
    <row r="30" spans="1:10">
      <c r="A30" s="1">
        <v>29</v>
      </c>
      <c r="C30" s="1" t="s">
        <v>5</v>
      </c>
      <c r="G30" s="42">
        <f>$E$25+$F$25*5</f>
        <v>935.57897782965142</v>
      </c>
    </row>
    <row r="31" spans="1:10">
      <c r="A31" s="1">
        <v>30</v>
      </c>
      <c r="C31" s="1" t="s">
        <v>8</v>
      </c>
      <c r="G31" s="42">
        <f>$E$25+$F$25*6</f>
        <v>953.78470788488426</v>
      </c>
    </row>
  </sheetData>
  <autoFilter ref="B1:I25" xr:uid="{00000000-0009-0000-0000-000006000000}"/>
  <mergeCells count="20">
    <mergeCell ref="T1:W1"/>
    <mergeCell ref="L4:O4"/>
    <mergeCell ref="V4:Y4"/>
    <mergeCell ref="V5:W5"/>
    <mergeCell ref="L5:O5"/>
    <mergeCell ref="L9:O9"/>
    <mergeCell ref="L11:O11"/>
    <mergeCell ref="L12:O12"/>
    <mergeCell ref="L13:O13"/>
    <mergeCell ref="Q4:T4"/>
    <mergeCell ref="Q5:T5"/>
    <mergeCell ref="Q9:T9"/>
    <mergeCell ref="Q11:T11"/>
    <mergeCell ref="Q13:T13"/>
    <mergeCell ref="V10:W10"/>
    <mergeCell ref="V11:W11"/>
    <mergeCell ref="V13:W13"/>
    <mergeCell ref="V15:W15"/>
    <mergeCell ref="L15:O15"/>
    <mergeCell ref="Q15:T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3"/>
  <sheetViews>
    <sheetView zoomScale="150" zoomScaleNormal="150" workbookViewId="0">
      <pane ySplit="1" topLeftCell="A2" activePane="bottomLeft" state="frozen"/>
      <selection pane="bottomLeft" activeCell="D1" sqref="D1"/>
    </sheetView>
  </sheetViews>
  <sheetFormatPr defaultRowHeight="15"/>
  <cols>
    <col min="1" max="1" width="5.5703125" bestFit="1" customWidth="1"/>
    <col min="2" max="2" width="5.42578125" bestFit="1" customWidth="1"/>
    <col min="3" max="3" width="10.85546875" bestFit="1" customWidth="1"/>
    <col min="4" max="4" width="9.28515625" bestFit="1" customWidth="1"/>
    <col min="5" max="5" width="12.85546875" bestFit="1" customWidth="1"/>
    <col min="6" max="6" width="9.85546875" bestFit="1" customWidth="1"/>
    <col min="7" max="7" width="12.42578125" bestFit="1" customWidth="1"/>
    <col min="8" max="8" width="5.5703125" bestFit="1" customWidth="1"/>
    <col min="9" max="9" width="7.7109375" bestFit="1" customWidth="1"/>
    <col min="10" max="10" width="6.28515625" bestFit="1" customWidth="1"/>
  </cols>
  <sheetData>
    <row r="1" spans="1:20">
      <c r="A1" s="6" t="s">
        <v>22</v>
      </c>
      <c r="B1" s="6" t="s">
        <v>17</v>
      </c>
      <c r="C1" s="12" t="s">
        <v>4</v>
      </c>
      <c r="D1" s="6" t="s">
        <v>141</v>
      </c>
      <c r="E1" s="6" t="s">
        <v>116</v>
      </c>
      <c r="F1" s="6" t="s">
        <v>24</v>
      </c>
      <c r="G1" s="48" t="s">
        <v>112</v>
      </c>
      <c r="H1" s="6" t="s">
        <v>0</v>
      </c>
      <c r="I1" s="6" t="s">
        <v>1</v>
      </c>
      <c r="J1" s="6" t="s">
        <v>21</v>
      </c>
      <c r="L1" s="13" t="s">
        <v>2</v>
      </c>
      <c r="M1" s="13" t="s">
        <v>3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20">
      <c r="A2" s="1">
        <v>1</v>
      </c>
      <c r="B2" s="1">
        <v>2017</v>
      </c>
      <c r="C2" s="1" t="s">
        <v>15</v>
      </c>
      <c r="D2" s="1">
        <v>1027</v>
      </c>
      <c r="E2" s="16">
        <f>D2</f>
        <v>1027</v>
      </c>
      <c r="F2" s="16">
        <f>D3-D2</f>
        <v>20</v>
      </c>
      <c r="G2" s="53"/>
      <c r="H2" s="1"/>
      <c r="I2" s="1"/>
      <c r="J2" s="1"/>
      <c r="L2" s="14">
        <v>0.85</v>
      </c>
      <c r="M2" s="14">
        <v>0.5</v>
      </c>
      <c r="O2" s="14">
        <f>SUM(I3:I37)</f>
        <v>15375.959964584648</v>
      </c>
      <c r="P2" s="14">
        <f>AVERAGE(I3:I37)</f>
        <v>439.31314184527565</v>
      </c>
      <c r="Q2" s="15">
        <f>SQRT(P2)</f>
        <v>20.959798230070721</v>
      </c>
      <c r="R2" s="14">
        <f>AVERAGE(J4:J37)</f>
        <v>2.2314159925226633</v>
      </c>
    </row>
    <row r="3" spans="1:20">
      <c r="A3" s="1">
        <v>2</v>
      </c>
      <c r="B3" s="1"/>
      <c r="C3" s="1" t="s">
        <v>16</v>
      </c>
      <c r="D3" s="1">
        <v>1047</v>
      </c>
      <c r="E3" s="11">
        <f t="shared" ref="E3:E13" si="0">$L$2*D3+(1-$L$2)*(E2+F2)</f>
        <v>1047</v>
      </c>
      <c r="F3" s="11">
        <f t="shared" ref="F3:F13" si="1">$M$2*(E3-E2)+(1-$M$2)*(F2)</f>
        <v>20</v>
      </c>
      <c r="G3" s="11">
        <f>E2+F2</f>
        <v>1047</v>
      </c>
      <c r="H3" s="11">
        <f t="shared" ref="H3:H37" si="2">(D3-G3)</f>
        <v>0</v>
      </c>
      <c r="I3" s="11">
        <f>H3*H3</f>
        <v>0</v>
      </c>
      <c r="J3" s="11">
        <f t="shared" ref="J3:J37" si="3">ABS((D3-G3)/(D3))*100</f>
        <v>0</v>
      </c>
      <c r="L3" s="99" t="s">
        <v>23</v>
      </c>
      <c r="M3" s="99"/>
      <c r="N3" s="99"/>
      <c r="O3" s="99"/>
      <c r="P3" s="99"/>
      <c r="Q3" s="99"/>
      <c r="R3" s="99"/>
    </row>
    <row r="4" spans="1:20" ht="15.75" thickBot="1">
      <c r="A4" s="1">
        <v>3</v>
      </c>
      <c r="B4" s="1"/>
      <c r="C4" s="1" t="s">
        <v>6</v>
      </c>
      <c r="D4" s="1">
        <v>1049</v>
      </c>
      <c r="E4" s="11">
        <f t="shared" si="0"/>
        <v>1051.7</v>
      </c>
      <c r="F4" s="11">
        <f t="shared" si="1"/>
        <v>12.350000000000023</v>
      </c>
      <c r="G4" s="11">
        <f>E3+F3</f>
        <v>1067</v>
      </c>
      <c r="H4" s="11">
        <f t="shared" si="2"/>
        <v>-18</v>
      </c>
      <c r="I4" s="11">
        <f t="shared" ref="I4:I37" si="4">H4*H4</f>
        <v>324</v>
      </c>
      <c r="J4" s="11">
        <f t="shared" si="3"/>
        <v>1.7159199237368923</v>
      </c>
    </row>
    <row r="5" spans="1:20" ht="15.75" thickBot="1">
      <c r="A5" s="1">
        <v>4</v>
      </c>
      <c r="B5" s="1"/>
      <c r="C5" s="1" t="s">
        <v>7</v>
      </c>
      <c r="D5" s="1">
        <v>1018</v>
      </c>
      <c r="E5" s="11">
        <f t="shared" si="0"/>
        <v>1024.9075</v>
      </c>
      <c r="F5" s="11">
        <f t="shared" si="1"/>
        <v>-7.2212499999999977</v>
      </c>
      <c r="G5" s="11">
        <f t="shared" ref="G5:G37" si="5">E4+F4</f>
        <v>1064.0500000000002</v>
      </c>
      <c r="H5" s="11">
        <f t="shared" si="2"/>
        <v>-46.050000000000182</v>
      </c>
      <c r="I5" s="11">
        <f t="shared" si="4"/>
        <v>2120.6025000000168</v>
      </c>
      <c r="J5" s="11">
        <f t="shared" si="3"/>
        <v>4.5235756385068946</v>
      </c>
      <c r="L5" s="90" t="s">
        <v>100</v>
      </c>
      <c r="M5" s="91"/>
      <c r="N5" s="91"/>
      <c r="O5" s="92"/>
      <c r="Q5" s="90" t="s">
        <v>24</v>
      </c>
      <c r="R5" s="91"/>
      <c r="S5" s="91"/>
      <c r="T5" s="92"/>
    </row>
    <row r="6" spans="1:20">
      <c r="A6" s="1">
        <v>5</v>
      </c>
      <c r="B6" s="1"/>
      <c r="C6" s="1" t="s">
        <v>5</v>
      </c>
      <c r="D6" s="1">
        <v>1021</v>
      </c>
      <c r="E6" s="11">
        <f t="shared" si="0"/>
        <v>1020.5029375</v>
      </c>
      <c r="F6" s="11">
        <f t="shared" si="1"/>
        <v>-5.8129062499999975</v>
      </c>
      <c r="G6" s="11">
        <f t="shared" si="5"/>
        <v>1017.68625</v>
      </c>
      <c r="H6" s="11">
        <f t="shared" si="2"/>
        <v>3.3137500000000273</v>
      </c>
      <c r="I6" s="11">
        <f t="shared" si="4"/>
        <v>10.98093906250018</v>
      </c>
      <c r="J6" s="11">
        <f t="shared" si="3"/>
        <v>0.32455925563173627</v>
      </c>
      <c r="L6" s="93" t="s">
        <v>117</v>
      </c>
      <c r="M6" s="93"/>
      <c r="N6" s="93"/>
      <c r="O6" s="93"/>
      <c r="Q6" s="93" t="s">
        <v>102</v>
      </c>
      <c r="R6" s="93"/>
      <c r="S6" s="93"/>
      <c r="T6" s="93"/>
    </row>
    <row r="7" spans="1:20">
      <c r="A7" s="1">
        <v>6</v>
      </c>
      <c r="B7" s="1"/>
      <c r="C7" s="1" t="s">
        <v>8</v>
      </c>
      <c r="D7" s="1">
        <v>1012</v>
      </c>
      <c r="E7" s="11">
        <f t="shared" si="0"/>
        <v>1012.4035046875</v>
      </c>
      <c r="F7" s="11">
        <f t="shared" si="1"/>
        <v>-6.956169531250012</v>
      </c>
      <c r="G7" s="11">
        <f t="shared" si="5"/>
        <v>1014.6900312500001</v>
      </c>
      <c r="H7" s="11">
        <f t="shared" si="2"/>
        <v>-2.6900312500000609</v>
      </c>
      <c r="I7" s="11">
        <f t="shared" si="4"/>
        <v>7.2362681259768902</v>
      </c>
      <c r="J7" s="11">
        <f t="shared" si="3"/>
        <v>0.26581336462451194</v>
      </c>
    </row>
    <row r="8" spans="1:20">
      <c r="A8" s="1">
        <v>7</v>
      </c>
      <c r="B8" s="1"/>
      <c r="C8" s="1" t="s">
        <v>9</v>
      </c>
      <c r="D8" s="1">
        <v>1018</v>
      </c>
      <c r="E8" s="11">
        <f t="shared" si="0"/>
        <v>1016.1171002734375</v>
      </c>
      <c r="F8" s="11">
        <f t="shared" si="1"/>
        <v>-1.6212869726562715</v>
      </c>
      <c r="G8" s="11">
        <f t="shared" si="5"/>
        <v>1005.44733515625</v>
      </c>
      <c r="H8" s="11">
        <f t="shared" si="2"/>
        <v>12.552664843749994</v>
      </c>
      <c r="I8" s="11">
        <f t="shared" si="4"/>
        <v>157.56939467951707</v>
      </c>
      <c r="J8" s="11">
        <f t="shared" si="3"/>
        <v>1.2330712027259325</v>
      </c>
      <c r="L8" s="1" t="s">
        <v>96</v>
      </c>
      <c r="Q8" s="1" t="s">
        <v>96</v>
      </c>
    </row>
    <row r="9" spans="1:20">
      <c r="A9" s="1">
        <v>8</v>
      </c>
      <c r="B9" s="1"/>
      <c r="C9" s="1" t="s">
        <v>10</v>
      </c>
      <c r="D9" s="1">
        <v>991</v>
      </c>
      <c r="E9" s="11">
        <f t="shared" si="0"/>
        <v>994.52437199511724</v>
      </c>
      <c r="F9" s="11">
        <f t="shared" si="1"/>
        <v>-11.607007625488254</v>
      </c>
      <c r="G9" s="11">
        <f t="shared" si="5"/>
        <v>1014.4958133007812</v>
      </c>
      <c r="H9" s="11">
        <f t="shared" si="2"/>
        <v>-23.495813300781151</v>
      </c>
      <c r="I9" s="11">
        <f t="shared" si="4"/>
        <v>552.05324266516448</v>
      </c>
      <c r="J9" s="11">
        <f t="shared" si="3"/>
        <v>2.3709196065369476</v>
      </c>
    </row>
    <row r="10" spans="1:20">
      <c r="A10" s="1">
        <v>9</v>
      </c>
      <c r="B10" s="1"/>
      <c r="C10" s="1" t="s">
        <v>11</v>
      </c>
      <c r="D10" s="1">
        <v>962</v>
      </c>
      <c r="E10" s="11">
        <f t="shared" si="0"/>
        <v>965.13760465544431</v>
      </c>
      <c r="F10" s="11">
        <f t="shared" si="1"/>
        <v>-20.49688748258059</v>
      </c>
      <c r="G10" s="11">
        <f t="shared" si="5"/>
        <v>982.91736436962901</v>
      </c>
      <c r="H10" s="11">
        <f t="shared" si="2"/>
        <v>-20.917364369629013</v>
      </c>
      <c r="I10" s="11">
        <f t="shared" si="4"/>
        <v>437.53613217182533</v>
      </c>
      <c r="J10" s="11">
        <f t="shared" si="3"/>
        <v>2.1743622005851364</v>
      </c>
      <c r="L10" s="89" t="s">
        <v>97</v>
      </c>
      <c r="M10" s="89"/>
      <c r="N10" s="89"/>
      <c r="O10" s="89"/>
      <c r="Q10" s="89" t="s">
        <v>103</v>
      </c>
      <c r="R10" s="89"/>
      <c r="S10" s="89"/>
      <c r="T10" s="89"/>
    </row>
    <row r="11" spans="1:20">
      <c r="A11" s="1">
        <v>10</v>
      </c>
      <c r="B11" s="1"/>
      <c r="C11" s="1" t="s">
        <v>12</v>
      </c>
      <c r="D11" s="1">
        <v>921</v>
      </c>
      <c r="E11" s="11">
        <f t="shared" si="0"/>
        <v>924.54610757592957</v>
      </c>
      <c r="F11" s="11">
        <f t="shared" si="1"/>
        <v>-30.544192281047664</v>
      </c>
      <c r="G11" s="11">
        <f t="shared" si="5"/>
        <v>944.64071717286367</v>
      </c>
      <c r="H11" s="11">
        <f t="shared" si="2"/>
        <v>-23.640717172863674</v>
      </c>
      <c r="I11" s="11">
        <f t="shared" si="4"/>
        <v>558.88350844733145</v>
      </c>
      <c r="J11" s="11">
        <f t="shared" si="3"/>
        <v>2.5668531132316694</v>
      </c>
    </row>
    <row r="12" spans="1:20">
      <c r="A12" s="1">
        <v>11</v>
      </c>
      <c r="B12" s="1"/>
      <c r="C12" s="1" t="s">
        <v>13</v>
      </c>
      <c r="D12" s="1">
        <v>871</v>
      </c>
      <c r="E12" s="11">
        <f t="shared" si="0"/>
        <v>874.45028729423234</v>
      </c>
      <c r="F12" s="11">
        <f t="shared" si="1"/>
        <v>-40.320006281372443</v>
      </c>
      <c r="G12" s="11">
        <f t="shared" si="5"/>
        <v>894.00191529488188</v>
      </c>
      <c r="H12" s="11">
        <f t="shared" si="2"/>
        <v>-23.001915294881883</v>
      </c>
      <c r="I12" s="11">
        <f t="shared" si="4"/>
        <v>529.08810723292106</v>
      </c>
      <c r="J12" s="11">
        <f t="shared" si="3"/>
        <v>2.6408628352332815</v>
      </c>
      <c r="L12" s="89" t="s">
        <v>98</v>
      </c>
      <c r="M12" s="89"/>
      <c r="N12" s="89"/>
      <c r="O12" s="89"/>
      <c r="Q12" s="89" t="s">
        <v>104</v>
      </c>
      <c r="R12" s="89"/>
      <c r="S12" s="89"/>
      <c r="T12" s="89"/>
    </row>
    <row r="13" spans="1:20">
      <c r="A13" s="1">
        <v>12</v>
      </c>
      <c r="B13" s="1"/>
      <c r="C13" s="1" t="s">
        <v>14</v>
      </c>
      <c r="D13" s="1">
        <v>829</v>
      </c>
      <c r="E13" s="11">
        <f t="shared" si="0"/>
        <v>829.76954215192893</v>
      </c>
      <c r="F13" s="11">
        <f t="shared" si="1"/>
        <v>-42.500375711837926</v>
      </c>
      <c r="G13" s="11">
        <f t="shared" si="5"/>
        <v>834.13028101285988</v>
      </c>
      <c r="H13" s="11">
        <f t="shared" si="2"/>
        <v>-5.1302810128598821</v>
      </c>
      <c r="I13" s="11">
        <f t="shared" si="4"/>
        <v>26.319783270910619</v>
      </c>
      <c r="J13" s="11">
        <f t="shared" si="3"/>
        <v>0.61885175064654796</v>
      </c>
      <c r="L13" s="89"/>
      <c r="M13" s="89"/>
      <c r="N13" s="89"/>
      <c r="O13" s="89"/>
    </row>
    <row r="14" spans="1:20">
      <c r="A14" s="1">
        <v>13</v>
      </c>
      <c r="B14" s="1">
        <v>2018</v>
      </c>
      <c r="C14" s="1" t="s">
        <v>15</v>
      </c>
      <c r="D14" s="1">
        <v>822</v>
      </c>
      <c r="E14" s="11">
        <f t="shared" ref="E14:E37" si="6">$L$2*D14+(1-$L$2)*(E13+F13)</f>
        <v>816.79037496601359</v>
      </c>
      <c r="F14" s="11">
        <f t="shared" ref="F14:F37" si="7">$M$2*(E14-E13)+(1-$M$2)*(F13)</f>
        <v>-27.739771448876635</v>
      </c>
      <c r="G14" s="11">
        <f>E13+F13</f>
        <v>787.269166440091</v>
      </c>
      <c r="H14" s="11">
        <f t="shared" si="2"/>
        <v>34.730833559909001</v>
      </c>
      <c r="I14" s="11">
        <f t="shared" si="4"/>
        <v>1206.2307997661014</v>
      </c>
      <c r="J14" s="11">
        <f t="shared" si="3"/>
        <v>4.2251622335655723</v>
      </c>
      <c r="L14" s="89" t="s">
        <v>118</v>
      </c>
      <c r="M14" s="89"/>
      <c r="N14" s="89"/>
      <c r="O14" s="89"/>
      <c r="Q14" s="89" t="s">
        <v>120</v>
      </c>
      <c r="R14" s="89"/>
      <c r="S14" s="89"/>
      <c r="T14" s="89"/>
    </row>
    <row r="15" spans="1:20">
      <c r="A15" s="1">
        <v>14</v>
      </c>
      <c r="B15" s="1"/>
      <c r="C15" s="1" t="s">
        <v>16</v>
      </c>
      <c r="D15" s="1">
        <v>820</v>
      </c>
      <c r="E15" s="11">
        <f t="shared" si="6"/>
        <v>815.35759052757055</v>
      </c>
      <c r="F15" s="11">
        <f t="shared" si="7"/>
        <v>-14.586277943659836</v>
      </c>
      <c r="G15" s="11">
        <f t="shared" si="5"/>
        <v>789.05060351713701</v>
      </c>
      <c r="H15" s="11">
        <f t="shared" si="2"/>
        <v>30.949396482862994</v>
      </c>
      <c r="I15" s="11">
        <f t="shared" si="4"/>
        <v>957.86514265345227</v>
      </c>
      <c r="J15" s="11">
        <f t="shared" si="3"/>
        <v>3.7743166442515843</v>
      </c>
    </row>
    <row r="16" spans="1:20">
      <c r="A16" s="1">
        <v>15</v>
      </c>
      <c r="B16" s="1"/>
      <c r="C16" s="1" t="s">
        <v>6</v>
      </c>
      <c r="D16" s="1">
        <v>802</v>
      </c>
      <c r="E16" s="11">
        <f t="shared" si="6"/>
        <v>801.81569688758657</v>
      </c>
      <c r="F16" s="11">
        <f t="shared" si="7"/>
        <v>-14.06408579182191</v>
      </c>
      <c r="G16" s="11">
        <f t="shared" si="5"/>
        <v>800.77131258391069</v>
      </c>
      <c r="H16" s="11">
        <f t="shared" si="2"/>
        <v>1.2286874160893149</v>
      </c>
      <c r="I16" s="11">
        <f t="shared" si="4"/>
        <v>1.5096727664562373</v>
      </c>
      <c r="J16" s="11">
        <f t="shared" si="3"/>
        <v>0.15320291971188466</v>
      </c>
      <c r="L16" s="89" t="s">
        <v>119</v>
      </c>
      <c r="M16" s="89"/>
      <c r="N16" s="89"/>
      <c r="O16" s="89"/>
      <c r="Q16" s="89" t="s">
        <v>121</v>
      </c>
      <c r="R16" s="89"/>
      <c r="S16" s="89"/>
      <c r="T16" s="89"/>
    </row>
    <row r="17" spans="1:23" ht="15.75" thickBot="1">
      <c r="A17" s="1">
        <v>16</v>
      </c>
      <c r="B17" s="1"/>
      <c r="C17" s="1" t="s">
        <v>7</v>
      </c>
      <c r="D17" s="1">
        <v>821</v>
      </c>
      <c r="E17" s="11">
        <f t="shared" si="6"/>
        <v>816.01274166436474</v>
      </c>
      <c r="F17" s="11">
        <f t="shared" si="7"/>
        <v>6.6479492478130453E-2</v>
      </c>
      <c r="G17" s="11">
        <f t="shared" si="5"/>
        <v>787.7516110957647</v>
      </c>
      <c r="H17" s="11">
        <f t="shared" si="2"/>
        <v>33.248388904235298</v>
      </c>
      <c r="I17" s="11">
        <f t="shared" si="4"/>
        <v>1105.4553647272769</v>
      </c>
      <c r="J17" s="11">
        <f t="shared" si="3"/>
        <v>4.0497428628788423</v>
      </c>
    </row>
    <row r="18" spans="1:23" ht="15.75" thickBot="1">
      <c r="A18" s="1">
        <v>17</v>
      </c>
      <c r="B18" s="1"/>
      <c r="C18" s="1" t="s">
        <v>5</v>
      </c>
      <c r="D18" s="1">
        <v>819</v>
      </c>
      <c r="E18" s="11">
        <f t="shared" si="6"/>
        <v>818.56188317352644</v>
      </c>
      <c r="F18" s="11">
        <f t="shared" si="7"/>
        <v>1.3078105008199152</v>
      </c>
      <c r="G18" s="11">
        <f t="shared" si="5"/>
        <v>816.07922115684289</v>
      </c>
      <c r="H18" s="11">
        <f t="shared" si="2"/>
        <v>2.9207788431571089</v>
      </c>
      <c r="I18" s="11">
        <f t="shared" si="4"/>
        <v>8.5309490506341792</v>
      </c>
      <c r="J18" s="11">
        <f t="shared" si="3"/>
        <v>0.35662745337693635</v>
      </c>
      <c r="L18" s="90" t="s">
        <v>105</v>
      </c>
      <c r="M18" s="91"/>
      <c r="N18" s="91"/>
      <c r="O18" s="92"/>
      <c r="R18" t="s">
        <v>113</v>
      </c>
      <c r="S18" t="s">
        <v>122</v>
      </c>
      <c r="V18" t="s">
        <v>114</v>
      </c>
      <c r="W18" t="s">
        <v>115</v>
      </c>
    </row>
    <row r="19" spans="1:23">
      <c r="A19" s="1">
        <v>18</v>
      </c>
      <c r="B19" s="1"/>
      <c r="C19" s="1" t="s">
        <v>8</v>
      </c>
      <c r="D19" s="1">
        <v>791</v>
      </c>
      <c r="E19" s="11">
        <f t="shared" si="6"/>
        <v>795.33045405115195</v>
      </c>
      <c r="F19" s="11">
        <f t="shared" si="7"/>
        <v>-10.961809310777289</v>
      </c>
      <c r="G19" s="11">
        <f t="shared" si="5"/>
        <v>819.86969367434631</v>
      </c>
      <c r="H19" s="11">
        <f t="shared" si="2"/>
        <v>-28.869693674346308</v>
      </c>
      <c r="I19" s="11">
        <f t="shared" si="4"/>
        <v>833.45921285059126</v>
      </c>
      <c r="J19" s="11">
        <f t="shared" si="3"/>
        <v>3.6497716402460565</v>
      </c>
      <c r="P19" s="47" t="s">
        <v>107</v>
      </c>
    </row>
    <row r="20" spans="1:23">
      <c r="A20" s="1">
        <v>19</v>
      </c>
      <c r="B20" s="1"/>
      <c r="C20" s="1" t="s">
        <v>9</v>
      </c>
      <c r="D20" s="1">
        <v>746</v>
      </c>
      <c r="E20" s="11">
        <f t="shared" si="6"/>
        <v>751.75529671105619</v>
      </c>
      <c r="F20" s="11">
        <f t="shared" si="7"/>
        <v>-27.268483325436524</v>
      </c>
      <c r="G20" s="11">
        <f t="shared" si="5"/>
        <v>784.36864474037463</v>
      </c>
      <c r="H20" s="11">
        <f t="shared" si="2"/>
        <v>-38.368644740374634</v>
      </c>
      <c r="I20" s="11">
        <f t="shared" si="4"/>
        <v>1472.1528992130782</v>
      </c>
      <c r="J20" s="11">
        <f t="shared" si="3"/>
        <v>5.143249965197672</v>
      </c>
      <c r="M20" s="87" t="s">
        <v>106</v>
      </c>
      <c r="N20" s="88"/>
      <c r="P20" s="87" t="s">
        <v>108</v>
      </c>
      <c r="Q20" s="88"/>
      <c r="S20" s="87" t="s">
        <v>111</v>
      </c>
      <c r="T20" s="88"/>
      <c r="V20" s="87" t="s">
        <v>123</v>
      </c>
      <c r="W20" s="88"/>
    </row>
    <row r="21" spans="1:23">
      <c r="A21" s="1">
        <v>20</v>
      </c>
      <c r="B21" s="1"/>
      <c r="C21" s="1" t="s">
        <v>10</v>
      </c>
      <c r="D21" s="1">
        <v>726</v>
      </c>
      <c r="E21" s="11">
        <f t="shared" si="6"/>
        <v>725.773022007843</v>
      </c>
      <c r="F21" s="11">
        <f t="shared" si="7"/>
        <v>-26.625379014324857</v>
      </c>
      <c r="G21" s="11">
        <f t="shared" si="5"/>
        <v>724.48681338561971</v>
      </c>
      <c r="H21" s="11">
        <f t="shared" si="2"/>
        <v>1.5131866143802881</v>
      </c>
      <c r="I21" s="11">
        <f t="shared" si="4"/>
        <v>2.2897337299396789</v>
      </c>
      <c r="J21" s="11">
        <f t="shared" si="3"/>
        <v>0.2084279083168441</v>
      </c>
      <c r="V21" s="87" t="s">
        <v>124</v>
      </c>
      <c r="W21" s="88"/>
    </row>
    <row r="22" spans="1:23">
      <c r="A22" s="1">
        <v>21</v>
      </c>
      <c r="B22" s="1"/>
      <c r="C22" s="1" t="s">
        <v>11</v>
      </c>
      <c r="D22" s="1">
        <v>661</v>
      </c>
      <c r="E22" s="11">
        <f t="shared" si="6"/>
        <v>666.72214644902772</v>
      </c>
      <c r="F22" s="11">
        <f t="shared" si="7"/>
        <v>-42.838127286570071</v>
      </c>
      <c r="G22" s="11">
        <f t="shared" si="5"/>
        <v>699.14764299351816</v>
      </c>
      <c r="H22" s="11">
        <f t="shared" si="2"/>
        <v>-38.147642993518161</v>
      </c>
      <c r="I22" s="11">
        <f t="shared" si="4"/>
        <v>1455.2426659609152</v>
      </c>
      <c r="J22" s="11">
        <f t="shared" si="3"/>
        <v>5.7712016631646232</v>
      </c>
    </row>
    <row r="23" spans="1:23">
      <c r="A23" s="1">
        <v>22</v>
      </c>
      <c r="B23" s="1"/>
      <c r="C23" s="1" t="s">
        <v>12</v>
      </c>
      <c r="D23" s="1">
        <v>620</v>
      </c>
      <c r="E23" s="11">
        <f t="shared" si="6"/>
        <v>620.5826028743686</v>
      </c>
      <c r="F23" s="11">
        <f t="shared" si="7"/>
        <v>-44.488835430614593</v>
      </c>
      <c r="G23" s="11">
        <f t="shared" si="5"/>
        <v>623.88401916245766</v>
      </c>
      <c r="H23" s="11">
        <f t="shared" si="2"/>
        <v>-3.8840191624576619</v>
      </c>
      <c r="I23" s="11">
        <f t="shared" si="4"/>
        <v>15.085604854338317</v>
      </c>
      <c r="J23" s="11">
        <f t="shared" si="3"/>
        <v>0.62645470362220357</v>
      </c>
    </row>
    <row r="24" spans="1:23">
      <c r="A24" s="1">
        <v>23</v>
      </c>
      <c r="B24" s="1"/>
      <c r="C24" s="1" t="s">
        <v>13</v>
      </c>
      <c r="D24" s="1">
        <v>588</v>
      </c>
      <c r="E24" s="11">
        <f t="shared" si="6"/>
        <v>586.21406511656312</v>
      </c>
      <c r="F24" s="11">
        <f t="shared" si="7"/>
        <v>-39.428686594210035</v>
      </c>
      <c r="G24" s="11">
        <f t="shared" si="5"/>
        <v>576.09376744375402</v>
      </c>
      <c r="H24" s="11">
        <f t="shared" si="2"/>
        <v>11.906232556245982</v>
      </c>
      <c r="I24" s="11">
        <f t="shared" si="4"/>
        <v>141.75837368341172</v>
      </c>
      <c r="J24" s="11">
        <f t="shared" si="3"/>
        <v>2.0248694823547591</v>
      </c>
    </row>
    <row r="25" spans="1:23">
      <c r="A25" s="1">
        <v>24</v>
      </c>
      <c r="B25" s="1"/>
      <c r="C25" s="1" t="s">
        <v>14</v>
      </c>
      <c r="D25" s="1">
        <v>568</v>
      </c>
      <c r="E25" s="11">
        <f t="shared" si="6"/>
        <v>564.81780677835297</v>
      </c>
      <c r="F25" s="11">
        <f t="shared" si="7"/>
        <v>-30.41247246621009</v>
      </c>
      <c r="G25" s="11">
        <f t="shared" si="5"/>
        <v>546.78537852235308</v>
      </c>
      <c r="H25" s="11">
        <f t="shared" si="2"/>
        <v>21.214621477646915</v>
      </c>
      <c r="I25" s="11">
        <f t="shared" si="4"/>
        <v>450.06016443983776</v>
      </c>
      <c r="J25" s="11">
        <f t="shared" si="3"/>
        <v>3.7349685700082595</v>
      </c>
    </row>
    <row r="26" spans="1:23">
      <c r="A26" s="1">
        <v>25</v>
      </c>
      <c r="B26" s="1">
        <v>2019</v>
      </c>
      <c r="C26" s="1" t="s">
        <v>15</v>
      </c>
      <c r="D26" s="1">
        <v>542</v>
      </c>
      <c r="E26" s="11">
        <f t="shared" si="6"/>
        <v>540.86080014682148</v>
      </c>
      <c r="F26" s="11">
        <f t="shared" si="7"/>
        <v>-27.184739548870795</v>
      </c>
      <c r="G26" s="11">
        <f t="shared" si="5"/>
        <v>534.40533431214294</v>
      </c>
      <c r="H26" s="11">
        <f t="shared" si="2"/>
        <v>7.5946656878570593</v>
      </c>
      <c r="I26" s="11">
        <f t="shared" si="4"/>
        <v>57.678946910313343</v>
      </c>
      <c r="J26" s="11">
        <f t="shared" si="3"/>
        <v>1.4012298317079446</v>
      </c>
    </row>
    <row r="27" spans="1:23">
      <c r="A27" s="1">
        <v>26</v>
      </c>
      <c r="B27" s="1"/>
      <c r="C27" s="1" t="s">
        <v>16</v>
      </c>
      <c r="D27" s="1">
        <v>551</v>
      </c>
      <c r="E27" s="11">
        <f t="shared" si="6"/>
        <v>545.40140908969261</v>
      </c>
      <c r="F27" s="11">
        <f t="shared" si="7"/>
        <v>-11.322065302999832</v>
      </c>
      <c r="G27" s="11">
        <f t="shared" si="5"/>
        <v>513.67606059795071</v>
      </c>
      <c r="H27" s="11">
        <f t="shared" si="2"/>
        <v>37.323939402049291</v>
      </c>
      <c r="I27" s="11">
        <f t="shared" si="4"/>
        <v>1393.0764524878475</v>
      </c>
      <c r="J27" s="11">
        <f t="shared" si="3"/>
        <v>6.7738547009163872</v>
      </c>
    </row>
    <row r="28" spans="1:23">
      <c r="A28" s="1">
        <v>27</v>
      </c>
      <c r="B28" s="1"/>
      <c r="C28" s="1" t="s">
        <v>6</v>
      </c>
      <c r="D28" s="1">
        <v>541</v>
      </c>
      <c r="E28" s="11">
        <f t="shared" si="6"/>
        <v>539.9619015680039</v>
      </c>
      <c r="F28" s="11">
        <f t="shared" si="7"/>
        <v>-8.3807864123442712</v>
      </c>
      <c r="G28" s="11">
        <f t="shared" si="5"/>
        <v>534.07934378669279</v>
      </c>
      <c r="H28" s="11">
        <f t="shared" si="2"/>
        <v>6.9206562133072111</v>
      </c>
      <c r="I28" s="11">
        <f t="shared" si="4"/>
        <v>47.895482422787708</v>
      </c>
      <c r="J28" s="11">
        <f t="shared" si="3"/>
        <v>1.2792340505188931</v>
      </c>
    </row>
    <row r="29" spans="1:23">
      <c r="A29" s="1">
        <v>28</v>
      </c>
      <c r="B29" s="1"/>
      <c r="C29" s="1" t="s">
        <v>7</v>
      </c>
      <c r="D29" s="1">
        <v>557</v>
      </c>
      <c r="E29" s="11">
        <f t="shared" si="6"/>
        <v>553.1871672733489</v>
      </c>
      <c r="F29" s="11">
        <f t="shared" si="7"/>
        <v>2.422239646500369</v>
      </c>
      <c r="G29" s="11">
        <f t="shared" si="5"/>
        <v>531.58111515565963</v>
      </c>
      <c r="H29" s="11">
        <f t="shared" si="2"/>
        <v>25.418884844340369</v>
      </c>
      <c r="I29" s="11">
        <f t="shared" si="4"/>
        <v>646.11970672983648</v>
      </c>
      <c r="J29" s="11">
        <f t="shared" si="3"/>
        <v>4.5635340833645186</v>
      </c>
    </row>
    <row r="30" spans="1:23">
      <c r="A30" s="1">
        <v>29</v>
      </c>
      <c r="B30" s="1"/>
      <c r="C30" s="1" t="s">
        <v>5</v>
      </c>
      <c r="D30" s="1">
        <v>556</v>
      </c>
      <c r="E30" s="11">
        <f t="shared" si="6"/>
        <v>555.94141103797733</v>
      </c>
      <c r="F30" s="11">
        <f t="shared" si="7"/>
        <v>2.588241705564398</v>
      </c>
      <c r="G30" s="11">
        <f t="shared" si="5"/>
        <v>555.60940691984922</v>
      </c>
      <c r="H30" s="11">
        <f t="shared" si="2"/>
        <v>0.39059308015077931</v>
      </c>
      <c r="I30" s="11">
        <f t="shared" si="4"/>
        <v>0.1525629542616731</v>
      </c>
      <c r="J30" s="11">
        <f t="shared" si="3"/>
        <v>7.0250553983953107E-2</v>
      </c>
    </row>
    <row r="31" spans="1:23">
      <c r="A31" s="1">
        <v>30</v>
      </c>
      <c r="B31" s="1"/>
      <c r="C31" s="1" t="s">
        <v>8</v>
      </c>
      <c r="D31" s="1">
        <v>534</v>
      </c>
      <c r="E31" s="11">
        <f t="shared" si="6"/>
        <v>537.67944791153127</v>
      </c>
      <c r="F31" s="11">
        <f t="shared" si="7"/>
        <v>-7.8368607104408321</v>
      </c>
      <c r="G31" s="11">
        <f t="shared" si="5"/>
        <v>558.52965274354176</v>
      </c>
      <c r="H31" s="11">
        <f t="shared" si="2"/>
        <v>-24.52965274354176</v>
      </c>
      <c r="I31" s="11">
        <f t="shared" si="4"/>
        <v>601.70386371874577</v>
      </c>
      <c r="J31" s="11">
        <f t="shared" si="3"/>
        <v>4.5935679295022025</v>
      </c>
    </row>
    <row r="32" spans="1:23">
      <c r="A32" s="1">
        <v>31</v>
      </c>
      <c r="B32" s="1"/>
      <c r="C32" s="1" t="s">
        <v>9</v>
      </c>
      <c r="D32" s="1">
        <v>528</v>
      </c>
      <c r="E32" s="11">
        <f t="shared" si="6"/>
        <v>528.27638808016354</v>
      </c>
      <c r="F32" s="11">
        <f t="shared" si="7"/>
        <v>-8.6199602709042793</v>
      </c>
      <c r="G32" s="11">
        <f t="shared" si="5"/>
        <v>529.8425872010904</v>
      </c>
      <c r="H32" s="11">
        <f t="shared" si="2"/>
        <v>-1.8425872010903959</v>
      </c>
      <c r="I32" s="11">
        <f t="shared" si="4"/>
        <v>3.395127593622139</v>
      </c>
      <c r="J32" s="11">
        <f t="shared" si="3"/>
        <v>0.34897484869136286</v>
      </c>
    </row>
    <row r="33" spans="1:10">
      <c r="A33" s="1">
        <v>32</v>
      </c>
      <c r="B33" s="1"/>
      <c r="C33" s="1" t="s">
        <v>10</v>
      </c>
      <c r="D33" s="1">
        <v>529</v>
      </c>
      <c r="E33" s="11">
        <f t="shared" si="6"/>
        <v>527.59846417138885</v>
      </c>
      <c r="F33" s="11">
        <f t="shared" si="7"/>
        <v>-4.6489420898394833</v>
      </c>
      <c r="G33" s="11">
        <f t="shared" si="5"/>
        <v>519.6564278092593</v>
      </c>
      <c r="H33" s="11">
        <f t="shared" si="2"/>
        <v>9.3435721907407014</v>
      </c>
      <c r="I33" s="11">
        <f t="shared" si="4"/>
        <v>87.30234128358299</v>
      </c>
      <c r="J33" s="11">
        <f t="shared" si="3"/>
        <v>1.7662707354897358</v>
      </c>
    </row>
    <row r="34" spans="1:10">
      <c r="A34" s="1">
        <v>33</v>
      </c>
      <c r="B34" s="1"/>
      <c r="C34" s="1" t="s">
        <v>11</v>
      </c>
      <c r="D34" s="1">
        <v>523</v>
      </c>
      <c r="E34" s="11">
        <f t="shared" si="6"/>
        <v>522.99242831223239</v>
      </c>
      <c r="F34" s="11">
        <f t="shared" si="7"/>
        <v>-4.6274889744979735</v>
      </c>
      <c r="G34" s="11">
        <f t="shared" si="5"/>
        <v>522.94952208154939</v>
      </c>
      <c r="H34" s="11">
        <f t="shared" si="2"/>
        <v>5.0477918450610559E-2</v>
      </c>
      <c r="I34" s="11">
        <f t="shared" si="4"/>
        <v>2.54802025110649E-3</v>
      </c>
      <c r="J34" s="11">
        <f t="shared" si="3"/>
        <v>9.6516096463882522E-3</v>
      </c>
    </row>
    <row r="35" spans="1:10">
      <c r="A35" s="1">
        <v>34</v>
      </c>
      <c r="B35" s="1"/>
      <c r="C35" s="1" t="s">
        <v>12</v>
      </c>
      <c r="D35" s="1">
        <v>531</v>
      </c>
      <c r="E35" s="11">
        <f t="shared" si="6"/>
        <v>529.10474090066009</v>
      </c>
      <c r="F35" s="11">
        <f t="shared" si="7"/>
        <v>0.74241180696486264</v>
      </c>
      <c r="G35" s="11">
        <f t="shared" si="5"/>
        <v>518.36493933773443</v>
      </c>
      <c r="H35" s="11">
        <f t="shared" si="2"/>
        <v>12.635060662265573</v>
      </c>
      <c r="I35" s="11">
        <f t="shared" si="4"/>
        <v>159.64475793913095</v>
      </c>
      <c r="J35" s="11">
        <f t="shared" si="3"/>
        <v>2.3794841171874905</v>
      </c>
    </row>
    <row r="36" spans="1:10">
      <c r="A36" s="1">
        <v>35</v>
      </c>
      <c r="B36" s="1"/>
      <c r="C36" s="1" t="s">
        <v>13</v>
      </c>
      <c r="D36" s="1">
        <v>532</v>
      </c>
      <c r="E36" s="11">
        <f t="shared" si="6"/>
        <v>531.67707290614374</v>
      </c>
      <c r="F36" s="11">
        <f t="shared" si="7"/>
        <v>1.6573719062242538</v>
      </c>
      <c r="G36" s="11">
        <f t="shared" si="5"/>
        <v>529.8471527076249</v>
      </c>
      <c r="H36" s="11">
        <f t="shared" si="2"/>
        <v>2.1528472923750996</v>
      </c>
      <c r="I36" s="11">
        <f t="shared" si="4"/>
        <v>4.634751464286798</v>
      </c>
      <c r="J36" s="11">
        <f t="shared" si="3"/>
        <v>0.40467054367952998</v>
      </c>
    </row>
    <row r="37" spans="1:10">
      <c r="A37" s="1">
        <v>36</v>
      </c>
      <c r="B37" s="1"/>
      <c r="C37" s="1" t="s">
        <v>14</v>
      </c>
      <c r="D37" s="1">
        <v>534</v>
      </c>
      <c r="E37" s="52">
        <f t="shared" si="6"/>
        <v>533.90016672185516</v>
      </c>
      <c r="F37" s="52">
        <f t="shared" si="7"/>
        <v>1.9402328609678381</v>
      </c>
      <c r="G37" s="11">
        <f t="shared" si="5"/>
        <v>533.33444481236802</v>
      </c>
      <c r="H37" s="11">
        <f t="shared" si="2"/>
        <v>0.66555518763198052</v>
      </c>
      <c r="I37" s="11">
        <f t="shared" si="4"/>
        <v>0.44296370778384081</v>
      </c>
      <c r="J37" s="11">
        <f t="shared" si="3"/>
        <v>0.12463580292733718</v>
      </c>
    </row>
    <row r="38" spans="1:10">
      <c r="A38" s="1">
        <v>37</v>
      </c>
      <c r="B38" s="4">
        <v>2020</v>
      </c>
      <c r="C38" s="6" t="s">
        <v>15</v>
      </c>
      <c r="D38" s="6"/>
      <c r="E38" s="7"/>
      <c r="F38" s="7"/>
      <c r="G38" s="34">
        <f t="shared" ref="G38:G43" si="8">$E$37+$F$37*(A38-36)</f>
        <v>535.84039958282301</v>
      </c>
    </row>
    <row r="39" spans="1:10">
      <c r="A39" s="8">
        <v>38</v>
      </c>
      <c r="B39" s="1"/>
      <c r="C39" s="8" t="s">
        <v>16</v>
      </c>
      <c r="G39" s="18">
        <f t="shared" si="8"/>
        <v>537.78063244379086</v>
      </c>
    </row>
    <row r="40" spans="1:10">
      <c r="A40" s="1">
        <v>39</v>
      </c>
      <c r="C40" s="1" t="s">
        <v>6</v>
      </c>
      <c r="G40" s="18">
        <f t="shared" si="8"/>
        <v>539.72086530475872</v>
      </c>
    </row>
    <row r="41" spans="1:10">
      <c r="A41" s="1">
        <v>40</v>
      </c>
      <c r="C41" s="1" t="s">
        <v>7</v>
      </c>
      <c r="G41" s="18">
        <f t="shared" si="8"/>
        <v>541.66109816572646</v>
      </c>
    </row>
    <row r="42" spans="1:10">
      <c r="A42" s="1">
        <v>41</v>
      </c>
      <c r="C42" s="1" t="s">
        <v>5</v>
      </c>
      <c r="G42" s="18">
        <f t="shared" si="8"/>
        <v>543.60133102669431</v>
      </c>
    </row>
    <row r="43" spans="1:10">
      <c r="A43" s="1">
        <v>42</v>
      </c>
      <c r="C43" s="1" t="s">
        <v>8</v>
      </c>
      <c r="G43" s="18">
        <f t="shared" si="8"/>
        <v>545.54156388766216</v>
      </c>
    </row>
  </sheetData>
  <mergeCells count="20">
    <mergeCell ref="M20:N20"/>
    <mergeCell ref="P20:Q20"/>
    <mergeCell ref="S20:T20"/>
    <mergeCell ref="V20:W20"/>
    <mergeCell ref="V21:W21"/>
    <mergeCell ref="L14:O14"/>
    <mergeCell ref="Q14:T14"/>
    <mergeCell ref="L16:O16"/>
    <mergeCell ref="Q16:T16"/>
    <mergeCell ref="L18:O18"/>
    <mergeCell ref="L10:O10"/>
    <mergeCell ref="Q10:T10"/>
    <mergeCell ref="L12:O12"/>
    <mergeCell ref="Q12:T12"/>
    <mergeCell ref="L13:O13"/>
    <mergeCell ref="L3:R3"/>
    <mergeCell ref="L5:O5"/>
    <mergeCell ref="Q5:T5"/>
    <mergeCell ref="L6:O6"/>
    <mergeCell ref="Q6:T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4"/>
  <sheetViews>
    <sheetView zoomScale="98" zoomScaleNormal="98" workbookViewId="0">
      <pane ySplit="1" topLeftCell="A16" activePane="bottomLeft" state="frozen"/>
      <selection pane="bottomLeft" activeCell="D18" sqref="D18"/>
    </sheetView>
  </sheetViews>
  <sheetFormatPr defaultRowHeight="15"/>
  <cols>
    <col min="1" max="1" width="5.5703125" bestFit="1" customWidth="1"/>
    <col min="2" max="2" width="5.42578125" bestFit="1" customWidth="1"/>
    <col min="3" max="3" width="10.85546875" bestFit="1" customWidth="1"/>
    <col min="4" max="4" width="9.28515625" bestFit="1" customWidth="1"/>
    <col min="5" max="5" width="12.85546875" bestFit="1" customWidth="1"/>
    <col min="6" max="6" width="9.85546875" bestFit="1" customWidth="1"/>
    <col min="7" max="7" width="13.42578125" bestFit="1" customWidth="1"/>
    <col min="8" max="8" width="12.42578125" bestFit="1" customWidth="1"/>
    <col min="9" max="9" width="5.5703125" bestFit="1" customWidth="1"/>
    <col min="10" max="10" width="7.7109375" bestFit="1" customWidth="1"/>
    <col min="11" max="11" width="6.28515625" bestFit="1" customWidth="1"/>
  </cols>
  <sheetData>
    <row r="1" spans="1:21">
      <c r="A1" s="51" t="s">
        <v>22</v>
      </c>
      <c r="B1" s="51" t="s">
        <v>17</v>
      </c>
      <c r="C1" s="12" t="s">
        <v>4</v>
      </c>
      <c r="D1" s="51" t="s">
        <v>95</v>
      </c>
      <c r="E1" s="51" t="s">
        <v>116</v>
      </c>
      <c r="F1" s="51" t="s">
        <v>24</v>
      </c>
      <c r="G1" s="51" t="s">
        <v>125</v>
      </c>
      <c r="H1" s="51" t="s">
        <v>112</v>
      </c>
      <c r="I1" s="51" t="s">
        <v>0</v>
      </c>
      <c r="J1" s="51" t="s">
        <v>1</v>
      </c>
      <c r="K1" s="51" t="s">
        <v>21</v>
      </c>
      <c r="M1" s="13" t="s">
        <v>2</v>
      </c>
      <c r="N1" s="13" t="s">
        <v>3</v>
      </c>
      <c r="P1" s="2" t="s">
        <v>18</v>
      </c>
      <c r="Q1" s="2" t="s">
        <v>19</v>
      </c>
      <c r="R1" s="2" t="s">
        <v>20</v>
      </c>
      <c r="S1" s="2" t="s">
        <v>21</v>
      </c>
    </row>
    <row r="2" spans="1:21">
      <c r="A2" s="1">
        <v>1</v>
      </c>
      <c r="B2" s="1">
        <v>2017</v>
      </c>
      <c r="C2" s="1" t="s">
        <v>15</v>
      </c>
      <c r="D2" s="1">
        <v>1027</v>
      </c>
      <c r="E2" s="16">
        <f>D2</f>
        <v>1027</v>
      </c>
      <c r="F2" s="16">
        <f>D3-D2</f>
        <v>20</v>
      </c>
      <c r="H2" s="53"/>
      <c r="I2" s="1"/>
      <c r="J2" s="1"/>
      <c r="K2" s="1"/>
      <c r="M2" s="14">
        <v>0.85</v>
      </c>
      <c r="N2" s="14">
        <v>0.5</v>
      </c>
      <c r="P2" s="14">
        <f>SUM(J3:J25)</f>
        <v>12373.910459352199</v>
      </c>
      <c r="Q2" s="14">
        <f>AVERAGE(J4:J25)</f>
        <v>562.45047542509997</v>
      </c>
      <c r="R2" s="15">
        <f>SQRT(Q2)</f>
        <v>23.716038358568657</v>
      </c>
      <c r="S2" s="14">
        <f>AVERAGE(K3:K25)</f>
        <v>2.267512388615426</v>
      </c>
    </row>
    <row r="3" spans="1:21">
      <c r="A3" s="1">
        <v>2</v>
      </c>
      <c r="B3" s="1"/>
      <c r="C3" s="1" t="s">
        <v>16</v>
      </c>
      <c r="D3" s="1">
        <v>1047</v>
      </c>
      <c r="E3" s="11">
        <f>$M$2*D3+(1-$M$2)*(E2+F2)</f>
        <v>1047</v>
      </c>
      <c r="F3" s="11">
        <f>$N$2*(E3-E2)+(1-$N$2)*(F2)</f>
        <v>20</v>
      </c>
      <c r="G3" s="1">
        <v>1</v>
      </c>
      <c r="H3" s="11">
        <f>E2+F2</f>
        <v>1047</v>
      </c>
      <c r="I3" s="11">
        <f>(D3-H3)</f>
        <v>0</v>
      </c>
      <c r="J3" s="11">
        <f>I3*I3</f>
        <v>0</v>
      </c>
      <c r="K3" s="11">
        <f>ABS((D3-H3)/(D3))*100</f>
        <v>0</v>
      </c>
      <c r="M3" s="99" t="s">
        <v>23</v>
      </c>
      <c r="N3" s="99"/>
      <c r="O3" s="99"/>
      <c r="P3" s="99"/>
      <c r="Q3" s="99"/>
      <c r="R3" s="99"/>
      <c r="S3" s="99"/>
    </row>
    <row r="4" spans="1:21" ht="15.75" thickBot="1">
      <c r="A4" s="1">
        <v>3</v>
      </c>
      <c r="B4" s="1"/>
      <c r="C4" s="1" t="s">
        <v>6</v>
      </c>
      <c r="D4" s="1">
        <v>1049</v>
      </c>
      <c r="E4" s="11">
        <f t="shared" ref="E4:E25" si="0">$M$2*D4+(1-$M$2)*(E3+F3)</f>
        <v>1051.7</v>
      </c>
      <c r="F4" s="11">
        <f t="shared" ref="F4:F24" si="1">$N$2*(E4-E3)+(1-$N$2)*(F3)</f>
        <v>12.350000000000023</v>
      </c>
      <c r="G4" s="1">
        <v>2</v>
      </c>
      <c r="H4" s="11">
        <f>E3+F3</f>
        <v>1067</v>
      </c>
      <c r="I4" s="11">
        <f t="shared" ref="I4:I25" si="2">(D4-H4)</f>
        <v>-18</v>
      </c>
      <c r="J4" s="11">
        <f t="shared" ref="J4:J25" si="3">I4*I4</f>
        <v>324</v>
      </c>
      <c r="K4" s="11">
        <f t="shared" ref="K4:K25" si="4">ABS((D4-H4)/(D4))*100</f>
        <v>1.7159199237368923</v>
      </c>
    </row>
    <row r="5" spans="1:21" ht="15.75" thickBot="1">
      <c r="A5" s="1">
        <v>4</v>
      </c>
      <c r="B5" s="1"/>
      <c r="C5" s="1" t="s">
        <v>7</v>
      </c>
      <c r="D5" s="1">
        <v>1018</v>
      </c>
      <c r="E5" s="11">
        <f t="shared" si="0"/>
        <v>1024.9075</v>
      </c>
      <c r="F5" s="11">
        <f t="shared" si="1"/>
        <v>-7.2212499999999977</v>
      </c>
      <c r="G5" s="1">
        <v>3</v>
      </c>
      <c r="H5" s="11">
        <f>E4+F4</f>
        <v>1064.0500000000002</v>
      </c>
      <c r="I5" s="11">
        <f t="shared" si="2"/>
        <v>-46.050000000000182</v>
      </c>
      <c r="J5" s="11">
        <f t="shared" si="3"/>
        <v>2120.6025000000168</v>
      </c>
      <c r="K5" s="11">
        <f t="shared" si="4"/>
        <v>4.5235756385068946</v>
      </c>
      <c r="M5" s="90" t="s">
        <v>100</v>
      </c>
      <c r="N5" s="91"/>
      <c r="O5" s="91"/>
      <c r="P5" s="92"/>
      <c r="R5" s="90" t="s">
        <v>24</v>
      </c>
      <c r="S5" s="91"/>
      <c r="T5" s="91"/>
      <c r="U5" s="92"/>
    </row>
    <row r="6" spans="1:21">
      <c r="A6" s="1">
        <v>5</v>
      </c>
      <c r="B6" s="1"/>
      <c r="C6" s="1" t="s">
        <v>5</v>
      </c>
      <c r="D6" s="1">
        <v>1021</v>
      </c>
      <c r="E6" s="11">
        <f t="shared" si="0"/>
        <v>1020.5029375</v>
      </c>
      <c r="F6" s="11">
        <f t="shared" si="1"/>
        <v>-5.8129062499999975</v>
      </c>
      <c r="G6" s="1">
        <v>4</v>
      </c>
      <c r="H6" s="11">
        <f>E5+F5</f>
        <v>1017.68625</v>
      </c>
      <c r="I6" s="11">
        <f t="shared" si="2"/>
        <v>3.3137500000000273</v>
      </c>
      <c r="J6" s="11">
        <f t="shared" si="3"/>
        <v>10.98093906250018</v>
      </c>
      <c r="K6" s="11">
        <f t="shared" si="4"/>
        <v>0.32455925563173627</v>
      </c>
      <c r="M6" s="93" t="s">
        <v>117</v>
      </c>
      <c r="N6" s="93"/>
      <c r="O6" s="93"/>
      <c r="P6" s="93"/>
      <c r="R6" s="93" t="s">
        <v>102</v>
      </c>
      <c r="S6" s="93"/>
      <c r="T6" s="93"/>
      <c r="U6" s="93"/>
    </row>
    <row r="7" spans="1:21">
      <c r="A7" s="1">
        <v>6</v>
      </c>
      <c r="B7" s="1"/>
      <c r="C7" s="1" t="s">
        <v>8</v>
      </c>
      <c r="D7" s="1">
        <v>1012</v>
      </c>
      <c r="E7" s="11">
        <f t="shared" si="0"/>
        <v>1012.4035046875</v>
      </c>
      <c r="F7" s="11">
        <f t="shared" si="1"/>
        <v>-6.956169531250012</v>
      </c>
      <c r="G7" s="1">
        <v>5</v>
      </c>
      <c r="H7" s="11">
        <f t="shared" ref="H7:H25" si="5">E6+F6</f>
        <v>1014.6900312500001</v>
      </c>
      <c r="I7" s="11">
        <f t="shared" si="2"/>
        <v>-2.6900312500000609</v>
      </c>
      <c r="J7" s="11">
        <f t="shared" si="3"/>
        <v>7.2362681259768902</v>
      </c>
      <c r="K7" s="11">
        <f t="shared" si="4"/>
        <v>0.26581336462451194</v>
      </c>
    </row>
    <row r="8" spans="1:21">
      <c r="A8" s="1">
        <v>7</v>
      </c>
      <c r="B8" s="1"/>
      <c r="C8" s="1" t="s">
        <v>9</v>
      </c>
      <c r="D8" s="1">
        <v>1018</v>
      </c>
      <c r="E8" s="11">
        <f t="shared" si="0"/>
        <v>1016.1171002734375</v>
      </c>
      <c r="F8" s="11">
        <f t="shared" si="1"/>
        <v>-1.6212869726562715</v>
      </c>
      <c r="G8" s="1">
        <v>6</v>
      </c>
      <c r="H8" s="11">
        <f t="shared" si="5"/>
        <v>1005.44733515625</v>
      </c>
      <c r="I8" s="11">
        <f t="shared" si="2"/>
        <v>12.552664843749994</v>
      </c>
      <c r="J8" s="11">
        <f t="shared" si="3"/>
        <v>157.56939467951707</v>
      </c>
      <c r="K8" s="11">
        <f t="shared" si="4"/>
        <v>1.2330712027259325</v>
      </c>
      <c r="M8" s="1" t="s">
        <v>96</v>
      </c>
      <c r="R8" s="1" t="s">
        <v>96</v>
      </c>
    </row>
    <row r="9" spans="1:21">
      <c r="A9" s="1">
        <v>8</v>
      </c>
      <c r="B9" s="1"/>
      <c r="C9" s="1" t="s">
        <v>10</v>
      </c>
      <c r="D9" s="1">
        <v>991</v>
      </c>
      <c r="E9" s="11">
        <f t="shared" si="0"/>
        <v>994.52437199511724</v>
      </c>
      <c r="F9" s="11">
        <f t="shared" si="1"/>
        <v>-11.607007625488254</v>
      </c>
      <c r="G9" s="1">
        <v>7</v>
      </c>
      <c r="H9" s="11">
        <f t="shared" si="5"/>
        <v>1014.4958133007812</v>
      </c>
      <c r="I9" s="11">
        <f t="shared" si="2"/>
        <v>-23.495813300781151</v>
      </c>
      <c r="J9" s="11">
        <f t="shared" si="3"/>
        <v>552.05324266516448</v>
      </c>
      <c r="K9" s="11">
        <f t="shared" si="4"/>
        <v>2.3709196065369476</v>
      </c>
    </row>
    <row r="10" spans="1:21">
      <c r="A10" s="1">
        <v>9</v>
      </c>
      <c r="B10" s="1"/>
      <c r="C10" s="1" t="s">
        <v>11</v>
      </c>
      <c r="D10" s="1">
        <v>962</v>
      </c>
      <c r="E10" s="11">
        <f t="shared" si="0"/>
        <v>965.13760465544431</v>
      </c>
      <c r="F10" s="11">
        <f t="shared" si="1"/>
        <v>-20.49688748258059</v>
      </c>
      <c r="G10" s="1">
        <v>8</v>
      </c>
      <c r="H10" s="11">
        <f t="shared" si="5"/>
        <v>982.91736436962901</v>
      </c>
      <c r="I10" s="11">
        <f t="shared" si="2"/>
        <v>-20.917364369629013</v>
      </c>
      <c r="J10" s="11">
        <f t="shared" si="3"/>
        <v>437.53613217182533</v>
      </c>
      <c r="K10" s="11">
        <f t="shared" si="4"/>
        <v>2.1743622005851364</v>
      </c>
      <c r="M10" s="89" t="s">
        <v>97</v>
      </c>
      <c r="N10" s="89"/>
      <c r="O10" s="89"/>
      <c r="P10" s="89"/>
      <c r="R10" s="89" t="s">
        <v>103</v>
      </c>
      <c r="S10" s="89"/>
      <c r="T10" s="89"/>
      <c r="U10" s="89"/>
    </row>
    <row r="11" spans="1:21">
      <c r="A11" s="1">
        <v>10</v>
      </c>
      <c r="B11" s="1"/>
      <c r="C11" s="1" t="s">
        <v>12</v>
      </c>
      <c r="D11" s="1">
        <v>921</v>
      </c>
      <c r="E11" s="11">
        <f t="shared" si="0"/>
        <v>924.54610757592957</v>
      </c>
      <c r="F11" s="11">
        <f t="shared" si="1"/>
        <v>-30.544192281047664</v>
      </c>
      <c r="G11" s="1">
        <v>9</v>
      </c>
      <c r="H11" s="11">
        <f t="shared" si="5"/>
        <v>944.64071717286367</v>
      </c>
      <c r="I11" s="11">
        <f t="shared" si="2"/>
        <v>-23.640717172863674</v>
      </c>
      <c r="J11" s="11">
        <f t="shared" si="3"/>
        <v>558.88350844733145</v>
      </c>
      <c r="K11" s="11">
        <f t="shared" si="4"/>
        <v>2.5668531132316694</v>
      </c>
    </row>
    <row r="12" spans="1:21">
      <c r="A12" s="1">
        <v>11</v>
      </c>
      <c r="B12" s="1"/>
      <c r="C12" s="1" t="s">
        <v>13</v>
      </c>
      <c r="D12" s="1">
        <v>871</v>
      </c>
      <c r="E12" s="11">
        <f t="shared" si="0"/>
        <v>874.45028729423234</v>
      </c>
      <c r="F12" s="11">
        <f t="shared" si="1"/>
        <v>-40.320006281372443</v>
      </c>
      <c r="G12" s="1">
        <v>10</v>
      </c>
      <c r="H12" s="11">
        <f t="shared" si="5"/>
        <v>894.00191529488188</v>
      </c>
      <c r="I12" s="11">
        <f t="shared" si="2"/>
        <v>-23.001915294881883</v>
      </c>
      <c r="J12" s="11">
        <f t="shared" si="3"/>
        <v>529.08810723292106</v>
      </c>
      <c r="K12" s="11">
        <f t="shared" si="4"/>
        <v>2.6408628352332815</v>
      </c>
      <c r="M12" s="89" t="s">
        <v>98</v>
      </c>
      <c r="N12" s="89"/>
      <c r="O12" s="89"/>
      <c r="P12" s="89"/>
      <c r="R12" s="89" t="s">
        <v>104</v>
      </c>
      <c r="S12" s="89"/>
      <c r="T12" s="89"/>
      <c r="U12" s="89"/>
    </row>
    <row r="13" spans="1:21">
      <c r="A13" s="1">
        <v>12</v>
      </c>
      <c r="B13" s="1"/>
      <c r="C13" s="1" t="s">
        <v>14</v>
      </c>
      <c r="D13" s="1">
        <v>829</v>
      </c>
      <c r="E13" s="11">
        <f t="shared" si="0"/>
        <v>829.76954215192893</v>
      </c>
      <c r="F13" s="11">
        <f t="shared" si="1"/>
        <v>-42.500375711837926</v>
      </c>
      <c r="G13" s="1">
        <v>11</v>
      </c>
      <c r="H13" s="11">
        <f t="shared" si="5"/>
        <v>834.13028101285988</v>
      </c>
      <c r="I13" s="11">
        <f t="shared" si="2"/>
        <v>-5.1302810128598821</v>
      </c>
      <c r="J13" s="11">
        <f t="shared" si="3"/>
        <v>26.319783270910619</v>
      </c>
      <c r="K13" s="11">
        <f t="shared" si="4"/>
        <v>0.61885175064654796</v>
      </c>
      <c r="M13" s="89"/>
      <c r="N13" s="89"/>
      <c r="O13" s="89"/>
      <c r="P13" s="89"/>
    </row>
    <row r="14" spans="1:21">
      <c r="A14" s="1">
        <v>13</v>
      </c>
      <c r="B14" s="1">
        <v>2018</v>
      </c>
      <c r="C14" s="1" t="s">
        <v>15</v>
      </c>
      <c r="D14" s="1">
        <v>822</v>
      </c>
      <c r="E14" s="11">
        <f t="shared" si="0"/>
        <v>816.79037496601359</v>
      </c>
      <c r="F14" s="11">
        <f t="shared" si="1"/>
        <v>-27.739771448876635</v>
      </c>
      <c r="G14" s="1">
        <v>12</v>
      </c>
      <c r="H14" s="11">
        <f>E13+F13</f>
        <v>787.269166440091</v>
      </c>
      <c r="I14" s="11">
        <f t="shared" si="2"/>
        <v>34.730833559909001</v>
      </c>
      <c r="J14" s="11">
        <f t="shared" si="3"/>
        <v>1206.2307997661014</v>
      </c>
      <c r="K14" s="11">
        <f t="shared" si="4"/>
        <v>4.2251622335655723</v>
      </c>
      <c r="M14" s="89" t="s">
        <v>118</v>
      </c>
      <c r="N14" s="89"/>
      <c r="O14" s="89"/>
      <c r="P14" s="89"/>
      <c r="R14" s="89" t="s">
        <v>120</v>
      </c>
      <c r="S14" s="89"/>
      <c r="T14" s="89"/>
      <c r="U14" s="89"/>
    </row>
    <row r="15" spans="1:21">
      <c r="A15" s="1">
        <v>14</v>
      </c>
      <c r="B15" s="1"/>
      <c r="C15" s="1" t="s">
        <v>16</v>
      </c>
      <c r="D15" s="1">
        <v>820</v>
      </c>
      <c r="E15" s="11">
        <f t="shared" si="0"/>
        <v>815.35759052757055</v>
      </c>
      <c r="F15" s="11">
        <f t="shared" si="1"/>
        <v>-14.586277943659836</v>
      </c>
      <c r="G15" s="1">
        <v>13</v>
      </c>
      <c r="H15" s="11">
        <f t="shared" si="5"/>
        <v>789.05060351713701</v>
      </c>
      <c r="I15" s="11">
        <f t="shared" si="2"/>
        <v>30.949396482862994</v>
      </c>
      <c r="J15" s="11">
        <f t="shared" si="3"/>
        <v>957.86514265345227</v>
      </c>
      <c r="K15" s="11">
        <f t="shared" si="4"/>
        <v>3.7743166442515843</v>
      </c>
    </row>
    <row r="16" spans="1:21">
      <c r="A16" s="1">
        <v>15</v>
      </c>
      <c r="B16" s="1"/>
      <c r="C16" s="1" t="s">
        <v>6</v>
      </c>
      <c r="D16" s="1">
        <v>802</v>
      </c>
      <c r="E16" s="11">
        <f t="shared" si="0"/>
        <v>801.81569688758657</v>
      </c>
      <c r="F16" s="11">
        <f t="shared" si="1"/>
        <v>-14.06408579182191</v>
      </c>
      <c r="G16" s="1">
        <v>14</v>
      </c>
      <c r="H16" s="11">
        <f t="shared" si="5"/>
        <v>800.77131258391069</v>
      </c>
      <c r="I16" s="11">
        <f t="shared" si="2"/>
        <v>1.2286874160893149</v>
      </c>
      <c r="J16" s="11">
        <f t="shared" si="3"/>
        <v>1.5096727664562373</v>
      </c>
      <c r="K16" s="11">
        <f t="shared" si="4"/>
        <v>0.15320291971188466</v>
      </c>
      <c r="M16" s="89" t="s">
        <v>119</v>
      </c>
      <c r="N16" s="89"/>
      <c r="O16" s="89"/>
      <c r="P16" s="89"/>
      <c r="R16" s="89" t="s">
        <v>121</v>
      </c>
      <c r="S16" s="89"/>
      <c r="T16" s="89"/>
      <c r="U16" s="89"/>
    </row>
    <row r="17" spans="1:24" ht="15.75" thickBot="1">
      <c r="A17" s="1">
        <v>16</v>
      </c>
      <c r="B17" s="1"/>
      <c r="C17" s="1" t="s">
        <v>7</v>
      </c>
      <c r="D17" s="1">
        <v>821</v>
      </c>
      <c r="E17" s="11">
        <f t="shared" si="0"/>
        <v>816.01274166436474</v>
      </c>
      <c r="F17" s="11">
        <f t="shared" si="1"/>
        <v>6.6479492478130453E-2</v>
      </c>
      <c r="G17" s="1">
        <v>15</v>
      </c>
      <c r="H17" s="11">
        <f t="shared" si="5"/>
        <v>787.7516110957647</v>
      </c>
      <c r="I17" s="11">
        <f t="shared" si="2"/>
        <v>33.248388904235298</v>
      </c>
      <c r="J17" s="11">
        <f t="shared" si="3"/>
        <v>1105.4553647272769</v>
      </c>
      <c r="K17" s="11">
        <f t="shared" si="4"/>
        <v>4.0497428628788423</v>
      </c>
    </row>
    <row r="18" spans="1:24" ht="15.75" thickBot="1">
      <c r="A18" s="1">
        <v>17</v>
      </c>
      <c r="B18" s="1"/>
      <c r="C18" s="1" t="s">
        <v>5</v>
      </c>
      <c r="D18" s="1">
        <v>819</v>
      </c>
      <c r="E18" s="11">
        <f t="shared" si="0"/>
        <v>818.56188317352644</v>
      </c>
      <c r="F18" s="11">
        <f t="shared" si="1"/>
        <v>1.3078105008199152</v>
      </c>
      <c r="G18" s="1">
        <v>16</v>
      </c>
      <c r="H18" s="11">
        <f t="shared" si="5"/>
        <v>816.07922115684289</v>
      </c>
      <c r="I18" s="11">
        <f t="shared" si="2"/>
        <v>2.9207788431571089</v>
      </c>
      <c r="J18" s="11">
        <f t="shared" si="3"/>
        <v>8.5309490506341792</v>
      </c>
      <c r="K18" s="11">
        <f t="shared" si="4"/>
        <v>0.35662745337693635</v>
      </c>
      <c r="M18" s="90" t="s">
        <v>105</v>
      </c>
      <c r="N18" s="91"/>
      <c r="O18" s="91"/>
      <c r="P18" s="92"/>
      <c r="S18" t="s">
        <v>113</v>
      </c>
      <c r="T18" t="s">
        <v>122</v>
      </c>
      <c r="W18" t="s">
        <v>114</v>
      </c>
      <c r="X18" t="s">
        <v>115</v>
      </c>
    </row>
    <row r="19" spans="1:24">
      <c r="A19" s="1">
        <v>18</v>
      </c>
      <c r="B19" s="1"/>
      <c r="C19" s="1" t="s">
        <v>8</v>
      </c>
      <c r="D19" s="1">
        <v>791</v>
      </c>
      <c r="E19" s="11">
        <f t="shared" si="0"/>
        <v>795.33045405115195</v>
      </c>
      <c r="F19" s="11">
        <f t="shared" si="1"/>
        <v>-10.961809310777289</v>
      </c>
      <c r="G19" s="1">
        <v>17</v>
      </c>
      <c r="H19" s="11">
        <f t="shared" si="5"/>
        <v>819.86969367434631</v>
      </c>
      <c r="I19" s="11">
        <f t="shared" si="2"/>
        <v>-28.869693674346308</v>
      </c>
      <c r="J19" s="11">
        <f t="shared" si="3"/>
        <v>833.45921285059126</v>
      </c>
      <c r="K19" s="11">
        <f t="shared" si="4"/>
        <v>3.6497716402460565</v>
      </c>
      <c r="Q19" s="50" t="s">
        <v>107</v>
      </c>
    </row>
    <row r="20" spans="1:24">
      <c r="A20" s="1">
        <v>19</v>
      </c>
      <c r="B20" s="1"/>
      <c r="C20" s="1" t="s">
        <v>9</v>
      </c>
      <c r="D20" s="1">
        <v>746</v>
      </c>
      <c r="E20" s="11">
        <f t="shared" si="0"/>
        <v>751.75529671105619</v>
      </c>
      <c r="F20" s="11">
        <f t="shared" si="1"/>
        <v>-27.268483325436524</v>
      </c>
      <c r="G20" s="1">
        <v>18</v>
      </c>
      <c r="H20" s="11">
        <f t="shared" si="5"/>
        <v>784.36864474037463</v>
      </c>
      <c r="I20" s="11">
        <f t="shared" si="2"/>
        <v>-38.368644740374634</v>
      </c>
      <c r="J20" s="11">
        <f t="shared" si="3"/>
        <v>1472.1528992130782</v>
      </c>
      <c r="K20" s="11">
        <f t="shared" si="4"/>
        <v>5.143249965197672</v>
      </c>
      <c r="N20" s="87" t="s">
        <v>106</v>
      </c>
      <c r="O20" s="88"/>
      <c r="Q20" s="87" t="s">
        <v>108</v>
      </c>
      <c r="R20" s="88"/>
      <c r="T20" s="87" t="s">
        <v>111</v>
      </c>
      <c r="U20" s="88"/>
      <c r="W20" s="87" t="s">
        <v>123</v>
      </c>
      <c r="X20" s="88"/>
    </row>
    <row r="21" spans="1:24">
      <c r="A21" s="1">
        <v>20</v>
      </c>
      <c r="B21" s="1"/>
      <c r="C21" s="1" t="s">
        <v>10</v>
      </c>
      <c r="D21" s="1">
        <v>726</v>
      </c>
      <c r="E21" s="11">
        <f t="shared" si="0"/>
        <v>725.773022007843</v>
      </c>
      <c r="F21" s="11">
        <f t="shared" si="1"/>
        <v>-26.625379014324857</v>
      </c>
      <c r="G21" s="1">
        <v>19</v>
      </c>
      <c r="H21" s="11">
        <f t="shared" si="5"/>
        <v>724.48681338561971</v>
      </c>
      <c r="I21" s="11">
        <f t="shared" si="2"/>
        <v>1.5131866143802881</v>
      </c>
      <c r="J21" s="11">
        <f t="shared" si="3"/>
        <v>2.2897337299396789</v>
      </c>
      <c r="K21" s="11">
        <f t="shared" si="4"/>
        <v>0.2084279083168441</v>
      </c>
      <c r="W21" s="87" t="s">
        <v>124</v>
      </c>
      <c r="X21" s="88"/>
    </row>
    <row r="22" spans="1:24">
      <c r="A22" s="1">
        <v>21</v>
      </c>
      <c r="B22" s="1"/>
      <c r="C22" s="1" t="s">
        <v>11</v>
      </c>
      <c r="D22" s="1">
        <v>661</v>
      </c>
      <c r="E22" s="11">
        <f t="shared" si="0"/>
        <v>666.72214644902772</v>
      </c>
      <c r="F22" s="11">
        <f t="shared" si="1"/>
        <v>-42.838127286570071</v>
      </c>
      <c r="G22" s="1">
        <v>20</v>
      </c>
      <c r="H22" s="11">
        <f t="shared" si="5"/>
        <v>699.14764299351816</v>
      </c>
      <c r="I22" s="11">
        <f t="shared" si="2"/>
        <v>-38.147642993518161</v>
      </c>
      <c r="J22" s="11">
        <f t="shared" si="3"/>
        <v>1455.2426659609152</v>
      </c>
      <c r="K22" s="11">
        <f t="shared" si="4"/>
        <v>5.7712016631646232</v>
      </c>
    </row>
    <row r="23" spans="1:24">
      <c r="A23" s="1">
        <v>22</v>
      </c>
      <c r="B23" s="1"/>
      <c r="C23" s="1" t="s">
        <v>12</v>
      </c>
      <c r="D23" s="1">
        <v>620</v>
      </c>
      <c r="E23" s="11">
        <f t="shared" si="0"/>
        <v>620.5826028743686</v>
      </c>
      <c r="F23" s="11">
        <f t="shared" si="1"/>
        <v>-44.488835430614593</v>
      </c>
      <c r="G23" s="1">
        <v>21</v>
      </c>
      <c r="H23" s="11">
        <f t="shared" si="5"/>
        <v>623.88401916245766</v>
      </c>
      <c r="I23" s="11">
        <f t="shared" si="2"/>
        <v>-3.8840191624576619</v>
      </c>
      <c r="J23" s="11">
        <f t="shared" si="3"/>
        <v>15.085604854338317</v>
      </c>
      <c r="K23" s="11">
        <f t="shared" si="4"/>
        <v>0.62645470362220357</v>
      </c>
    </row>
    <row r="24" spans="1:24">
      <c r="A24" s="1">
        <v>23</v>
      </c>
      <c r="B24" s="1"/>
      <c r="C24" s="1" t="s">
        <v>13</v>
      </c>
      <c r="D24" s="1">
        <v>588</v>
      </c>
      <c r="E24" s="11">
        <f t="shared" si="0"/>
        <v>586.21406511656312</v>
      </c>
      <c r="F24" s="11">
        <f t="shared" si="1"/>
        <v>-39.428686594210035</v>
      </c>
      <c r="G24" s="1">
        <v>22</v>
      </c>
      <c r="H24" s="11">
        <f t="shared" si="5"/>
        <v>576.09376744375402</v>
      </c>
      <c r="I24" s="11">
        <f t="shared" si="2"/>
        <v>11.906232556245982</v>
      </c>
      <c r="J24" s="11">
        <f t="shared" si="3"/>
        <v>141.75837368341172</v>
      </c>
      <c r="K24" s="11">
        <f t="shared" si="4"/>
        <v>2.0248694823547591</v>
      </c>
    </row>
    <row r="25" spans="1:24">
      <c r="A25" s="1">
        <v>24</v>
      </c>
      <c r="B25" s="1"/>
      <c r="C25" s="1" t="s">
        <v>14</v>
      </c>
      <c r="D25" s="1">
        <v>568</v>
      </c>
      <c r="E25" s="54">
        <f t="shared" si="0"/>
        <v>564.81780677835297</v>
      </c>
      <c r="F25" s="55">
        <f>$N$2*(E25-E24)+(1-$N$2)*(F24)</f>
        <v>-30.41247246621009</v>
      </c>
      <c r="G25" s="1">
        <v>23</v>
      </c>
      <c r="H25" s="11">
        <f t="shared" si="5"/>
        <v>546.78537852235308</v>
      </c>
      <c r="I25" s="11">
        <f t="shared" si="2"/>
        <v>21.214621477646915</v>
      </c>
      <c r="J25" s="11">
        <f t="shared" si="3"/>
        <v>450.06016443983776</v>
      </c>
      <c r="K25" s="11">
        <f t="shared" si="4"/>
        <v>3.7349685700082595</v>
      </c>
    </row>
    <row r="26" spans="1:24">
      <c r="A26" s="1">
        <v>25</v>
      </c>
      <c r="B26" s="4">
        <v>2019</v>
      </c>
      <c r="C26" s="51" t="s">
        <v>15</v>
      </c>
      <c r="G26" s="1">
        <v>36</v>
      </c>
      <c r="H26" s="34">
        <f>$E$25+$F$25*1</f>
        <v>534.40533431214294</v>
      </c>
    </row>
    <row r="27" spans="1:24">
      <c r="A27" s="1">
        <v>26</v>
      </c>
      <c r="B27" s="1"/>
      <c r="C27" s="8" t="s">
        <v>16</v>
      </c>
      <c r="G27" s="1">
        <v>37</v>
      </c>
      <c r="H27" s="34">
        <f>$E$25+$F$25*2</f>
        <v>503.99286184593279</v>
      </c>
    </row>
    <row r="28" spans="1:24">
      <c r="A28" s="1">
        <v>27</v>
      </c>
      <c r="C28" s="1" t="s">
        <v>6</v>
      </c>
      <c r="G28" s="8">
        <v>38</v>
      </c>
      <c r="H28" s="34">
        <f>$E$25+$F$25*3</f>
        <v>473.5803893797227</v>
      </c>
    </row>
    <row r="29" spans="1:24">
      <c r="A29" s="1">
        <v>28</v>
      </c>
      <c r="C29" s="1" t="s">
        <v>7</v>
      </c>
      <c r="G29" s="1">
        <v>39</v>
      </c>
      <c r="H29" s="34">
        <f>$E$25+$F$25*4</f>
        <v>443.16791691351261</v>
      </c>
    </row>
    <row r="30" spans="1:24">
      <c r="A30" s="1">
        <v>29</v>
      </c>
      <c r="C30" s="1" t="s">
        <v>5</v>
      </c>
      <c r="G30" s="1">
        <v>40</v>
      </c>
      <c r="H30" s="34">
        <f>$E$25+$F$25*5</f>
        <v>412.75544444730252</v>
      </c>
    </row>
    <row r="31" spans="1:24">
      <c r="A31" s="1">
        <v>30</v>
      </c>
      <c r="C31" s="1" t="s">
        <v>8</v>
      </c>
      <c r="G31" s="1">
        <v>41</v>
      </c>
      <c r="H31" s="34">
        <f>$E$25+$F$25*6</f>
        <v>382.34297198109243</v>
      </c>
    </row>
    <row r="33" spans="4:5">
      <c r="D33" t="s">
        <v>126</v>
      </c>
      <c r="E33" s="56">
        <f>E25</f>
        <v>564.81780677835297</v>
      </c>
    </row>
    <row r="34" spans="4:5">
      <c r="D34" t="s">
        <v>127</v>
      </c>
      <c r="E34" s="57">
        <f>F25</f>
        <v>-30.41247246621009</v>
      </c>
    </row>
  </sheetData>
  <mergeCells count="20">
    <mergeCell ref="M10:P10"/>
    <mergeCell ref="R10:U10"/>
    <mergeCell ref="M3:S3"/>
    <mergeCell ref="M5:P5"/>
    <mergeCell ref="R5:U5"/>
    <mergeCell ref="M6:P6"/>
    <mergeCell ref="R6:U6"/>
    <mergeCell ref="W21:X21"/>
    <mergeCell ref="M12:P12"/>
    <mergeCell ref="R12:U12"/>
    <mergeCell ref="M13:P13"/>
    <mergeCell ref="M14:P14"/>
    <mergeCell ref="R14:U14"/>
    <mergeCell ref="M16:P16"/>
    <mergeCell ref="R16:U16"/>
    <mergeCell ref="M18:P18"/>
    <mergeCell ref="N20:O20"/>
    <mergeCell ref="Q20:R20"/>
    <mergeCell ref="T20:U20"/>
    <mergeCell ref="W20:X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zoomScale="112" zoomScaleNormal="112" workbookViewId="0">
      <pane ySplit="1" topLeftCell="A2" activePane="bottomLeft" state="frozen"/>
      <selection pane="bottomLeft" activeCell="C1" sqref="C1"/>
    </sheetView>
  </sheetViews>
  <sheetFormatPr defaultRowHeight="15"/>
  <cols>
    <col min="1" max="1" width="9.5703125" bestFit="1" customWidth="1"/>
    <col min="2" max="2" width="6.5703125" bestFit="1" customWidth="1"/>
    <col min="3" max="3" width="10.28515625" bestFit="1" customWidth="1"/>
    <col min="4" max="4" width="7.5703125" bestFit="1" customWidth="1"/>
    <col min="5" max="6" width="12.140625" bestFit="1" customWidth="1"/>
    <col min="7" max="7" width="12.85546875" bestFit="1" customWidth="1"/>
    <col min="8" max="8" width="12.140625" bestFit="1" customWidth="1"/>
    <col min="9" max="9" width="13.140625" bestFit="1" customWidth="1"/>
    <col min="10" max="10" width="9.28515625" bestFit="1" customWidth="1"/>
  </cols>
  <sheetData>
    <row r="1" spans="1:14">
      <c r="A1" s="29" t="s">
        <v>17</v>
      </c>
      <c r="B1" s="29" t="s">
        <v>29</v>
      </c>
      <c r="C1" s="29" t="s">
        <v>30</v>
      </c>
      <c r="D1" s="29" t="s">
        <v>31</v>
      </c>
      <c r="E1" s="67" t="s">
        <v>74</v>
      </c>
      <c r="F1" s="67" t="s">
        <v>75</v>
      </c>
      <c r="G1" s="67" t="s">
        <v>76</v>
      </c>
      <c r="H1" s="29" t="s">
        <v>27</v>
      </c>
      <c r="I1" s="29" t="s">
        <v>28</v>
      </c>
      <c r="J1" s="29" t="s">
        <v>21</v>
      </c>
      <c r="L1" s="44" t="s">
        <v>2</v>
      </c>
      <c r="M1" s="1">
        <v>0.82199999999999995</v>
      </c>
      <c r="N1" s="1">
        <f>1-M1</f>
        <v>0.17800000000000005</v>
      </c>
    </row>
    <row r="2" spans="1:14">
      <c r="A2" s="1">
        <v>2014</v>
      </c>
      <c r="B2" s="1">
        <v>1</v>
      </c>
      <c r="C2" s="10">
        <v>416</v>
      </c>
      <c r="D2" s="20">
        <v>1</v>
      </c>
      <c r="E2" s="1"/>
      <c r="F2" s="1"/>
      <c r="G2" s="76">
        <f>C2-$E$5</f>
        <v>-31.600000000000023</v>
      </c>
      <c r="H2" s="1"/>
      <c r="I2" s="1"/>
      <c r="J2" s="1"/>
      <c r="L2" s="44" t="s">
        <v>3</v>
      </c>
      <c r="M2" s="1">
        <v>5.5E-2</v>
      </c>
      <c r="N2" s="1">
        <f t="shared" ref="N2:N3" si="0">1-M2</f>
        <v>0.94499999999999995</v>
      </c>
    </row>
    <row r="3" spans="1:14">
      <c r="A3" s="1"/>
      <c r="B3" s="1">
        <v>2</v>
      </c>
      <c r="C3" s="10">
        <v>446.8</v>
      </c>
      <c r="D3" s="20">
        <v>2</v>
      </c>
      <c r="E3" s="1"/>
      <c r="F3" s="1"/>
      <c r="G3" s="68">
        <f>C3-$E$5</f>
        <v>-0.80000000000001137</v>
      </c>
      <c r="H3" s="1"/>
      <c r="I3" s="1"/>
      <c r="J3" s="1"/>
      <c r="L3" s="44" t="s">
        <v>32</v>
      </c>
      <c r="M3" s="1">
        <v>0.3</v>
      </c>
      <c r="N3" s="1">
        <f t="shared" si="0"/>
        <v>0.7</v>
      </c>
    </row>
    <row r="4" spans="1:14">
      <c r="A4" s="1"/>
      <c r="B4" s="1">
        <v>3</v>
      </c>
      <c r="C4" s="1">
        <v>465.7</v>
      </c>
      <c r="D4" s="20">
        <v>3</v>
      </c>
      <c r="E4" s="1"/>
      <c r="F4" s="1"/>
      <c r="G4" s="68">
        <f>C4-$E$5</f>
        <v>18.099999999999966</v>
      </c>
      <c r="H4" s="1"/>
      <c r="I4" s="1"/>
      <c r="J4" s="1"/>
    </row>
    <row r="5" spans="1:14">
      <c r="A5" s="1"/>
      <c r="B5" s="1">
        <v>4</v>
      </c>
      <c r="C5" s="1">
        <v>461.9</v>
      </c>
      <c r="D5" s="20">
        <v>4</v>
      </c>
      <c r="E5" s="76">
        <f>AVERAGE(C2:C5)</f>
        <v>447.6</v>
      </c>
      <c r="F5" s="68">
        <f>((C6-C2)+(C7-C3)+(C8-C4)+(C9-C5))/16</f>
        <v>6.1000000000000014</v>
      </c>
      <c r="G5" s="76">
        <f>C5-$E$5</f>
        <v>14.299999999999955</v>
      </c>
      <c r="H5" s="1"/>
      <c r="I5" s="1"/>
      <c r="J5" s="1"/>
    </row>
    <row r="6" spans="1:14">
      <c r="A6" s="42">
        <v>2015</v>
      </c>
      <c r="B6" s="43">
        <v>1</v>
      </c>
      <c r="C6" s="25">
        <v>445.9</v>
      </c>
      <c r="D6" s="31">
        <v>5</v>
      </c>
      <c r="E6" s="10">
        <f>$M$1*(C6-G2)+$N$1*(E5+F5)</f>
        <v>473.2636</v>
      </c>
      <c r="F6" s="10">
        <f t="shared" ref="F6:F17" si="1">$M$2*(E6 -E5)+$N$2*F5</f>
        <v>7.1759979999999999</v>
      </c>
      <c r="G6" s="10">
        <f>$M$3*(C6-E6)+$N$3*G2</f>
        <v>-30.329080000000019</v>
      </c>
      <c r="H6" s="10">
        <f t="shared" ref="H6:H17" si="2">E5+F5+G2</f>
        <v>422.1</v>
      </c>
      <c r="I6" s="10">
        <f t="shared" ref="I6:I17" si="3">(C6-H6)^2</f>
        <v>566.43999999999778</v>
      </c>
      <c r="J6" s="10">
        <f t="shared" ref="J6:J17" si="4">ABS((C6-H6)/C6)*100</f>
        <v>5.3375196232338986</v>
      </c>
      <c r="L6" s="44" t="s">
        <v>19</v>
      </c>
      <c r="M6" s="44" t="s">
        <v>20</v>
      </c>
      <c r="N6" s="44" t="s">
        <v>21</v>
      </c>
    </row>
    <row r="7" spans="1:14">
      <c r="A7" s="11"/>
      <c r="B7" s="1">
        <v>2</v>
      </c>
      <c r="C7" s="10">
        <v>471.3</v>
      </c>
      <c r="D7" s="31">
        <v>6</v>
      </c>
      <c r="E7" s="10">
        <f t="shared" ref="E7:E17" si="5">$M$1*(C7-G3)+$N$1*(E6+F6)</f>
        <v>473.58444844400003</v>
      </c>
      <c r="F7" s="10">
        <f t="shared" si="1"/>
        <v>6.7989647744200017</v>
      </c>
      <c r="G7" s="10">
        <f t="shared" ref="G7:G17" si="6">$M$3*(C7-E7)+$N$3*G3</f>
        <v>-1.2453345332000141</v>
      </c>
      <c r="H7" s="10">
        <f t="shared" si="2"/>
        <v>479.63959799999998</v>
      </c>
      <c r="I7" s="10">
        <f t="shared" si="3"/>
        <v>69.548894801603439</v>
      </c>
      <c r="J7" s="10">
        <f t="shared" si="4"/>
        <v>1.7694882240611005</v>
      </c>
      <c r="L7" s="1">
        <f>AVERAGE(I6:I17)</f>
        <v>206.84797431519573</v>
      </c>
      <c r="M7" s="1">
        <f>SQRT(L7)</f>
        <v>14.382210341779727</v>
      </c>
      <c r="N7" s="1">
        <f>AVERAGE(J6:J17)</f>
        <v>2.4007592345008608</v>
      </c>
    </row>
    <row r="8" spans="1:14">
      <c r="A8" s="11"/>
      <c r="B8" s="1">
        <v>3</v>
      </c>
      <c r="C8" s="10">
        <v>486.6</v>
      </c>
      <c r="D8" s="31">
        <v>7</v>
      </c>
      <c r="E8" s="10">
        <f t="shared" si="5"/>
        <v>470.61524755287883</v>
      </c>
      <c r="F8" s="10">
        <f t="shared" si="1"/>
        <v>6.2617156628152353</v>
      </c>
      <c r="G8" s="10">
        <f t="shared" si="6"/>
        <v>17.465425734136332</v>
      </c>
      <c r="H8" s="10">
        <f t="shared" si="2"/>
        <v>498.48341321842003</v>
      </c>
      <c r="I8" s="10">
        <f t="shared" si="3"/>
        <v>141.21550971971925</v>
      </c>
      <c r="J8" s="10">
        <f t="shared" si="4"/>
        <v>2.4421317752609952</v>
      </c>
    </row>
    <row r="9" spans="1:14">
      <c r="A9" s="11"/>
      <c r="B9" s="1">
        <v>4</v>
      </c>
      <c r="C9" s="10">
        <v>484.2</v>
      </c>
      <c r="D9" s="31">
        <v>8</v>
      </c>
      <c r="E9" s="10">
        <f t="shared" si="5"/>
        <v>471.1418994523936</v>
      </c>
      <c r="F9" s="10">
        <f t="shared" si="1"/>
        <v>5.9462871558337103</v>
      </c>
      <c r="G9" s="10">
        <f t="shared" si="6"/>
        <v>13.927430164281883</v>
      </c>
      <c r="H9" s="10">
        <f t="shared" si="2"/>
        <v>491.176963215694</v>
      </c>
      <c r="I9" s="10">
        <f t="shared" si="3"/>
        <v>48.678015713147346</v>
      </c>
      <c r="J9" s="10">
        <f t="shared" si="4"/>
        <v>1.4409259016303209</v>
      </c>
    </row>
    <row r="10" spans="1:14">
      <c r="A10" s="42">
        <v>2016</v>
      </c>
      <c r="B10" s="43">
        <v>1</v>
      </c>
      <c r="C10" s="25">
        <v>449.2</v>
      </c>
      <c r="D10" s="31">
        <v>9</v>
      </c>
      <c r="E10" s="10">
        <f t="shared" si="5"/>
        <v>479.09460097626447</v>
      </c>
      <c r="F10" s="10">
        <f t="shared" si="1"/>
        <v>6.0566399460757534</v>
      </c>
      <c r="G10" s="10">
        <f t="shared" si="6"/>
        <v>-30.198736292879357</v>
      </c>
      <c r="H10" s="10">
        <f t="shared" si="2"/>
        <v>446.75910660822728</v>
      </c>
      <c r="I10" s="10">
        <f t="shared" si="3"/>
        <v>5.9579605499996555</v>
      </c>
      <c r="J10" s="10">
        <f t="shared" si="4"/>
        <v>0.54338677465999641</v>
      </c>
    </row>
    <row r="11" spans="1:14">
      <c r="A11" s="11"/>
      <c r="B11" s="1">
        <v>2</v>
      </c>
      <c r="C11" s="10">
        <v>483.2</v>
      </c>
      <c r="D11" s="31">
        <v>10</v>
      </c>
      <c r="E11" s="10">
        <f t="shared" si="5"/>
        <v>484.57098587046698</v>
      </c>
      <c r="F11" s="10">
        <f t="shared" si="1"/>
        <v>6.0247259182227246</v>
      </c>
      <c r="G11" s="10">
        <f t="shared" si="6"/>
        <v>-1.2830299343801084</v>
      </c>
      <c r="H11" s="10">
        <f t="shared" si="2"/>
        <v>483.90590638914017</v>
      </c>
      <c r="I11" s="10">
        <f t="shared" si="3"/>
        <v>0.49830383022893004</v>
      </c>
      <c r="J11" s="10">
        <f t="shared" si="4"/>
        <v>0.14608989841477277</v>
      </c>
    </row>
    <row r="12" spans="1:14">
      <c r="A12" s="11"/>
      <c r="B12" s="1">
        <v>3</v>
      </c>
      <c r="C12" s="10">
        <v>489.6</v>
      </c>
      <c r="D12" s="31">
        <v>11</v>
      </c>
      <c r="E12" s="10">
        <f t="shared" si="5"/>
        <v>475.42065674492676</v>
      </c>
      <c r="F12" s="10">
        <f t="shared" si="1"/>
        <v>5.1900978908157622</v>
      </c>
      <c r="G12" s="10">
        <f t="shared" si="6"/>
        <v>16.47960099041741</v>
      </c>
      <c r="H12" s="10">
        <f t="shared" si="2"/>
        <v>508.06113752282602</v>
      </c>
      <c r="I12" s="10">
        <f t="shared" si="3"/>
        <v>340.81359863669383</v>
      </c>
      <c r="J12" s="10">
        <f t="shared" si="4"/>
        <v>3.7706571737798185</v>
      </c>
    </row>
    <row r="13" spans="1:14">
      <c r="A13" s="11"/>
      <c r="B13" s="1">
        <v>4</v>
      </c>
      <c r="C13" s="10">
        <v>484.3</v>
      </c>
      <c r="D13" s="10">
        <v>12</v>
      </c>
      <c r="E13" s="10">
        <f t="shared" si="5"/>
        <v>472.19496673012247</v>
      </c>
      <c r="F13" s="10">
        <f t="shared" si="1"/>
        <v>4.7272295560066597</v>
      </c>
      <c r="G13" s="10">
        <f t="shared" si="6"/>
        <v>13.380711095960578</v>
      </c>
      <c r="H13" s="10">
        <f t="shared" si="2"/>
        <v>494.5381848000244</v>
      </c>
      <c r="I13" s="10">
        <f t="shared" si="3"/>
        <v>104.82042799945036</v>
      </c>
      <c r="J13" s="10">
        <f t="shared" si="4"/>
        <v>2.1140170968458363</v>
      </c>
    </row>
    <row r="14" spans="1:14">
      <c r="A14" s="42">
        <v>2017</v>
      </c>
      <c r="B14" s="43">
        <v>1</v>
      </c>
      <c r="C14" s="25">
        <v>476.5</v>
      </c>
      <c r="D14" s="31">
        <v>13</v>
      </c>
      <c r="E14" s="10">
        <f t="shared" si="5"/>
        <v>501.39851217167785</v>
      </c>
      <c r="F14" s="10">
        <f t="shared" si="1"/>
        <v>6.0734269297118395</v>
      </c>
      <c r="G14" s="70">
        <f t="shared" si="6"/>
        <v>-28.608669056518902</v>
      </c>
      <c r="H14" s="10">
        <f t="shared" si="2"/>
        <v>446.72345999324978</v>
      </c>
      <c r="I14" s="10">
        <f t="shared" si="3"/>
        <v>886.64233477359664</v>
      </c>
      <c r="J14" s="10">
        <f t="shared" si="4"/>
        <v>6.249011543914003</v>
      </c>
    </row>
    <row r="15" spans="1:14">
      <c r="A15" s="11"/>
      <c r="B15" s="1">
        <v>2</v>
      </c>
      <c r="C15" s="10">
        <v>507</v>
      </c>
      <c r="D15" s="10">
        <v>14</v>
      </c>
      <c r="E15" s="10">
        <f t="shared" si="5"/>
        <v>508.13865576610783</v>
      </c>
      <c r="F15" s="10">
        <f t="shared" si="1"/>
        <v>6.1100963462713365</v>
      </c>
      <c r="G15" s="70">
        <f t="shared" si="6"/>
        <v>-1.2397176838984252</v>
      </c>
      <c r="H15" s="10">
        <f t="shared" si="2"/>
        <v>506.18890916700957</v>
      </c>
      <c r="I15" s="10">
        <f t="shared" si="3"/>
        <v>0.65786833936111044</v>
      </c>
      <c r="J15" s="10">
        <f t="shared" si="4"/>
        <v>0.1599784680454498</v>
      </c>
    </row>
    <row r="16" spans="1:14">
      <c r="A16" s="11"/>
      <c r="B16" s="1">
        <v>3</v>
      </c>
      <c r="C16" s="10">
        <v>516.29999999999995</v>
      </c>
      <c r="D16" s="10">
        <v>15</v>
      </c>
      <c r="E16" s="10">
        <f t="shared" si="5"/>
        <v>502.38864586188038</v>
      </c>
      <c r="F16" s="10">
        <f t="shared" si="1"/>
        <v>5.4577905024939026</v>
      </c>
      <c r="G16" s="70">
        <f t="shared" si="6"/>
        <v>15.709126934728058</v>
      </c>
      <c r="H16" s="10">
        <f t="shared" si="2"/>
        <v>530.72835310279663</v>
      </c>
      <c r="I16" s="10">
        <f t="shared" si="3"/>
        <v>208.1773732589825</v>
      </c>
      <c r="J16" s="10">
        <f t="shared" si="4"/>
        <v>2.794567713111888</v>
      </c>
    </row>
    <row r="17" spans="1:10">
      <c r="A17" s="11"/>
      <c r="B17" s="1">
        <v>4</v>
      </c>
      <c r="C17" s="10">
        <v>510.8</v>
      </c>
      <c r="D17" s="10">
        <v>16</v>
      </c>
      <c r="E17" s="70">
        <f t="shared" si="5"/>
        <v>499.27532115197903</v>
      </c>
      <c r="F17" s="74">
        <f t="shared" si="1"/>
        <v>4.9863791658121634</v>
      </c>
      <c r="G17" s="70">
        <f t="shared" si="6"/>
        <v>12.8239014215787</v>
      </c>
      <c r="H17" s="10">
        <f t="shared" si="2"/>
        <v>521.22714746033489</v>
      </c>
      <c r="I17" s="10">
        <f t="shared" si="3"/>
        <v>108.72540415956813</v>
      </c>
      <c r="J17" s="10">
        <f t="shared" si="4"/>
        <v>2.0413366210522472</v>
      </c>
    </row>
    <row r="18" spans="1:10">
      <c r="A18" s="71">
        <v>2018</v>
      </c>
      <c r="B18" s="72">
        <v>1</v>
      </c>
      <c r="C18" s="72"/>
      <c r="D18" s="72"/>
      <c r="E18" s="72"/>
      <c r="F18" s="72"/>
      <c r="G18" s="72"/>
      <c r="H18" s="73">
        <f>$E$17+$F$17*1+G14</f>
        <v>475.65303126127225</v>
      </c>
      <c r="I18" s="10"/>
      <c r="J18" s="10"/>
    </row>
    <row r="19" spans="1:10">
      <c r="B19" s="72">
        <v>2</v>
      </c>
      <c r="H19" s="75">
        <f>$E$17+$F$17*2+G15</f>
        <v>508.00836179970491</v>
      </c>
      <c r="I19" s="10"/>
      <c r="J19" s="10"/>
    </row>
    <row r="20" spans="1:10">
      <c r="B20" s="72">
        <v>3</v>
      </c>
      <c r="H20" s="73">
        <f>$E$17+$F$17*3+G16</f>
        <v>529.94358558414353</v>
      </c>
      <c r="I20" s="10"/>
      <c r="J20" s="10"/>
    </row>
    <row r="21" spans="1:10">
      <c r="B21" s="72">
        <v>4</v>
      </c>
      <c r="H21" s="73">
        <f>$E$17+$F$17*4+G17</f>
        <v>532.04473923680644</v>
      </c>
      <c r="I21" s="10"/>
      <c r="J21" s="10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3"/>
  <sheetViews>
    <sheetView zoomScale="124" zoomScaleNormal="124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2.140625" bestFit="1" customWidth="1"/>
    <col min="2" max="2" width="7.85546875" customWidth="1"/>
    <col min="3" max="3" width="9.42578125" bestFit="1" customWidth="1"/>
    <col min="4" max="4" width="10.5703125" bestFit="1" customWidth="1"/>
    <col min="5" max="5" width="9.5703125" bestFit="1" customWidth="1"/>
    <col min="6" max="6" width="10.7109375" bestFit="1" customWidth="1"/>
    <col min="7" max="8" width="13.42578125" bestFit="1" customWidth="1"/>
    <col min="9" max="12" width="13.42578125" customWidth="1"/>
  </cols>
  <sheetData>
    <row r="1" spans="1:24">
      <c r="A1" s="29" t="s">
        <v>17</v>
      </c>
      <c r="B1" s="29" t="s">
        <v>78</v>
      </c>
      <c r="C1" s="29" t="s">
        <v>72</v>
      </c>
      <c r="D1" s="29" t="s">
        <v>73</v>
      </c>
      <c r="E1" s="29" t="s">
        <v>74</v>
      </c>
      <c r="F1" s="29" t="s">
        <v>75</v>
      </c>
      <c r="G1" s="29" t="s">
        <v>76</v>
      </c>
      <c r="H1" s="29" t="s">
        <v>77</v>
      </c>
      <c r="I1" s="29" t="s">
        <v>28</v>
      </c>
      <c r="J1" s="29" t="s">
        <v>21</v>
      </c>
      <c r="P1" s="26" t="s">
        <v>2</v>
      </c>
      <c r="Q1" s="26" t="s">
        <v>3</v>
      </c>
      <c r="R1" s="26" t="s">
        <v>32</v>
      </c>
    </row>
    <row r="2" spans="1:24">
      <c r="A2" s="1">
        <v>2016</v>
      </c>
      <c r="B2" s="1">
        <v>1</v>
      </c>
      <c r="C2" s="1">
        <v>1</v>
      </c>
      <c r="D2" s="1">
        <v>362</v>
      </c>
      <c r="E2" s="1"/>
      <c r="F2" s="1"/>
      <c r="G2" s="69">
        <f>D2/$E$5</f>
        <v>0.95263157894736838</v>
      </c>
      <c r="H2" s="1"/>
      <c r="I2" s="1"/>
      <c r="J2" s="1"/>
      <c r="K2" s="22"/>
      <c r="L2" s="22"/>
      <c r="P2" s="1">
        <v>0.25</v>
      </c>
      <c r="Q2" s="1">
        <v>0.8</v>
      </c>
      <c r="R2" s="1">
        <v>0.7</v>
      </c>
    </row>
    <row r="3" spans="1:24">
      <c r="A3" s="1"/>
      <c r="B3" s="1">
        <v>2</v>
      </c>
      <c r="C3" s="1">
        <v>2</v>
      </c>
      <c r="D3" s="1">
        <v>385</v>
      </c>
      <c r="E3" s="1"/>
      <c r="F3" s="1"/>
      <c r="G3" s="69">
        <f>D3/$E$5</f>
        <v>1.013157894736842</v>
      </c>
      <c r="H3" s="1"/>
      <c r="I3" s="1"/>
      <c r="J3" s="1"/>
      <c r="K3" s="22"/>
      <c r="L3" s="22"/>
      <c r="P3" s="1">
        <f>1-P2</f>
        <v>0.75</v>
      </c>
      <c r="Q3" s="1">
        <f t="shared" ref="Q3:R3" si="0">1-Q2</f>
        <v>0.19999999999999996</v>
      </c>
      <c r="R3" s="1">
        <f t="shared" si="0"/>
        <v>0.30000000000000004</v>
      </c>
    </row>
    <row r="4" spans="1:24">
      <c r="A4" s="1"/>
      <c r="B4" s="1">
        <v>3</v>
      </c>
      <c r="C4" s="1">
        <v>3</v>
      </c>
      <c r="D4" s="1">
        <v>432</v>
      </c>
      <c r="E4" s="1"/>
      <c r="F4" s="1"/>
      <c r="G4" s="69">
        <f>D4/$E$5</f>
        <v>1.1368421052631579</v>
      </c>
      <c r="H4" s="1"/>
      <c r="I4" s="1"/>
      <c r="J4" s="1"/>
      <c r="K4" s="22"/>
      <c r="L4" s="22"/>
      <c r="U4" t="s">
        <v>139</v>
      </c>
    </row>
    <row r="5" spans="1:24">
      <c r="A5" s="1"/>
      <c r="B5" s="1">
        <v>4</v>
      </c>
      <c r="C5" s="1">
        <v>4</v>
      </c>
      <c r="D5" s="1">
        <v>341</v>
      </c>
      <c r="E5" s="68">
        <f>AVERAGE(D2:D5)</f>
        <v>380</v>
      </c>
      <c r="F5" s="68">
        <f>((D6-D2)+(D7-D3)+(D8-D4)+(D9-D5))/16</f>
        <v>9.75</v>
      </c>
      <c r="G5" s="69">
        <f>D5/$E$5</f>
        <v>0.89736842105263159</v>
      </c>
      <c r="H5" s="1"/>
      <c r="I5" s="1"/>
      <c r="J5" s="1"/>
      <c r="K5" s="22"/>
      <c r="L5" s="22"/>
      <c r="Q5" s="100" t="s">
        <v>138</v>
      </c>
      <c r="R5" s="100"/>
      <c r="S5" s="100"/>
    </row>
    <row r="6" spans="1:24">
      <c r="A6" s="1">
        <v>2017</v>
      </c>
      <c r="B6" s="1">
        <v>1</v>
      </c>
      <c r="C6" s="1">
        <v>5</v>
      </c>
      <c r="D6" s="1">
        <v>382</v>
      </c>
      <c r="E6" s="3">
        <f>$P$2*(D6/G2)+$P$3*(E5+F5)</f>
        <v>392.56111878453038</v>
      </c>
      <c r="F6" s="3">
        <f>$Q$2*(E6-E5)+$Q$3*F5</f>
        <v>11.998895027624304</v>
      </c>
      <c r="G6" s="9">
        <f>$R$2*(D6/E6)+$R$3*G2</f>
        <v>0.96695728986513729</v>
      </c>
      <c r="H6" s="3">
        <f t="shared" ref="H6:H17" si="1">(E5+F5)*G2</f>
        <v>371.28815789473686</v>
      </c>
      <c r="I6" s="3">
        <f t="shared" ref="I6:I17" si="2">(D6-H6)^2</f>
        <v>114.74356128808836</v>
      </c>
      <c r="J6" s="3">
        <f t="shared" ref="J6:J17" si="3">ABS((D6-H6)/D6)*100</f>
        <v>2.8041471479746454</v>
      </c>
      <c r="K6" s="34" t="s">
        <v>18</v>
      </c>
      <c r="L6" s="34" t="s">
        <v>19</v>
      </c>
      <c r="M6" s="26" t="s">
        <v>20</v>
      </c>
      <c r="N6" s="26" t="s">
        <v>21</v>
      </c>
      <c r="P6" s="1" t="s">
        <v>22</v>
      </c>
      <c r="Q6" s="26" t="s">
        <v>2</v>
      </c>
      <c r="R6" s="26" t="s">
        <v>3</v>
      </c>
      <c r="S6" s="26" t="s">
        <v>32</v>
      </c>
      <c r="T6" s="26" t="s">
        <v>21</v>
      </c>
      <c r="V6" t="s">
        <v>140</v>
      </c>
    </row>
    <row r="7" spans="1:24">
      <c r="A7" s="1"/>
      <c r="B7" s="1">
        <v>2</v>
      </c>
      <c r="C7" s="1">
        <v>6</v>
      </c>
      <c r="D7" s="1">
        <v>409</v>
      </c>
      <c r="E7" s="3">
        <f t="shared" ref="E7:E17" si="4">$P$2*(D7/G3)+$P$3*(E6+F6)</f>
        <v>404.34208828119392</v>
      </c>
      <c r="F7" s="3">
        <f t="shared" ref="F7:F17" si="5">$Q$2*(E7-E6)+$Q$3*F6</f>
        <v>11.824554602855695</v>
      </c>
      <c r="G7" s="9">
        <f t="shared" ref="G7:G17" si="6">$R$2*(D7/E7)+$R$3*G3</f>
        <v>1.0120111794802091</v>
      </c>
      <c r="H7" s="3">
        <f t="shared" si="1"/>
        <v>409.88317188863039</v>
      </c>
      <c r="I7" s="3">
        <f t="shared" si="2"/>
        <v>0.7799925848669631</v>
      </c>
      <c r="J7" s="3">
        <f t="shared" si="3"/>
        <v>0.21593444709789392</v>
      </c>
      <c r="K7" s="3">
        <f>SUM(I6:I17)</f>
        <v>4063.3232584264974</v>
      </c>
      <c r="L7" s="3">
        <f>AVERAGE(I6:I17)</f>
        <v>338.61027153554147</v>
      </c>
      <c r="M7" s="9">
        <f>SQRT(L7)</f>
        <v>18.401366023628285</v>
      </c>
      <c r="N7" s="9">
        <f>AVERAGE(J6:J17)</f>
        <v>3.0250269249279</v>
      </c>
      <c r="P7" s="1">
        <v>1</v>
      </c>
      <c r="Q7" s="1">
        <v>0.8</v>
      </c>
      <c r="R7" s="1">
        <v>0.65</v>
      </c>
      <c r="S7" s="1">
        <v>0.75</v>
      </c>
      <c r="T7" s="9">
        <v>3.2183112335221113</v>
      </c>
      <c r="V7" s="26" t="s">
        <v>2</v>
      </c>
      <c r="W7" s="26" t="s">
        <v>3</v>
      </c>
      <c r="X7" s="26" t="s">
        <v>32</v>
      </c>
    </row>
    <row r="8" spans="1:24">
      <c r="A8" s="1"/>
      <c r="B8" s="1">
        <v>3</v>
      </c>
      <c r="C8" s="1">
        <v>7</v>
      </c>
      <c r="D8" s="1">
        <v>498</v>
      </c>
      <c r="E8" s="3">
        <f t="shared" si="4"/>
        <v>421.63887105192612</v>
      </c>
      <c r="F8" s="3">
        <f t="shared" si="5"/>
        <v>16.202337137156892</v>
      </c>
      <c r="G8" s="9">
        <f t="shared" si="6"/>
        <v>1.1678264988229587</v>
      </c>
      <c r="H8" s="3">
        <f t="shared" si="1"/>
        <v>473.11576243660375</v>
      </c>
      <c r="I8" s="3">
        <f t="shared" si="2"/>
        <v>619.22527911154123</v>
      </c>
      <c r="J8" s="3">
        <f t="shared" si="3"/>
        <v>4.9968348520876011</v>
      </c>
      <c r="K8" s="17"/>
      <c r="L8" s="17"/>
      <c r="P8" s="62">
        <v>2</v>
      </c>
      <c r="Q8" s="62">
        <v>0.6</v>
      </c>
      <c r="R8" s="62">
        <v>0.69</v>
      </c>
      <c r="S8" s="62">
        <v>0.42</v>
      </c>
      <c r="T8" s="62">
        <v>2.7559999999999998</v>
      </c>
      <c r="V8" s="62">
        <v>0.6</v>
      </c>
      <c r="W8" s="62">
        <v>0.69</v>
      </c>
      <c r="X8" s="62">
        <v>0.42</v>
      </c>
    </row>
    <row r="9" spans="1:24">
      <c r="A9" s="1"/>
      <c r="B9" s="1">
        <v>4</v>
      </c>
      <c r="C9" s="1">
        <v>8</v>
      </c>
      <c r="D9" s="1">
        <v>387</v>
      </c>
      <c r="E9" s="3">
        <f t="shared" si="4"/>
        <v>436.19615540867443</v>
      </c>
      <c r="F9" s="3">
        <f t="shared" si="5"/>
        <v>14.886294912830028</v>
      </c>
      <c r="G9" s="9">
        <f t="shared" si="6"/>
        <v>0.89026139217267075</v>
      </c>
      <c r="H9" s="3">
        <f t="shared" si="1"/>
        <v>392.90487366441397</v>
      </c>
      <c r="I9" s="3">
        <f t="shared" si="2"/>
        <v>34.867532992689661</v>
      </c>
      <c r="J9" s="3">
        <f t="shared" si="3"/>
        <v>1.5258071484273823</v>
      </c>
      <c r="K9" s="17"/>
      <c r="L9" s="17"/>
      <c r="P9" s="1">
        <v>3</v>
      </c>
      <c r="Q9" s="1">
        <v>0.5</v>
      </c>
      <c r="R9" s="1">
        <v>0.7</v>
      </c>
      <c r="S9" s="1">
        <v>0.8</v>
      </c>
      <c r="T9" s="20">
        <v>3.0049999999999999</v>
      </c>
    </row>
    <row r="10" spans="1:24">
      <c r="A10" s="1">
        <v>2018</v>
      </c>
      <c r="B10" s="1">
        <v>1</v>
      </c>
      <c r="C10" s="1">
        <v>9</v>
      </c>
      <c r="D10" s="1">
        <v>473</v>
      </c>
      <c r="E10" s="3">
        <f t="shared" si="4"/>
        <v>460.60265786255525</v>
      </c>
      <c r="F10" s="3">
        <f t="shared" si="5"/>
        <v>22.502460945670663</v>
      </c>
      <c r="G10" s="9">
        <f t="shared" si="6"/>
        <v>1.0089280237373457</v>
      </c>
      <c r="H10" s="3">
        <f t="shared" si="1"/>
        <v>436.17746366860734</v>
      </c>
      <c r="I10" s="3">
        <f t="shared" si="2"/>
        <v>1355.899181876732</v>
      </c>
      <c r="J10" s="3">
        <f t="shared" si="3"/>
        <v>7.784891401985762</v>
      </c>
      <c r="K10" s="17"/>
      <c r="L10" s="17"/>
      <c r="P10" s="1">
        <v>4</v>
      </c>
      <c r="Q10" s="1">
        <v>0.78</v>
      </c>
      <c r="R10" s="1">
        <v>0.96</v>
      </c>
      <c r="S10" s="1">
        <v>0.13</v>
      </c>
      <c r="T10" s="20">
        <v>4.085</v>
      </c>
    </row>
    <row r="11" spans="1:24">
      <c r="A11" s="1"/>
      <c r="B11" s="1">
        <v>2</v>
      </c>
      <c r="C11" s="1">
        <v>10</v>
      </c>
      <c r="D11" s="1">
        <v>513</v>
      </c>
      <c r="E11" s="3">
        <f t="shared" si="4"/>
        <v>489.05668816597131</v>
      </c>
      <c r="F11" s="3">
        <f t="shared" si="5"/>
        <v>27.263716431866982</v>
      </c>
      <c r="G11" s="9">
        <f t="shared" si="6"/>
        <v>1.0378740604704735</v>
      </c>
      <c r="H11" s="3">
        <f t="shared" si="1"/>
        <v>488.90778109803932</v>
      </c>
      <c r="I11" s="3">
        <f t="shared" si="2"/>
        <v>580.43501161999131</v>
      </c>
      <c r="J11" s="3">
        <f t="shared" si="3"/>
        <v>4.696338967243797</v>
      </c>
      <c r="K11" s="17"/>
      <c r="L11" s="17"/>
      <c r="P11" s="20">
        <v>5</v>
      </c>
      <c r="Q11" s="1">
        <v>0.12</v>
      </c>
      <c r="R11" s="1">
        <v>0.54</v>
      </c>
      <c r="S11" s="1">
        <v>0.6</v>
      </c>
      <c r="T11" s="64">
        <v>3.214</v>
      </c>
    </row>
    <row r="12" spans="1:24">
      <c r="A12" s="1"/>
      <c r="B12" s="1">
        <v>3</v>
      </c>
      <c r="C12" s="1">
        <v>11</v>
      </c>
      <c r="D12" s="1">
        <v>582</v>
      </c>
      <c r="E12" s="3">
        <f t="shared" si="4"/>
        <v>511.83072860712286</v>
      </c>
      <c r="F12" s="3">
        <f t="shared" si="5"/>
        <v>23.67197563929464</v>
      </c>
      <c r="G12" s="9">
        <f t="shared" si="6"/>
        <v>1.146314227616722</v>
      </c>
      <c r="H12" s="3">
        <f t="shared" si="1"/>
        <v>602.97265037234706</v>
      </c>
      <c r="I12" s="3">
        <f t="shared" si="2"/>
        <v>439.85206364070933</v>
      </c>
      <c r="J12" s="3">
        <f t="shared" si="3"/>
        <v>3.6035481739427944</v>
      </c>
      <c r="K12" s="17"/>
      <c r="L12" s="17"/>
    </row>
    <row r="13" spans="1:24">
      <c r="A13" s="1"/>
      <c r="B13" s="1">
        <v>4</v>
      </c>
      <c r="C13" s="1">
        <v>12</v>
      </c>
      <c r="D13" s="1">
        <v>474</v>
      </c>
      <c r="E13" s="3">
        <f t="shared" si="4"/>
        <v>534.7340022060074</v>
      </c>
      <c r="F13" s="3">
        <f t="shared" si="5"/>
        <v>23.057014006966561</v>
      </c>
      <c r="G13" s="9">
        <f t="shared" si="6"/>
        <v>0.8875738389849922</v>
      </c>
      <c r="H13" s="3">
        <f t="shared" si="1"/>
        <v>476.7373829946456</v>
      </c>
      <c r="I13" s="3">
        <f t="shared" si="2"/>
        <v>7.4932656593749121</v>
      </c>
      <c r="J13" s="3">
        <f t="shared" si="3"/>
        <v>0.5775069608956962</v>
      </c>
      <c r="K13" s="17"/>
      <c r="L13" s="17"/>
    </row>
    <row r="14" spans="1:24">
      <c r="A14" s="1">
        <v>2019</v>
      </c>
      <c r="B14" s="1">
        <v>1</v>
      </c>
      <c r="C14" s="1">
        <v>13</v>
      </c>
      <c r="D14" s="1">
        <v>544</v>
      </c>
      <c r="E14" s="3">
        <f t="shared" si="4"/>
        <v>553.139795510265</v>
      </c>
      <c r="F14" s="3">
        <f t="shared" si="5"/>
        <v>19.336037444799391</v>
      </c>
      <c r="G14" s="66">
        <f t="shared" si="6"/>
        <v>0.99111196965075643</v>
      </c>
      <c r="H14" s="3">
        <f t="shared" si="1"/>
        <v>562.77098764620166</v>
      </c>
      <c r="I14" s="3">
        <f t="shared" si="2"/>
        <v>352.34997721385537</v>
      </c>
      <c r="J14" s="3">
        <f t="shared" si="3"/>
        <v>3.4505491996694229</v>
      </c>
      <c r="K14" s="17"/>
      <c r="L14" s="17"/>
    </row>
    <row r="15" spans="1:24">
      <c r="A15" s="1"/>
      <c r="B15" s="1">
        <v>2</v>
      </c>
      <c r="C15" s="1">
        <v>14</v>
      </c>
      <c r="D15" s="1">
        <v>582</v>
      </c>
      <c r="E15" s="3">
        <f t="shared" si="4"/>
        <v>569.54729428805649</v>
      </c>
      <c r="F15" s="3">
        <f t="shared" si="5"/>
        <v>16.993206511193069</v>
      </c>
      <c r="G15" s="66">
        <f t="shared" si="6"/>
        <v>1.0266671701368437</v>
      </c>
      <c r="H15" s="3">
        <f t="shared" si="1"/>
        <v>594.15781727028923</v>
      </c>
      <c r="I15" s="3">
        <f t="shared" si="2"/>
        <v>147.81252077774303</v>
      </c>
      <c r="J15" s="3">
        <f t="shared" si="3"/>
        <v>2.088972039568596</v>
      </c>
      <c r="K15" s="17"/>
      <c r="L15" s="17"/>
    </row>
    <row r="16" spans="1:24">
      <c r="A16" s="1"/>
      <c r="B16" s="1">
        <v>3</v>
      </c>
      <c r="C16" s="1">
        <v>15</v>
      </c>
      <c r="D16" s="1">
        <v>681</v>
      </c>
      <c r="E16" s="3">
        <f t="shared" si="4"/>
        <v>588.42486170401367</v>
      </c>
      <c r="F16" s="3">
        <f t="shared" si="5"/>
        <v>18.500695235004354</v>
      </c>
      <c r="G16" s="66">
        <f t="shared" si="6"/>
        <v>1.154023192170947</v>
      </c>
      <c r="H16" s="3">
        <f t="shared" si="1"/>
        <v>672.35972113961702</v>
      </c>
      <c r="I16" s="3">
        <f t="shared" si="2"/>
        <v>74.654418785180965</v>
      </c>
      <c r="J16" s="3">
        <f t="shared" si="3"/>
        <v>1.2687634156215826</v>
      </c>
      <c r="K16" s="17"/>
      <c r="L16" s="17"/>
    </row>
    <row r="17" spans="1:12">
      <c r="A17" s="1"/>
      <c r="B17" s="1">
        <v>4</v>
      </c>
      <c r="C17" s="1">
        <v>16</v>
      </c>
      <c r="D17" s="1">
        <v>557</v>
      </c>
      <c r="E17" s="59">
        <f t="shared" si="4"/>
        <v>612.08252322321721</v>
      </c>
      <c r="F17" s="65">
        <f t="shared" si="5"/>
        <v>22.626268262363705</v>
      </c>
      <c r="G17" s="66">
        <f t="shared" si="6"/>
        <v>0.90327775993732851</v>
      </c>
      <c r="H17" s="3">
        <f t="shared" si="1"/>
        <v>538.69124655046869</v>
      </c>
      <c r="I17" s="3">
        <f t="shared" si="2"/>
        <v>335.21045287572463</v>
      </c>
      <c r="J17" s="3">
        <f t="shared" si="3"/>
        <v>3.2870293446196248</v>
      </c>
      <c r="K17" s="17"/>
      <c r="L17" s="17"/>
    </row>
    <row r="18" spans="1:12">
      <c r="A18" s="35">
        <v>2020</v>
      </c>
      <c r="B18" s="8">
        <v>1</v>
      </c>
      <c r="C18" s="8"/>
      <c r="D18" s="8"/>
      <c r="E18" s="8"/>
      <c r="F18" s="8"/>
      <c r="G18" s="36"/>
      <c r="H18" s="36">
        <f>($E$17+$F$17*1)*G14</f>
        <v>629.06748048392535</v>
      </c>
      <c r="I18" s="17"/>
      <c r="J18" s="17"/>
      <c r="K18" s="17"/>
      <c r="L18" s="17"/>
    </row>
    <row r="19" spans="1:12">
      <c r="A19" s="1"/>
      <c r="B19" s="1">
        <v>2</v>
      </c>
      <c r="C19" s="1"/>
      <c r="D19" s="1"/>
      <c r="E19" s="1"/>
      <c r="F19" s="1"/>
      <c r="G19" s="9"/>
      <c r="H19" s="37">
        <f>($E$17+$F$17*2)*G15</f>
        <v>674.86432562315531</v>
      </c>
      <c r="I19" s="17"/>
      <c r="J19" s="17"/>
      <c r="K19" s="17"/>
      <c r="L19" s="17"/>
    </row>
    <row r="20" spans="1:12">
      <c r="A20" s="1"/>
      <c r="B20" s="1">
        <v>3</v>
      </c>
      <c r="C20" s="1"/>
      <c r="D20" s="1"/>
      <c r="E20" s="1"/>
      <c r="F20" s="1"/>
      <c r="G20" s="9"/>
      <c r="H20" s="37">
        <f>($E$17+$F$17*3)*G16</f>
        <v>784.69114230325226</v>
      </c>
      <c r="I20" s="17"/>
      <c r="J20" s="17"/>
      <c r="K20" s="17"/>
      <c r="L20" s="17"/>
    </row>
    <row r="21" spans="1:12">
      <c r="A21" s="1"/>
      <c r="B21" s="1">
        <v>4</v>
      </c>
      <c r="C21" s="1"/>
      <c r="D21" s="1"/>
      <c r="E21" s="1"/>
      <c r="F21" s="1"/>
      <c r="G21" s="9"/>
      <c r="H21" s="37">
        <f>($E$17+$F$17*4)*G17</f>
        <v>634.63175012093131</v>
      </c>
      <c r="I21" s="17"/>
      <c r="J21" s="17"/>
      <c r="K21" s="17"/>
      <c r="L21" s="17"/>
    </row>
    <row r="22" spans="1:12">
      <c r="G22" s="32"/>
    </row>
    <row r="23" spans="1:12">
      <c r="G23" s="32"/>
    </row>
  </sheetData>
  <mergeCells count="1">
    <mergeCell ref="Q5:S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1"/>
  <sheetViews>
    <sheetView workbookViewId="0">
      <selection activeCell="G5" sqref="G5"/>
    </sheetView>
  </sheetViews>
  <sheetFormatPr defaultRowHeight="15"/>
  <cols>
    <col min="1" max="1" width="12.140625" bestFit="1" customWidth="1"/>
    <col min="2" max="2" width="7.85546875" customWidth="1"/>
    <col min="3" max="3" width="9.42578125" bestFit="1" customWidth="1"/>
    <col min="4" max="4" width="10.5703125" bestFit="1" customWidth="1"/>
    <col min="5" max="5" width="7.7109375" customWidth="1"/>
    <col min="6" max="6" width="9.5703125" bestFit="1" customWidth="1"/>
    <col min="7" max="7" width="10.7109375" bestFit="1" customWidth="1"/>
    <col min="8" max="8" width="5.5703125" customWidth="1"/>
    <col min="9" max="10" width="13.42578125" bestFit="1" customWidth="1"/>
    <col min="11" max="15" width="13.42578125" style="22" customWidth="1"/>
    <col min="16" max="16" width="9.140625" style="22"/>
  </cols>
  <sheetData>
    <row r="1" spans="1:21" ht="18.75">
      <c r="A1" s="29" t="s">
        <v>17</v>
      </c>
      <c r="B1" s="29" t="s">
        <v>78</v>
      </c>
      <c r="C1" s="29" t="s">
        <v>72</v>
      </c>
      <c r="D1" s="29" t="s">
        <v>73</v>
      </c>
      <c r="E1" s="29" t="s">
        <v>79</v>
      </c>
      <c r="F1" s="29" t="s">
        <v>74</v>
      </c>
      <c r="G1" s="29" t="s">
        <v>75</v>
      </c>
      <c r="H1" s="29" t="s">
        <v>80</v>
      </c>
      <c r="I1" s="29" t="s">
        <v>76</v>
      </c>
      <c r="J1" s="29" t="s">
        <v>77</v>
      </c>
      <c r="K1" s="29" t="s">
        <v>28</v>
      </c>
      <c r="L1" s="29" t="s">
        <v>21</v>
      </c>
      <c r="S1" s="26" t="s">
        <v>2</v>
      </c>
      <c r="T1" s="26" t="s">
        <v>3</v>
      </c>
      <c r="U1" s="26" t="s">
        <v>32</v>
      </c>
    </row>
    <row r="2" spans="1:21">
      <c r="A2" s="1">
        <v>2014</v>
      </c>
      <c r="B2" s="1">
        <v>1</v>
      </c>
      <c r="C2" s="1">
        <v>1</v>
      </c>
      <c r="D2" s="1">
        <v>362</v>
      </c>
      <c r="E2" s="1">
        <f>D6-D2</f>
        <v>20</v>
      </c>
      <c r="F2" s="1"/>
      <c r="G2" s="1"/>
      <c r="H2" s="1"/>
      <c r="I2" s="9">
        <f>D2/$F$5</f>
        <v>0.95263157894736838</v>
      </c>
      <c r="J2" s="1"/>
      <c r="K2" s="1"/>
      <c r="L2" s="1"/>
      <c r="S2" s="1">
        <v>0.82199999999999995</v>
      </c>
      <c r="T2" s="1">
        <v>5.5E-2</v>
      </c>
      <c r="U2" s="1">
        <v>0.3</v>
      </c>
    </row>
    <row r="3" spans="1:21">
      <c r="A3" s="1"/>
      <c r="B3" s="1">
        <v>2</v>
      </c>
      <c r="C3" s="1">
        <v>2</v>
      </c>
      <c r="D3" s="1">
        <v>385</v>
      </c>
      <c r="E3" s="1">
        <f>D7-D3</f>
        <v>24</v>
      </c>
      <c r="F3" s="1"/>
      <c r="G3" s="1"/>
      <c r="H3" s="1"/>
      <c r="I3" s="9">
        <f>D3/$F$5</f>
        <v>1.013157894736842</v>
      </c>
      <c r="J3" s="1"/>
      <c r="K3" s="1"/>
      <c r="L3" s="1"/>
      <c r="S3" s="1">
        <f>1-S2</f>
        <v>0.17800000000000005</v>
      </c>
      <c r="T3" s="1">
        <f t="shared" ref="T3:U3" si="0">1-T2</f>
        <v>0.94499999999999995</v>
      </c>
      <c r="U3" s="1">
        <f t="shared" si="0"/>
        <v>0.7</v>
      </c>
    </row>
    <row r="4" spans="1:21">
      <c r="A4" s="1"/>
      <c r="B4" s="1">
        <v>3</v>
      </c>
      <c r="C4" s="1">
        <v>3</v>
      </c>
      <c r="D4" s="1">
        <v>432</v>
      </c>
      <c r="E4" s="1">
        <f>D8-D4</f>
        <v>66</v>
      </c>
      <c r="F4" s="1"/>
      <c r="G4" s="1"/>
      <c r="H4" s="1"/>
      <c r="I4" s="9">
        <f>D4/$F$5</f>
        <v>1.1368421052631579</v>
      </c>
      <c r="J4" s="1"/>
      <c r="K4" s="1"/>
      <c r="L4" s="1"/>
    </row>
    <row r="5" spans="1:21">
      <c r="A5" s="1"/>
      <c r="B5" s="1">
        <v>4</v>
      </c>
      <c r="C5" s="1">
        <v>4</v>
      </c>
      <c r="D5" s="1">
        <v>341</v>
      </c>
      <c r="E5" s="1">
        <f>D9-D5</f>
        <v>46</v>
      </c>
      <c r="F5" s="1">
        <f>AVERAGE(D2:D5)</f>
        <v>380</v>
      </c>
      <c r="G5" s="1">
        <f>SUM(E2:E5)/4^2</f>
        <v>9.75</v>
      </c>
      <c r="H5" s="1"/>
      <c r="I5" s="9">
        <f>D5/$F$5</f>
        <v>0.89736842105263159</v>
      </c>
      <c r="J5" s="1"/>
      <c r="K5" s="1"/>
      <c r="L5" s="1"/>
    </row>
    <row r="6" spans="1:21">
      <c r="A6" s="1">
        <v>2015</v>
      </c>
      <c r="B6" s="1">
        <v>1</v>
      </c>
      <c r="C6" s="1">
        <v>5</v>
      </c>
      <c r="D6" s="1">
        <v>382</v>
      </c>
      <c r="E6" s="1"/>
      <c r="F6" s="3">
        <f>$S$2*(D6/H6)+$S$3*(F5+G5)</f>
        <v>398.99295856353592</v>
      </c>
      <c r="G6" s="3">
        <f>$T$2*(F6-F5)+$T$3*G5</f>
        <v>10.258362720994475</v>
      </c>
      <c r="H6" s="9">
        <f>I2</f>
        <v>0.95263157894736838</v>
      </c>
      <c r="I6" s="9">
        <f>$U$2*(D6/F6)+$U$3*H6</f>
        <v>0.95406521920628529</v>
      </c>
      <c r="J6" s="3">
        <f>(F5+G5)*H6</f>
        <v>371.28815789473686</v>
      </c>
      <c r="K6" s="3">
        <f>(D6-J6)^2</f>
        <v>114.74356128808836</v>
      </c>
      <c r="L6" s="3">
        <f>ABS((D6-J6)/D6)*100</f>
        <v>2.8041471479746454</v>
      </c>
      <c r="N6" s="34" t="s">
        <v>19</v>
      </c>
      <c r="O6" s="26" t="s">
        <v>20</v>
      </c>
      <c r="P6" s="26" t="s">
        <v>21</v>
      </c>
    </row>
    <row r="7" spans="1:21">
      <c r="A7" s="1"/>
      <c r="B7" s="1">
        <v>2</v>
      </c>
      <c r="C7" s="1">
        <v>6</v>
      </c>
      <c r="D7" s="1">
        <v>409</v>
      </c>
      <c r="E7" s="1"/>
      <c r="F7" s="3">
        <f t="shared" ref="F7:F25" si="1">$S$2*(D7/H7)+$S$3*(F6+G6)</f>
        <v>404.67852739643865</v>
      </c>
      <c r="G7" s="3">
        <f t="shared" ref="G7:G25" si="2">$T$2*(F7-F6)+$T$3*G6</f>
        <v>10.006859057149429</v>
      </c>
      <c r="H7" s="9">
        <f t="shared" ref="H7:H25" si="3">I3</f>
        <v>1.013157894736842</v>
      </c>
      <c r="I7" s="9">
        <f t="shared" ref="I7:I25" si="4">$U$2*(D7/F7)+$U$3*H7</f>
        <v>1.0124141600479997</v>
      </c>
      <c r="J7" s="3">
        <f t="shared" ref="J7:J25" si="5">(F6+G6)*H7</f>
        <v>414.63620709090577</v>
      </c>
      <c r="K7" s="3">
        <f t="shared" ref="K7:K25" si="6">(D7-J7)^2</f>
        <v>31.766830371576489</v>
      </c>
      <c r="L7" s="3">
        <f t="shared" ref="L7:L25" si="7">ABS((D7-J7)/D7)*100</f>
        <v>1.3780457434977433</v>
      </c>
      <c r="N7" s="3">
        <f>AVERAGE(K6:K25)</f>
        <v>642.3889568387267</v>
      </c>
      <c r="O7" s="30">
        <f>SQRT(N7)</f>
        <v>25.3453932074199</v>
      </c>
      <c r="P7" s="30">
        <f>AVERAGE(L6:L25)</f>
        <v>3.5605477484671524</v>
      </c>
    </row>
    <row r="8" spans="1:21">
      <c r="A8" s="1"/>
      <c r="B8" s="1">
        <v>3</v>
      </c>
      <c r="C8" s="1">
        <v>7</v>
      </c>
      <c r="D8" s="1">
        <v>498</v>
      </c>
      <c r="E8" s="1"/>
      <c r="F8" s="3">
        <f t="shared" si="1"/>
        <v>433.89566545540538</v>
      </c>
      <c r="G8" s="3">
        <f t="shared" si="2"/>
        <v>11.06342440224938</v>
      </c>
      <c r="H8" s="9">
        <f t="shared" si="3"/>
        <v>1.1368421052631579</v>
      </c>
      <c r="I8" s="9">
        <f t="shared" si="4"/>
        <v>1.1401118808767177</v>
      </c>
      <c r="J8" s="3">
        <f t="shared" si="5"/>
        <v>471.43180775776329</v>
      </c>
      <c r="K8" s="3">
        <f t="shared" si="6"/>
        <v>705.86883902044667</v>
      </c>
      <c r="L8" s="3">
        <f t="shared" si="7"/>
        <v>5.3349783618949207</v>
      </c>
    </row>
    <row r="9" spans="1:21">
      <c r="A9" s="1"/>
      <c r="B9" s="1">
        <v>4</v>
      </c>
      <c r="C9" s="1">
        <v>8</v>
      </c>
      <c r="D9" s="1">
        <v>387</v>
      </c>
      <c r="E9" s="1"/>
      <c r="F9" s="3">
        <f t="shared" si="1"/>
        <v>433.69925758410534</v>
      </c>
      <c r="G9" s="3">
        <f t="shared" si="2"/>
        <v>10.444133627204161</v>
      </c>
      <c r="H9" s="9">
        <f t="shared" si="3"/>
        <v>0.89736842105263159</v>
      </c>
      <c r="I9" s="9">
        <f t="shared" si="4"/>
        <v>0.89585491743115742</v>
      </c>
      <c r="J9" s="3">
        <f t="shared" si="5"/>
        <v>399.29223589857969</v>
      </c>
      <c r="K9" s="3">
        <f t="shared" si="6"/>
        <v>151.09906338633124</v>
      </c>
      <c r="L9" s="3">
        <f t="shared" si="7"/>
        <v>3.1762883458862254</v>
      </c>
    </row>
    <row r="10" spans="1:21">
      <c r="A10" s="1">
        <v>2016</v>
      </c>
      <c r="B10" s="1">
        <v>1</v>
      </c>
      <c r="C10" s="1">
        <v>9</v>
      </c>
      <c r="D10" s="1">
        <v>473</v>
      </c>
      <c r="E10" s="1"/>
      <c r="F10" s="3">
        <f t="shared" si="1"/>
        <v>486.58312269629266</v>
      </c>
      <c r="G10" s="3">
        <f t="shared" si="2"/>
        <v>12.778318858878235</v>
      </c>
      <c r="H10" s="9">
        <f t="shared" si="3"/>
        <v>0.95406521920628529</v>
      </c>
      <c r="I10" s="9">
        <f t="shared" si="4"/>
        <v>0.95947105798718879</v>
      </c>
      <c r="J10" s="3">
        <f t="shared" si="5"/>
        <v>423.74176189504095</v>
      </c>
      <c r="K10" s="3">
        <f t="shared" si="6"/>
        <v>2426.3740212048397</v>
      </c>
      <c r="L10" s="3">
        <f t="shared" si="7"/>
        <v>10.414003827686901</v>
      </c>
    </row>
    <row r="11" spans="1:21">
      <c r="A11" s="1"/>
      <c r="B11" s="1">
        <v>2</v>
      </c>
      <c r="C11" s="1">
        <v>10</v>
      </c>
      <c r="D11" s="1">
        <v>513</v>
      </c>
      <c r="E11" s="1"/>
      <c r="F11" s="3">
        <f t="shared" si="1"/>
        <v>505.40164884809064</v>
      </c>
      <c r="G11" s="3">
        <f t="shared" si="2"/>
        <v>13.11053025998882</v>
      </c>
      <c r="H11" s="9">
        <f t="shared" si="3"/>
        <v>1.0124141600479997</v>
      </c>
      <c r="I11" s="9">
        <f t="shared" si="4"/>
        <v>1.0132001967759789</v>
      </c>
      <c r="J11" s="3">
        <f t="shared" si="5"/>
        <v>505.56059441243661</v>
      </c>
      <c r="K11" s="3">
        <f t="shared" si="6"/>
        <v>55.344755496269322</v>
      </c>
      <c r="L11" s="3">
        <f t="shared" si="7"/>
        <v>1.4501765277901335</v>
      </c>
    </row>
    <row r="12" spans="1:21">
      <c r="A12" s="1"/>
      <c r="B12" s="1">
        <v>3</v>
      </c>
      <c r="C12" s="1">
        <v>11</v>
      </c>
      <c r="D12" s="1">
        <v>582</v>
      </c>
      <c r="E12" s="1"/>
      <c r="F12" s="3">
        <f t="shared" si="1"/>
        <v>511.9066183225047</v>
      </c>
      <c r="G12" s="3">
        <f t="shared" si="2"/>
        <v>12.747224416782208</v>
      </c>
      <c r="H12" s="9">
        <f t="shared" si="3"/>
        <v>1.1401118808767177</v>
      </c>
      <c r="I12" s="9">
        <f t="shared" si="4"/>
        <v>1.1391561494656324</v>
      </c>
      <c r="J12" s="3">
        <f t="shared" si="5"/>
        <v>591.16189578039791</v>
      </c>
      <c r="K12" s="3">
        <f t="shared" si="6"/>
        <v>83.940334290873082</v>
      </c>
      <c r="L12" s="3">
        <f t="shared" si="7"/>
        <v>1.5742088969755863</v>
      </c>
    </row>
    <row r="13" spans="1:21">
      <c r="A13" s="1"/>
      <c r="B13" s="1">
        <v>4</v>
      </c>
      <c r="C13" s="1">
        <v>12</v>
      </c>
      <c r="D13" s="1">
        <v>474</v>
      </c>
      <c r="E13" s="1"/>
      <c r="F13" s="3">
        <f t="shared" si="1"/>
        <v>528.3114864193642</v>
      </c>
      <c r="G13" s="3">
        <f t="shared" si="2"/>
        <v>12.948394819186458</v>
      </c>
      <c r="H13" s="9">
        <f t="shared" si="3"/>
        <v>0.89585491743115742</v>
      </c>
      <c r="I13" s="9">
        <f t="shared" si="4"/>
        <v>0.89625783709545848</v>
      </c>
      <c r="J13" s="3">
        <f t="shared" si="5"/>
        <v>470.01372496714333</v>
      </c>
      <c r="K13" s="3">
        <f t="shared" si="6"/>
        <v>15.890388637576427</v>
      </c>
      <c r="L13" s="3">
        <f t="shared" si="7"/>
        <v>0.84098629385161772</v>
      </c>
    </row>
    <row r="14" spans="1:21">
      <c r="A14" s="1">
        <v>2017</v>
      </c>
      <c r="B14" s="1">
        <v>1</v>
      </c>
      <c r="C14" s="1">
        <v>13</v>
      </c>
      <c r="D14" s="1">
        <v>544</v>
      </c>
      <c r="E14" s="1"/>
      <c r="F14" s="3">
        <f t="shared" si="1"/>
        <v>562.40104741861228</v>
      </c>
      <c r="G14" s="3">
        <f t="shared" si="2"/>
        <v>14.111158959089845</v>
      </c>
      <c r="H14" s="9">
        <f t="shared" si="3"/>
        <v>0.95947105798718879</v>
      </c>
      <c r="I14" s="9">
        <f t="shared" si="4"/>
        <v>0.96181412191300586</v>
      </c>
      <c r="J14" s="3">
        <f t="shared" si="5"/>
        <v>519.32319089797238</v>
      </c>
      <c r="K14" s="3">
        <f t="shared" si="6"/>
        <v>608.94490745791313</v>
      </c>
      <c r="L14" s="3">
        <f t="shared" si="7"/>
        <v>4.5361781437550768</v>
      </c>
    </row>
    <row r="15" spans="1:21">
      <c r="A15" s="1"/>
      <c r="B15" s="1">
        <v>2</v>
      </c>
      <c r="C15" s="1">
        <v>14</v>
      </c>
      <c r="D15" s="1">
        <v>582</v>
      </c>
      <c r="E15" s="1"/>
      <c r="F15" s="3">
        <f t="shared" si="1"/>
        <v>574.79041936772273</v>
      </c>
      <c r="G15" s="3">
        <f t="shared" si="2"/>
        <v>14.016460673540978</v>
      </c>
      <c r="H15" s="9">
        <f t="shared" si="3"/>
        <v>1.0132001967759789</v>
      </c>
      <c r="I15" s="9">
        <f t="shared" si="4"/>
        <v>1.0130030296022081</v>
      </c>
      <c r="J15" s="3">
        <f t="shared" si="5"/>
        <v>584.12228094564159</v>
      </c>
      <c r="K15" s="3">
        <f t="shared" si="6"/>
        <v>4.5040764122333687</v>
      </c>
      <c r="L15" s="3">
        <f t="shared" si="7"/>
        <v>0.36465308344357245</v>
      </c>
    </row>
    <row r="16" spans="1:21">
      <c r="A16" s="1"/>
      <c r="B16" s="1">
        <v>3</v>
      </c>
      <c r="C16" s="1">
        <v>15</v>
      </c>
      <c r="D16" s="1">
        <v>681</v>
      </c>
      <c r="E16" s="1"/>
      <c r="F16" s="3">
        <f t="shared" si="1"/>
        <v>596.20821118026981</v>
      </c>
      <c r="G16" s="3">
        <f t="shared" si="2"/>
        <v>14.423533886186313</v>
      </c>
      <c r="H16" s="9">
        <f t="shared" si="3"/>
        <v>1.1391561494656324</v>
      </c>
      <c r="I16" s="9">
        <f t="shared" si="4"/>
        <v>1.1400748301401957</v>
      </c>
      <c r="J16" s="3">
        <f t="shared" si="5"/>
        <v>670.74297824667849</v>
      </c>
      <c r="K16" s="3">
        <f t="shared" si="6"/>
        <v>105.20649524811067</v>
      </c>
      <c r="L16" s="3">
        <f t="shared" si="7"/>
        <v>1.5061705952013964</v>
      </c>
    </row>
    <row r="17" spans="1:12">
      <c r="A17" s="1"/>
      <c r="B17" s="1">
        <v>4</v>
      </c>
      <c r="C17" s="1">
        <v>16</v>
      </c>
      <c r="D17" s="1">
        <v>557</v>
      </c>
      <c r="E17" s="1"/>
      <c r="F17" s="3">
        <f t="shared" si="1"/>
        <v>619.54321370557216</v>
      </c>
      <c r="G17" s="3">
        <f t="shared" si="2"/>
        <v>14.913664661337693</v>
      </c>
      <c r="H17" s="9">
        <f t="shared" si="3"/>
        <v>0.89625783709545848</v>
      </c>
      <c r="I17" s="9">
        <f t="shared" si="4"/>
        <v>0.89709532797203351</v>
      </c>
      <c r="J17" s="3">
        <f t="shared" si="5"/>
        <v>547.28348709508737</v>
      </c>
      <c r="K17" s="3">
        <f t="shared" si="6"/>
        <v>94.410623031333742</v>
      </c>
      <c r="L17" s="3">
        <f t="shared" si="7"/>
        <v>1.7444367872374567</v>
      </c>
    </row>
    <row r="18" spans="1:12">
      <c r="A18" s="1">
        <v>2018</v>
      </c>
      <c r="B18" s="1">
        <v>1</v>
      </c>
      <c r="C18" s="1">
        <v>17</v>
      </c>
      <c r="D18" s="1">
        <v>628</v>
      </c>
      <c r="E18" s="1"/>
      <c r="F18" s="3">
        <f t="shared" si="1"/>
        <v>649.64409646114905</v>
      </c>
      <c r="G18" s="3">
        <f t="shared" si="2"/>
        <v>15.748961656520848</v>
      </c>
      <c r="H18" s="9">
        <f t="shared" si="3"/>
        <v>0.96181412191300586</v>
      </c>
      <c r="I18" s="9">
        <f t="shared" si="4"/>
        <v>0.96327482962518973</v>
      </c>
      <c r="J18" s="3">
        <f t="shared" si="5"/>
        <v>610.22958535813621</v>
      </c>
      <c r="K18" s="3">
        <f t="shared" si="6"/>
        <v>315.78763654376712</v>
      </c>
      <c r="L18" s="3">
        <f t="shared" si="7"/>
        <v>2.8296838601693941</v>
      </c>
    </row>
    <row r="19" spans="1:12">
      <c r="A19" s="1"/>
      <c r="B19" s="1">
        <v>2</v>
      </c>
      <c r="C19" s="1">
        <v>18</v>
      </c>
      <c r="D19" s="1">
        <v>707</v>
      </c>
      <c r="E19" s="1"/>
      <c r="F19" s="3">
        <f t="shared" si="1"/>
        <v>692.13420120049625</v>
      </c>
      <c r="G19" s="3">
        <f t="shared" si="2"/>
        <v>17.219724526076295</v>
      </c>
      <c r="H19" s="9">
        <f t="shared" si="3"/>
        <v>1.0130030296022081</v>
      </c>
      <c r="I19" s="9">
        <f t="shared" si="4"/>
        <v>1.0155455815881171</v>
      </c>
      <c r="J19" s="3">
        <f t="shared" si="5"/>
        <v>674.0451837494777</v>
      </c>
      <c r="K19" s="3">
        <f t="shared" si="6"/>
        <v>1086.0199141056885</v>
      </c>
      <c r="L19" s="3">
        <f t="shared" si="7"/>
        <v>4.6612187058730274</v>
      </c>
    </row>
    <row r="20" spans="1:12">
      <c r="A20" s="1"/>
      <c r="B20" s="1">
        <v>3</v>
      </c>
      <c r="C20" s="1">
        <v>19</v>
      </c>
      <c r="D20" s="1">
        <v>773</v>
      </c>
      <c r="E20" s="1"/>
      <c r="F20" s="3">
        <f t="shared" si="1"/>
        <v>683.60209911849256</v>
      </c>
      <c r="G20" s="3">
        <f t="shared" si="2"/>
        <v>15.803374062631896</v>
      </c>
      <c r="H20" s="9">
        <f t="shared" si="3"/>
        <v>1.1400748301401957</v>
      </c>
      <c r="I20" s="9">
        <f t="shared" si="4"/>
        <v>1.1372848092885066</v>
      </c>
      <c r="J20" s="3">
        <f t="shared" si="5"/>
        <v>808.7165563820032</v>
      </c>
      <c r="K20" s="3">
        <f t="shared" si="6"/>
        <v>1275.6723997888139</v>
      </c>
      <c r="L20" s="3">
        <f t="shared" si="7"/>
        <v>4.6205118217339205</v>
      </c>
    </row>
    <row r="21" spans="1:12">
      <c r="A21" s="1"/>
      <c r="B21" s="1">
        <v>4</v>
      </c>
      <c r="C21" s="1">
        <v>20</v>
      </c>
      <c r="D21" s="1">
        <v>592</v>
      </c>
      <c r="E21" s="1"/>
      <c r="F21" s="3">
        <f t="shared" si="1"/>
        <v>666.93819865345267</v>
      </c>
      <c r="G21" s="3">
        <f t="shared" si="2"/>
        <v>14.017673963609948</v>
      </c>
      <c r="H21" s="9">
        <f t="shared" si="3"/>
        <v>0.89709532797203351</v>
      </c>
      <c r="I21" s="9">
        <f t="shared" si="4"/>
        <v>0.89425826957404531</v>
      </c>
      <c r="J21" s="3">
        <f t="shared" si="5"/>
        <v>627.43338234885607</v>
      </c>
      <c r="K21" s="3">
        <f t="shared" si="6"/>
        <v>1255.524584680225</v>
      </c>
      <c r="L21" s="3">
        <f t="shared" si="7"/>
        <v>5.9853686400094714</v>
      </c>
    </row>
    <row r="22" spans="1:12">
      <c r="A22" s="1">
        <v>2019</v>
      </c>
      <c r="B22" s="1">
        <v>1</v>
      </c>
      <c r="C22" s="1">
        <v>21</v>
      </c>
      <c r="D22" s="1">
        <v>627</v>
      </c>
      <c r="E22" s="1"/>
      <c r="F22" s="3">
        <f t="shared" si="1"/>
        <v>656.25371144968142</v>
      </c>
      <c r="G22" s="3">
        <f t="shared" si="2"/>
        <v>12.659055099403981</v>
      </c>
      <c r="H22" s="9">
        <f t="shared" si="3"/>
        <v>0.96327482962518973</v>
      </c>
      <c r="I22" s="9">
        <f t="shared" si="4"/>
        <v>0.96091933113534134</v>
      </c>
      <c r="J22" s="3">
        <f t="shared" si="5"/>
        <v>655.9476521774734</v>
      </c>
      <c r="K22" s="3">
        <f t="shared" si="6"/>
        <v>837.96656658798054</v>
      </c>
      <c r="L22" s="3">
        <f t="shared" si="7"/>
        <v>4.6168504270292505</v>
      </c>
    </row>
    <row r="23" spans="1:12">
      <c r="A23" s="1"/>
      <c r="B23" s="1">
        <v>2</v>
      </c>
      <c r="C23" s="1">
        <v>22</v>
      </c>
      <c r="D23" s="1">
        <v>725</v>
      </c>
      <c r="E23" s="1"/>
      <c r="F23" s="3">
        <f t="shared" si="1"/>
        <v>705.89389881103068</v>
      </c>
      <c r="G23" s="3">
        <f t="shared" si="2"/>
        <v>14.693017373810971</v>
      </c>
      <c r="H23" s="9">
        <f t="shared" si="3"/>
        <v>1.0155455815881171</v>
      </c>
      <c r="I23" s="9">
        <f t="shared" si="4"/>
        <v>1.0190018673016557</v>
      </c>
      <c r="J23" s="3">
        <f t="shared" si="5"/>
        <v>679.31140453680734</v>
      </c>
      <c r="K23" s="3">
        <f t="shared" si="6"/>
        <v>2087.4477553992683</v>
      </c>
      <c r="L23" s="3">
        <f t="shared" si="7"/>
        <v>6.3018752363024362</v>
      </c>
    </row>
    <row r="24" spans="1:12">
      <c r="A24" s="1"/>
      <c r="B24" s="1">
        <v>3</v>
      </c>
      <c r="C24" s="1">
        <v>23</v>
      </c>
      <c r="D24" s="1">
        <v>854</v>
      </c>
      <c r="E24" s="1"/>
      <c r="F24" s="3">
        <f t="shared" si="1"/>
        <v>745.51354911894282</v>
      </c>
      <c r="G24" s="3">
        <f t="shared" si="2"/>
        <v>16.063982185186536</v>
      </c>
      <c r="H24" s="9">
        <f t="shared" si="3"/>
        <v>1.1372848092885066</v>
      </c>
      <c r="I24" s="9">
        <f t="shared" si="4"/>
        <v>1.1397550925484903</v>
      </c>
      <c r="J24" s="3">
        <f t="shared" si="5"/>
        <v>819.51255354907084</v>
      </c>
      <c r="K24" s="3">
        <f t="shared" si="6"/>
        <v>1189.3839627057059</v>
      </c>
      <c r="L24" s="3">
        <f t="shared" si="7"/>
        <v>4.038342675752828</v>
      </c>
    </row>
    <row r="25" spans="1:12">
      <c r="A25" s="1"/>
      <c r="B25" s="1">
        <v>4</v>
      </c>
      <c r="C25" s="1">
        <v>24</v>
      </c>
      <c r="D25" s="1">
        <v>661</v>
      </c>
      <c r="E25" s="1"/>
      <c r="F25" s="3">
        <f t="shared" si="1"/>
        <v>743.15037339074115</v>
      </c>
      <c r="G25" s="3">
        <f t="shared" si="2"/>
        <v>15.050488499950184</v>
      </c>
      <c r="H25" s="9">
        <f t="shared" si="3"/>
        <v>0.89425826957404531</v>
      </c>
      <c r="I25" s="9">
        <f t="shared" si="4"/>
        <v>0.89281776692364823</v>
      </c>
      <c r="J25" s="3">
        <f t="shared" si="5"/>
        <v>681.04700529050399</v>
      </c>
      <c r="K25" s="3">
        <f t="shared" si="6"/>
        <v>401.88242111749491</v>
      </c>
      <c r="L25" s="3">
        <f t="shared" si="7"/>
        <v>3.0328298472774566</v>
      </c>
    </row>
    <row r="26" spans="1:12">
      <c r="A26" s="29">
        <v>2020</v>
      </c>
      <c r="B26" s="1">
        <v>1</v>
      </c>
      <c r="C26" s="1"/>
      <c r="D26" s="1"/>
      <c r="E26" s="1"/>
      <c r="F26" s="1"/>
      <c r="G26" s="1"/>
      <c r="H26" s="9">
        <f>I22</f>
        <v>0.96091933113534134</v>
      </c>
      <c r="I26" s="9"/>
      <c r="J26" s="3">
        <f>($F$25+$G$25*1)*H26</f>
        <v>728.56986507424244</v>
      </c>
      <c r="K26" s="3"/>
      <c r="L26" s="3"/>
    </row>
    <row r="27" spans="1:12">
      <c r="A27" s="1"/>
      <c r="B27" s="1">
        <v>2</v>
      </c>
      <c r="C27" s="1"/>
      <c r="D27" s="1"/>
      <c r="E27" s="1"/>
      <c r="F27" s="1"/>
      <c r="G27" s="1"/>
      <c r="H27" s="9">
        <f t="shared" ref="H27:H29" si="8">I23</f>
        <v>1.0190018673016557</v>
      </c>
      <c r="I27" s="9"/>
      <c r="J27" s="3">
        <f>($F$25+$G$25*2)*H27</f>
        <v>787.94456994159054</v>
      </c>
      <c r="K27" s="3"/>
      <c r="L27" s="3"/>
    </row>
    <row r="28" spans="1:12">
      <c r="A28" s="1"/>
      <c r="B28" s="1">
        <v>3</v>
      </c>
      <c r="C28" s="1"/>
      <c r="D28" s="1"/>
      <c r="E28" s="1"/>
      <c r="F28" s="1"/>
      <c r="G28" s="1"/>
      <c r="H28" s="9">
        <f t="shared" si="8"/>
        <v>1.1397550925484903</v>
      </c>
      <c r="I28" s="9"/>
      <c r="J28" s="3">
        <f>($F$25+$G$25*3)*H28</f>
        <v>898.47103534089149</v>
      </c>
      <c r="K28" s="3"/>
      <c r="L28" s="3"/>
    </row>
    <row r="29" spans="1:12">
      <c r="A29" s="1"/>
      <c r="B29" s="1">
        <v>4</v>
      </c>
      <c r="C29" s="1"/>
      <c r="D29" s="1"/>
      <c r="E29" s="1"/>
      <c r="F29" s="1"/>
      <c r="G29" s="1"/>
      <c r="H29" s="9">
        <f t="shared" si="8"/>
        <v>0.89281776692364823</v>
      </c>
      <c r="I29" s="9"/>
      <c r="J29" s="3">
        <f>($F$25+$G$25*4)*H29</f>
        <v>717.24723099373909</v>
      </c>
      <c r="K29" s="3"/>
      <c r="L29" s="3"/>
    </row>
    <row r="30" spans="1:12">
      <c r="I30" s="32"/>
    </row>
    <row r="31" spans="1:12">
      <c r="I31" s="3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49"/>
  <sheetViews>
    <sheetView topLeftCell="A137" zoomScaleNormal="100" workbookViewId="0">
      <selection activeCell="J146" sqref="J146"/>
    </sheetView>
  </sheetViews>
  <sheetFormatPr defaultRowHeight="15"/>
  <cols>
    <col min="1" max="1" width="5" bestFit="1" customWidth="1"/>
    <col min="2" max="2" width="6.85546875" bestFit="1" customWidth="1"/>
    <col min="3" max="3" width="10.85546875" bestFit="1" customWidth="1"/>
    <col min="4" max="4" width="9.42578125" bestFit="1" customWidth="1"/>
    <col min="5" max="5" width="7.7109375" bestFit="1" customWidth="1"/>
    <col min="6" max="6" width="9.5703125" bestFit="1" customWidth="1"/>
    <col min="7" max="7" width="10.7109375" bestFit="1" customWidth="1"/>
    <col min="8" max="8" width="7.5703125" bestFit="1" customWidth="1"/>
    <col min="9" max="10" width="13.42578125" bestFit="1" customWidth="1"/>
    <col min="11" max="11" width="13.140625" bestFit="1" customWidth="1"/>
    <col min="12" max="12" width="6.5703125" bestFit="1" customWidth="1"/>
  </cols>
  <sheetData>
    <row r="1" spans="1:16" ht="18.75">
      <c r="A1" s="33" t="s">
        <v>17</v>
      </c>
      <c r="B1" s="33" t="s">
        <v>81</v>
      </c>
      <c r="C1" s="33" t="s">
        <v>82</v>
      </c>
      <c r="D1" s="33" t="s">
        <v>72</v>
      </c>
      <c r="E1" s="33" t="s">
        <v>79</v>
      </c>
      <c r="F1" s="33" t="s">
        <v>74</v>
      </c>
      <c r="G1" s="33" t="s">
        <v>75</v>
      </c>
      <c r="H1" s="33" t="s">
        <v>80</v>
      </c>
      <c r="I1" s="29" t="s">
        <v>76</v>
      </c>
      <c r="J1" s="33" t="s">
        <v>77</v>
      </c>
      <c r="K1" s="29" t="s">
        <v>28</v>
      </c>
      <c r="L1" s="29" t="s">
        <v>21</v>
      </c>
      <c r="N1" s="26" t="s">
        <v>2</v>
      </c>
      <c r="O1" s="26" t="s">
        <v>3</v>
      </c>
      <c r="P1" s="26" t="s">
        <v>32</v>
      </c>
    </row>
    <row r="2" spans="1:16">
      <c r="A2" s="38">
        <v>1949</v>
      </c>
      <c r="B2" s="38" t="s">
        <v>83</v>
      </c>
      <c r="C2" s="1">
        <v>112</v>
      </c>
      <c r="D2" s="1">
        <v>1</v>
      </c>
      <c r="E2" s="1">
        <f>C14-C2</f>
        <v>3</v>
      </c>
      <c r="F2" s="1"/>
      <c r="G2" s="1"/>
      <c r="H2" s="1"/>
      <c r="I2" s="5">
        <f>C2/$F$13</f>
        <v>0.88421052631578945</v>
      </c>
      <c r="J2" s="1"/>
      <c r="K2" s="1"/>
      <c r="L2" s="1"/>
      <c r="N2" s="1">
        <v>0.27550000000000002</v>
      </c>
      <c r="O2" s="1">
        <v>3.2599999999999997E-2</v>
      </c>
      <c r="P2" s="1">
        <v>0.87070000000000003</v>
      </c>
    </row>
    <row r="3" spans="1:16">
      <c r="A3" s="38">
        <v>1949</v>
      </c>
      <c r="B3" s="38" t="s">
        <v>84</v>
      </c>
      <c r="C3" s="1">
        <v>118</v>
      </c>
      <c r="D3" s="1">
        <v>2</v>
      </c>
      <c r="E3" s="1">
        <f t="shared" ref="E3:E12" si="0">C15-C3</f>
        <v>8</v>
      </c>
      <c r="F3" s="1"/>
      <c r="G3" s="1"/>
      <c r="H3" s="1"/>
      <c r="I3" s="5">
        <f t="shared" ref="I3:I13" si="1">C3/$F$13</f>
        <v>0.93157894736842106</v>
      </c>
      <c r="J3" s="1"/>
      <c r="K3" s="1"/>
      <c r="L3" s="1"/>
      <c r="N3" s="1">
        <f>1-N2</f>
        <v>0.72449999999999992</v>
      </c>
      <c r="O3" s="1">
        <f t="shared" ref="O3:P3" si="2">1-O2</f>
        <v>0.96740000000000004</v>
      </c>
      <c r="P3" s="1">
        <f t="shared" si="2"/>
        <v>0.12929999999999997</v>
      </c>
    </row>
    <row r="4" spans="1:16">
      <c r="A4" s="38">
        <v>1949</v>
      </c>
      <c r="B4" s="38" t="s">
        <v>85</v>
      </c>
      <c r="C4" s="1">
        <v>132</v>
      </c>
      <c r="D4" s="1">
        <v>3</v>
      </c>
      <c r="E4" s="1">
        <f t="shared" si="0"/>
        <v>9</v>
      </c>
      <c r="F4" s="1"/>
      <c r="G4" s="1"/>
      <c r="H4" s="1"/>
      <c r="I4" s="5">
        <f t="shared" si="1"/>
        <v>1.0421052631578946</v>
      </c>
      <c r="J4" s="1"/>
      <c r="K4" s="1"/>
      <c r="L4" s="1"/>
    </row>
    <row r="5" spans="1:16">
      <c r="A5" s="38">
        <v>1949</v>
      </c>
      <c r="B5" s="38" t="s">
        <v>86</v>
      </c>
      <c r="C5" s="1">
        <v>129</v>
      </c>
      <c r="D5" s="1">
        <v>4</v>
      </c>
      <c r="E5" s="1">
        <f t="shared" si="0"/>
        <v>6</v>
      </c>
      <c r="F5" s="1"/>
      <c r="G5" s="1"/>
      <c r="H5" s="1"/>
      <c r="I5" s="5">
        <f t="shared" si="1"/>
        <v>1.0184210526315789</v>
      </c>
      <c r="J5" s="1"/>
      <c r="K5" s="1"/>
      <c r="L5" s="1"/>
    </row>
    <row r="6" spans="1:16">
      <c r="A6" s="38">
        <v>1949</v>
      </c>
      <c r="B6" s="38" t="s">
        <v>5</v>
      </c>
      <c r="C6" s="1">
        <v>121</v>
      </c>
      <c r="D6" s="1">
        <v>5</v>
      </c>
      <c r="E6" s="1">
        <f t="shared" si="0"/>
        <v>4</v>
      </c>
      <c r="F6" s="1"/>
      <c r="G6" s="1"/>
      <c r="H6" s="1"/>
      <c r="I6" s="5">
        <f t="shared" si="1"/>
        <v>0.95526315789473681</v>
      </c>
      <c r="J6" s="1"/>
      <c r="K6" s="1"/>
      <c r="L6" s="1"/>
    </row>
    <row r="7" spans="1:16">
      <c r="A7" s="38">
        <v>1949</v>
      </c>
      <c r="B7" s="38" t="s">
        <v>87</v>
      </c>
      <c r="C7" s="1">
        <v>135</v>
      </c>
      <c r="D7" s="1">
        <v>6</v>
      </c>
      <c r="E7" s="1">
        <f t="shared" si="0"/>
        <v>14</v>
      </c>
      <c r="F7" s="1"/>
      <c r="G7" s="1"/>
      <c r="H7" s="1"/>
      <c r="I7" s="5">
        <f t="shared" si="1"/>
        <v>1.0657894736842104</v>
      </c>
      <c r="J7" s="1"/>
      <c r="K7" s="1"/>
      <c r="L7" s="1"/>
    </row>
    <row r="8" spans="1:16">
      <c r="A8" s="38">
        <v>1949</v>
      </c>
      <c r="B8" s="38" t="s">
        <v>88</v>
      </c>
      <c r="C8" s="1">
        <v>148</v>
      </c>
      <c r="D8" s="1">
        <v>7</v>
      </c>
      <c r="E8" s="1">
        <f t="shared" si="0"/>
        <v>22</v>
      </c>
      <c r="F8" s="1"/>
      <c r="G8" s="1"/>
      <c r="H8" s="1"/>
      <c r="I8" s="5">
        <f t="shared" si="1"/>
        <v>1.1684210526315788</v>
      </c>
      <c r="J8" s="1"/>
      <c r="K8" s="1"/>
      <c r="L8" s="1"/>
    </row>
    <row r="9" spans="1:16">
      <c r="A9" s="38">
        <v>1949</v>
      </c>
      <c r="B9" s="38" t="s">
        <v>89</v>
      </c>
      <c r="C9" s="1">
        <v>148</v>
      </c>
      <c r="D9" s="1">
        <v>8</v>
      </c>
      <c r="E9" s="1">
        <f t="shared" si="0"/>
        <v>22</v>
      </c>
      <c r="F9" s="1"/>
      <c r="G9" s="1"/>
      <c r="H9" s="1"/>
      <c r="I9" s="5">
        <f t="shared" si="1"/>
        <v>1.1684210526315788</v>
      </c>
      <c r="J9" s="1"/>
      <c r="K9" s="1"/>
      <c r="L9" s="1"/>
      <c r="N9" s="34" t="s">
        <v>19</v>
      </c>
      <c r="O9" s="26" t="s">
        <v>20</v>
      </c>
      <c r="P9" s="26" t="s">
        <v>21</v>
      </c>
    </row>
    <row r="10" spans="1:16">
      <c r="A10" s="38">
        <v>1949</v>
      </c>
      <c r="B10" s="38" t="s">
        <v>90</v>
      </c>
      <c r="C10" s="1">
        <v>136</v>
      </c>
      <c r="D10" s="1">
        <v>9</v>
      </c>
      <c r="E10" s="1">
        <f t="shared" si="0"/>
        <v>22</v>
      </c>
      <c r="F10" s="1"/>
      <c r="G10" s="1"/>
      <c r="H10" s="1"/>
      <c r="I10" s="5">
        <f t="shared" si="1"/>
        <v>1.0736842105263158</v>
      </c>
      <c r="J10" s="1"/>
      <c r="K10" s="1"/>
      <c r="L10" s="1"/>
      <c r="N10" s="3">
        <f>AVERAGE(K14:K145)</f>
        <v>126.58977220442229</v>
      </c>
      <c r="O10" s="1">
        <f>SQRT(N10)</f>
        <v>11.251212032684403</v>
      </c>
      <c r="P10" s="3">
        <f>AVERAGE(L14:L145)</f>
        <v>3.08108827478627</v>
      </c>
    </row>
    <row r="11" spans="1:16">
      <c r="A11" s="38">
        <v>1949</v>
      </c>
      <c r="B11" s="38" t="s">
        <v>91</v>
      </c>
      <c r="C11" s="1">
        <v>119</v>
      </c>
      <c r="D11" s="1">
        <v>10</v>
      </c>
      <c r="E11" s="1">
        <f t="shared" si="0"/>
        <v>14</v>
      </c>
      <c r="F11" s="1"/>
      <c r="G11" s="1"/>
      <c r="H11" s="1"/>
      <c r="I11" s="5">
        <f t="shared" si="1"/>
        <v>0.93947368421052624</v>
      </c>
      <c r="J11" s="1"/>
      <c r="K11" s="1"/>
      <c r="L11" s="1"/>
    </row>
    <row r="12" spans="1:16">
      <c r="A12" s="38">
        <v>1949</v>
      </c>
      <c r="B12" s="38" t="s">
        <v>92</v>
      </c>
      <c r="C12" s="1">
        <v>104</v>
      </c>
      <c r="D12" s="1">
        <v>11</v>
      </c>
      <c r="E12" s="1">
        <f t="shared" si="0"/>
        <v>10</v>
      </c>
      <c r="F12" s="1"/>
      <c r="G12" s="1"/>
      <c r="H12" s="1"/>
      <c r="I12" s="5">
        <f t="shared" si="1"/>
        <v>0.82105263157894737</v>
      </c>
      <c r="J12" s="1"/>
      <c r="K12" s="1"/>
      <c r="L12" s="1"/>
    </row>
    <row r="13" spans="1:16">
      <c r="A13" s="38">
        <v>1949</v>
      </c>
      <c r="B13" s="38" t="s">
        <v>93</v>
      </c>
      <c r="C13" s="1">
        <v>118</v>
      </c>
      <c r="D13" s="1">
        <v>12</v>
      </c>
      <c r="E13" s="1">
        <f>C25-C13</f>
        <v>22</v>
      </c>
      <c r="F13" s="1">
        <f>AVERAGE(C2:C13)</f>
        <v>126.66666666666667</v>
      </c>
      <c r="G13" s="9">
        <f>SUM(E2:E13)/12^2</f>
        <v>1.0833333333333333</v>
      </c>
      <c r="H13" s="9"/>
      <c r="I13" s="5">
        <f t="shared" si="1"/>
        <v>0.93157894736842106</v>
      </c>
      <c r="J13" s="1"/>
      <c r="K13" s="1"/>
      <c r="L13" s="1"/>
    </row>
    <row r="14" spans="1:16">
      <c r="A14" s="38">
        <v>1950</v>
      </c>
      <c r="B14" s="38" t="s">
        <v>83</v>
      </c>
      <c r="C14" s="1">
        <v>115</v>
      </c>
      <c r="D14" s="1">
        <v>13</v>
      </c>
      <c r="E14" s="1"/>
      <c r="F14" s="3">
        <f t="shared" ref="F14:F45" si="3">$N$2*(C14/H14)+$N$3*(F13+G13)</f>
        <v>128.3862738095238</v>
      </c>
      <c r="G14" s="3">
        <f>$O$2*(F14-F13)+$O$3*G13</f>
        <v>1.1040758595238089</v>
      </c>
      <c r="H14" s="5">
        <f t="shared" ref="H14:H45" si="4">I2</f>
        <v>0.88421052631578945</v>
      </c>
      <c r="I14" s="5">
        <f t="shared" ref="I14:I45" si="5">$P$2*(C14/F14)+$P$3*H14</f>
        <v>0.89424434998250624</v>
      </c>
      <c r="J14" s="3">
        <f>(F13+G13)*H14</f>
        <v>112.95789473684211</v>
      </c>
      <c r="K14" s="3">
        <f>(C14-J14)^2</f>
        <v>4.1701939058171682</v>
      </c>
      <c r="L14" s="3">
        <f>ABS((C14-J14)/C14)*100</f>
        <v>1.77574370709382</v>
      </c>
    </row>
    <row r="15" spans="1:16">
      <c r="A15" s="38">
        <v>1950</v>
      </c>
      <c r="B15" s="38" t="s">
        <v>84</v>
      </c>
      <c r="C15" s="1">
        <v>126</v>
      </c>
      <c r="D15" s="1">
        <v>14</v>
      </c>
      <c r="E15" s="1"/>
      <c r="F15" s="3">
        <f t="shared" si="3"/>
        <v>131.07830070810633</v>
      </c>
      <c r="G15" s="3">
        <f t="shared" ref="G15:G78" si="6">$O$2*(F15-F14)+$O$3*G14</f>
        <v>1.1558430633971231</v>
      </c>
      <c r="H15" s="5">
        <f t="shared" si="4"/>
        <v>0.93157894736842106</v>
      </c>
      <c r="I15" s="5">
        <f t="shared" si="5"/>
        <v>0.95742006551665781</v>
      </c>
      <c r="J15" s="3">
        <f>(F14+G14)*H15</f>
        <v>120.63048363906015</v>
      </c>
      <c r="K15" s="3">
        <f t="shared" ref="K15:K78" si="7">(C15-J15)^2</f>
        <v>28.831705950400782</v>
      </c>
      <c r="L15" s="3">
        <f t="shared" ref="L15:L78" si="8">ABS((C15-J15)/C15)*100</f>
        <v>4.2615209213808374</v>
      </c>
    </row>
    <row r="16" spans="1:16">
      <c r="A16" s="38">
        <v>1950</v>
      </c>
      <c r="B16" s="38" t="s">
        <v>85</v>
      </c>
      <c r="C16" s="1">
        <v>141</v>
      </c>
      <c r="D16" s="1">
        <v>15</v>
      </c>
      <c r="E16" s="1"/>
      <c r="F16" s="3">
        <f t="shared" si="3"/>
        <v>133.07962201093909</v>
      </c>
      <c r="G16" s="3">
        <f t="shared" si="6"/>
        <v>1.1834056540027249</v>
      </c>
      <c r="H16" s="5">
        <f t="shared" si="4"/>
        <v>1.0421052631578946</v>
      </c>
      <c r="I16" s="5">
        <f t="shared" si="5"/>
        <v>1.0572648650402614</v>
      </c>
      <c r="J16" s="3">
        <f t="shared" ref="J16:J79" si="9">(F15+G15)*H16</f>
        <v>137.80189719346149</v>
      </c>
      <c r="K16" s="3">
        <f t="shared" si="7"/>
        <v>10.227861561189524</v>
      </c>
      <c r="L16" s="3">
        <f t="shared" si="8"/>
        <v>2.2681580188216413</v>
      </c>
    </row>
    <row r="17" spans="1:12">
      <c r="A17" s="38">
        <v>1950</v>
      </c>
      <c r="B17" s="38" t="s">
        <v>86</v>
      </c>
      <c r="C17" s="1">
        <v>135</v>
      </c>
      <c r="D17" s="1">
        <v>16</v>
      </c>
      <c r="E17" s="1"/>
      <c r="F17" s="3">
        <f t="shared" si="3"/>
        <v>133.7933309851108</v>
      </c>
      <c r="G17" s="3">
        <f t="shared" si="6"/>
        <v>1.1680935422402337</v>
      </c>
      <c r="H17" s="5">
        <f t="shared" si="4"/>
        <v>1.0184210526315789</v>
      </c>
      <c r="I17" s="5">
        <f t="shared" si="5"/>
        <v>1.01023460056137</v>
      </c>
      <c r="J17" s="3">
        <f t="shared" si="9"/>
        <v>136.73629396403282</v>
      </c>
      <c r="K17" s="3">
        <f t="shared" si="7"/>
        <v>3.0147167295368211</v>
      </c>
      <c r="L17" s="3">
        <f t="shared" si="8"/>
        <v>1.2861436770613517</v>
      </c>
    </row>
    <row r="18" spans="1:12">
      <c r="A18" s="38">
        <v>1950</v>
      </c>
      <c r="B18" s="38" t="s">
        <v>5</v>
      </c>
      <c r="C18" s="1">
        <v>125</v>
      </c>
      <c r="D18" s="1">
        <v>17</v>
      </c>
      <c r="E18" s="1"/>
      <c r="F18" s="3">
        <f t="shared" si="3"/>
        <v>133.82982755215949</v>
      </c>
      <c r="G18" s="3">
        <f t="shared" si="6"/>
        <v>1.1312034808489893</v>
      </c>
      <c r="H18" s="5">
        <f t="shared" si="4"/>
        <v>0.95526315789473681</v>
      </c>
      <c r="I18" s="5">
        <f t="shared" si="5"/>
        <v>0.93676846096207478</v>
      </c>
      <c r="J18" s="3">
        <f t="shared" si="9"/>
        <v>128.92367658796954</v>
      </c>
      <c r="K18" s="3">
        <f t="shared" si="7"/>
        <v>15.395237966980279</v>
      </c>
      <c r="L18" s="3">
        <f t="shared" si="8"/>
        <v>3.1389412703756308</v>
      </c>
    </row>
    <row r="19" spans="1:12">
      <c r="A19" s="38">
        <v>1950</v>
      </c>
      <c r="B19" s="38" t="s">
        <v>87</v>
      </c>
      <c r="C19" s="1">
        <v>149</v>
      </c>
      <c r="D19" s="1">
        <v>18</v>
      </c>
      <c r="E19" s="1"/>
      <c r="F19" s="3">
        <f t="shared" si="3"/>
        <v>136.29484723032823</v>
      </c>
      <c r="G19" s="3">
        <f t="shared" si="6"/>
        <v>1.1746858888816132</v>
      </c>
      <c r="H19" s="5">
        <f t="shared" si="4"/>
        <v>1.0657894736842104</v>
      </c>
      <c r="I19" s="5">
        <f t="shared" si="5"/>
        <v>1.0896716174015264</v>
      </c>
      <c r="J19" s="3">
        <f t="shared" si="9"/>
        <v>143.8400462325485</v>
      </c>
      <c r="K19" s="3">
        <f t="shared" si="7"/>
        <v>26.625122882236905</v>
      </c>
      <c r="L19" s="3">
        <f t="shared" si="8"/>
        <v>3.4630562197661057</v>
      </c>
    </row>
    <row r="20" spans="1:12">
      <c r="A20" s="38">
        <v>1950</v>
      </c>
      <c r="B20" s="38" t="s">
        <v>88</v>
      </c>
      <c r="C20" s="1">
        <v>170</v>
      </c>
      <c r="D20" s="1">
        <v>19</v>
      </c>
      <c r="E20" s="1"/>
      <c r="F20" s="3">
        <f t="shared" si="3"/>
        <v>139.68068575387653</v>
      </c>
      <c r="G20" s="3">
        <f t="shared" si="6"/>
        <v>1.2467694647717473</v>
      </c>
      <c r="H20" s="5">
        <f t="shared" si="4"/>
        <v>1.1684210526315788</v>
      </c>
      <c r="I20" s="5">
        <f t="shared" si="5"/>
        <v>1.2107723841275577</v>
      </c>
      <c r="J20" s="3">
        <f t="shared" si="9"/>
        <v>160.62229659191885</v>
      </c>
      <c r="K20" s="3">
        <f t="shared" si="7"/>
        <v>87.941321209936746</v>
      </c>
      <c r="L20" s="3">
        <f t="shared" si="8"/>
        <v>5.5162961224006741</v>
      </c>
    </row>
    <row r="21" spans="1:12">
      <c r="A21" s="38">
        <v>1950</v>
      </c>
      <c r="B21" s="38" t="s">
        <v>89</v>
      </c>
      <c r="C21" s="1">
        <v>170</v>
      </c>
      <c r="D21" s="1">
        <v>20</v>
      </c>
      <c r="E21" s="1"/>
      <c r="F21" s="3">
        <f t="shared" si="3"/>
        <v>142.18595031491969</v>
      </c>
      <c r="G21" s="3">
        <f t="shared" si="6"/>
        <v>1.2877964049101955</v>
      </c>
      <c r="H21" s="5">
        <f t="shared" si="4"/>
        <v>1.1684210526315788</v>
      </c>
      <c r="I21" s="5">
        <f t="shared" si="5"/>
        <v>1.1921009353589285</v>
      </c>
      <c r="J21" s="3">
        <f t="shared" si="9"/>
        <v>164.6626055712627</v>
      </c>
      <c r="K21" s="3">
        <f t="shared" si="7"/>
        <v>28.487779287915945</v>
      </c>
      <c r="L21" s="3">
        <f t="shared" si="8"/>
        <v>3.1396437816101757</v>
      </c>
    </row>
    <row r="22" spans="1:12">
      <c r="A22" s="38">
        <v>1950</v>
      </c>
      <c r="B22" s="38" t="s">
        <v>90</v>
      </c>
      <c r="C22" s="1">
        <v>158</v>
      </c>
      <c r="D22" s="1">
        <v>21</v>
      </c>
      <c r="E22" s="1"/>
      <c r="F22" s="3">
        <f t="shared" si="3"/>
        <v>144.48844518479126</v>
      </c>
      <c r="G22" s="3">
        <f t="shared" si="6"/>
        <v>1.3208755748679364</v>
      </c>
      <c r="H22" s="5">
        <f t="shared" si="4"/>
        <v>1.0736842105263158</v>
      </c>
      <c r="I22" s="5">
        <f t="shared" si="5"/>
        <v>1.0909491787433674</v>
      </c>
      <c r="J22" s="3">
        <f t="shared" si="9"/>
        <v>154.04549647813312</v>
      </c>
      <c r="K22" s="3">
        <f t="shared" si="7"/>
        <v>15.63809810445758</v>
      </c>
      <c r="L22" s="3">
        <f t="shared" si="8"/>
        <v>2.5028503302954959</v>
      </c>
    </row>
    <row r="23" spans="1:12">
      <c r="A23" s="38">
        <v>1950</v>
      </c>
      <c r="B23" s="38" t="s">
        <v>91</v>
      </c>
      <c r="C23" s="1">
        <v>133</v>
      </c>
      <c r="D23" s="1">
        <v>22</v>
      </c>
      <c r="E23" s="1"/>
      <c r="F23" s="3">
        <f t="shared" si="3"/>
        <v>144.64100975311817</v>
      </c>
      <c r="G23" s="3">
        <f t="shared" si="6"/>
        <v>1.2827886360546989</v>
      </c>
      <c r="H23" s="5">
        <f t="shared" si="4"/>
        <v>0.93947368421052624</v>
      </c>
      <c r="I23" s="5">
        <f t="shared" si="5"/>
        <v>0.92209819769451851</v>
      </c>
      <c r="J23" s="3">
        <f t="shared" si="9"/>
        <v>136.98401976631138</v>
      </c>
      <c r="K23" s="3">
        <f t="shared" si="7"/>
        <v>15.872413498359759</v>
      </c>
      <c r="L23" s="3">
        <f t="shared" si="8"/>
        <v>2.9955035836927646</v>
      </c>
    </row>
    <row r="24" spans="1:12">
      <c r="A24" s="38">
        <v>1950</v>
      </c>
      <c r="B24" s="38" t="s">
        <v>92</v>
      </c>
      <c r="C24" s="1">
        <v>114</v>
      </c>
      <c r="D24" s="1">
        <v>23</v>
      </c>
      <c r="E24" s="1"/>
      <c r="F24" s="3">
        <f t="shared" si="3"/>
        <v>143.97390731757113</v>
      </c>
      <c r="G24" s="3">
        <f t="shared" si="6"/>
        <v>1.2192221871204825</v>
      </c>
      <c r="H24" s="5">
        <f t="shared" si="4"/>
        <v>0.82105263157894737</v>
      </c>
      <c r="I24" s="5">
        <f t="shared" si="5"/>
        <v>0.79559119591815564</v>
      </c>
      <c r="J24" s="3">
        <f t="shared" si="9"/>
        <v>119.81111867742615</v>
      </c>
      <c r="K24" s="3">
        <f t="shared" si="7"/>
        <v>33.76910028313106</v>
      </c>
      <c r="L24" s="3">
        <f t="shared" si="8"/>
        <v>5.0974725240580279</v>
      </c>
    </row>
    <row r="25" spans="1:12">
      <c r="A25" s="38">
        <v>1950</v>
      </c>
      <c r="B25" s="38" t="s">
        <v>93</v>
      </c>
      <c r="C25" s="1">
        <v>140</v>
      </c>
      <c r="D25" s="1">
        <v>24</v>
      </c>
      <c r="E25" s="1"/>
      <c r="F25" s="3">
        <f t="shared" si="3"/>
        <v>146.59524718490613</v>
      </c>
      <c r="G25" s="3">
        <f t="shared" si="6"/>
        <v>1.2649312234954757</v>
      </c>
      <c r="H25" s="5">
        <f t="shared" si="4"/>
        <v>0.93157894736842106</v>
      </c>
      <c r="I25" s="5">
        <f t="shared" si="5"/>
        <v>0.95198079839351402</v>
      </c>
      <c r="J25" s="3">
        <f t="shared" si="9"/>
        <v>135.25886274910746</v>
      </c>
      <c r="K25" s="3">
        <f t="shared" si="7"/>
        <v>22.478382431800828</v>
      </c>
      <c r="L25" s="3">
        <f t="shared" si="8"/>
        <v>3.3865266077803824</v>
      </c>
    </row>
    <row r="26" spans="1:12">
      <c r="A26" s="38">
        <v>1951</v>
      </c>
      <c r="B26" s="38" t="s">
        <v>83</v>
      </c>
      <c r="C26" s="1">
        <v>145</v>
      </c>
      <c r="D26" s="1">
        <v>25</v>
      </c>
      <c r="E26" s="1"/>
      <c r="F26" s="3">
        <f t="shared" si="3"/>
        <v>151.79649394117149</v>
      </c>
      <c r="G26" s="3">
        <f t="shared" si="6"/>
        <v>1.393255109863774</v>
      </c>
      <c r="H26" s="5">
        <f t="shared" si="4"/>
        <v>0.89424434998250624</v>
      </c>
      <c r="I26" s="5">
        <f t="shared" si="5"/>
        <v>0.94734131516119779</v>
      </c>
      <c r="J26" s="3">
        <f t="shared" si="9"/>
        <v>132.22312912911849</v>
      </c>
      <c r="K26" s="3">
        <f t="shared" si="7"/>
        <v>163.24842925118043</v>
      </c>
      <c r="L26" s="3">
        <f t="shared" si="8"/>
        <v>8.8116350833665589</v>
      </c>
    </row>
    <row r="27" spans="1:12">
      <c r="A27" s="38">
        <v>1951</v>
      </c>
      <c r="B27" s="38" t="s">
        <v>84</v>
      </c>
      <c r="C27" s="1">
        <v>150</v>
      </c>
      <c r="D27" s="1">
        <v>26</v>
      </c>
      <c r="E27" s="1"/>
      <c r="F27" s="3">
        <f t="shared" si="3"/>
        <v>154.14884546099438</v>
      </c>
      <c r="G27" s="3">
        <f t="shared" si="6"/>
        <v>1.424521652828441</v>
      </c>
      <c r="H27" s="5">
        <f t="shared" si="4"/>
        <v>0.95742006551665781</v>
      </c>
      <c r="I27" s="5">
        <f t="shared" si="5"/>
        <v>0.97105992339818137</v>
      </c>
      <c r="J27" s="3">
        <f t="shared" si="9"/>
        <v>146.66693957292256</v>
      </c>
      <c r="K27" s="3">
        <f t="shared" si="7"/>
        <v>11.109291810549657</v>
      </c>
      <c r="L27" s="3">
        <f t="shared" si="8"/>
        <v>2.2220402847182941</v>
      </c>
    </row>
    <row r="28" spans="1:12">
      <c r="A28" s="38">
        <v>1951</v>
      </c>
      <c r="B28" s="38" t="s">
        <v>85</v>
      </c>
      <c r="C28" s="1">
        <v>178</v>
      </c>
      <c r="D28" s="1">
        <v>27</v>
      </c>
      <c r="E28" s="1"/>
      <c r="F28" s="3">
        <f t="shared" si="3"/>
        <v>159.09579453447236</v>
      </c>
      <c r="G28" s="3">
        <f t="shared" si="6"/>
        <v>1.5393527867416161</v>
      </c>
      <c r="H28" s="5">
        <f t="shared" si="4"/>
        <v>1.0572648650402614</v>
      </c>
      <c r="I28" s="5">
        <f t="shared" si="5"/>
        <v>1.1108633463714537</v>
      </c>
      <c r="J28" s="3">
        <f t="shared" si="9"/>
        <v>164.48225498545494</v>
      </c>
      <c r="K28" s="3">
        <f t="shared" si="7"/>
        <v>182.72943027825772</v>
      </c>
      <c r="L28" s="3">
        <f t="shared" si="8"/>
        <v>7.5942387722163236</v>
      </c>
    </row>
    <row r="29" spans="1:12">
      <c r="A29" s="38">
        <v>1951</v>
      </c>
      <c r="B29" s="38" t="s">
        <v>86</v>
      </c>
      <c r="C29" s="1">
        <v>163</v>
      </c>
      <c r="D29" s="1">
        <v>28</v>
      </c>
      <c r="E29" s="1"/>
      <c r="F29" s="3">
        <f t="shared" si="3"/>
        <v>160.83172031341758</v>
      </c>
      <c r="G29" s="3">
        <f t="shared" si="6"/>
        <v>1.5457610662874537</v>
      </c>
      <c r="H29" s="5">
        <f t="shared" si="4"/>
        <v>1.01023460056137</v>
      </c>
      <c r="I29" s="5">
        <f t="shared" si="5"/>
        <v>1.0130618212568625</v>
      </c>
      <c r="J29" s="3">
        <f t="shared" si="9"/>
        <v>162.27918389016341</v>
      </c>
      <c r="K29" s="3">
        <f t="shared" si="7"/>
        <v>0.51957586419995583</v>
      </c>
      <c r="L29" s="3">
        <f t="shared" si="8"/>
        <v>0.44221847229238692</v>
      </c>
    </row>
    <row r="30" spans="1:12">
      <c r="A30" s="38">
        <v>1951</v>
      </c>
      <c r="B30" s="38" t="s">
        <v>5</v>
      </c>
      <c r="C30" s="1">
        <v>172</v>
      </c>
      <c r="D30" s="1">
        <v>29</v>
      </c>
      <c r="E30" s="1"/>
      <c r="F30" s="3">
        <f t="shared" si="3"/>
        <v>168.22702346163385</v>
      </c>
      <c r="G30" s="3">
        <f t="shared" si="6"/>
        <v>1.7364561381583332</v>
      </c>
      <c r="H30" s="5">
        <f t="shared" si="4"/>
        <v>0.93676846096207478</v>
      </c>
      <c r="I30" s="5">
        <f t="shared" si="5"/>
        <v>1.0113521225188269</v>
      </c>
      <c r="J30" s="3">
        <f t="shared" si="9"/>
        <v>152.11010332696424</v>
      </c>
      <c r="K30" s="3">
        <f t="shared" si="7"/>
        <v>395.60798966403917</v>
      </c>
      <c r="L30" s="3">
        <f t="shared" si="8"/>
        <v>11.563893414555677</v>
      </c>
    </row>
    <row r="31" spans="1:12">
      <c r="A31" s="38">
        <v>1951</v>
      </c>
      <c r="B31" s="38" t="s">
        <v>87</v>
      </c>
      <c r="C31" s="1">
        <v>178</v>
      </c>
      <c r="D31" s="1">
        <v>30</v>
      </c>
      <c r="E31" s="1"/>
      <c r="F31" s="3">
        <f t="shared" si="3"/>
        <v>168.14200735099482</v>
      </c>
      <c r="G31" s="3">
        <f t="shared" si="6"/>
        <v>1.6770761428475394</v>
      </c>
      <c r="H31" s="5">
        <f t="shared" si="4"/>
        <v>1.0896716174015264</v>
      </c>
      <c r="I31" s="5">
        <f t="shared" si="5"/>
        <v>1.0626427840204995</v>
      </c>
      <c r="J31" s="3">
        <f t="shared" si="9"/>
        <v>185.20437971469687</v>
      </c>
      <c r="K31" s="3">
        <f t="shared" si="7"/>
        <v>51.903087073535751</v>
      </c>
      <c r="L31" s="3">
        <f t="shared" si="8"/>
        <v>4.0474043340993653</v>
      </c>
    </row>
    <row r="32" spans="1:12">
      <c r="A32" s="38">
        <v>1951</v>
      </c>
      <c r="B32" s="38" t="s">
        <v>88</v>
      </c>
      <c r="C32" s="1">
        <v>199</v>
      </c>
      <c r="D32" s="1">
        <v>31</v>
      </c>
      <c r="E32" s="1"/>
      <c r="F32" s="3">
        <f t="shared" si="3"/>
        <v>168.3145259774742</v>
      </c>
      <c r="G32" s="3">
        <f t="shared" si="6"/>
        <v>1.6280275678139375</v>
      </c>
      <c r="H32" s="5">
        <f t="shared" si="4"/>
        <v>1.2107723841275577</v>
      </c>
      <c r="I32" s="5">
        <f t="shared" si="5"/>
        <v>1.1859904593613071</v>
      </c>
      <c r="J32" s="3">
        <f t="shared" si="9"/>
        <v>205.6122565921963</v>
      </c>
      <c r="K32" s="3">
        <f t="shared" si="7"/>
        <v>43.721937241043463</v>
      </c>
      <c r="L32" s="3">
        <f t="shared" si="8"/>
        <v>3.3227420061287956</v>
      </c>
    </row>
    <row r="33" spans="1:12">
      <c r="A33" s="38">
        <v>1951</v>
      </c>
      <c r="B33" s="38" t="s">
        <v>89</v>
      </c>
      <c r="C33" s="1">
        <v>199</v>
      </c>
      <c r="D33" s="1">
        <v>32</v>
      </c>
      <c r="E33" s="1"/>
      <c r="F33" s="3">
        <f t="shared" si="3"/>
        <v>169.11319380332728</v>
      </c>
      <c r="G33" s="3">
        <f t="shared" si="6"/>
        <v>1.6009904402260133</v>
      </c>
      <c r="H33" s="5">
        <f t="shared" si="4"/>
        <v>1.1921009353589285</v>
      </c>
      <c r="I33" s="5">
        <f t="shared" si="5"/>
        <v>1.1787145347224861</v>
      </c>
      <c r="J33" s="3">
        <f t="shared" si="9"/>
        <v>202.58867703862279</v>
      </c>
      <c r="K33" s="3">
        <f t="shared" si="7"/>
        <v>12.878602887538444</v>
      </c>
      <c r="L33" s="3">
        <f t="shared" si="8"/>
        <v>1.8033552957903474</v>
      </c>
    </row>
    <row r="34" spans="1:12">
      <c r="A34" s="38">
        <v>1951</v>
      </c>
      <c r="B34" s="38" t="s">
        <v>90</v>
      </c>
      <c r="C34" s="1">
        <v>184</v>
      </c>
      <c r="D34" s="1">
        <v>33</v>
      </c>
      <c r="E34" s="1"/>
      <c r="F34" s="3">
        <f t="shared" si="3"/>
        <v>170.14838565808941</v>
      </c>
      <c r="G34" s="3">
        <f t="shared" si="6"/>
        <v>1.5825454063398909</v>
      </c>
      <c r="H34" s="5">
        <f t="shared" si="4"/>
        <v>1.0909491787433674</v>
      </c>
      <c r="I34" s="5">
        <f t="shared" si="5"/>
        <v>1.0826425676986118</v>
      </c>
      <c r="J34" s="3">
        <f t="shared" si="9"/>
        <v>186.24049910034836</v>
      </c>
      <c r="K34" s="3">
        <f t="shared" si="7"/>
        <v>5.0198362186618048</v>
      </c>
      <c r="L34" s="3">
        <f t="shared" si="8"/>
        <v>1.2176625545371516</v>
      </c>
    </row>
    <row r="35" spans="1:12">
      <c r="A35" s="38">
        <v>1951</v>
      </c>
      <c r="B35" s="38" t="s">
        <v>91</v>
      </c>
      <c r="C35" s="1">
        <v>162</v>
      </c>
      <c r="D35" s="1">
        <v>34</v>
      </c>
      <c r="E35" s="1"/>
      <c r="F35" s="3">
        <f t="shared" si="3"/>
        <v>172.82062905451329</v>
      </c>
      <c r="G35" s="3">
        <f t="shared" si="6"/>
        <v>1.6180695608166291</v>
      </c>
      <c r="H35" s="5">
        <f t="shared" si="4"/>
        <v>0.92209819769451851</v>
      </c>
      <c r="I35" s="5">
        <f t="shared" si="5"/>
        <v>0.93541111003844746</v>
      </c>
      <c r="J35" s="3">
        <f t="shared" si="9"/>
        <v>158.35278202291187</v>
      </c>
      <c r="K35" s="3">
        <f t="shared" si="7"/>
        <v>13.30219897239485</v>
      </c>
      <c r="L35" s="3">
        <f t="shared" si="8"/>
        <v>2.2513691216593412</v>
      </c>
    </row>
    <row r="36" spans="1:12">
      <c r="A36" s="38">
        <v>1951</v>
      </c>
      <c r="B36" s="38" t="s">
        <v>92</v>
      </c>
      <c r="C36" s="1">
        <v>146</v>
      </c>
      <c r="D36" s="1">
        <v>35</v>
      </c>
      <c r="E36" s="1"/>
      <c r="F36" s="3">
        <f t="shared" si="3"/>
        <v>176.93820908149775</v>
      </c>
      <c r="G36" s="3">
        <f t="shared" si="6"/>
        <v>1.6995536020137003</v>
      </c>
      <c r="H36" s="5">
        <f t="shared" si="4"/>
        <v>0.79559119591815564</v>
      </c>
      <c r="I36" s="5">
        <f t="shared" si="5"/>
        <v>0.82132527505004083</v>
      </c>
      <c r="J36" s="3">
        <f t="shared" si="9"/>
        <v>138.78189284577704</v>
      </c>
      <c r="K36" s="3">
        <f t="shared" si="7"/>
        <v>52.101070889844721</v>
      </c>
      <c r="L36" s="3">
        <f t="shared" si="8"/>
        <v>4.9439090097417555</v>
      </c>
    </row>
    <row r="37" spans="1:12">
      <c r="A37" s="38">
        <v>1951</v>
      </c>
      <c r="B37" s="38" t="s">
        <v>93</v>
      </c>
      <c r="C37" s="1">
        <v>166</v>
      </c>
      <c r="D37" s="1">
        <v>36</v>
      </c>
      <c r="E37" s="1"/>
      <c r="F37" s="3">
        <f t="shared" si="3"/>
        <v>177.46289356210076</v>
      </c>
      <c r="G37" s="3">
        <f t="shared" si="6"/>
        <v>1.6612528686557122</v>
      </c>
      <c r="H37" s="5">
        <f t="shared" si="4"/>
        <v>0.95198079839351402</v>
      </c>
      <c r="I37" s="5">
        <f t="shared" si="5"/>
        <v>0.93754983081919518</v>
      </c>
      <c r="J37" s="3">
        <f t="shared" si="9"/>
        <v>170.05971994268032</v>
      </c>
      <c r="K37" s="3">
        <f t="shared" si="7"/>
        <v>16.481326012996277</v>
      </c>
      <c r="L37" s="3">
        <f t="shared" si="8"/>
        <v>2.4456144233013957</v>
      </c>
    </row>
    <row r="38" spans="1:12">
      <c r="A38" s="38">
        <v>1952</v>
      </c>
      <c r="B38" s="38" t="s">
        <v>83</v>
      </c>
      <c r="C38" s="1">
        <v>171</v>
      </c>
      <c r="D38" s="1">
        <v>37</v>
      </c>
      <c r="E38" s="1"/>
      <c r="F38" s="3">
        <f t="shared" si="3"/>
        <v>179.50461692895203</v>
      </c>
      <c r="G38" s="3">
        <f t="shared" si="6"/>
        <v>1.6736562068968877</v>
      </c>
      <c r="H38" s="5">
        <f t="shared" si="4"/>
        <v>0.94734131516119779</v>
      </c>
      <c r="I38" s="5">
        <f t="shared" si="5"/>
        <v>0.95193897856112242</v>
      </c>
      <c r="J38" s="3">
        <f t="shared" si="9"/>
        <v>169.6917044568398</v>
      </c>
      <c r="K38" s="3">
        <f t="shared" si="7"/>
        <v>1.7116372282528396</v>
      </c>
      <c r="L38" s="3">
        <f t="shared" si="8"/>
        <v>0.76508511295918058</v>
      </c>
    </row>
    <row r="39" spans="1:12">
      <c r="A39" s="38">
        <v>1952</v>
      </c>
      <c r="B39" s="38" t="s">
        <v>84</v>
      </c>
      <c r="C39" s="1">
        <v>180</v>
      </c>
      <c r="D39" s="1">
        <v>38</v>
      </c>
      <c r="E39" s="1"/>
      <c r="F39" s="3">
        <f t="shared" si="3"/>
        <v>182.3315680911887</v>
      </c>
      <c r="G39" s="3">
        <f t="shared" si="6"/>
        <v>1.7112536224409645</v>
      </c>
      <c r="H39" s="5">
        <f t="shared" si="4"/>
        <v>0.97105992339818137</v>
      </c>
      <c r="I39" s="5">
        <f t="shared" si="5"/>
        <v>0.98512395673506314</v>
      </c>
      <c r="J39" s="3">
        <f t="shared" si="9"/>
        <v>175.93496003271221</v>
      </c>
      <c r="K39" s="3">
        <f t="shared" si="7"/>
        <v>16.524549935647102</v>
      </c>
      <c r="L39" s="3">
        <f t="shared" si="8"/>
        <v>2.2583555373821045</v>
      </c>
    </row>
    <row r="40" spans="1:12">
      <c r="A40" s="38">
        <v>1952</v>
      </c>
      <c r="B40" s="38" t="s">
        <v>85</v>
      </c>
      <c r="C40" s="1">
        <v>193</v>
      </c>
      <c r="D40" s="1">
        <v>39</v>
      </c>
      <c r="E40" s="1"/>
      <c r="F40" s="3">
        <f t="shared" si="3"/>
        <v>181.20404767006625</v>
      </c>
      <c r="G40" s="3">
        <f t="shared" si="6"/>
        <v>1.6187095886207969</v>
      </c>
      <c r="H40" s="5">
        <f t="shared" si="4"/>
        <v>1.1108633463714537</v>
      </c>
      <c r="I40" s="5">
        <f t="shared" si="5"/>
        <v>1.0710151288630778</v>
      </c>
      <c r="J40" s="3">
        <f t="shared" si="9"/>
        <v>204.4464248044475</v>
      </c>
      <c r="K40" s="3">
        <f t="shared" si="7"/>
        <v>131.02064080387106</v>
      </c>
      <c r="L40" s="3">
        <f t="shared" si="8"/>
        <v>5.9307900541178773</v>
      </c>
    </row>
    <row r="41" spans="1:12">
      <c r="A41" s="38">
        <v>1952</v>
      </c>
      <c r="B41" s="38" t="s">
        <v>86</v>
      </c>
      <c r="C41" s="1">
        <v>181</v>
      </c>
      <c r="D41" s="1">
        <v>40</v>
      </c>
      <c r="E41" s="1"/>
      <c r="F41" s="3">
        <f t="shared" si="3"/>
        <v>181.67765130543683</v>
      </c>
      <c r="G41" s="3">
        <f t="shared" si="6"/>
        <v>1.58137913454484</v>
      </c>
      <c r="H41" s="5">
        <f t="shared" si="4"/>
        <v>1.0130618212568625</v>
      </c>
      <c r="I41" s="5">
        <f t="shared" si="5"/>
        <v>0.99844121284422716</v>
      </c>
      <c r="J41" s="3">
        <f t="shared" si="9"/>
        <v>185.21075543568676</v>
      </c>
      <c r="K41" s="3">
        <f t="shared" si="7"/>
        <v>17.730461339165629</v>
      </c>
      <c r="L41" s="3">
        <f t="shared" si="8"/>
        <v>2.3263842186114716</v>
      </c>
    </row>
    <row r="42" spans="1:12">
      <c r="A42" s="38">
        <v>1952</v>
      </c>
      <c r="B42" s="38" t="s">
        <v>5</v>
      </c>
      <c r="C42" s="1">
        <v>183</v>
      </c>
      <c r="D42" s="1">
        <v>41</v>
      </c>
      <c r="E42" s="1"/>
      <c r="F42" s="3">
        <f t="shared" si="3"/>
        <v>182.62175754851057</v>
      </c>
      <c r="G42" s="3">
        <f t="shared" si="6"/>
        <v>1.5606040382828825</v>
      </c>
      <c r="H42" s="5">
        <f t="shared" si="4"/>
        <v>1.0113521225188269</v>
      </c>
      <c r="I42" s="5">
        <f t="shared" si="5"/>
        <v>1.0032712054847843</v>
      </c>
      <c r="J42" s="3">
        <f t="shared" si="9"/>
        <v>185.33940940621778</v>
      </c>
      <c r="K42" s="3">
        <f t="shared" si="7"/>
        <v>5.4728363699002394</v>
      </c>
      <c r="L42" s="3">
        <f t="shared" si="8"/>
        <v>1.2783657957474224</v>
      </c>
    </row>
    <row r="43" spans="1:12">
      <c r="A43" s="38">
        <v>1952</v>
      </c>
      <c r="B43" s="38" t="s">
        <v>87</v>
      </c>
      <c r="C43" s="1">
        <v>218</v>
      </c>
      <c r="D43" s="1">
        <v>42</v>
      </c>
      <c r="E43" s="1"/>
      <c r="F43" s="3">
        <f t="shared" si="3"/>
        <v>189.95864337729108</v>
      </c>
      <c r="G43" s="3">
        <f t="shared" si="6"/>
        <v>1.7489108246531051</v>
      </c>
      <c r="H43" s="5">
        <f t="shared" si="4"/>
        <v>1.0626427840204995</v>
      </c>
      <c r="I43" s="5">
        <f t="shared" si="5"/>
        <v>1.1366308952740964</v>
      </c>
      <c r="J43" s="3">
        <f t="shared" si="9"/>
        <v>195.7200574840605</v>
      </c>
      <c r="K43" s="3">
        <f t="shared" si="7"/>
        <v>496.39583851356832</v>
      </c>
      <c r="L43" s="3">
        <f t="shared" si="8"/>
        <v>10.220157117403438</v>
      </c>
    </row>
    <row r="44" spans="1:12">
      <c r="A44" s="38">
        <v>1952</v>
      </c>
      <c r="B44" s="38" t="s">
        <v>88</v>
      </c>
      <c r="C44" s="1">
        <v>230</v>
      </c>
      <c r="D44" s="1">
        <v>43</v>
      </c>
      <c r="E44" s="1"/>
      <c r="F44" s="3">
        <f t="shared" si="3"/>
        <v>192.32004016640266</v>
      </c>
      <c r="G44" s="3">
        <f t="shared" si="6"/>
        <v>1.7688778670944516</v>
      </c>
      <c r="H44" s="5">
        <f t="shared" si="4"/>
        <v>1.1859904593613071</v>
      </c>
      <c r="I44" s="5">
        <f t="shared" si="5"/>
        <v>1.1946389063242489</v>
      </c>
      <c r="J44" s="3">
        <f t="shared" si="9"/>
        <v>227.36333027099647</v>
      </c>
      <c r="K44" s="3">
        <f t="shared" si="7"/>
        <v>6.9520272598435433</v>
      </c>
      <c r="L44" s="3">
        <f t="shared" si="8"/>
        <v>1.1463781430450126</v>
      </c>
    </row>
    <row r="45" spans="1:12">
      <c r="A45" s="38">
        <v>1952</v>
      </c>
      <c r="B45" s="38" t="s">
        <v>89</v>
      </c>
      <c r="C45" s="1">
        <v>242</v>
      </c>
      <c r="D45" s="1">
        <v>44</v>
      </c>
      <c r="E45" s="1"/>
      <c r="F45" s="3">
        <f t="shared" si="3"/>
        <v>197.17988644169893</v>
      </c>
      <c r="G45" s="3">
        <f t="shared" si="6"/>
        <v>1.8696434372018307</v>
      </c>
      <c r="H45" s="5">
        <f t="shared" si="4"/>
        <v>1.1787145347224861</v>
      </c>
      <c r="I45" s="5">
        <f t="shared" si="5"/>
        <v>1.2210228687092946</v>
      </c>
      <c r="J45" s="3">
        <f t="shared" si="9"/>
        <v>228.77542871464431</v>
      </c>
      <c r="K45" s="3">
        <f t="shared" si="7"/>
        <v>174.88928568145434</v>
      </c>
      <c r="L45" s="3">
        <f t="shared" si="8"/>
        <v>5.4646988782461552</v>
      </c>
    </row>
    <row r="46" spans="1:12">
      <c r="A46" s="38">
        <v>1952</v>
      </c>
      <c r="B46" s="38" t="s">
        <v>90</v>
      </c>
      <c r="C46" s="1">
        <v>209</v>
      </c>
      <c r="D46" s="1">
        <v>45</v>
      </c>
      <c r="E46" s="1"/>
      <c r="F46" s="3">
        <f t="shared" ref="F46:F77" si="10">$N$2*(C46/H46)+$N$3*(F45+G45)</f>
        <v>197.39560393372383</v>
      </c>
      <c r="G46" s="3">
        <f t="shared" si="6"/>
        <v>1.815725451389063</v>
      </c>
      <c r="H46" s="5">
        <f t="shared" ref="H46:H77" si="11">I34</f>
        <v>1.0826425676986118</v>
      </c>
      <c r="I46" s="5">
        <f t="shared" ref="I46:I77" si="12">$P$2*(C46/F46)+$P$3*H46</f>
        <v>1.0618719690754075</v>
      </c>
      <c r="J46" s="3">
        <f t="shared" si="9"/>
        <v>215.49949412729467</v>
      </c>
      <c r="K46" s="3">
        <f t="shared" si="7"/>
        <v>42.243423910737874</v>
      </c>
      <c r="L46" s="3">
        <f t="shared" si="8"/>
        <v>3.1098058025333337</v>
      </c>
    </row>
    <row r="47" spans="1:12">
      <c r="A47" s="38">
        <v>1952</v>
      </c>
      <c r="B47" s="38" t="s">
        <v>91</v>
      </c>
      <c r="C47" s="1">
        <v>191</v>
      </c>
      <c r="D47" s="1">
        <v>46</v>
      </c>
      <c r="E47" s="1"/>
      <c r="F47" s="3">
        <f t="shared" si="10"/>
        <v>200.5824835054346</v>
      </c>
      <c r="G47" s="3">
        <f t="shared" si="6"/>
        <v>1.8604250757115504</v>
      </c>
      <c r="H47" s="5">
        <f t="shared" si="11"/>
        <v>0.93541111003844746</v>
      </c>
      <c r="I47" s="5">
        <f t="shared" si="12"/>
        <v>0.95005246007866451</v>
      </c>
      <c r="J47" s="3">
        <f t="shared" si="9"/>
        <v>186.34449075236324</v>
      </c>
      <c r="K47" s="3">
        <f t="shared" si="7"/>
        <v>21.673766354831368</v>
      </c>
      <c r="L47" s="3">
        <f t="shared" si="8"/>
        <v>2.4374393966684593</v>
      </c>
    </row>
    <row r="48" spans="1:12">
      <c r="A48" s="38">
        <v>1952</v>
      </c>
      <c r="B48" s="38" t="s">
        <v>92</v>
      </c>
      <c r="C48" s="1">
        <v>172</v>
      </c>
      <c r="D48" s="1">
        <v>47</v>
      </c>
      <c r="E48" s="1"/>
      <c r="F48" s="3">
        <f t="shared" si="10"/>
        <v>204.36444682763945</v>
      </c>
      <c r="G48" s="3">
        <f t="shared" si="6"/>
        <v>1.9230672225472323</v>
      </c>
      <c r="H48" s="5">
        <f t="shared" si="11"/>
        <v>0.82132527505004083</v>
      </c>
      <c r="I48" s="5">
        <f t="shared" si="12"/>
        <v>0.83900779708474382</v>
      </c>
      <c r="J48" s="3">
        <f t="shared" si="9"/>
        <v>166.27147757234013</v>
      </c>
      <c r="K48" s="3">
        <f t="shared" si="7"/>
        <v>32.815969204202112</v>
      </c>
      <c r="L48" s="3">
        <f t="shared" si="8"/>
        <v>3.3305362951510862</v>
      </c>
    </row>
    <row r="49" spans="1:12">
      <c r="A49" s="38">
        <v>1952</v>
      </c>
      <c r="B49" s="38" t="s">
        <v>93</v>
      </c>
      <c r="C49" s="1">
        <v>194</v>
      </c>
      <c r="D49" s="1">
        <v>48</v>
      </c>
      <c r="E49" s="1"/>
      <c r="F49" s="3">
        <f t="shared" si="10"/>
        <v>206.46240717132878</v>
      </c>
      <c r="G49" s="3">
        <f t="shared" si="6"/>
        <v>1.9287687382964644</v>
      </c>
      <c r="H49" s="5">
        <f t="shared" si="11"/>
        <v>0.93754983081919518</v>
      </c>
      <c r="I49" s="5">
        <f t="shared" si="12"/>
        <v>0.93936832297726625</v>
      </c>
      <c r="J49" s="3">
        <f t="shared" si="9"/>
        <v>193.4048238978649</v>
      </c>
      <c r="K49" s="3">
        <f t="shared" si="7"/>
        <v>0.35423459255272977</v>
      </c>
      <c r="L49" s="3">
        <f t="shared" si="8"/>
        <v>0.30679180522427779</v>
      </c>
    </row>
    <row r="50" spans="1:12">
      <c r="A50" s="38">
        <v>1953</v>
      </c>
      <c r="B50" s="38" t="s">
        <v>83</v>
      </c>
      <c r="C50" s="1">
        <v>196</v>
      </c>
      <c r="D50" s="1">
        <v>49</v>
      </c>
      <c r="E50" s="1"/>
      <c r="F50" s="3">
        <f t="shared" si="10"/>
        <v>207.70363109965064</v>
      </c>
      <c r="G50" s="3">
        <f t="shared" si="6"/>
        <v>1.9063547774912923</v>
      </c>
      <c r="H50" s="5">
        <f t="shared" si="11"/>
        <v>0.95193897856112242</v>
      </c>
      <c r="I50" s="5">
        <f t="shared" si="12"/>
        <v>0.94472372894805989</v>
      </c>
      <c r="J50" s="3">
        <f t="shared" si="9"/>
        <v>198.37568313655984</v>
      </c>
      <c r="K50" s="3">
        <f t="shared" si="7"/>
        <v>5.6438703653348137</v>
      </c>
      <c r="L50" s="3">
        <f t="shared" si="8"/>
        <v>1.2120832329386952</v>
      </c>
    </row>
    <row r="51" spans="1:12">
      <c r="A51" s="38">
        <v>1953</v>
      </c>
      <c r="B51" s="38" t="s">
        <v>84</v>
      </c>
      <c r="C51" s="1">
        <v>196</v>
      </c>
      <c r="D51" s="1">
        <v>50</v>
      </c>
      <c r="E51" s="1"/>
      <c r="F51" s="3">
        <f t="shared" si="10"/>
        <v>206.6758413761915</v>
      </c>
      <c r="G51" s="3">
        <f t="shared" si="6"/>
        <v>1.8107016667603084</v>
      </c>
      <c r="H51" s="5">
        <f t="shared" si="11"/>
        <v>0.98512395673506314</v>
      </c>
      <c r="I51" s="5">
        <f t="shared" si="12"/>
        <v>0.95310051577807342</v>
      </c>
      <c r="J51" s="3">
        <f t="shared" si="9"/>
        <v>206.49181865847075</v>
      </c>
      <c r="K51" s="3">
        <f t="shared" si="7"/>
        <v>110.07825876223494</v>
      </c>
      <c r="L51" s="3">
        <f t="shared" si="8"/>
        <v>5.3529687033014017</v>
      </c>
    </row>
    <row r="52" spans="1:12">
      <c r="A52" s="38">
        <v>1953</v>
      </c>
      <c r="B52" s="38" t="s">
        <v>85</v>
      </c>
      <c r="C52" s="1">
        <v>236</v>
      </c>
      <c r="D52" s="1">
        <v>51</v>
      </c>
      <c r="E52" s="1"/>
      <c r="F52" s="3">
        <f t="shared" si="10"/>
        <v>211.75539266033252</v>
      </c>
      <c r="G52" s="3">
        <f t="shared" si="6"/>
        <v>1.9172661642869195</v>
      </c>
      <c r="H52" s="5">
        <f t="shared" si="11"/>
        <v>1.0710151288630778</v>
      </c>
      <c r="I52" s="5">
        <f t="shared" si="12"/>
        <v>1.1088717107985055</v>
      </c>
      <c r="J52" s="3">
        <f t="shared" si="9"/>
        <v>223.29224176336464</v>
      </c>
      <c r="K52" s="3">
        <f t="shared" si="7"/>
        <v>161.48711940077376</v>
      </c>
      <c r="L52" s="3">
        <f t="shared" si="8"/>
        <v>5.3846433206082018</v>
      </c>
    </row>
    <row r="53" spans="1:12">
      <c r="A53" s="38">
        <v>1953</v>
      </c>
      <c r="B53" s="38" t="s">
        <v>86</v>
      </c>
      <c r="C53" s="1">
        <v>235</v>
      </c>
      <c r="D53" s="1">
        <v>52</v>
      </c>
      <c r="E53" s="1"/>
      <c r="F53" s="3">
        <f t="shared" si="10"/>
        <v>219.64941865392169</v>
      </c>
      <c r="G53" s="3">
        <f t="shared" si="6"/>
        <v>2.1121085347221729</v>
      </c>
      <c r="H53" s="5">
        <f t="shared" si="11"/>
        <v>0.99844121284422716</v>
      </c>
      <c r="I53" s="5">
        <f t="shared" si="12"/>
        <v>1.0606488314893756</v>
      </c>
      <c r="J53" s="3">
        <f t="shared" si="9"/>
        <v>213.3395886285038</v>
      </c>
      <c r="K53" s="3">
        <f t="shared" si="7"/>
        <v>469.17342078244167</v>
      </c>
      <c r="L53" s="3">
        <f t="shared" si="8"/>
        <v>9.2171963282962537</v>
      </c>
    </row>
    <row r="54" spans="1:12">
      <c r="A54" s="38">
        <v>1953</v>
      </c>
      <c r="B54" s="38" t="s">
        <v>5</v>
      </c>
      <c r="C54" s="1">
        <v>229</v>
      </c>
      <c r="D54" s="1">
        <v>53</v>
      </c>
      <c r="E54" s="1"/>
      <c r="F54" s="3">
        <f t="shared" si="10"/>
        <v>223.55002063572212</v>
      </c>
      <c r="G54" s="3">
        <f t="shared" si="6"/>
        <v>2.1704134210969244</v>
      </c>
      <c r="H54" s="5">
        <f t="shared" si="11"/>
        <v>1.0032712054847843</v>
      </c>
      <c r="I54" s="5">
        <f t="shared" si="12"/>
        <v>1.0216499701992754</v>
      </c>
      <c r="J54" s="3">
        <f t="shared" si="9"/>
        <v>222.4869547126975</v>
      </c>
      <c r="K54" s="3">
        <f t="shared" si="7"/>
        <v>42.419758914453354</v>
      </c>
      <c r="L54" s="3">
        <f t="shared" si="8"/>
        <v>2.8441245796080801</v>
      </c>
    </row>
    <row r="55" spans="1:12">
      <c r="A55" s="38">
        <v>1953</v>
      </c>
      <c r="B55" s="38" t="s">
        <v>87</v>
      </c>
      <c r="C55" s="1">
        <v>243</v>
      </c>
      <c r="D55" s="1">
        <v>54</v>
      </c>
      <c r="E55" s="1"/>
      <c r="F55" s="3">
        <f t="shared" si="10"/>
        <v>222.43352212959454</v>
      </c>
      <c r="G55" s="3">
        <f t="shared" si="6"/>
        <v>2.0632600922694055</v>
      </c>
      <c r="H55" s="5">
        <f t="shared" si="11"/>
        <v>1.1366308952740964</v>
      </c>
      <c r="I55" s="5">
        <f t="shared" si="12"/>
        <v>1.0981723709339637</v>
      </c>
      <c r="J55" s="3">
        <f t="shared" si="9"/>
        <v>256.56081904365988</v>
      </c>
      <c r="K55" s="3">
        <f t="shared" si="7"/>
        <v>183.89581313488836</v>
      </c>
      <c r="L55" s="3">
        <f t="shared" si="8"/>
        <v>5.5805839685843113</v>
      </c>
    </row>
    <row r="56" spans="1:12">
      <c r="A56" s="38">
        <v>1953</v>
      </c>
      <c r="B56" s="38" t="s">
        <v>88</v>
      </c>
      <c r="C56" s="1">
        <v>264</v>
      </c>
      <c r="D56" s="1">
        <v>55</v>
      </c>
      <c r="E56" s="1"/>
      <c r="F56" s="3">
        <f t="shared" si="10"/>
        <v>223.5299137853348</v>
      </c>
      <c r="G56" s="3">
        <f t="shared" si="6"/>
        <v>2.0317401812385554</v>
      </c>
      <c r="H56" s="5">
        <f t="shared" si="11"/>
        <v>1.1946389063242489</v>
      </c>
      <c r="I56" s="5">
        <f t="shared" si="12"/>
        <v>1.182807027372978</v>
      </c>
      <c r="J56" s="3">
        <f t="shared" si="9"/>
        <v>268.19259038684061</v>
      </c>
      <c r="K56" s="3">
        <f t="shared" si="7"/>
        <v>17.577814151828267</v>
      </c>
      <c r="L56" s="3">
        <f t="shared" si="8"/>
        <v>1.5881024192578055</v>
      </c>
    </row>
    <row r="57" spans="1:12">
      <c r="A57" s="38">
        <v>1953</v>
      </c>
      <c r="B57" s="38" t="s">
        <v>89</v>
      </c>
      <c r="C57" s="1">
        <v>272</v>
      </c>
      <c r="D57" s="1">
        <v>56</v>
      </c>
      <c r="E57" s="1"/>
      <c r="F57" s="3">
        <f t="shared" si="10"/>
        <v>224.79091421450795</v>
      </c>
      <c r="G57" s="3">
        <f t="shared" si="6"/>
        <v>2.0066140653212234</v>
      </c>
      <c r="H57" s="5">
        <f t="shared" si="11"/>
        <v>1.2210228687092946</v>
      </c>
      <c r="I57" s="5">
        <f t="shared" si="12"/>
        <v>1.2114368530424731</v>
      </c>
      <c r="J57" s="3">
        <f t="shared" si="9"/>
        <v>275.41593779707864</v>
      </c>
      <c r="K57" s="3">
        <f t="shared" si="7"/>
        <v>11.668631033510477</v>
      </c>
      <c r="L57" s="3">
        <f t="shared" si="8"/>
        <v>1.2558594842200885</v>
      </c>
    </row>
    <row r="58" spans="1:12">
      <c r="A58" s="38">
        <v>1953</v>
      </c>
      <c r="B58" s="38" t="s">
        <v>90</v>
      </c>
      <c r="C58" s="1">
        <v>237</v>
      </c>
      <c r="D58" s="1">
        <v>57</v>
      </c>
      <c r="E58" s="1"/>
      <c r="F58" s="3">
        <f t="shared" si="10"/>
        <v>225.80386055709084</v>
      </c>
      <c r="G58" s="3">
        <f t="shared" si="6"/>
        <v>1.974220497559954</v>
      </c>
      <c r="H58" s="5">
        <f t="shared" si="11"/>
        <v>1.0618719690754075</v>
      </c>
      <c r="I58" s="5">
        <f t="shared" si="12"/>
        <v>1.0511723748472395</v>
      </c>
      <c r="J58" s="3">
        <f t="shared" si="9"/>
        <v>240.82993793593764</v>
      </c>
      <c r="K58" s="3">
        <f t="shared" si="7"/>
        <v>14.66842459313424</v>
      </c>
      <c r="L58" s="3">
        <f t="shared" si="8"/>
        <v>1.6160075679061754</v>
      </c>
    </row>
    <row r="59" spans="1:12">
      <c r="A59" s="38">
        <v>1953</v>
      </c>
      <c r="B59" s="38" t="s">
        <v>91</v>
      </c>
      <c r="C59" s="1">
        <v>211</v>
      </c>
      <c r="D59" s="1">
        <v>58</v>
      </c>
      <c r="E59" s="1"/>
      <c r="F59" s="3">
        <f t="shared" si="10"/>
        <v>226.21184092939802</v>
      </c>
      <c r="G59" s="3">
        <f t="shared" si="6"/>
        <v>1.9231610694767136</v>
      </c>
      <c r="H59" s="5">
        <f t="shared" si="11"/>
        <v>0.95005246007866451</v>
      </c>
      <c r="I59" s="5">
        <f t="shared" si="12"/>
        <v>0.93499069291177028</v>
      </c>
      <c r="J59" s="3">
        <f t="shared" si="9"/>
        <v>216.40112625796843</v>
      </c>
      <c r="K59" s="3">
        <f t="shared" si="7"/>
        <v>29.172164854516041</v>
      </c>
      <c r="L59" s="3">
        <f t="shared" si="8"/>
        <v>2.5597754777101556</v>
      </c>
    </row>
    <row r="60" spans="1:12">
      <c r="A60" s="38">
        <v>1953</v>
      </c>
      <c r="B60" s="38" t="s">
        <v>92</v>
      </c>
      <c r="C60" s="1">
        <v>180</v>
      </c>
      <c r="D60" s="1">
        <v>59</v>
      </c>
      <c r="E60" s="1"/>
      <c r="F60" s="3">
        <f t="shared" si="10"/>
        <v>224.38933832742026</v>
      </c>
      <c r="G60" s="3">
        <f t="shared" si="6"/>
        <v>1.8010524337872977</v>
      </c>
      <c r="H60" s="5">
        <f t="shared" si="11"/>
        <v>0.83900779708474382</v>
      </c>
      <c r="I60" s="5">
        <f t="shared" si="12"/>
        <v>0.80693935301776731</v>
      </c>
      <c r="J60" s="3">
        <f t="shared" si="9"/>
        <v>191.40704546499953</v>
      </c>
      <c r="K60" s="3">
        <f t="shared" si="7"/>
        <v>130.12068624056627</v>
      </c>
      <c r="L60" s="3">
        <f t="shared" si="8"/>
        <v>6.337247480555293</v>
      </c>
    </row>
    <row r="61" spans="1:12">
      <c r="A61" s="38">
        <v>1953</v>
      </c>
      <c r="B61" s="38" t="s">
        <v>93</v>
      </c>
      <c r="C61" s="1">
        <v>201</v>
      </c>
      <c r="D61" s="1">
        <v>60</v>
      </c>
      <c r="E61" s="1"/>
      <c r="F61" s="3">
        <f t="shared" si="10"/>
        <v>222.82465851487629</v>
      </c>
      <c r="G61" s="3">
        <f t="shared" si="6"/>
        <v>1.6913295625568983</v>
      </c>
      <c r="H61" s="5">
        <f t="shared" si="11"/>
        <v>0.93936832297726625</v>
      </c>
      <c r="I61" s="5">
        <f t="shared" si="12"/>
        <v>0.90687923231252798</v>
      </c>
      <c r="J61" s="3">
        <f t="shared" si="9"/>
        <v>212.4760880429281</v>
      </c>
      <c r="K61" s="3">
        <f t="shared" si="7"/>
        <v>131.70059676903725</v>
      </c>
      <c r="L61" s="3">
        <f t="shared" si="8"/>
        <v>5.7094965387701979</v>
      </c>
    </row>
    <row r="62" spans="1:12">
      <c r="A62" s="38">
        <v>1954</v>
      </c>
      <c r="B62" s="38" t="s">
        <v>83</v>
      </c>
      <c r="C62" s="1">
        <v>204</v>
      </c>
      <c r="D62" s="1">
        <v>61</v>
      </c>
      <c r="E62" s="1"/>
      <c r="F62" s="3">
        <f t="shared" si="10"/>
        <v>222.15224127487747</v>
      </c>
      <c r="G62" s="3">
        <f t="shared" si="6"/>
        <v>1.6142714167935819</v>
      </c>
      <c r="H62" s="5">
        <f t="shared" si="11"/>
        <v>0.94472372894805989</v>
      </c>
      <c r="I62" s="5">
        <f t="shared" si="12"/>
        <v>0.92170716923482121</v>
      </c>
      <c r="J62" s="3">
        <f t="shared" si="9"/>
        <v>212.10558146497084</v>
      </c>
      <c r="K62" s="3">
        <f t="shared" si="7"/>
        <v>65.700450885278826</v>
      </c>
      <c r="L62" s="3">
        <f t="shared" si="8"/>
        <v>3.973324247534725</v>
      </c>
    </row>
    <row r="63" spans="1:12">
      <c r="A63" s="38">
        <v>1954</v>
      </c>
      <c r="B63" s="38" t="s">
        <v>84</v>
      </c>
      <c r="C63" s="1">
        <v>188</v>
      </c>
      <c r="D63" s="1">
        <v>62</v>
      </c>
      <c r="E63" s="1"/>
      <c r="F63" s="3">
        <f t="shared" si="10"/>
        <v>216.46148032031959</v>
      </c>
      <c r="G63" s="3">
        <f t="shared" si="6"/>
        <v>1.3761273614875245</v>
      </c>
      <c r="H63" s="5">
        <f t="shared" si="11"/>
        <v>0.95310051577807342</v>
      </c>
      <c r="I63" s="5">
        <f t="shared" si="12"/>
        <v>0.87945173591364356</v>
      </c>
      <c r="J63" s="3">
        <f t="shared" si="9"/>
        <v>213.27197866029249</v>
      </c>
      <c r="K63" s="3">
        <f t="shared" si="7"/>
        <v>638.67290540627903</v>
      </c>
      <c r="L63" s="3">
        <f t="shared" si="8"/>
        <v>13.442541840581113</v>
      </c>
    </row>
    <row r="64" spans="1:12">
      <c r="A64" s="38">
        <v>1954</v>
      </c>
      <c r="B64" s="38" t="s">
        <v>85</v>
      </c>
      <c r="C64" s="1">
        <v>235</v>
      </c>
      <c r="D64" s="1">
        <v>63</v>
      </c>
      <c r="E64" s="1"/>
      <c r="F64" s="3">
        <f t="shared" si="10"/>
        <v>216.20927127731247</v>
      </c>
      <c r="G64" s="3">
        <f t="shared" si="6"/>
        <v>1.3230435947009989</v>
      </c>
      <c r="H64" s="5">
        <f t="shared" si="11"/>
        <v>1.1088717107985055</v>
      </c>
      <c r="I64" s="5">
        <f t="shared" si="12"/>
        <v>1.0897495725137381</v>
      </c>
      <c r="J64" s="3">
        <f t="shared" si="9"/>
        <v>241.55396070637914</v>
      </c>
      <c r="K64" s="3">
        <f t="shared" si="7"/>
        <v>42.954400940761801</v>
      </c>
      <c r="L64" s="3">
        <f t="shared" si="8"/>
        <v>2.7889194495230396</v>
      </c>
    </row>
    <row r="65" spans="1:12">
      <c r="A65" s="38">
        <v>1954</v>
      </c>
      <c r="B65" s="38" t="s">
        <v>86</v>
      </c>
      <c r="C65" s="1">
        <v>227</v>
      </c>
      <c r="D65" s="1">
        <v>64</v>
      </c>
      <c r="E65" s="1"/>
      <c r="F65" s="3">
        <f t="shared" si="10"/>
        <v>216.56465578271963</v>
      </c>
      <c r="G65" s="3">
        <f t="shared" si="6"/>
        <v>1.2914979083900198</v>
      </c>
      <c r="H65" s="5">
        <f t="shared" si="11"/>
        <v>1.0606488314893756</v>
      </c>
      <c r="I65" s="5">
        <f t="shared" si="12"/>
        <v>1.0497972821403099</v>
      </c>
      <c r="J65" s="3">
        <f t="shared" si="9"/>
        <v>230.72539558018002</v>
      </c>
      <c r="K65" s="3">
        <f t="shared" si="7"/>
        <v>13.878572228824829</v>
      </c>
      <c r="L65" s="3">
        <f t="shared" si="8"/>
        <v>1.6411434273920795</v>
      </c>
    </row>
    <row r="66" spans="1:12">
      <c r="A66" s="38">
        <v>1954</v>
      </c>
      <c r="B66" s="38" t="s">
        <v>5</v>
      </c>
      <c r="C66" s="1">
        <v>234</v>
      </c>
      <c r="D66" s="1">
        <v>65</v>
      </c>
      <c r="E66" s="1"/>
      <c r="F66" s="3">
        <f t="shared" si="10"/>
        <v>220.93765143559037</v>
      </c>
      <c r="G66" s="3">
        <f t="shared" si="6"/>
        <v>1.3919547348600914</v>
      </c>
      <c r="H66" s="5">
        <f t="shared" si="11"/>
        <v>1.0216499701992754</v>
      </c>
      <c r="I66" s="5">
        <f t="shared" si="12"/>
        <v>1.0542771531952353</v>
      </c>
      <c r="J66" s="3">
        <f t="shared" si="9"/>
        <v>222.57273292625095</v>
      </c>
      <c r="K66" s="3">
        <f t="shared" si="7"/>
        <v>130.58243277478917</v>
      </c>
      <c r="L66" s="3">
        <f t="shared" si="8"/>
        <v>4.8834474674141237</v>
      </c>
    </row>
    <row r="67" spans="1:12">
      <c r="A67" s="38">
        <v>1954</v>
      </c>
      <c r="B67" s="38" t="s">
        <v>87</v>
      </c>
      <c r="C67" s="1">
        <v>264</v>
      </c>
      <c r="D67" s="1">
        <v>66</v>
      </c>
      <c r="E67" s="1"/>
      <c r="F67" s="3">
        <f t="shared" si="10"/>
        <v>227.30783962145421</v>
      </c>
      <c r="G67" s="3">
        <f t="shared" si="6"/>
        <v>1.5542451453628137</v>
      </c>
      <c r="H67" s="5">
        <f t="shared" si="11"/>
        <v>1.0981723709339637</v>
      </c>
      <c r="I67" s="5">
        <f t="shared" si="12"/>
        <v>1.1532425753379334</v>
      </c>
      <c r="J67" s="3">
        <f t="shared" si="9"/>
        <v>244.15623073701798</v>
      </c>
      <c r="K67" s="3">
        <f t="shared" si="7"/>
        <v>393.77517856247005</v>
      </c>
      <c r="L67" s="3">
        <f t="shared" si="8"/>
        <v>7.5165792662810693</v>
      </c>
    </row>
    <row r="68" spans="1:12">
      <c r="A68" s="38">
        <v>1954</v>
      </c>
      <c r="B68" s="38" t="s">
        <v>88</v>
      </c>
      <c r="C68" s="1">
        <v>302</v>
      </c>
      <c r="D68" s="1">
        <v>67</v>
      </c>
      <c r="E68" s="1"/>
      <c r="F68" s="3">
        <f t="shared" si="10"/>
        <v>236.15257033628532</v>
      </c>
      <c r="G68" s="3">
        <f t="shared" si="6"/>
        <v>1.7919149749274803</v>
      </c>
      <c r="H68" s="5">
        <f t="shared" si="11"/>
        <v>1.182807027372978</v>
      </c>
      <c r="I68" s="5">
        <f t="shared" si="12"/>
        <v>1.2664179479168383</v>
      </c>
      <c r="J68" s="3">
        <f t="shared" si="9"/>
        <v>270.69968216142138</v>
      </c>
      <c r="K68" s="3">
        <f t="shared" si="7"/>
        <v>979.70989679604304</v>
      </c>
      <c r="L68" s="3">
        <f t="shared" si="8"/>
        <v>10.364343655158484</v>
      </c>
    </row>
    <row r="69" spans="1:12">
      <c r="A69" s="38">
        <v>1954</v>
      </c>
      <c r="B69" s="38" t="s">
        <v>89</v>
      </c>
      <c r="C69" s="1">
        <v>293</v>
      </c>
      <c r="D69" s="1">
        <v>68</v>
      </c>
      <c r="E69" s="1"/>
      <c r="F69" s="3">
        <f t="shared" si="10"/>
        <v>239.02363776914922</v>
      </c>
      <c r="G69" s="3">
        <f t="shared" si="6"/>
        <v>1.8270953450562075</v>
      </c>
      <c r="H69" s="5">
        <f t="shared" si="11"/>
        <v>1.2114368530424731</v>
      </c>
      <c r="I69" s="5">
        <f t="shared" si="12"/>
        <v>1.2239604206530812</v>
      </c>
      <c r="J69" s="3">
        <f t="shared" si="9"/>
        <v>288.2547184842266</v>
      </c>
      <c r="K69" s="3">
        <f t="shared" si="7"/>
        <v>22.51769666394069</v>
      </c>
      <c r="L69" s="3">
        <f t="shared" si="8"/>
        <v>1.6195500053834126</v>
      </c>
    </row>
    <row r="70" spans="1:12">
      <c r="A70" s="38">
        <v>1954</v>
      </c>
      <c r="B70" s="38" t="s">
        <v>90</v>
      </c>
      <c r="C70" s="1">
        <v>259</v>
      </c>
      <c r="D70" s="1">
        <v>69</v>
      </c>
      <c r="E70" s="1"/>
      <c r="F70" s="3">
        <f t="shared" si="10"/>
        <v>242.37723058904064</v>
      </c>
      <c r="G70" s="3">
        <f t="shared" si="6"/>
        <v>1.8768591627358355</v>
      </c>
      <c r="H70" s="5">
        <f t="shared" si="11"/>
        <v>1.0511723748472395</v>
      </c>
      <c r="I70" s="5">
        <f t="shared" si="12"/>
        <v>1.0663311301101175</v>
      </c>
      <c r="J70" s="3">
        <f t="shared" si="9"/>
        <v>253.17563711135796</v>
      </c>
      <c r="K70" s="3">
        <f t="shared" si="7"/>
        <v>33.92320305859068</v>
      </c>
      <c r="L70" s="3">
        <f t="shared" si="8"/>
        <v>2.2487887600934524</v>
      </c>
    </row>
    <row r="71" spans="1:12">
      <c r="A71" s="38">
        <v>1954</v>
      </c>
      <c r="B71" s="38" t="s">
        <v>91</v>
      </c>
      <c r="C71" s="1">
        <v>229</v>
      </c>
      <c r="D71" s="1">
        <v>70</v>
      </c>
      <c r="E71" s="1"/>
      <c r="F71" s="3">
        <f t="shared" si="10"/>
        <v>244.43816075859769</v>
      </c>
      <c r="G71" s="3">
        <f t="shared" si="6"/>
        <v>1.8828598775582075</v>
      </c>
      <c r="H71" s="5">
        <f t="shared" si="11"/>
        <v>0.93499069291177028</v>
      </c>
      <c r="I71" s="5">
        <f t="shared" si="12"/>
        <v>0.93660285609666183</v>
      </c>
      <c r="J71" s="3">
        <f t="shared" si="9"/>
        <v>228.37530062354719</v>
      </c>
      <c r="K71" s="3">
        <f t="shared" si="7"/>
        <v>0.39024931094052956</v>
      </c>
      <c r="L71" s="3">
        <f t="shared" si="8"/>
        <v>0.27279448753397817</v>
      </c>
    </row>
    <row r="72" spans="1:12">
      <c r="A72" s="38">
        <v>1954</v>
      </c>
      <c r="B72" s="38" t="s">
        <v>92</v>
      </c>
      <c r="C72" s="1">
        <v>203</v>
      </c>
      <c r="D72" s="1">
        <v>71</v>
      </c>
      <c r="E72" s="1"/>
      <c r="F72" s="3">
        <f t="shared" si="10"/>
        <v>247.76652276806962</v>
      </c>
      <c r="G72" s="3">
        <f t="shared" si="6"/>
        <v>1.9299832470585949</v>
      </c>
      <c r="H72" s="5">
        <f t="shared" si="11"/>
        <v>0.80693935301776731</v>
      </c>
      <c r="I72" s="5">
        <f t="shared" si="12"/>
        <v>0.81771894536776124</v>
      </c>
      <c r="J72" s="3">
        <f t="shared" si="9"/>
        <v>198.76612502681576</v>
      </c>
      <c r="K72" s="3">
        <f t="shared" si="7"/>
        <v>17.92569728855587</v>
      </c>
      <c r="L72" s="3">
        <f t="shared" si="8"/>
        <v>2.0856526961498734</v>
      </c>
    </row>
    <row r="73" spans="1:12">
      <c r="A73" s="38">
        <v>1954</v>
      </c>
      <c r="B73" s="38" t="s">
        <v>93</v>
      </c>
      <c r="C73" s="1">
        <v>229</v>
      </c>
      <c r="D73" s="1">
        <v>72</v>
      </c>
      <c r="E73" s="1"/>
      <c r="F73" s="3">
        <f t="shared" si="10"/>
        <v>250.47281599488008</v>
      </c>
      <c r="G73" s="3">
        <f t="shared" si="6"/>
        <v>1.9552909523985056</v>
      </c>
      <c r="H73" s="5">
        <f t="shared" si="11"/>
        <v>0.90687923231252798</v>
      </c>
      <c r="I73" s="5">
        <f t="shared" si="12"/>
        <v>0.91331513336406966</v>
      </c>
      <c r="J73" s="3">
        <f t="shared" si="9"/>
        <v>226.44457568612</v>
      </c>
      <c r="K73" s="3">
        <f t="shared" si="7"/>
        <v>6.5301934239690489</v>
      </c>
      <c r="L73" s="3">
        <f t="shared" si="8"/>
        <v>1.1159058139213958</v>
      </c>
    </row>
    <row r="74" spans="1:12">
      <c r="A74" s="38">
        <v>1955</v>
      </c>
      <c r="B74" s="38" t="s">
        <v>83</v>
      </c>
      <c r="C74" s="1">
        <v>242</v>
      </c>
      <c r="D74" s="1">
        <v>73</v>
      </c>
      <c r="E74" s="1"/>
      <c r="F74" s="3">
        <f t="shared" si="10"/>
        <v>255.21841694836928</v>
      </c>
      <c r="G74" s="3">
        <f t="shared" si="6"/>
        <v>2.0462550584340624</v>
      </c>
      <c r="H74" s="5">
        <f t="shared" si="11"/>
        <v>0.92170716923482121</v>
      </c>
      <c r="I74" s="5">
        <f t="shared" si="12"/>
        <v>0.94478094893290498</v>
      </c>
      <c r="J74" s="3">
        <f t="shared" si="9"/>
        <v>232.66479588968085</v>
      </c>
      <c r="K74" s="3">
        <f t="shared" si="7"/>
        <v>87.146035781319625</v>
      </c>
      <c r="L74" s="3">
        <f t="shared" si="8"/>
        <v>3.8575223596360142</v>
      </c>
    </row>
    <row r="75" spans="1:12">
      <c r="A75" s="38">
        <v>1955</v>
      </c>
      <c r="B75" s="38" t="s">
        <v>84</v>
      </c>
      <c r="C75" s="1">
        <v>233</v>
      </c>
      <c r="D75" s="1">
        <v>74</v>
      </c>
      <c r="E75" s="1"/>
      <c r="F75" s="3">
        <f t="shared" si="10"/>
        <v>259.3786162254994</v>
      </c>
      <c r="G75" s="3">
        <f t="shared" si="6"/>
        <v>2.115169639963554</v>
      </c>
      <c r="H75" s="5">
        <f t="shared" si="11"/>
        <v>0.87945173591364356</v>
      </c>
      <c r="I75" s="5">
        <f t="shared" si="12"/>
        <v>0.89586355405167895</v>
      </c>
      <c r="J75" s="3">
        <f t="shared" si="9"/>
        <v>226.25186238563734</v>
      </c>
      <c r="K75" s="3">
        <f t="shared" si="7"/>
        <v>45.537361262376201</v>
      </c>
      <c r="L75" s="3">
        <f t="shared" si="8"/>
        <v>2.8961964010140182</v>
      </c>
    </row>
    <row r="76" spans="1:12">
      <c r="A76" s="38">
        <v>1955</v>
      </c>
      <c r="B76" s="38" t="s">
        <v>85</v>
      </c>
      <c r="C76" s="1">
        <v>267</v>
      </c>
      <c r="D76" s="1">
        <v>75</v>
      </c>
      <c r="E76" s="1"/>
      <c r="F76" s="3">
        <f t="shared" si="10"/>
        <v>256.95261845414234</v>
      </c>
      <c r="G76" s="3">
        <f t="shared" si="6"/>
        <v>1.9671275823545022</v>
      </c>
      <c r="H76" s="5">
        <f t="shared" si="11"/>
        <v>1.0897495725137381</v>
      </c>
      <c r="I76" s="5">
        <f t="shared" si="12"/>
        <v>1.0456507997751294</v>
      </c>
      <c r="J76" s="3">
        <f t="shared" si="9"/>
        <v>284.9627413618872</v>
      </c>
      <c r="K76" s="3">
        <f t="shared" si="7"/>
        <v>322.66007723405312</v>
      </c>
      <c r="L76" s="3">
        <f t="shared" si="8"/>
        <v>6.7276184875982015</v>
      </c>
    </row>
    <row r="77" spans="1:12">
      <c r="A77" s="38">
        <v>1955</v>
      </c>
      <c r="B77" s="38" t="s">
        <v>86</v>
      </c>
      <c r="C77" s="1">
        <v>269</v>
      </c>
      <c r="D77" s="1">
        <v>76</v>
      </c>
      <c r="E77" s="1"/>
      <c r="F77" s="3">
        <f t="shared" si="10"/>
        <v>258.18146141863861</v>
      </c>
      <c r="G77" s="3">
        <f t="shared" si="6"/>
        <v>1.9430595038123237</v>
      </c>
      <c r="H77" s="5">
        <f t="shared" si="11"/>
        <v>1.0497972821403099</v>
      </c>
      <c r="I77" s="5">
        <f t="shared" si="12"/>
        <v>1.0429235984932455</v>
      </c>
      <c r="J77" s="3">
        <f t="shared" si="9"/>
        <v>271.81324568157368</v>
      </c>
      <c r="K77" s="3">
        <f t="shared" si="7"/>
        <v>7.9143512648929368</v>
      </c>
      <c r="L77" s="3">
        <f t="shared" si="8"/>
        <v>1.0458162385032252</v>
      </c>
    </row>
    <row r="78" spans="1:12">
      <c r="A78" s="38">
        <v>1955</v>
      </c>
      <c r="B78" s="38" t="s">
        <v>5</v>
      </c>
      <c r="C78" s="1">
        <v>270</v>
      </c>
      <c r="D78" s="1">
        <v>77</v>
      </c>
      <c r="E78" s="1"/>
      <c r="F78" s="3">
        <f t="shared" ref="F78:F109" si="13">$N$2*(C78/H78)+$N$3*(F77+G77)</f>
        <v>259.0156663867977</v>
      </c>
      <c r="G78" s="3">
        <f t="shared" si="6"/>
        <v>1.9069108459500286</v>
      </c>
      <c r="H78" s="5">
        <f t="shared" ref="H78" si="14">I66</f>
        <v>1.0542771531952353</v>
      </c>
      <c r="I78" s="5">
        <f t="shared" ref="I78:I109" si="15">$P$2*(C78/F78)+$P$3*H78</f>
        <v>1.0439426722069107</v>
      </c>
      <c r="J78" s="3">
        <f t="shared" si="9"/>
        <v>274.243339394396</v>
      </c>
      <c r="K78" s="3">
        <f t="shared" si="7"/>
        <v>18.005929216033035</v>
      </c>
      <c r="L78" s="3">
        <f t="shared" si="8"/>
        <v>1.5716071831096308</v>
      </c>
    </row>
    <row r="79" spans="1:12">
      <c r="A79" s="38">
        <v>1955</v>
      </c>
      <c r="B79" s="38" t="s">
        <v>87</v>
      </c>
      <c r="C79" s="1">
        <v>315</v>
      </c>
      <c r="D79" s="1">
        <v>78</v>
      </c>
      <c r="E79" s="1"/>
      <c r="F79" s="3">
        <f t="shared" si="13"/>
        <v>264.28927103537433</v>
      </c>
      <c r="G79" s="3">
        <f t="shared" ref="G79:G142" si="16">$O$2*(F79-F78)+$O$3*G78</f>
        <v>2.0166650639156556</v>
      </c>
      <c r="H79" s="5">
        <f t="shared" ref="H79:H142" si="17">I67</f>
        <v>1.1532425753379334</v>
      </c>
      <c r="I79" s="5">
        <f t="shared" si="15"/>
        <v>1.186880569031928</v>
      </c>
      <c r="J79" s="3">
        <f t="shared" si="9"/>
        <v>300.90702493170483</v>
      </c>
      <c r="K79" s="3">
        <f t="shared" ref="K79:K142" si="18">(C79-J79)^2</f>
        <v>198.61194627558939</v>
      </c>
      <c r="L79" s="3">
        <f t="shared" ref="L79:L142" si="19">ABS((C79-J79)/C79)*100</f>
        <v>4.4739603391413247</v>
      </c>
    </row>
    <row r="80" spans="1:12">
      <c r="A80" s="38">
        <v>1955</v>
      </c>
      <c r="B80" s="38" t="s">
        <v>88</v>
      </c>
      <c r="C80" s="1">
        <v>364</v>
      </c>
      <c r="D80" s="1">
        <v>79</v>
      </c>
      <c r="E80" s="1"/>
      <c r="F80" s="3">
        <f t="shared" si="13"/>
        <v>272.12419933340368</v>
      </c>
      <c r="G80" s="3">
        <f t="shared" si="16"/>
        <v>2.2063404453477622</v>
      </c>
      <c r="H80" s="5">
        <f t="shared" si="17"/>
        <v>1.2664179479168383</v>
      </c>
      <c r="I80" s="5">
        <f t="shared" si="15"/>
        <v>1.3284175053862584</v>
      </c>
      <c r="J80" s="3">
        <f t="shared" ref="J80:J143" si="20">(F79+G79)*H80</f>
        <v>337.25461711293548</v>
      </c>
      <c r="K80" s="3">
        <f t="shared" si="18"/>
        <v>715.31550577568385</v>
      </c>
      <c r="L80" s="3">
        <f t="shared" si="19"/>
        <v>7.3476326612814624</v>
      </c>
    </row>
    <row r="81" spans="1:12">
      <c r="A81" s="38">
        <v>1955</v>
      </c>
      <c r="B81" s="38" t="s">
        <v>89</v>
      </c>
      <c r="C81" s="1">
        <v>347</v>
      </c>
      <c r="D81" s="1">
        <v>80</v>
      </c>
      <c r="E81" s="1"/>
      <c r="F81" s="3">
        <f t="shared" si="13"/>
        <v>276.85835137978324</v>
      </c>
      <c r="G81" s="3">
        <f t="shared" si="16"/>
        <v>2.2887471035413989</v>
      </c>
      <c r="H81" s="5">
        <f t="shared" si="17"/>
        <v>1.2239604206530812</v>
      </c>
      <c r="I81" s="5">
        <f t="shared" si="15"/>
        <v>1.2495486231823525</v>
      </c>
      <c r="J81" s="3">
        <f t="shared" si="20"/>
        <v>335.76972286558743</v>
      </c>
      <c r="K81" s="3">
        <f t="shared" si="18"/>
        <v>126.1191245157099</v>
      </c>
      <c r="L81" s="3">
        <f t="shared" si="19"/>
        <v>3.2363911050180327</v>
      </c>
    </row>
    <row r="82" spans="1:12">
      <c r="A82" s="38">
        <v>1955</v>
      </c>
      <c r="B82" s="38" t="s">
        <v>90</v>
      </c>
      <c r="C82" s="1">
        <v>312</v>
      </c>
      <c r="D82" s="1">
        <v>81</v>
      </c>
      <c r="E82" s="1"/>
      <c r="F82" s="3">
        <f t="shared" si="13"/>
        <v>282.85117969692266</v>
      </c>
      <c r="G82" s="3">
        <f t="shared" si="16"/>
        <v>2.4095001511046941</v>
      </c>
      <c r="H82" s="5">
        <f t="shared" si="17"/>
        <v>1.0663311301101175</v>
      </c>
      <c r="I82" s="5">
        <f t="shared" si="15"/>
        <v>1.0983053476145934</v>
      </c>
      <c r="J82" s="3">
        <f t="shared" si="20"/>
        <v>297.66324099268388</v>
      </c>
      <c r="K82" s="3">
        <f t="shared" si="18"/>
        <v>205.54265883385986</v>
      </c>
      <c r="L82" s="3">
        <f t="shared" si="19"/>
        <v>4.5951150664474731</v>
      </c>
    </row>
    <row r="83" spans="1:12">
      <c r="A83" s="38">
        <v>1955</v>
      </c>
      <c r="B83" s="38" t="s">
        <v>91</v>
      </c>
      <c r="C83" s="1">
        <v>274</v>
      </c>
      <c r="D83" s="1">
        <v>82</v>
      </c>
      <c r="E83" s="1"/>
      <c r="F83" s="3">
        <f t="shared" si="13"/>
        <v>287.26795640889355</v>
      </c>
      <c r="G83" s="3">
        <f t="shared" si="16"/>
        <v>2.4749373669889323</v>
      </c>
      <c r="H83" s="5">
        <f t="shared" si="17"/>
        <v>0.93660285609666183</v>
      </c>
      <c r="I83" s="5">
        <f t="shared" si="15"/>
        <v>0.95158799722126408</v>
      </c>
      <c r="J83" s="3">
        <f t="shared" si="20"/>
        <v>267.17596747773786</v>
      </c>
      <c r="K83" s="3">
        <f t="shared" si="18"/>
        <v>46.567419864891434</v>
      </c>
      <c r="L83" s="3">
        <f t="shared" si="19"/>
        <v>2.4905228183438481</v>
      </c>
    </row>
    <row r="84" spans="1:12">
      <c r="A84" s="38">
        <v>1955</v>
      </c>
      <c r="B84" s="38" t="s">
        <v>92</v>
      </c>
      <c r="C84" s="1">
        <v>237</v>
      </c>
      <c r="D84" s="1">
        <v>83</v>
      </c>
      <c r="E84" s="1"/>
      <c r="F84" s="3">
        <f t="shared" si="13"/>
        <v>289.76706608305346</v>
      </c>
      <c r="G84" s="3">
        <f t="shared" si="16"/>
        <v>2.4757253842027063</v>
      </c>
      <c r="H84" s="5">
        <f t="shared" si="17"/>
        <v>0.81771894536776124</v>
      </c>
      <c r="I84" s="5">
        <f t="shared" si="15"/>
        <v>0.81787513725477567</v>
      </c>
      <c r="J84" s="3">
        <f t="shared" si="20"/>
        <v>236.92825352621787</v>
      </c>
      <c r="K84" s="3">
        <f t="shared" si="18"/>
        <v>5.1475565001694937E-3</v>
      </c>
      <c r="L84" s="3">
        <f t="shared" si="19"/>
        <v>3.027277374773308E-2</v>
      </c>
    </row>
    <row r="85" spans="1:12">
      <c r="A85" s="38">
        <v>1955</v>
      </c>
      <c r="B85" s="38" t="s">
        <v>93</v>
      </c>
      <c r="C85" s="1">
        <v>278</v>
      </c>
      <c r="D85" s="1">
        <v>84</v>
      </c>
      <c r="E85" s="1"/>
      <c r="F85" s="3">
        <f t="shared" si="13"/>
        <v>295.58814280203893</v>
      </c>
      <c r="G85" s="3">
        <f t="shared" si="16"/>
        <v>2.5847838377166243</v>
      </c>
      <c r="H85" s="5">
        <f t="shared" si="17"/>
        <v>0.91331513336406966</v>
      </c>
      <c r="I85" s="5">
        <f t="shared" si="15"/>
        <v>0.93698308706168898</v>
      </c>
      <c r="J85" s="3">
        <f t="shared" si="20"/>
        <v>266.90976406360505</v>
      </c>
      <c r="K85" s="3">
        <f t="shared" si="18"/>
        <v>122.99333312490592</v>
      </c>
      <c r="L85" s="3">
        <f t="shared" si="19"/>
        <v>3.9892935023003409</v>
      </c>
    </row>
    <row r="86" spans="1:12">
      <c r="A86" s="38">
        <v>1956</v>
      </c>
      <c r="B86" s="38" t="s">
        <v>83</v>
      </c>
      <c r="C86" s="1">
        <v>284</v>
      </c>
      <c r="D86" s="1">
        <v>85</v>
      </c>
      <c r="E86" s="1"/>
      <c r="F86" s="3">
        <f t="shared" si="13"/>
        <v>298.84124906073794</v>
      </c>
      <c r="G86" s="3">
        <f t="shared" si="16"/>
        <v>2.6065711486406502</v>
      </c>
      <c r="H86" s="5">
        <f t="shared" si="17"/>
        <v>0.94478094893290498</v>
      </c>
      <c r="I86" s="5">
        <f t="shared" si="15"/>
        <v>0.94961890529356408</v>
      </c>
      <c r="J86" s="3">
        <f t="shared" si="20"/>
        <v>281.70810057680967</v>
      </c>
      <c r="K86" s="3">
        <f t="shared" si="18"/>
        <v>5.2528029660201661</v>
      </c>
      <c r="L86" s="3">
        <f t="shared" si="19"/>
        <v>0.80700683915152449</v>
      </c>
    </row>
    <row r="87" spans="1:12">
      <c r="A87" s="38">
        <v>1956</v>
      </c>
      <c r="B87" s="38" t="s">
        <v>84</v>
      </c>
      <c r="C87" s="1">
        <v>277</v>
      </c>
      <c r="D87" s="1">
        <v>86</v>
      </c>
      <c r="E87" s="1"/>
      <c r="F87" s="3">
        <f t="shared" si="13"/>
        <v>303.58323486123822</v>
      </c>
      <c r="G87" s="3">
        <f t="shared" si="16"/>
        <v>2.6761856662912744</v>
      </c>
      <c r="H87" s="5">
        <f t="shared" si="17"/>
        <v>0.89586355405167895</v>
      </c>
      <c r="I87" s="5">
        <f t="shared" si="15"/>
        <v>0.91029240123430655</v>
      </c>
      <c r="J87" s="3">
        <f t="shared" si="20"/>
        <v>270.0561155739054</v>
      </c>
      <c r="K87" s="3">
        <f t="shared" si="18"/>
        <v>48.217530922959114</v>
      </c>
      <c r="L87" s="3">
        <f t="shared" si="19"/>
        <v>2.5068174823446201</v>
      </c>
    </row>
    <row r="88" spans="1:12">
      <c r="A88" s="38">
        <v>1956</v>
      </c>
      <c r="B88" s="38" t="s">
        <v>85</v>
      </c>
      <c r="C88" s="1">
        <v>317</v>
      </c>
      <c r="D88" s="1">
        <v>87</v>
      </c>
      <c r="E88" s="1"/>
      <c r="F88" s="3">
        <f t="shared" si="13"/>
        <v>305.40566284107206</v>
      </c>
      <c r="G88" s="3">
        <f t="shared" si="16"/>
        <v>2.6483531657127619</v>
      </c>
      <c r="H88" s="5">
        <f t="shared" si="17"/>
        <v>1.0456507997751294</v>
      </c>
      <c r="I88" s="5">
        <f t="shared" si="15"/>
        <v>1.0389576653689165</v>
      </c>
      <c r="J88" s="3">
        <f t="shared" si="20"/>
        <v>320.24040801327891</v>
      </c>
      <c r="K88" s="3">
        <f t="shared" si="18"/>
        <v>10.500244092522166</v>
      </c>
      <c r="L88" s="3">
        <f t="shared" si="19"/>
        <v>1.0222107297409808</v>
      </c>
    </row>
    <row r="89" spans="1:12">
      <c r="A89" s="38">
        <v>1956</v>
      </c>
      <c r="B89" s="38" t="s">
        <v>86</v>
      </c>
      <c r="C89" s="1">
        <v>313</v>
      </c>
      <c r="D89" s="1">
        <v>88</v>
      </c>
      <c r="E89" s="1"/>
      <c r="F89" s="3">
        <f t="shared" si="13"/>
        <v>305.8676054170046</v>
      </c>
      <c r="G89" s="3">
        <f t="shared" si="16"/>
        <v>2.577076180485927</v>
      </c>
      <c r="H89" s="5">
        <f t="shared" si="17"/>
        <v>1.0429235984932455</v>
      </c>
      <c r="I89" s="5">
        <f t="shared" si="15"/>
        <v>1.0258534985198693</v>
      </c>
      <c r="J89" s="3">
        <f t="shared" si="20"/>
        <v>321.27680290409188</v>
      </c>
      <c r="K89" s="3">
        <f t="shared" si="18"/>
        <v>68.505466313183788</v>
      </c>
      <c r="L89" s="3">
        <f t="shared" si="19"/>
        <v>2.6443459757482044</v>
      </c>
    </row>
    <row r="90" spans="1:12">
      <c r="A90" s="38">
        <v>1956</v>
      </c>
      <c r="B90" s="38" t="s">
        <v>5</v>
      </c>
      <c r="C90" s="1">
        <v>318</v>
      </c>
      <c r="D90" s="1">
        <v>89</v>
      </c>
      <c r="E90" s="1"/>
      <c r="F90" s="3">
        <f t="shared" si="13"/>
        <v>307.38944674217561</v>
      </c>
      <c r="G90" s="3">
        <f t="shared" si="16"/>
        <v>2.5426755242026609</v>
      </c>
      <c r="H90" s="5">
        <f t="shared" si="17"/>
        <v>1.0439426722069107</v>
      </c>
      <c r="I90" s="5">
        <f t="shared" si="15"/>
        <v>1.0357368490010657</v>
      </c>
      <c r="J90" s="3">
        <f t="shared" si="20"/>
        <v>321.99856513489397</v>
      </c>
      <c r="K90" s="3">
        <f t="shared" si="18"/>
        <v>15.988523137989596</v>
      </c>
      <c r="L90" s="3">
        <f t="shared" si="19"/>
        <v>1.2574104197779765</v>
      </c>
    </row>
    <row r="91" spans="1:12">
      <c r="A91" s="38">
        <v>1956</v>
      </c>
      <c r="B91" s="38" t="s">
        <v>87</v>
      </c>
      <c r="C91" s="1">
        <v>374</v>
      </c>
      <c r="D91" s="1">
        <v>90</v>
      </c>
      <c r="E91" s="1"/>
      <c r="F91" s="3">
        <f t="shared" si="13"/>
        <v>311.35910665491298</v>
      </c>
      <c r="G91" s="3">
        <f t="shared" si="16"/>
        <v>2.5891952152688922</v>
      </c>
      <c r="H91" s="5">
        <f t="shared" si="17"/>
        <v>1.186880569031928</v>
      </c>
      <c r="I91" s="5">
        <f t="shared" si="15"/>
        <v>1.1993357488036493</v>
      </c>
      <c r="J91" s="3">
        <f t="shared" si="20"/>
        <v>367.85241363679211</v>
      </c>
      <c r="K91" s="3">
        <f t="shared" si="18"/>
        <v>37.79281809309964</v>
      </c>
      <c r="L91" s="3">
        <f t="shared" si="19"/>
        <v>1.6437396693069231</v>
      </c>
    </row>
    <row r="92" spans="1:12">
      <c r="A92" s="38">
        <v>1956</v>
      </c>
      <c r="B92" s="38" t="s">
        <v>88</v>
      </c>
      <c r="C92" s="1">
        <v>413</v>
      </c>
      <c r="D92" s="1">
        <v>91</v>
      </c>
      <c r="E92" s="1"/>
      <c r="F92" s="3">
        <f t="shared" si="13"/>
        <v>313.10745725401864</v>
      </c>
      <c r="G92" s="3">
        <f t="shared" si="16"/>
        <v>2.5617836807819714</v>
      </c>
      <c r="H92" s="5">
        <f t="shared" si="17"/>
        <v>1.3284175053862584</v>
      </c>
      <c r="I92" s="5">
        <f t="shared" si="15"/>
        <v>1.3202490064372763</v>
      </c>
      <c r="J92" s="3">
        <f t="shared" si="20"/>
        <v>417.05441999063896</v>
      </c>
      <c r="K92" s="3">
        <f t="shared" si="18"/>
        <v>16.43832146049284</v>
      </c>
      <c r="L92" s="3">
        <f t="shared" si="19"/>
        <v>0.98169975560265432</v>
      </c>
    </row>
    <row r="93" spans="1:12">
      <c r="A93" s="38">
        <v>1956</v>
      </c>
      <c r="B93" s="38" t="s">
        <v>89</v>
      </c>
      <c r="C93" s="1">
        <v>405</v>
      </c>
      <c r="D93" s="1">
        <v>92</v>
      </c>
      <c r="E93" s="1"/>
      <c r="F93" s="3">
        <f t="shared" si="13"/>
        <v>317.99660933871741</v>
      </c>
      <c r="G93" s="3">
        <f t="shared" si="16"/>
        <v>2.637655890749659</v>
      </c>
      <c r="H93" s="5">
        <f t="shared" si="17"/>
        <v>1.2495486231823525</v>
      </c>
      <c r="I93" s="5">
        <f t="shared" si="15"/>
        <v>1.2704888381711039</v>
      </c>
      <c r="J93" s="3">
        <f t="shared" si="20"/>
        <v>394.44406539109838</v>
      </c>
      <c r="K93" s="3">
        <f t="shared" si="18"/>
        <v>111.42775546740707</v>
      </c>
      <c r="L93" s="3">
        <f t="shared" si="19"/>
        <v>2.6064036071362033</v>
      </c>
    </row>
    <row r="94" spans="1:12">
      <c r="A94" s="38">
        <v>1956</v>
      </c>
      <c r="B94" s="38" t="s">
        <v>90</v>
      </c>
      <c r="C94" s="1">
        <v>355</v>
      </c>
      <c r="D94" s="1">
        <v>93</v>
      </c>
      <c r="E94" s="1"/>
      <c r="F94" s="3">
        <f t="shared" si="13"/>
        <v>321.34807637669297</v>
      </c>
      <c r="G94" s="3">
        <f t="shared" si="16"/>
        <v>2.6609261341492241</v>
      </c>
      <c r="H94" s="5">
        <f t="shared" si="17"/>
        <v>1.0983053476145934</v>
      </c>
      <c r="I94" s="5">
        <f t="shared" si="15"/>
        <v>1.1038915420846791</v>
      </c>
      <c r="J94" s="3">
        <f t="shared" si="20"/>
        <v>352.15432812999956</v>
      </c>
      <c r="K94" s="3">
        <f t="shared" si="18"/>
        <v>8.0978483917118265</v>
      </c>
      <c r="L94" s="3">
        <f t="shared" si="19"/>
        <v>0.80159770985928014</v>
      </c>
    </row>
    <row r="95" spans="1:12">
      <c r="A95" s="38">
        <v>1956</v>
      </c>
      <c r="B95" s="38" t="s">
        <v>91</v>
      </c>
      <c r="C95" s="1">
        <v>306</v>
      </c>
      <c r="D95" s="1">
        <v>94</v>
      </c>
      <c r="E95" s="1"/>
      <c r="F95" s="3">
        <f t="shared" si="13"/>
        <v>323.33643420342224</v>
      </c>
      <c r="G95" s="3">
        <f t="shared" si="16"/>
        <v>2.6390004073273339</v>
      </c>
      <c r="H95" s="5">
        <f t="shared" si="17"/>
        <v>0.95158799722126408</v>
      </c>
      <c r="I95" s="5">
        <f t="shared" si="15"/>
        <v>0.94705572443855845</v>
      </c>
      <c r="J95" s="3">
        <f t="shared" si="20"/>
        <v>308.32307778095185</v>
      </c>
      <c r="K95" s="3">
        <f t="shared" si="18"/>
        <v>5.396690376352165</v>
      </c>
      <c r="L95" s="3">
        <f t="shared" si="19"/>
        <v>0.75917574540910082</v>
      </c>
    </row>
    <row r="96" spans="1:12">
      <c r="A96" s="38">
        <v>1956</v>
      </c>
      <c r="B96" s="38" t="s">
        <v>92</v>
      </c>
      <c r="C96" s="1">
        <v>271</v>
      </c>
      <c r="D96" s="1">
        <v>95</v>
      </c>
      <c r="E96" s="1"/>
      <c r="F96" s="3">
        <f t="shared" si="13"/>
        <v>327.45514151113701</v>
      </c>
      <c r="G96" s="3">
        <f t="shared" si="16"/>
        <v>2.6872388522799646</v>
      </c>
      <c r="H96" s="5">
        <f t="shared" si="17"/>
        <v>0.81787513725477567</v>
      </c>
      <c r="I96" s="5">
        <f t="shared" si="15"/>
        <v>0.82633758933572188</v>
      </c>
      <c r="J96" s="3">
        <f t="shared" si="20"/>
        <v>266.60720332395198</v>
      </c>
      <c r="K96" s="3">
        <f t="shared" si="18"/>
        <v>19.296662637098549</v>
      </c>
      <c r="L96" s="3">
        <f t="shared" si="19"/>
        <v>1.6209581830435507</v>
      </c>
    </row>
    <row r="97" spans="1:12">
      <c r="A97" s="38">
        <v>1956</v>
      </c>
      <c r="B97" s="38" t="s">
        <v>93</v>
      </c>
      <c r="C97" s="1">
        <v>306</v>
      </c>
      <c r="D97" s="1">
        <v>96</v>
      </c>
      <c r="E97" s="1"/>
      <c r="F97" s="3">
        <f t="shared" si="13"/>
        <v>329.16096322277514</v>
      </c>
      <c r="G97" s="3">
        <f t="shared" si="16"/>
        <v>2.6552446534950405</v>
      </c>
      <c r="H97" s="5">
        <f t="shared" si="17"/>
        <v>0.93698308706168898</v>
      </c>
      <c r="I97" s="5">
        <f t="shared" si="15"/>
        <v>0.93058629259069758</v>
      </c>
      <c r="J97" s="3">
        <f t="shared" si="20"/>
        <v>309.33782672280876</v>
      </c>
      <c r="K97" s="3">
        <f t="shared" si="18"/>
        <v>11.141087231496243</v>
      </c>
      <c r="L97" s="3">
        <f t="shared" si="19"/>
        <v>1.0907930466695284</v>
      </c>
    </row>
    <row r="98" spans="1:12">
      <c r="A98" s="38">
        <v>1957</v>
      </c>
      <c r="B98" s="38" t="s">
        <v>83</v>
      </c>
      <c r="C98" s="1">
        <v>315</v>
      </c>
      <c r="D98" s="1">
        <v>97</v>
      </c>
      <c r="E98" s="1"/>
      <c r="F98" s="3">
        <f t="shared" si="13"/>
        <v>331.78750257725648</v>
      </c>
      <c r="G98" s="3">
        <f t="shared" si="16"/>
        <v>2.6543088607471939</v>
      </c>
      <c r="H98" s="5">
        <f t="shared" si="17"/>
        <v>0.94961890529356408</v>
      </c>
      <c r="I98" s="5">
        <f t="shared" si="15"/>
        <v>0.9494307845291251</v>
      </c>
      <c r="J98" s="3">
        <f t="shared" si="20"/>
        <v>315.0989440821254</v>
      </c>
      <c r="K98" s="3">
        <f t="shared" si="18"/>
        <v>9.7899313876377587E-3</v>
      </c>
      <c r="L98" s="3">
        <f t="shared" si="19"/>
        <v>3.1410819722348986E-2</v>
      </c>
    </row>
    <row r="99" spans="1:12">
      <c r="A99" s="38">
        <v>1957</v>
      </c>
      <c r="B99" s="38" t="s">
        <v>84</v>
      </c>
      <c r="C99" s="1">
        <v>301</v>
      </c>
      <c r="D99" s="1">
        <v>98</v>
      </c>
      <c r="E99" s="1"/>
      <c r="F99" s="3">
        <f t="shared" si="13"/>
        <v>333.40074396291794</v>
      </c>
      <c r="G99" s="3">
        <f t="shared" si="16"/>
        <v>2.6203700610593992</v>
      </c>
      <c r="H99" s="5">
        <f t="shared" si="17"/>
        <v>0.91029240123430655</v>
      </c>
      <c r="I99" s="5">
        <f t="shared" si="15"/>
        <v>0.9037839364037159</v>
      </c>
      <c r="J99" s="3">
        <f t="shared" si="20"/>
        <v>304.43983960705157</v>
      </c>
      <c r="K99" s="3">
        <f t="shared" si="18"/>
        <v>11.832496522240682</v>
      </c>
      <c r="L99" s="3">
        <f t="shared" si="19"/>
        <v>1.1428038561633114</v>
      </c>
    </row>
    <row r="100" spans="1:12">
      <c r="A100" s="38">
        <v>1957</v>
      </c>
      <c r="B100" s="38" t="s">
        <v>85</v>
      </c>
      <c r="C100" s="1">
        <v>356</v>
      </c>
      <c r="D100" s="1">
        <v>99</v>
      </c>
      <c r="E100" s="1"/>
      <c r="F100" s="3">
        <f t="shared" si="13"/>
        <v>337.84767863619066</v>
      </c>
      <c r="G100" s="3">
        <f t="shared" si="16"/>
        <v>2.6799160674175537</v>
      </c>
      <c r="H100" s="5">
        <f t="shared" si="17"/>
        <v>1.0389576653689165</v>
      </c>
      <c r="I100" s="5">
        <f t="shared" si="15"/>
        <v>1.0518193330132388</v>
      </c>
      <c r="J100" s="3">
        <f t="shared" si="20"/>
        <v>349.11171214101404</v>
      </c>
      <c r="K100" s="3">
        <f t="shared" si="18"/>
        <v>47.448509628253404</v>
      </c>
      <c r="L100" s="3">
        <f t="shared" si="19"/>
        <v>1.9349123199398768</v>
      </c>
    </row>
    <row r="101" spans="1:12">
      <c r="A101" s="38">
        <v>1957</v>
      </c>
      <c r="B101" s="38" t="s">
        <v>86</v>
      </c>
      <c r="C101" s="1">
        <v>348</v>
      </c>
      <c r="D101" s="1">
        <v>100</v>
      </c>
      <c r="E101" s="1"/>
      <c r="F101" s="3">
        <f t="shared" si="13"/>
        <v>340.17003154838346</v>
      </c>
      <c r="G101" s="3">
        <f t="shared" si="16"/>
        <v>2.6682595085572269</v>
      </c>
      <c r="H101" s="5">
        <f t="shared" si="17"/>
        <v>1.0258534985198693</v>
      </c>
      <c r="I101" s="5">
        <f t="shared" si="15"/>
        <v>1.0233844627281174</v>
      </c>
      <c r="J101" s="3">
        <f t="shared" si="20"/>
        <v>349.3314243692526</v>
      </c>
      <c r="K101" s="3">
        <f t="shared" si="18"/>
        <v>1.772690851039689</v>
      </c>
      <c r="L101" s="3">
        <f t="shared" si="19"/>
        <v>0.38259320955534537</v>
      </c>
    </row>
    <row r="102" spans="1:12">
      <c r="A102" s="38">
        <v>1957</v>
      </c>
      <c r="B102" s="38" t="s">
        <v>5</v>
      </c>
      <c r="C102" s="1">
        <v>355</v>
      </c>
      <c r="D102" s="1">
        <v>101</v>
      </c>
      <c r="E102" s="1"/>
      <c r="F102" s="3">
        <f t="shared" si="13"/>
        <v>342.81428473512813</v>
      </c>
      <c r="G102" s="3">
        <f t="shared" si="16"/>
        <v>2.6674769024661376</v>
      </c>
      <c r="H102" s="5">
        <f t="shared" si="17"/>
        <v>1.0357368490010657</v>
      </c>
      <c r="I102" s="5">
        <f t="shared" si="15"/>
        <v>1.0355707750675669</v>
      </c>
      <c r="J102" s="3">
        <f t="shared" si="20"/>
        <v>355.09025129622597</v>
      </c>
      <c r="K102" s="3">
        <f t="shared" si="18"/>
        <v>8.1452964704681573E-3</v>
      </c>
      <c r="L102" s="3">
        <f t="shared" si="19"/>
        <v>2.5422900345344241E-2</v>
      </c>
    </row>
    <row r="103" spans="1:12">
      <c r="A103" s="38">
        <v>1957</v>
      </c>
      <c r="B103" s="38" t="s">
        <v>87</v>
      </c>
      <c r="C103" s="1">
        <v>422</v>
      </c>
      <c r="D103" s="1">
        <v>102</v>
      </c>
      <c r="E103" s="1"/>
      <c r="F103" s="3">
        <f t="shared" si="13"/>
        <v>347.23936219545237</v>
      </c>
      <c r="G103" s="3">
        <f t="shared" si="16"/>
        <v>2.7247746806523119</v>
      </c>
      <c r="H103" s="5">
        <f t="shared" si="17"/>
        <v>1.1993357488036493</v>
      </c>
      <c r="I103" s="5">
        <f t="shared" si="15"/>
        <v>1.2132358301533834</v>
      </c>
      <c r="J103" s="3">
        <f t="shared" si="20"/>
        <v>414.34862729162802</v>
      </c>
      <c r="K103" s="3">
        <f t="shared" si="18"/>
        <v>58.543504322419572</v>
      </c>
      <c r="L103" s="3">
        <f t="shared" si="19"/>
        <v>1.8131214948748766</v>
      </c>
    </row>
    <row r="104" spans="1:12">
      <c r="A104" s="38">
        <v>1957</v>
      </c>
      <c r="B104" s="38" t="s">
        <v>88</v>
      </c>
      <c r="C104" s="1">
        <v>465</v>
      </c>
      <c r="D104" s="1">
        <v>103</v>
      </c>
      <c r="E104" s="1"/>
      <c r="F104" s="3">
        <f t="shared" si="13"/>
        <v>350.58184913659568</v>
      </c>
      <c r="G104" s="3">
        <f t="shared" si="16"/>
        <v>2.7449121003443184</v>
      </c>
      <c r="H104" s="5">
        <f t="shared" si="17"/>
        <v>1.3202490064372763</v>
      </c>
      <c r="I104" s="5">
        <f t="shared" si="15"/>
        <v>1.325575457906873</v>
      </c>
      <c r="J104" s="3">
        <f t="shared" si="20"/>
        <v>462.0398039993562</v>
      </c>
      <c r="K104" s="3">
        <f t="shared" si="18"/>
        <v>8.7627603622275778</v>
      </c>
      <c r="L104" s="3">
        <f t="shared" si="19"/>
        <v>0.63660129046103331</v>
      </c>
    </row>
    <row r="105" spans="1:12">
      <c r="A105" s="38">
        <v>1957</v>
      </c>
      <c r="B105" s="38" t="s">
        <v>89</v>
      </c>
      <c r="C105" s="1">
        <v>467</v>
      </c>
      <c r="D105" s="1">
        <v>104</v>
      </c>
      <c r="E105" s="1"/>
      <c r="F105" s="3">
        <f t="shared" si="13"/>
        <v>357.25216517819229</v>
      </c>
      <c r="G105" s="3">
        <f t="shared" si="16"/>
        <v>2.8728802688291433</v>
      </c>
      <c r="H105" s="5">
        <f t="shared" si="17"/>
        <v>1.2704888381711039</v>
      </c>
      <c r="I105" s="5">
        <f t="shared" si="15"/>
        <v>1.3024531728769195</v>
      </c>
      <c r="J105" s="3">
        <f t="shared" si="20"/>
        <v>448.89770637867895</v>
      </c>
      <c r="K105" s="3">
        <f t="shared" si="18"/>
        <v>327.6930343525209</v>
      </c>
      <c r="L105" s="3">
        <f t="shared" si="19"/>
        <v>3.8762941373278488</v>
      </c>
    </row>
    <row r="106" spans="1:12">
      <c r="A106" s="38">
        <v>1957</v>
      </c>
      <c r="B106" s="38" t="s">
        <v>90</v>
      </c>
      <c r="C106" s="1">
        <v>404</v>
      </c>
      <c r="D106" s="1">
        <v>105</v>
      </c>
      <c r="E106" s="1"/>
      <c r="F106" s="3">
        <f t="shared" si="13"/>
        <v>361.7375297371492</v>
      </c>
      <c r="G106" s="3">
        <f t="shared" si="16"/>
        <v>2.9254472566873089</v>
      </c>
      <c r="H106" s="5">
        <f t="shared" si="17"/>
        <v>1.1038915420846791</v>
      </c>
      <c r="I106" s="5">
        <f t="shared" si="15"/>
        <v>1.1151586813028109</v>
      </c>
      <c r="J106" s="3">
        <f t="shared" si="20"/>
        <v>397.53899176182762</v>
      </c>
      <c r="K106" s="3">
        <f t="shared" si="18"/>
        <v>41.744627453731397</v>
      </c>
      <c r="L106" s="3">
        <f t="shared" si="19"/>
        <v>1.5992594648941543</v>
      </c>
    </row>
    <row r="107" spans="1:12">
      <c r="A107" s="38">
        <v>1957</v>
      </c>
      <c r="B107" s="38" t="s">
        <v>91</v>
      </c>
      <c r="C107" s="1">
        <v>347</v>
      </c>
      <c r="D107" s="1">
        <v>106</v>
      </c>
      <c r="E107" s="1"/>
      <c r="F107" s="3">
        <f t="shared" si="13"/>
        <v>365.14117267848513</v>
      </c>
      <c r="G107" s="3">
        <f t="shared" si="16"/>
        <v>2.9410364360068537</v>
      </c>
      <c r="H107" s="5">
        <f t="shared" si="17"/>
        <v>0.94705572443855845</v>
      </c>
      <c r="I107" s="5">
        <f t="shared" si="15"/>
        <v>0.94989564185541453</v>
      </c>
      <c r="J107" s="3">
        <f t="shared" si="20"/>
        <v>345.35615985281925</v>
      </c>
      <c r="K107" s="3">
        <f t="shared" si="18"/>
        <v>2.7022104294832423</v>
      </c>
      <c r="L107" s="3">
        <f t="shared" si="19"/>
        <v>0.47372914904344487</v>
      </c>
    </row>
    <row r="108" spans="1:12">
      <c r="A108" s="38">
        <v>1957</v>
      </c>
      <c r="B108" s="38" t="s">
        <v>92</v>
      </c>
      <c r="C108" s="1">
        <v>305</v>
      </c>
      <c r="D108" s="1">
        <v>107</v>
      </c>
      <c r="E108" s="1"/>
      <c r="F108" s="3">
        <f t="shared" si="13"/>
        <v>368.36220901661733</v>
      </c>
      <c r="G108" s="3">
        <f t="shared" si="16"/>
        <v>2.9501644328161398</v>
      </c>
      <c r="H108" s="5">
        <f t="shared" si="17"/>
        <v>0.82633758933572188</v>
      </c>
      <c r="I108" s="5">
        <f t="shared" si="15"/>
        <v>0.82777581041853354</v>
      </c>
      <c r="J108" s="3">
        <f t="shared" si="20"/>
        <v>304.16016535703642</v>
      </c>
      <c r="K108" s="3">
        <f t="shared" si="18"/>
        <v>0.70532222752176521</v>
      </c>
      <c r="L108" s="3">
        <f t="shared" si="19"/>
        <v>0.27535562064379698</v>
      </c>
    </row>
    <row r="109" spans="1:12">
      <c r="A109" s="38">
        <v>1957</v>
      </c>
      <c r="B109" s="38" t="s">
        <v>93</v>
      </c>
      <c r="C109" s="1">
        <v>336</v>
      </c>
      <c r="D109" s="1">
        <v>108</v>
      </c>
      <c r="E109" s="1"/>
      <c r="F109" s="3">
        <f t="shared" si="13"/>
        <v>368.48858859595214</v>
      </c>
      <c r="G109" s="3">
        <f t="shared" si="16"/>
        <v>2.8581090465926486</v>
      </c>
      <c r="H109" s="5">
        <f t="shared" si="17"/>
        <v>0.93058629259069758</v>
      </c>
      <c r="I109" s="5">
        <f t="shared" si="15"/>
        <v>0.91425767028783234</v>
      </c>
      <c r="J109" s="3">
        <f t="shared" si="20"/>
        <v>345.53820500136089</v>
      </c>
      <c r="K109" s="3">
        <f t="shared" si="18"/>
        <v>90.977354647985962</v>
      </c>
      <c r="L109" s="3">
        <f t="shared" si="19"/>
        <v>2.8387514885002658</v>
      </c>
    </row>
    <row r="110" spans="1:12">
      <c r="A110" s="38">
        <v>1958</v>
      </c>
      <c r="B110" s="38" t="s">
        <v>83</v>
      </c>
      <c r="C110" s="1">
        <v>340</v>
      </c>
      <c r="D110" s="1">
        <v>109</v>
      </c>
      <c r="E110" s="1"/>
      <c r="F110" s="3">
        <f t="shared" ref="F110:F145" si="21">$N$2*(C110/H110)+$N$3*(F109+G109)</f>
        <v>367.69979643573737</v>
      </c>
      <c r="G110" s="3">
        <f t="shared" si="16"/>
        <v>2.7392200672507268</v>
      </c>
      <c r="H110" s="5">
        <f t="shared" si="17"/>
        <v>0.9494307845291251</v>
      </c>
      <c r="I110" s="5">
        <f t="shared" ref="I110:I141" si="22">$P$2*(C110/F110)+$P$3*H110</f>
        <v>0.92786927069033642</v>
      </c>
      <c r="J110" s="3">
        <f t="shared" si="20"/>
        <v>352.5679864750611</v>
      </c>
      <c r="K110" s="3">
        <f t="shared" si="18"/>
        <v>157.95428403731884</v>
      </c>
      <c r="L110" s="3">
        <f t="shared" si="19"/>
        <v>3.6964666103120893</v>
      </c>
    </row>
    <row r="111" spans="1:12">
      <c r="A111" s="38">
        <v>1958</v>
      </c>
      <c r="B111" s="38" t="s">
        <v>84</v>
      </c>
      <c r="C111" s="1">
        <v>318</v>
      </c>
      <c r="D111" s="1">
        <v>110</v>
      </c>
      <c r="E111" s="1"/>
      <c r="F111" s="3">
        <f t="shared" si="21"/>
        <v>365.3188465416336</v>
      </c>
      <c r="G111" s="3">
        <f t="shared" si="16"/>
        <v>2.5723025265105703</v>
      </c>
      <c r="H111" s="5">
        <f t="shared" si="17"/>
        <v>0.9037839364037159</v>
      </c>
      <c r="I111" s="5">
        <f t="shared" si="22"/>
        <v>0.87477964573624312</v>
      </c>
      <c r="J111" s="3">
        <f t="shared" si="20"/>
        <v>334.79683253259162</v>
      </c>
      <c r="K111" s="3">
        <f t="shared" si="18"/>
        <v>282.13358312792832</v>
      </c>
      <c r="L111" s="3">
        <f t="shared" si="19"/>
        <v>5.2820228089910763</v>
      </c>
    </row>
    <row r="112" spans="1:12">
      <c r="A112" s="38">
        <v>1958</v>
      </c>
      <c r="B112" s="38" t="s">
        <v>85</v>
      </c>
      <c r="C112" s="1">
        <v>362</v>
      </c>
      <c r="D112" s="1">
        <v>111</v>
      </c>
      <c r="E112" s="1"/>
      <c r="F112" s="3">
        <f t="shared" si="21"/>
        <v>361.35475196060855</v>
      </c>
      <c r="G112" s="3">
        <f t="shared" si="16"/>
        <v>2.3592159808049091</v>
      </c>
      <c r="H112" s="5">
        <f t="shared" si="17"/>
        <v>1.0518193330132388</v>
      </c>
      <c r="I112" s="5">
        <f t="shared" si="22"/>
        <v>1.0082549929889204</v>
      </c>
      <c r="J112" s="3">
        <f t="shared" si="20"/>
        <v>386.95502303432943</v>
      </c>
      <c r="K112" s="3">
        <f t="shared" si="18"/>
        <v>622.75317464391242</v>
      </c>
      <c r="L112" s="3">
        <f t="shared" si="19"/>
        <v>6.8936527719142067</v>
      </c>
    </row>
    <row r="113" spans="1:12">
      <c r="A113" s="38">
        <v>1958</v>
      </c>
      <c r="B113" s="38" t="s">
        <v>86</v>
      </c>
      <c r="C113" s="1">
        <v>348</v>
      </c>
      <c r="D113" s="1">
        <v>112</v>
      </c>
      <c r="E113" s="1"/>
      <c r="F113" s="3">
        <f t="shared" si="21"/>
        <v>357.1940369050688</v>
      </c>
      <c r="G113" s="3">
        <f t="shared" si="16"/>
        <v>2.1466662290200733</v>
      </c>
      <c r="H113" s="5">
        <f t="shared" si="17"/>
        <v>1.0233844627281174</v>
      </c>
      <c r="I113" s="5">
        <f t="shared" si="22"/>
        <v>0.98061212845784085</v>
      </c>
      <c r="J113" s="3">
        <f t="shared" si="20"/>
        <v>372.21922366843512</v>
      </c>
      <c r="K113" s="3">
        <f t="shared" si="18"/>
        <v>586.57079510168796</v>
      </c>
      <c r="L113" s="3">
        <f t="shared" si="19"/>
        <v>6.9595470311595173</v>
      </c>
    </row>
    <row r="114" spans="1:12">
      <c r="A114" s="38">
        <v>1958</v>
      </c>
      <c r="B114" s="38" t="s">
        <v>5</v>
      </c>
      <c r="C114" s="1">
        <v>363</v>
      </c>
      <c r="D114" s="1">
        <v>113</v>
      </c>
      <c r="E114" s="1"/>
      <c r="F114" s="3">
        <f t="shared" si="21"/>
        <v>356.91372054471879</v>
      </c>
      <c r="G114" s="3">
        <f t="shared" si="16"/>
        <v>2.0675465966066087</v>
      </c>
      <c r="H114" s="5">
        <f t="shared" si="17"/>
        <v>1.0355707750675669</v>
      </c>
      <c r="I114" s="5">
        <f t="shared" si="22"/>
        <v>1.0194469330574152</v>
      </c>
      <c r="J114" s="3">
        <f t="shared" si="20"/>
        <v>372.12273045789289</v>
      </c>
      <c r="K114" s="3">
        <f t="shared" si="18"/>
        <v>83.224211007366534</v>
      </c>
      <c r="L114" s="3">
        <f t="shared" si="19"/>
        <v>2.5131488864718694</v>
      </c>
    </row>
    <row r="115" spans="1:12">
      <c r="A115" s="38">
        <v>1958</v>
      </c>
      <c r="B115" s="38" t="s">
        <v>87</v>
      </c>
      <c r="C115" s="1">
        <v>435</v>
      </c>
      <c r="D115" s="1">
        <v>114</v>
      </c>
      <c r="E115" s="1"/>
      <c r="F115" s="3">
        <f t="shared" si="21"/>
        <v>358.86115712818861</v>
      </c>
      <c r="G115" s="3">
        <f t="shared" si="16"/>
        <v>2.0636310101783497</v>
      </c>
      <c r="H115" s="5">
        <f t="shared" si="17"/>
        <v>1.2132358301533834</v>
      </c>
      <c r="I115" s="5">
        <f t="shared" si="22"/>
        <v>1.212306043473661</v>
      </c>
      <c r="J115" s="3">
        <f t="shared" si="20"/>
        <v>435.52893564971947</v>
      </c>
      <c r="K115" s="3">
        <f t="shared" si="18"/>
        <v>0.27977292154415967</v>
      </c>
      <c r="L115" s="3">
        <f t="shared" si="19"/>
        <v>0.12159440223436131</v>
      </c>
    </row>
    <row r="116" spans="1:12">
      <c r="A116" s="38">
        <v>1958</v>
      </c>
      <c r="B116" s="38" t="s">
        <v>88</v>
      </c>
      <c r="C116" s="1">
        <v>491</v>
      </c>
      <c r="D116" s="1">
        <v>115</v>
      </c>
      <c r="E116" s="1"/>
      <c r="F116" s="3">
        <f t="shared" si="21"/>
        <v>363.53663275228132</v>
      </c>
      <c r="G116" s="3">
        <f t="shared" si="16"/>
        <v>2.1487771445919579</v>
      </c>
      <c r="H116" s="5">
        <f t="shared" si="17"/>
        <v>1.325575457906873</v>
      </c>
      <c r="I116" s="5">
        <f t="shared" si="22"/>
        <v>1.347382107327604</v>
      </c>
      <c r="J116" s="3">
        <f t="shared" si="20"/>
        <v>478.43304130645697</v>
      </c>
      <c r="K116" s="3">
        <f t="shared" si="18"/>
        <v>157.9284508052167</v>
      </c>
      <c r="L116" s="3">
        <f t="shared" si="19"/>
        <v>2.5594620557114109</v>
      </c>
    </row>
    <row r="117" spans="1:12">
      <c r="A117" s="38">
        <v>1958</v>
      </c>
      <c r="B117" s="38" t="s">
        <v>89</v>
      </c>
      <c r="C117" s="1">
        <v>505</v>
      </c>
      <c r="D117" s="1">
        <v>116</v>
      </c>
      <c r="E117" s="1"/>
      <c r="F117" s="3">
        <f t="shared" si="21"/>
        <v>371.75865878206037</v>
      </c>
      <c r="G117" s="3">
        <f t="shared" si="16"/>
        <v>2.3467650582490571</v>
      </c>
      <c r="H117" s="5">
        <f t="shared" si="17"/>
        <v>1.3024531728769195</v>
      </c>
      <c r="I117" s="5">
        <f t="shared" si="22"/>
        <v>1.3511731903761055</v>
      </c>
      <c r="J117" s="3">
        <f t="shared" si="20"/>
        <v>476.2881223949795</v>
      </c>
      <c r="K117" s="3">
        <f t="shared" si="18"/>
        <v>824.37191560567794</v>
      </c>
      <c r="L117" s="3">
        <f t="shared" si="19"/>
        <v>5.6855203178258424</v>
      </c>
    </row>
    <row r="118" spans="1:12">
      <c r="A118" s="38">
        <v>1958</v>
      </c>
      <c r="B118" s="38" t="s">
        <v>90</v>
      </c>
      <c r="C118" s="1">
        <v>404</v>
      </c>
      <c r="D118" s="1">
        <v>117</v>
      </c>
      <c r="E118" s="1"/>
      <c r="F118" s="3">
        <f t="shared" si="21"/>
        <v>370.84759688355598</v>
      </c>
      <c r="G118" s="3">
        <f t="shared" si="16"/>
        <v>2.2405598994588947</v>
      </c>
      <c r="H118" s="5">
        <f t="shared" si="17"/>
        <v>1.1151586813028109</v>
      </c>
      <c r="I118" s="5">
        <f t="shared" si="22"/>
        <v>1.0927273761164908</v>
      </c>
      <c r="J118" s="3">
        <f t="shared" si="20"/>
        <v>417.18691111798859</v>
      </c>
      <c r="K118" s="3">
        <f t="shared" si="18"/>
        <v>173.89462483373097</v>
      </c>
      <c r="L118" s="3">
        <f t="shared" si="19"/>
        <v>3.2640869103932144</v>
      </c>
    </row>
    <row r="119" spans="1:12">
      <c r="A119" s="38">
        <v>1958</v>
      </c>
      <c r="B119" s="38" t="s">
        <v>91</v>
      </c>
      <c r="C119" s="1">
        <v>359</v>
      </c>
      <c r="D119" s="1">
        <v>118</v>
      </c>
      <c r="E119" s="1"/>
      <c r="F119" s="3">
        <f t="shared" si="21"/>
        <v>374.42380739988528</v>
      </c>
      <c r="G119" s="3">
        <f t="shared" si="16"/>
        <v>2.2841021095688698</v>
      </c>
      <c r="H119" s="5">
        <f t="shared" si="17"/>
        <v>0.94989564185541453</v>
      </c>
      <c r="I119" s="5">
        <f t="shared" si="22"/>
        <v>0.95765437187688474</v>
      </c>
      <c r="J119" s="3">
        <f t="shared" si="20"/>
        <v>354.39481415605547</v>
      </c>
      <c r="K119" s="3">
        <f t="shared" si="18"/>
        <v>21.207736657267052</v>
      </c>
      <c r="L119" s="3">
        <f t="shared" si="19"/>
        <v>1.2827815721293943</v>
      </c>
    </row>
    <row r="120" spans="1:12">
      <c r="A120" s="38">
        <v>1958</v>
      </c>
      <c r="B120" s="38" t="s">
        <v>92</v>
      </c>
      <c r="C120" s="1">
        <v>310</v>
      </c>
      <c r="D120" s="1">
        <v>119</v>
      </c>
      <c r="E120" s="1"/>
      <c r="F120" s="3">
        <f t="shared" si="21"/>
        <v>376.09895115425138</v>
      </c>
      <c r="G120" s="3">
        <f t="shared" si="16"/>
        <v>2.26425006718926</v>
      </c>
      <c r="H120" s="5">
        <f t="shared" si="17"/>
        <v>0.82777581041853354</v>
      </c>
      <c r="I120" s="5">
        <f t="shared" si="22"/>
        <v>0.82470690479147479</v>
      </c>
      <c r="J120" s="3">
        <f t="shared" si="20"/>
        <v>311.82969508526003</v>
      </c>
      <c r="K120" s="3">
        <f t="shared" si="18"/>
        <v>3.3477841050246995</v>
      </c>
      <c r="L120" s="3">
        <f t="shared" si="19"/>
        <v>0.59022422105162176</v>
      </c>
    </row>
    <row r="121" spans="1:12">
      <c r="A121" s="38">
        <v>1958</v>
      </c>
      <c r="B121" s="38" t="s">
        <v>93</v>
      </c>
      <c r="C121" s="1">
        <v>337</v>
      </c>
      <c r="D121" s="1">
        <v>120</v>
      </c>
      <c r="E121" s="1"/>
      <c r="F121" s="3">
        <f t="shared" si="21"/>
        <v>375.67483228679873</v>
      </c>
      <c r="G121" s="3">
        <f t="shared" si="16"/>
        <v>2.1766092399199337</v>
      </c>
      <c r="H121" s="5">
        <f t="shared" si="17"/>
        <v>0.91425767028783234</v>
      </c>
      <c r="I121" s="5">
        <f t="shared" si="22"/>
        <v>0.89927701845094843</v>
      </c>
      <c r="J121" s="3">
        <f t="shared" si="20"/>
        <v>345.92145887136064</v>
      </c>
      <c r="K121" s="3">
        <f t="shared" si="18"/>
        <v>79.592428393379492</v>
      </c>
      <c r="L121" s="3">
        <f t="shared" si="19"/>
        <v>2.6473171725105762</v>
      </c>
    </row>
    <row r="122" spans="1:12">
      <c r="A122" s="38">
        <v>1959</v>
      </c>
      <c r="B122" s="38" t="s">
        <v>83</v>
      </c>
      <c r="C122" s="1">
        <v>360</v>
      </c>
      <c r="D122" s="1">
        <v>121</v>
      </c>
      <c r="E122" s="1"/>
      <c r="F122" s="3">
        <f t="shared" si="21"/>
        <v>380.64342721312232</v>
      </c>
      <c r="G122" s="3">
        <f t="shared" si="16"/>
        <v>2.2676279732966926</v>
      </c>
      <c r="H122" s="5">
        <f t="shared" si="17"/>
        <v>0.92786927069033642</v>
      </c>
      <c r="I122" s="5">
        <f t="shared" si="22"/>
        <v>0.94345284138495977</v>
      </c>
      <c r="J122" s="3">
        <f t="shared" si="20"/>
        <v>350.59674147868873</v>
      </c>
      <c r="K122" s="3">
        <f t="shared" si="18"/>
        <v>88.421270818613053</v>
      </c>
      <c r="L122" s="3">
        <f t="shared" si="19"/>
        <v>2.6120162559197979</v>
      </c>
    </row>
    <row r="123" spans="1:12">
      <c r="A123" s="38">
        <v>1959</v>
      </c>
      <c r="B123" s="38" t="s">
        <v>84</v>
      </c>
      <c r="C123" s="1">
        <v>342</v>
      </c>
      <c r="D123" s="1">
        <v>122</v>
      </c>
      <c r="E123" s="1"/>
      <c r="F123" s="3">
        <f t="shared" si="21"/>
        <v>385.12732688366191</v>
      </c>
      <c r="G123" s="3">
        <f t="shared" si="16"/>
        <v>2.3398784306268112</v>
      </c>
      <c r="H123" s="5">
        <f t="shared" si="17"/>
        <v>0.87477964573624312</v>
      </c>
      <c r="I123" s="5">
        <f t="shared" si="22"/>
        <v>0.88630628403891898</v>
      </c>
      <c r="J123" s="3">
        <f t="shared" si="20"/>
        <v>334.96279720446665</v>
      </c>
      <c r="K123" s="3">
        <f t="shared" si="18"/>
        <v>49.522223185462344</v>
      </c>
      <c r="L123" s="3">
        <f t="shared" si="19"/>
        <v>2.0576616361208613</v>
      </c>
    </row>
    <row r="124" spans="1:12">
      <c r="A124" s="38">
        <v>1959</v>
      </c>
      <c r="B124" s="38" t="s">
        <v>85</v>
      </c>
      <c r="C124" s="1">
        <v>406</v>
      </c>
      <c r="D124" s="1">
        <v>123</v>
      </c>
      <c r="E124" s="1"/>
      <c r="F124" s="3">
        <f t="shared" si="21"/>
        <v>391.65720432579775</v>
      </c>
      <c r="G124" s="3">
        <f t="shared" si="16"/>
        <v>2.4764723984020058</v>
      </c>
      <c r="H124" s="5">
        <f t="shared" si="17"/>
        <v>1.0082549929889204</v>
      </c>
      <c r="I124" s="5">
        <f t="shared" si="22"/>
        <v>1.0329530912073022</v>
      </c>
      <c r="J124" s="3">
        <f t="shared" si="20"/>
        <v>390.66574437759476</v>
      </c>
      <c r="K124" s="3">
        <f t="shared" si="18"/>
        <v>235.13939549326662</v>
      </c>
      <c r="L124" s="3">
        <f t="shared" si="19"/>
        <v>3.7769102518239497</v>
      </c>
    </row>
    <row r="125" spans="1:12">
      <c r="A125" s="38">
        <v>1959</v>
      </c>
      <c r="B125" s="38" t="s">
        <v>86</v>
      </c>
      <c r="C125" s="1">
        <v>396</v>
      </c>
      <c r="D125" s="1">
        <v>124</v>
      </c>
      <c r="E125" s="1"/>
      <c r="F125" s="3">
        <f t="shared" si="21"/>
        <v>396.80484638861213</v>
      </c>
      <c r="G125" s="3">
        <f t="shared" si="16"/>
        <v>2.5635525294618495</v>
      </c>
      <c r="H125" s="5">
        <f t="shared" si="17"/>
        <v>0.98061212845784085</v>
      </c>
      <c r="I125" s="5">
        <f t="shared" si="22"/>
        <v>0.9957270917792338</v>
      </c>
      <c r="J125" s="3">
        <f t="shared" si="20"/>
        <v>386.4922636294321</v>
      </c>
      <c r="K125" s="3">
        <f t="shared" si="18"/>
        <v>90.397050892219625</v>
      </c>
      <c r="L125" s="3">
        <f t="shared" si="19"/>
        <v>2.4009435279211861</v>
      </c>
    </row>
    <row r="126" spans="1:12">
      <c r="A126" s="38">
        <v>1959</v>
      </c>
      <c r="B126" s="38" t="s">
        <v>5</v>
      </c>
      <c r="C126" s="1">
        <v>420</v>
      </c>
      <c r="D126" s="1">
        <v>125</v>
      </c>
      <c r="E126" s="1"/>
      <c r="F126" s="3">
        <f t="shared" si="21"/>
        <v>402.84512521461045</v>
      </c>
      <c r="G126" s="3">
        <f t="shared" si="16"/>
        <v>2.6768938067289381</v>
      </c>
      <c r="H126" s="5">
        <f t="shared" si="17"/>
        <v>1.0194469330574152</v>
      </c>
      <c r="I126" s="5">
        <f t="shared" si="22"/>
        <v>1.0395926322289391</v>
      </c>
      <c r="J126" s="3">
        <f t="shared" si="20"/>
        <v>407.13488943708086</v>
      </c>
      <c r="K126" s="3">
        <f t="shared" si="18"/>
        <v>165.51106979613368</v>
      </c>
      <c r="L126" s="3">
        <f t="shared" si="19"/>
        <v>3.0631215625997958</v>
      </c>
    </row>
    <row r="127" spans="1:12">
      <c r="A127" s="38">
        <v>1959</v>
      </c>
      <c r="B127" s="38" t="s">
        <v>87</v>
      </c>
      <c r="C127" s="1">
        <v>472</v>
      </c>
      <c r="D127" s="1">
        <v>126</v>
      </c>
      <c r="E127" s="1"/>
      <c r="F127" s="3">
        <f t="shared" si="21"/>
        <v>401.06404663710703</v>
      </c>
      <c r="G127" s="3">
        <f t="shared" si="16"/>
        <v>2.5315639070029632</v>
      </c>
      <c r="H127" s="5">
        <f t="shared" si="17"/>
        <v>1.212306043473661</v>
      </c>
      <c r="I127" s="5">
        <f t="shared" si="22"/>
        <v>1.1814513494748917</v>
      </c>
      <c r="J127" s="3">
        <f t="shared" si="20"/>
        <v>491.61679442121061</v>
      </c>
      <c r="K127" s="3">
        <f t="shared" si="18"/>
        <v>384.81862336403987</v>
      </c>
      <c r="L127" s="3">
        <f t="shared" si="19"/>
        <v>4.1561005129683508</v>
      </c>
    </row>
    <row r="128" spans="1:12">
      <c r="A128" s="38">
        <v>1959</v>
      </c>
      <c r="B128" s="38" t="s">
        <v>88</v>
      </c>
      <c r="C128" s="1">
        <v>548</v>
      </c>
      <c r="D128" s="1">
        <v>127</v>
      </c>
      <c r="E128" s="1"/>
      <c r="F128" s="3">
        <f t="shared" si="21"/>
        <v>404.45489728595635</v>
      </c>
      <c r="G128" s="3">
        <f t="shared" si="16"/>
        <v>2.5595766547871546</v>
      </c>
      <c r="H128" s="5">
        <f t="shared" si="17"/>
        <v>1.347382107327604</v>
      </c>
      <c r="I128" s="5">
        <f t="shared" si="22"/>
        <v>1.3539366760237104</v>
      </c>
      <c r="J128" s="3">
        <f t="shared" si="20"/>
        <v>543.79750424309384</v>
      </c>
      <c r="K128" s="3">
        <f t="shared" si="18"/>
        <v>17.660970586814276</v>
      </c>
      <c r="L128" s="3">
        <f t="shared" si="19"/>
        <v>0.76687878775659846</v>
      </c>
    </row>
    <row r="129" spans="1:12">
      <c r="A129" s="38">
        <v>1959</v>
      </c>
      <c r="B129" s="38" t="s">
        <v>89</v>
      </c>
      <c r="C129" s="1">
        <v>559</v>
      </c>
      <c r="D129" s="1">
        <v>128</v>
      </c>
      <c r="E129" s="1"/>
      <c r="F129" s="3">
        <f t="shared" si="21"/>
        <v>408.86034317652081</v>
      </c>
      <c r="G129" s="3">
        <f t="shared" si="16"/>
        <v>2.6197519918734948</v>
      </c>
      <c r="H129" s="5">
        <f t="shared" si="17"/>
        <v>1.3511731903761055</v>
      </c>
      <c r="I129" s="5">
        <f t="shared" si="22"/>
        <v>1.365140806588474</v>
      </c>
      <c r="J129" s="3">
        <f t="shared" si="20"/>
        <v>549.94704528376667</v>
      </c>
      <c r="K129" s="3">
        <f t="shared" si="18"/>
        <v>81.955989094171301</v>
      </c>
      <c r="L129" s="3">
        <f t="shared" si="19"/>
        <v>1.6194910046929034</v>
      </c>
    </row>
    <row r="130" spans="1:12">
      <c r="A130" s="38">
        <v>1959</v>
      </c>
      <c r="B130" s="38" t="s">
        <v>90</v>
      </c>
      <c r="C130" s="1">
        <v>463</v>
      </c>
      <c r="D130" s="1">
        <v>129</v>
      </c>
      <c r="E130" s="1"/>
      <c r="F130" s="3">
        <f t="shared" si="21"/>
        <v>414.84955584156569</v>
      </c>
      <c r="G130" s="3">
        <f t="shared" si="16"/>
        <v>2.7295964098188819</v>
      </c>
      <c r="H130" s="5">
        <f t="shared" si="17"/>
        <v>1.0927273761164908</v>
      </c>
      <c r="I130" s="5">
        <f t="shared" si="22"/>
        <v>1.1130493981114895</v>
      </c>
      <c r="J130" s="3">
        <f t="shared" si="20"/>
        <v>449.63556471752344</v>
      </c>
      <c r="K130" s="3">
        <f t="shared" si="18"/>
        <v>178.60813041950442</v>
      </c>
      <c r="L130" s="3">
        <f t="shared" si="19"/>
        <v>2.8864871020467739</v>
      </c>
    </row>
    <row r="131" spans="1:12">
      <c r="A131" s="38">
        <v>1959</v>
      </c>
      <c r="B131" s="38" t="s">
        <v>91</v>
      </c>
      <c r="C131" s="1">
        <v>407</v>
      </c>
      <c r="D131" s="1">
        <v>130</v>
      </c>
      <c r="E131" s="1"/>
      <c r="F131" s="3">
        <f t="shared" si="21"/>
        <v>419.6227016765132</v>
      </c>
      <c r="G131" s="3">
        <f t="shared" si="16"/>
        <v>2.7962161210780754</v>
      </c>
      <c r="H131" s="5">
        <f t="shared" si="17"/>
        <v>0.95765437187688474</v>
      </c>
      <c r="I131" s="5">
        <f t="shared" si="22"/>
        <v>0.96833311887113482</v>
      </c>
      <c r="J131" s="3">
        <f t="shared" si="20"/>
        <v>399.89650075818173</v>
      </c>
      <c r="K131" s="3">
        <f t="shared" si="18"/>
        <v>50.459701478512734</v>
      </c>
      <c r="L131" s="3">
        <f t="shared" si="19"/>
        <v>1.7453315090462578</v>
      </c>
    </row>
    <row r="132" spans="1:12">
      <c r="A132" s="38">
        <v>1959</v>
      </c>
      <c r="B132" s="38" t="s">
        <v>92</v>
      </c>
      <c r="C132" s="1">
        <v>362</v>
      </c>
      <c r="D132" s="1">
        <v>131</v>
      </c>
      <c r="E132" s="1"/>
      <c r="F132" s="3">
        <f t="shared" si="21"/>
        <v>426.97152863177462</v>
      </c>
      <c r="G132" s="3">
        <f t="shared" si="16"/>
        <v>2.9446312342724523</v>
      </c>
      <c r="H132" s="5">
        <f t="shared" si="17"/>
        <v>0.82470690479147479</v>
      </c>
      <c r="I132" s="5">
        <f t="shared" si="22"/>
        <v>0.84484167015544298</v>
      </c>
      <c r="J132" s="3">
        <f t="shared" si="20"/>
        <v>348.37179822221594</v>
      </c>
      <c r="K132" s="3">
        <f t="shared" si="18"/>
        <v>185.72788369599652</v>
      </c>
      <c r="L132" s="3">
        <f t="shared" si="19"/>
        <v>3.7646966236972528</v>
      </c>
    </row>
    <row r="133" spans="1:12">
      <c r="A133" s="38">
        <v>1959</v>
      </c>
      <c r="B133" s="38" t="s">
        <v>93</v>
      </c>
      <c r="C133" s="1">
        <v>405</v>
      </c>
      <c r="D133" s="1">
        <v>132</v>
      </c>
      <c r="E133" s="1"/>
      <c r="F133" s="3">
        <f t="shared" si="21"/>
        <v>435.54892859814566</v>
      </c>
      <c r="G133" s="3">
        <f t="shared" si="16"/>
        <v>3.1282594949388667</v>
      </c>
      <c r="H133" s="5">
        <f t="shared" si="17"/>
        <v>0.89927701845094843</v>
      </c>
      <c r="I133" s="5">
        <f t="shared" si="22"/>
        <v>0.92590656656086512</v>
      </c>
      <c r="J133" s="3">
        <f t="shared" si="20"/>
        <v>386.61372242822011</v>
      </c>
      <c r="K133" s="3">
        <f t="shared" si="18"/>
        <v>338.05520294653604</v>
      </c>
      <c r="L133" s="3">
        <f t="shared" si="19"/>
        <v>4.5398216226616999</v>
      </c>
    </row>
    <row r="134" spans="1:12">
      <c r="A134" s="38">
        <v>1960</v>
      </c>
      <c r="B134" s="38" t="s">
        <v>83</v>
      </c>
      <c r="C134" s="1">
        <v>417</v>
      </c>
      <c r="D134" s="1">
        <v>133</v>
      </c>
      <c r="E134" s="1"/>
      <c r="F134" s="3">
        <f t="shared" si="21"/>
        <v>439.59082517613166</v>
      </c>
      <c r="G134" s="3">
        <f t="shared" si="16"/>
        <v>3.1580440638462028</v>
      </c>
      <c r="H134" s="5">
        <f t="shared" si="17"/>
        <v>0.94345284138495977</v>
      </c>
      <c r="I134" s="5">
        <f t="shared" si="22"/>
        <v>0.9479426789255424</v>
      </c>
      <c r="J134" s="3">
        <f t="shared" si="20"/>
        <v>413.87123955718505</v>
      </c>
      <c r="K134" s="3">
        <f t="shared" si="18"/>
        <v>9.7891419085236056</v>
      </c>
      <c r="L134" s="3">
        <f t="shared" si="19"/>
        <v>0.75030226446401693</v>
      </c>
    </row>
    <row r="135" spans="1:12">
      <c r="A135" s="38">
        <v>1960</v>
      </c>
      <c r="B135" s="38" t="s">
        <v>84</v>
      </c>
      <c r="C135" s="1">
        <v>391</v>
      </c>
      <c r="D135" s="1">
        <v>134</v>
      </c>
      <c r="E135" s="1"/>
      <c r="F135" s="3">
        <f t="shared" si="21"/>
        <v>442.3102404604885</v>
      </c>
      <c r="G135" s="3">
        <f t="shared" si="16"/>
        <v>3.1437447656348496</v>
      </c>
      <c r="H135" s="5">
        <f t="shared" si="17"/>
        <v>0.88630628403891898</v>
      </c>
      <c r="I135" s="5">
        <f t="shared" si="22"/>
        <v>0.88429376828535322</v>
      </c>
      <c r="J135" s="3">
        <f t="shared" si="20"/>
        <v>392.41110505851805</v>
      </c>
      <c r="K135" s="3">
        <f t="shared" si="18"/>
        <v>1.9912174861752194</v>
      </c>
      <c r="L135" s="3">
        <f t="shared" si="19"/>
        <v>0.36089643440359243</v>
      </c>
    </row>
    <row r="136" spans="1:12">
      <c r="A136" s="38">
        <v>1960</v>
      </c>
      <c r="B136" s="38" t="s">
        <v>85</v>
      </c>
      <c r="C136" s="1">
        <v>419</v>
      </c>
      <c r="D136" s="1">
        <v>135</v>
      </c>
      <c r="E136" s="1"/>
      <c r="F136" s="3">
        <f t="shared" si="21"/>
        <v>434.48334080363315</v>
      </c>
      <c r="G136" s="3">
        <f t="shared" si="16"/>
        <v>2.7861017574616693</v>
      </c>
      <c r="H136" s="5">
        <f t="shared" si="17"/>
        <v>1.0329530912073022</v>
      </c>
      <c r="I136" s="5">
        <f t="shared" si="22"/>
        <v>0.97323238418269353</v>
      </c>
      <c r="J136" s="3">
        <f t="shared" si="20"/>
        <v>460.13307102993599</v>
      </c>
      <c r="K136" s="3">
        <f t="shared" si="18"/>
        <v>1691.9295323537594</v>
      </c>
      <c r="L136" s="3">
        <f t="shared" si="19"/>
        <v>9.816962059650594</v>
      </c>
    </row>
    <row r="137" spans="1:12">
      <c r="A137" s="38">
        <v>1960</v>
      </c>
      <c r="B137" s="38" t="s">
        <v>86</v>
      </c>
      <c r="C137" s="1">
        <v>461</v>
      </c>
      <c r="D137" s="1">
        <v>136</v>
      </c>
      <c r="E137" s="1"/>
      <c r="F137" s="3">
        <f t="shared" si="21"/>
        <v>444.3522227652187</v>
      </c>
      <c r="G137" s="3">
        <f t="shared" si="16"/>
        <v>3.0170003921161079</v>
      </c>
      <c r="H137" s="5">
        <f t="shared" si="17"/>
        <v>0.9957270917792338</v>
      </c>
      <c r="I137" s="5">
        <f t="shared" si="22"/>
        <v>1.0320685259736284</v>
      </c>
      <c r="J137" s="3">
        <f t="shared" si="20"/>
        <v>435.40103036528564</v>
      </c>
      <c r="K137" s="3">
        <f t="shared" si="18"/>
        <v>655.30724635902811</v>
      </c>
      <c r="L137" s="3">
        <f t="shared" si="19"/>
        <v>5.5529218296560439</v>
      </c>
    </row>
    <row r="138" spans="1:12">
      <c r="A138" s="38">
        <v>1960</v>
      </c>
      <c r="B138" s="38" t="s">
        <v>5</v>
      </c>
      <c r="C138" s="1">
        <v>472</v>
      </c>
      <c r="D138" s="1">
        <v>137</v>
      </c>
      <c r="E138" s="1"/>
      <c r="F138" s="3">
        <f t="shared" si="21"/>
        <v>449.20261278484423</v>
      </c>
      <c r="G138" s="3">
        <f t="shared" si="16"/>
        <v>3.0767688939729152</v>
      </c>
      <c r="H138" s="5">
        <f t="shared" si="17"/>
        <v>1.0395926322289391</v>
      </c>
      <c r="I138" s="5">
        <f t="shared" si="22"/>
        <v>1.0493080397083732</v>
      </c>
      <c r="J138" s="3">
        <f t="shared" si="20"/>
        <v>465.08174828034936</v>
      </c>
      <c r="K138" s="3">
        <f t="shared" si="18"/>
        <v>47.862206856449049</v>
      </c>
      <c r="L138" s="3">
        <f t="shared" si="19"/>
        <v>1.4657312965361526</v>
      </c>
    </row>
    <row r="139" spans="1:12">
      <c r="A139" s="38">
        <v>1960</v>
      </c>
      <c r="B139" s="38" t="s">
        <v>87</v>
      </c>
      <c r="C139" s="1">
        <v>535</v>
      </c>
      <c r="D139" s="1">
        <v>138</v>
      </c>
      <c r="E139" s="1"/>
      <c r="F139" s="3">
        <f t="shared" si="21"/>
        <v>452.43186646419429</v>
      </c>
      <c r="G139" s="3">
        <f t="shared" si="16"/>
        <v>3.0817398979762101</v>
      </c>
      <c r="H139" s="5">
        <f t="shared" si="17"/>
        <v>1.1814513494748917</v>
      </c>
      <c r="I139" s="5">
        <f t="shared" si="22"/>
        <v>1.1823630968051038</v>
      </c>
      <c r="J139" s="3">
        <f t="shared" si="20"/>
        <v>534.34608582410817</v>
      </c>
      <c r="K139" s="3">
        <f t="shared" si="18"/>
        <v>0.42760374943228813</v>
      </c>
      <c r="L139" s="3">
        <f t="shared" si="19"/>
        <v>0.12222694876482759</v>
      </c>
    </row>
    <row r="140" spans="1:12">
      <c r="A140" s="38">
        <v>1960</v>
      </c>
      <c r="B140" s="38" t="s">
        <v>88</v>
      </c>
      <c r="C140" s="1">
        <v>622</v>
      </c>
      <c r="D140" s="1">
        <v>139</v>
      </c>
      <c r="E140" s="1"/>
      <c r="F140" s="3">
        <f t="shared" si="21"/>
        <v>456.58461120619768</v>
      </c>
      <c r="G140" s="3">
        <f t="shared" si="16"/>
        <v>3.1166546558914967</v>
      </c>
      <c r="H140" s="5">
        <f t="shared" si="17"/>
        <v>1.3539366760237104</v>
      </c>
      <c r="I140" s="5">
        <f t="shared" si="22"/>
        <v>1.361208675669449</v>
      </c>
      <c r="J140" s="3">
        <f t="shared" si="20"/>
        <v>616.73657808156997</v>
      </c>
      <c r="K140" s="3">
        <f t="shared" si="18"/>
        <v>27.703610291409618</v>
      </c>
      <c r="L140" s="3">
        <f t="shared" si="19"/>
        <v>0.84620931164469881</v>
      </c>
    </row>
    <row r="141" spans="1:12">
      <c r="A141" s="38">
        <v>1960</v>
      </c>
      <c r="B141" s="38" t="s">
        <v>89</v>
      </c>
      <c r="C141" s="1">
        <v>606</v>
      </c>
      <c r="D141" s="1">
        <v>140</v>
      </c>
      <c r="E141" s="1"/>
      <c r="F141" s="3">
        <f t="shared" si="21"/>
        <v>455.35084165041206</v>
      </c>
      <c r="G141" s="3">
        <f t="shared" si="16"/>
        <v>2.9748308265908228</v>
      </c>
      <c r="H141" s="5">
        <f t="shared" si="17"/>
        <v>1.365140806588474</v>
      </c>
      <c r="I141" s="5">
        <f t="shared" si="22"/>
        <v>1.3352767882634125</v>
      </c>
      <c r="J141" s="3">
        <f t="shared" si="20"/>
        <v>627.55695686871502</v>
      </c>
      <c r="K141" s="3">
        <f t="shared" si="18"/>
        <v>464.70238943963966</v>
      </c>
      <c r="L141" s="3">
        <f t="shared" si="19"/>
        <v>3.557253608698848</v>
      </c>
    </row>
    <row r="142" spans="1:12">
      <c r="A142" s="38">
        <v>1960</v>
      </c>
      <c r="B142" s="38" t="s">
        <v>90</v>
      </c>
      <c r="C142" s="1">
        <v>508</v>
      </c>
      <c r="D142" s="1">
        <v>141</v>
      </c>
      <c r="E142" s="1"/>
      <c r="F142" s="3">
        <f t="shared" si="21"/>
        <v>457.79620282581141</v>
      </c>
      <c r="G142" s="3">
        <f t="shared" si="16"/>
        <v>2.9575701159619805</v>
      </c>
      <c r="H142" s="5">
        <f t="shared" si="17"/>
        <v>1.1130493981114895</v>
      </c>
      <c r="I142" s="5">
        <f t="shared" ref="I142:I145" si="23">$P$2*(C142/F142)+$P$3*H142</f>
        <v>1.1101017973787066</v>
      </c>
      <c r="J142" s="3">
        <f t="shared" si="20"/>
        <v>510.13911388957177</v>
      </c>
      <c r="K142" s="3">
        <f t="shared" si="18"/>
        <v>4.5758082325588862</v>
      </c>
      <c r="L142" s="3">
        <f t="shared" si="19"/>
        <v>0.42108541133302646</v>
      </c>
    </row>
    <row r="143" spans="1:12">
      <c r="A143" s="38">
        <v>1960</v>
      </c>
      <c r="B143" s="38" t="s">
        <v>91</v>
      </c>
      <c r="C143" s="1">
        <v>461</v>
      </c>
      <c r="D143" s="1">
        <v>142</v>
      </c>
      <c r="E143" s="1"/>
      <c r="F143" s="3">
        <f t="shared" si="21"/>
        <v>464.97500157234703</v>
      </c>
      <c r="G143" s="3">
        <f t="shared" ref="G143:G145" si="24">$O$2*(F143-F142)+$O$3*G142</f>
        <v>3.0951821693186812</v>
      </c>
      <c r="H143" s="5">
        <f t="shared" ref="H143:H149" si="25">I131</f>
        <v>0.96833311887113482</v>
      </c>
      <c r="I143" s="5">
        <f t="shared" si="23"/>
        <v>0.9884619885185697</v>
      </c>
      <c r="J143" s="3">
        <f t="shared" si="20"/>
        <v>446.1631379843501</v>
      </c>
      <c r="K143" s="3">
        <f t="shared" ref="K143:K145" si="26">(C143-J143)^2</f>
        <v>220.13247447143479</v>
      </c>
      <c r="L143" s="3">
        <f t="shared" ref="L143:L145" si="27">ABS((C143-J143)/C143)*100</f>
        <v>3.2184082463448802</v>
      </c>
    </row>
    <row r="144" spans="1:12">
      <c r="A144" s="38">
        <v>1960</v>
      </c>
      <c r="B144" s="38" t="s">
        <v>92</v>
      </c>
      <c r="C144" s="1">
        <v>390</v>
      </c>
      <c r="D144" s="1">
        <v>143</v>
      </c>
      <c r="E144" s="1"/>
      <c r="F144" s="3">
        <f t="shared" si="21"/>
        <v>466.29452388608536</v>
      </c>
      <c r="G144" s="3">
        <f t="shared" si="24"/>
        <v>3.0372956580267618</v>
      </c>
      <c r="H144" s="5">
        <f t="shared" si="25"/>
        <v>0.84484167015544298</v>
      </c>
      <c r="I144" s="5">
        <f t="shared" si="23"/>
        <v>0.83747518838354007</v>
      </c>
      <c r="J144" s="3">
        <f t="shared" ref="J144" si="28">(F143+G143)*H144</f>
        <v>395.44519578227391</v>
      </c>
      <c r="K144" s="3">
        <f t="shared" si="26"/>
        <v>29.650157107293612</v>
      </c>
      <c r="L144" s="3">
        <f t="shared" si="27"/>
        <v>1.3962040467369008</v>
      </c>
    </row>
    <row r="145" spans="1:12">
      <c r="A145" s="38">
        <v>1960</v>
      </c>
      <c r="B145" s="38" t="s">
        <v>93</v>
      </c>
      <c r="C145" s="1">
        <v>432</v>
      </c>
      <c r="D145" s="1">
        <v>144</v>
      </c>
      <c r="E145" s="1"/>
      <c r="F145" s="3">
        <f t="shared" si="21"/>
        <v>468.57087078803795</v>
      </c>
      <c r="G145" s="3">
        <f t="shared" si="24"/>
        <v>3.0124887285787443</v>
      </c>
      <c r="H145" s="5">
        <f t="shared" si="25"/>
        <v>0.92590656656086512</v>
      </c>
      <c r="I145" s="5">
        <f t="shared" si="23"/>
        <v>0.92246360146498807</v>
      </c>
      <c r="J145" s="3">
        <f>(F144+G144)*H145</f>
        <v>434.55741361185238</v>
      </c>
      <c r="K145" s="3">
        <f t="shared" si="26"/>
        <v>6.5403643820878488</v>
      </c>
      <c r="L145" s="3">
        <f t="shared" si="27"/>
        <v>0.59199389163249594</v>
      </c>
    </row>
    <row r="146" spans="1:12">
      <c r="A146" s="1">
        <v>1961</v>
      </c>
      <c r="B146" s="38" t="s">
        <v>83</v>
      </c>
      <c r="C146" s="1"/>
      <c r="D146" s="1"/>
      <c r="E146" s="1"/>
      <c r="F146" s="3"/>
      <c r="G146" s="1"/>
      <c r="H146" s="5">
        <f t="shared" si="25"/>
        <v>0.9479426789255424</v>
      </c>
      <c r="I146" s="1"/>
      <c r="J146" s="3">
        <f>($F$145+$G$145*1)*H146</f>
        <v>447.03399315688881</v>
      </c>
    </row>
    <row r="147" spans="1:12">
      <c r="A147" s="1">
        <v>1961</v>
      </c>
      <c r="B147" s="38" t="s">
        <v>84</v>
      </c>
      <c r="C147" s="1"/>
      <c r="D147" s="1"/>
      <c r="E147" s="1"/>
      <c r="F147" s="1"/>
      <c r="G147" s="1"/>
      <c r="H147" s="5">
        <f t="shared" si="25"/>
        <v>0.88429376828535322</v>
      </c>
      <c r="I147" s="1"/>
      <c r="J147" s="3">
        <f>($F$145+$G$145*2)*H147</f>
        <v>419.68215105732753</v>
      </c>
    </row>
    <row r="148" spans="1:12">
      <c r="A148" s="1">
        <v>1961</v>
      </c>
      <c r="B148" s="38" t="s">
        <v>85</v>
      </c>
      <c r="C148" s="1"/>
      <c r="D148" s="1"/>
      <c r="E148" s="1"/>
      <c r="F148" s="1"/>
      <c r="G148" s="1"/>
      <c r="H148" s="5">
        <f t="shared" si="25"/>
        <v>0.97323238418269353</v>
      </c>
      <c r="I148" s="1"/>
      <c r="J148" s="3">
        <f>($F$145+$G$145*3)*H148</f>
        <v>464.8239004985175</v>
      </c>
    </row>
    <row r="149" spans="1:12">
      <c r="A149" s="1">
        <v>1961</v>
      </c>
      <c r="B149" s="38" t="s">
        <v>86</v>
      </c>
      <c r="C149" s="1"/>
      <c r="D149" s="1"/>
      <c r="E149" s="1"/>
      <c r="F149" s="1"/>
      <c r="G149" s="1"/>
      <c r="H149" s="5">
        <f t="shared" si="25"/>
        <v>1.0320685259736284</v>
      </c>
      <c r="I149" s="1"/>
      <c r="J149" s="3">
        <f>($F$145+$G$145*4)*H149</f>
        <v>496.03362713485558</v>
      </c>
    </row>
  </sheetData>
  <autoFilter ref="A1:L149" xr:uid="{00000000-0009-0000-0000-000011000000}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SES (Maida_Flour-1 )</vt:lpstr>
      <vt:lpstr>SES (Money_withdraw_atm-2 )</vt:lpstr>
      <vt:lpstr>DES (Mobile Unit -1 )</vt:lpstr>
      <vt:lpstr>DES (Mobile Price -2 )</vt:lpstr>
      <vt:lpstr>DES (Mobile Price -2 ) (2)</vt:lpstr>
      <vt:lpstr>HW ( AM) </vt:lpstr>
      <vt:lpstr>HW (MM)Export_Cotton</vt:lpstr>
      <vt:lpstr>HW ( MM)--Sales_try</vt:lpstr>
      <vt:lpstr>HW (MM) AirPassenger_2</vt:lpstr>
      <vt:lpstr>HW (MM) AirPassenger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2020-08-25T13:24:14Z</dcterms:created>
  <dcterms:modified xsi:type="dcterms:W3CDTF">2022-06-29T04:04:01Z</dcterms:modified>
</cp:coreProperties>
</file>