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ustomProperty1.bin" ContentType="application/vnd.openxmlformats-officedocument.spreadsheetml.customProperty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\Project Folder\"/>
    </mc:Choice>
  </mc:AlternateContent>
  <xr:revisionPtr revIDLastSave="0" documentId="13_ncr:1_{49021A23-C30A-431E-B11B-C0958740AED5}" xr6:coauthVersionLast="47" xr6:coauthVersionMax="47" xr10:uidLastSave="{00000000-0000-0000-0000-000000000000}"/>
  <bookViews>
    <workbookView xWindow="-108" yWindow="-108" windowWidth="23256" windowHeight="12456" activeTab="4" xr2:uid="{5ECF019B-D745-4453-A5C5-3DCD8AB4A758}"/>
  </bookViews>
  <sheets>
    <sheet name="Data&gt;&gt;" sheetId="4" r:id="rId1"/>
    <sheet name="Comps Beta - Regression" sheetId="5" r:id="rId2"/>
    <sheet name="Rm &amp; RfR" sheetId="6" r:id="rId3"/>
    <sheet name="WACC Report&gt;&gt;" sheetId="10" r:id="rId4"/>
    <sheet name="WACC - DMART" sheetId="8" r:id="rId5"/>
    <sheet name="WACC" sheetId="1" state="hidden" r:id="rId6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5" l="1"/>
  <c r="AA26" i="5"/>
  <c r="AA25" i="5"/>
  <c r="AA24" i="5"/>
  <c r="AA23" i="5"/>
  <c r="P62" i="5" l="1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E24" i="8"/>
  <c r="P12" i="5" l="1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R8" i="5"/>
  <c r="N8" i="5"/>
  <c r="J8" i="5"/>
  <c r="F8" i="5"/>
  <c r="B8" i="5"/>
  <c r="D34" i="8"/>
  <c r="K33" i="8"/>
  <c r="K24" i="8"/>
  <c r="D33" i="8"/>
  <c r="D32" i="8"/>
  <c r="G19" i="8"/>
  <c r="E25" i="8" s="1"/>
  <c r="E26" i="8" s="1"/>
  <c r="K38" i="8" s="1"/>
  <c r="G18" i="8"/>
  <c r="I16" i="8"/>
  <c r="I15" i="8"/>
  <c r="I14" i="8"/>
  <c r="I13" i="8"/>
  <c r="I12" i="8"/>
  <c r="H16" i="8"/>
  <c r="H15" i="8"/>
  <c r="H14" i="8"/>
  <c r="H13" i="8"/>
  <c r="H12" i="8"/>
  <c r="L10" i="6"/>
  <c r="C33" i="6"/>
  <c r="F9" i="6" s="1"/>
  <c r="F11" i="6" s="1"/>
  <c r="L9" i="6" s="1"/>
  <c r="E26" i="1"/>
  <c r="E34" i="1"/>
  <c r="AE11" i="5"/>
  <c r="AE17" i="5" s="1"/>
  <c r="J17" i="1" s="1"/>
  <c r="AD11" i="5"/>
  <c r="AD17" i="5" s="1"/>
  <c r="J15" i="8" s="1"/>
  <c r="AC11" i="5"/>
  <c r="AC17" i="5" s="1"/>
  <c r="AB11" i="5"/>
  <c r="AB17" i="5" s="1"/>
  <c r="J13" i="8" s="1"/>
  <c r="AA11" i="5"/>
  <c r="AA17" i="5" s="1"/>
  <c r="J13" i="1" s="1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T12" i="5"/>
  <c r="L12" i="5"/>
  <c r="H12" i="5"/>
  <c r="J14" i="1" l="1"/>
  <c r="K14" i="1" s="1"/>
  <c r="J16" i="8"/>
  <c r="J16" i="1"/>
  <c r="K16" i="1" s="1"/>
  <c r="J15" i="1"/>
  <c r="K15" i="1" s="1"/>
  <c r="J14" i="8"/>
  <c r="J12" i="8"/>
  <c r="K12" i="8" s="1"/>
  <c r="D36" i="8"/>
  <c r="K25" i="8"/>
  <c r="K13" i="8"/>
  <c r="K16" i="8"/>
  <c r="H19" i="8"/>
  <c r="I19" i="8"/>
  <c r="K15" i="8"/>
  <c r="H18" i="8"/>
  <c r="E32" i="8" s="1"/>
  <c r="I18" i="8"/>
  <c r="L11" i="6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D12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K42" i="1"/>
  <c r="K41" i="1"/>
  <c r="K35" i="1"/>
  <c r="D38" i="1"/>
  <c r="E36" i="1"/>
  <c r="E35" i="1" s="1"/>
  <c r="E38" i="1" s="1"/>
  <c r="K34" i="1" s="1"/>
  <c r="D36" i="1"/>
  <c r="D35" i="1"/>
  <c r="D34" i="1"/>
  <c r="C36" i="1"/>
  <c r="E27" i="1"/>
  <c r="J41" i="1" s="1"/>
  <c r="H20" i="1"/>
  <c r="G20" i="1"/>
  <c r="G19" i="1"/>
  <c r="K17" i="1"/>
  <c r="I17" i="1"/>
  <c r="I16" i="1"/>
  <c r="I15" i="1"/>
  <c r="I14" i="1"/>
  <c r="I13" i="1"/>
  <c r="I20" i="1" s="1"/>
  <c r="H17" i="1"/>
  <c r="H16" i="1"/>
  <c r="H15" i="1"/>
  <c r="H14" i="1"/>
  <c r="H13" i="1"/>
  <c r="K13" i="1" s="1"/>
  <c r="J19" i="8" l="1"/>
  <c r="J19" i="1"/>
  <c r="J20" i="1"/>
  <c r="K14" i="8"/>
  <c r="K18" i="8" s="1"/>
  <c r="J18" i="8"/>
  <c r="E33" i="8"/>
  <c r="E36" i="8" s="1"/>
  <c r="K32" i="8" s="1"/>
  <c r="K39" i="8"/>
  <c r="K19" i="1"/>
  <c r="K20" i="1"/>
  <c r="K33" i="1" s="1"/>
  <c r="K36" i="1" s="1"/>
  <c r="K27" i="1" s="1"/>
  <c r="K28" i="1" s="1"/>
  <c r="J42" i="1" s="1"/>
  <c r="K43" i="1" s="1"/>
  <c r="H19" i="1"/>
  <c r="I19" i="1"/>
  <c r="K19" i="8" l="1"/>
  <c r="K31" i="8" s="1"/>
  <c r="K34" i="8" s="1"/>
  <c r="K26" i="8" s="1"/>
  <c r="K27" i="8" s="1"/>
  <c r="K41" i="8" s="1"/>
  <c r="K42" i="8"/>
  <c r="K43" i="8" l="1"/>
</calcChain>
</file>

<file path=xl/sharedStrings.xml><?xml version="1.0" encoding="utf-8"?>
<sst xmlns="http://schemas.openxmlformats.org/spreadsheetml/2006/main" count="292" uniqueCount="116">
  <si>
    <t>Weighted Average Cost of Capital</t>
  </si>
  <si>
    <t>India</t>
  </si>
  <si>
    <t>Nestle India</t>
  </si>
  <si>
    <t>Britannia Inds.</t>
  </si>
  <si>
    <t>Godrej Consumer</t>
  </si>
  <si>
    <t>Dabur India</t>
  </si>
  <si>
    <t>Weighted average cost of capital</t>
  </si>
  <si>
    <t>All figures are in INR unless stated otherwise.</t>
  </si>
  <si>
    <t>Peer Comps</t>
  </si>
  <si>
    <t>Name of the Comp</t>
  </si>
  <si>
    <t>Country</t>
  </si>
  <si>
    <t>Total Debt</t>
  </si>
  <si>
    <t>Total Equity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</si>
  <si>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</si>
  <si>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t>Debt \</t>
  </si>
  <si>
    <t>Capital</t>
  </si>
  <si>
    <t>Levered</t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</si>
  <si>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</si>
  <si>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</si>
  <si>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</si>
  <si>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Average</t>
  </si>
  <si>
    <t>Median</t>
  </si>
  <si>
    <t>Cost of Debt</t>
  </si>
  <si>
    <t>Pre-Tax Cost of Debt</t>
  </si>
  <si>
    <t>Tax Rate</t>
  </si>
  <si>
    <t>Post Tax Cost of Debt</t>
  </si>
  <si>
    <t>Cost of Equity</t>
  </si>
  <si>
    <t>Risk Free Return</t>
  </si>
  <si>
    <t>ERP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</si>
  <si>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</si>
  <si>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Capital Structure</t>
  </si>
  <si>
    <t>Current</t>
  </si>
  <si>
    <t>Target</t>
  </si>
  <si>
    <t>Market Capitalization</t>
  </si>
  <si>
    <t>Total Capital</t>
  </si>
  <si>
    <t>Levered Beta</t>
  </si>
  <si>
    <t>Comps median unlevered Beta</t>
  </si>
  <si>
    <t>Target Debt \ Equity</t>
  </si>
  <si>
    <t>Debt \ Equity</t>
  </si>
  <si>
    <t>Debt</t>
  </si>
  <si>
    <t>Equity</t>
  </si>
  <si>
    <t>Total Cost</t>
  </si>
  <si>
    <t>Weight</t>
  </si>
  <si>
    <t>WACC</t>
  </si>
  <si>
    <t>Regression - 2 years weekly Returns</t>
  </si>
  <si>
    <t>Date</t>
  </si>
  <si>
    <t>Closing Price</t>
  </si>
  <si>
    <t>Nifty Returns</t>
  </si>
  <si>
    <t>Beta Drift</t>
  </si>
  <si>
    <t>Return</t>
  </si>
  <si>
    <t>Levered Raw Beta</t>
  </si>
  <si>
    <t>Raw Beta Weight</t>
  </si>
  <si>
    <t>Market Beta</t>
  </si>
  <si>
    <t>Market Beta Weight</t>
  </si>
  <si>
    <t>Adjusted Beta</t>
  </si>
  <si>
    <t>Raw Beta</t>
  </si>
  <si>
    <t>Avenue Supermart</t>
  </si>
  <si>
    <t>Particulars</t>
  </si>
  <si>
    <t>Nestle.Co</t>
  </si>
  <si>
    <t>Godrej Cons.</t>
  </si>
  <si>
    <t>Dabur Ind.</t>
  </si>
  <si>
    <t>Comps.</t>
  </si>
  <si>
    <t>Comparable Levered Beta</t>
  </si>
  <si>
    <t>(10Y Govt Bonds)</t>
  </si>
  <si>
    <t>Risk Free Rate</t>
  </si>
  <si>
    <t>Market Return</t>
  </si>
  <si>
    <t>Year</t>
  </si>
  <si>
    <t>Return(Annual)</t>
  </si>
  <si>
    <t>Average Market rate</t>
  </si>
  <si>
    <t>Dividend Yield</t>
  </si>
  <si>
    <t>Rm</t>
  </si>
  <si>
    <t>ERP (Equity Risk Premium)</t>
  </si>
  <si>
    <t>Market Rate</t>
  </si>
  <si>
    <t>All Figures are shown in INR Unless Otherwise Stated.</t>
  </si>
  <si>
    <t>Name of the Comp.</t>
  </si>
  <si>
    <t>Total Debt \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</si>
  <si>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</si>
  <si>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t>Mean</t>
  </si>
  <si>
    <t>Cost Of Debt</t>
  </si>
  <si>
    <t>Post-Tax Cost of Debt</t>
  </si>
  <si>
    <t>Risk free Rate</t>
  </si>
  <si>
    <t>Cost Of Equity</t>
  </si>
  <si>
    <t>Market Capital</t>
  </si>
  <si>
    <t>Comps Median Unlevered Beta</t>
  </si>
  <si>
    <t>Target Debt\Equity</t>
  </si>
  <si>
    <t>Debt Weight</t>
  </si>
  <si>
    <t>Equity Weight</t>
  </si>
  <si>
    <t>Trent</t>
  </si>
  <si>
    <t>Vedant Fashions</t>
  </si>
  <si>
    <t>Aditya Birla Fashions</t>
  </si>
  <si>
    <t>V Mart Retail Ltd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</si>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</sst>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 x14ac:knownFonts="1">
    <font>
      <sz val="11"/>
      <color theme="1"/>
      <name val="Calibri"/>
      <family val="2"/>
    </font>
    <font>
      <sz val="11"/>
      <color rgb="FF3333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0" tint="-0.499984740745262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8" tint="-0.499984740745262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 style="thin">
        <color rgb="FF00FF00"/>
      </right>
      <top/>
      <bottom/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164" fontId="1" fillId="0" borderId="0" xfId="0" applyNumberFormat="1" applyFont="1"/>
    <xf numFmtId="0" fontId="3" fillId="3" borderId="0" xfId="0" applyFont="1" applyFill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10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3" fillId="0" borderId="1" xfId="0" applyFont="1" applyBorder="1"/>
    <xf numFmtId="10" fontId="0" fillId="0" borderId="1" xfId="0" applyNumberFormat="1" applyBorder="1"/>
    <xf numFmtId="2" fontId="0" fillId="0" borderId="1" xfId="0" applyNumberFormat="1" applyBorder="1"/>
    <xf numFmtId="0" fontId="3" fillId="0" borderId="2" xfId="0" applyFont="1" applyBorder="1"/>
    <xf numFmtId="10" fontId="0" fillId="0" borderId="2" xfId="0" applyNumberFormat="1" applyBorder="1"/>
    <xf numFmtId="2" fontId="0" fillId="0" borderId="2" xfId="0" applyNumberFormat="1" applyBorder="1"/>
    <xf numFmtId="10" fontId="1" fillId="0" borderId="0" xfId="0" applyNumberFormat="1" applyFont="1"/>
    <xf numFmtId="10" fontId="0" fillId="4" borderId="0" xfId="1" applyNumberFormat="1" applyFont="1" applyFill="1"/>
    <xf numFmtId="2" fontId="0" fillId="4" borderId="0" xfId="0" applyNumberFormat="1" applyFill="1"/>
    <xf numFmtId="10" fontId="1" fillId="0" borderId="0" xfId="1" applyNumberFormat="1" applyFont="1"/>
    <xf numFmtId="2" fontId="1" fillId="0" borderId="0" xfId="0" applyNumberFormat="1" applyFont="1"/>
    <xf numFmtId="0" fontId="0" fillId="0" borderId="3" xfId="0" applyBorder="1"/>
    <xf numFmtId="10" fontId="0" fillId="0" borderId="3" xfId="0" applyNumberFormat="1" applyBorder="1"/>
    <xf numFmtId="10" fontId="0" fillId="4" borderId="3" xfId="0" applyNumberFormat="1" applyFill="1" applyBorder="1"/>
    <xf numFmtId="2" fontId="0" fillId="4" borderId="3" xfId="0" applyNumberFormat="1" applyFill="1" applyBorder="1"/>
    <xf numFmtId="10" fontId="0" fillId="4" borderId="3" xfId="1" applyNumberFormat="1" applyFont="1" applyFill="1" applyBorder="1"/>
    <xf numFmtId="164" fontId="0" fillId="0" borderId="3" xfId="0" applyNumberFormat="1" applyBorder="1"/>
    <xf numFmtId="0" fontId="3" fillId="0" borderId="0" xfId="0" applyFont="1"/>
    <xf numFmtId="1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right"/>
    </xf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7" fillId="0" borderId="0" xfId="0" applyFont="1"/>
    <xf numFmtId="0" fontId="0" fillId="4" borderId="3" xfId="0" applyFill="1" applyBorder="1"/>
    <xf numFmtId="0" fontId="0" fillId="0" borderId="5" xfId="0" applyBorder="1"/>
    <xf numFmtId="0" fontId="0" fillId="4" borderId="0" xfId="0" applyFill="1"/>
    <xf numFmtId="10" fontId="0" fillId="4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6" xfId="0" applyFont="1" applyBorder="1"/>
    <xf numFmtId="0" fontId="3" fillId="0" borderId="5" xfId="0" applyFont="1" applyBorder="1"/>
    <xf numFmtId="165" fontId="1" fillId="0" borderId="0" xfId="0" applyNumberFormat="1" applyFont="1"/>
    <xf numFmtId="10" fontId="0" fillId="4" borderId="6" xfId="0" applyNumberFormat="1" applyFill="1" applyBorder="1"/>
    <xf numFmtId="2" fontId="0" fillId="4" borderId="6" xfId="0" applyNumberFormat="1" applyFill="1" applyBorder="1"/>
    <xf numFmtId="10" fontId="0" fillId="4" borderId="5" xfId="0" applyNumberFormat="1" applyFill="1" applyBorder="1"/>
    <xf numFmtId="2" fontId="0" fillId="4" borderId="5" xfId="0" applyNumberFormat="1" applyFill="1" applyBorder="1"/>
    <xf numFmtId="0" fontId="3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2" borderId="7" xfId="0" applyFill="1" applyBorder="1"/>
    <xf numFmtId="0" fontId="3" fillId="4" borderId="8" xfId="0" applyFont="1" applyFill="1" applyBorder="1"/>
    <xf numFmtId="10" fontId="3" fillId="4" borderId="8" xfId="0" applyNumberFormat="1" applyFont="1" applyFill="1" applyBorder="1"/>
    <xf numFmtId="0" fontId="0" fillId="0" borderId="9" xfId="0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Continuous"/>
    </xf>
    <xf numFmtId="0" fontId="6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5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0</xdr:row>
      <xdr:rowOff>91440</xdr:rowOff>
    </xdr:from>
    <xdr:to>
      <xdr:col>2</xdr:col>
      <xdr:colOff>464820</xdr:colOff>
      <xdr:row>4</xdr:row>
      <xdr:rowOff>91440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8DCEE76-8157-4949-82EE-4C6E0DE80E7A}"/>
            </a:ext>
          </a:extLst>
        </xdr:cNvPr>
        <xdr:cNvSpPr/>
      </xdr:nvSpPr>
      <xdr:spPr>
        <a:xfrm>
          <a:off x="198120" y="91440"/>
          <a:ext cx="1569720" cy="731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WACC</a:t>
          </a:r>
          <a:r>
            <a:rPr lang="en-IN" sz="1600" b="1" baseline="0"/>
            <a:t> MODEL</a:t>
          </a:r>
        </a:p>
        <a:p>
          <a:pPr algn="l"/>
          <a:r>
            <a:rPr lang="en-IN" sz="1600" b="1" baseline="0"/>
            <a:t>BY TEJAS</a:t>
          </a:r>
        </a:p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0</xdr:row>
      <xdr:rowOff>91440</xdr:rowOff>
    </xdr:from>
    <xdr:to>
      <xdr:col>2</xdr:col>
      <xdr:colOff>464820</xdr:colOff>
      <xdr:row>4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E3FECEC-8B34-4EA0-9A2D-CD49241F79C0}"/>
            </a:ext>
          </a:extLst>
        </xdr:cNvPr>
        <xdr:cNvSpPr/>
      </xdr:nvSpPr>
      <xdr:spPr>
        <a:xfrm>
          <a:off x="198120" y="91440"/>
          <a:ext cx="1508760" cy="731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WACC</a:t>
          </a:r>
          <a:r>
            <a:rPr lang="en-IN" sz="1600" b="1" baseline="0"/>
            <a:t> MODEL</a:t>
          </a:r>
        </a:p>
        <a:p>
          <a:pPr algn="l"/>
          <a:r>
            <a:rPr lang="en-IN" sz="1600" b="1" baseline="0"/>
            <a:t>BY TEJAS</a:t>
          </a:r>
        </a:p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0</xdr:row>
      <xdr:rowOff>91440</xdr:rowOff>
    </xdr:from>
    <xdr:to>
      <xdr:col>2</xdr:col>
      <xdr:colOff>464820</xdr:colOff>
      <xdr:row>4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56DC8F-1363-DBBA-4B61-962F7D47F05C}"/>
            </a:ext>
          </a:extLst>
        </xdr:cNvPr>
        <xdr:cNvSpPr/>
      </xdr:nvSpPr>
      <xdr:spPr>
        <a:xfrm>
          <a:off x="198120" y="91440"/>
          <a:ext cx="1508760" cy="731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WACC</a:t>
          </a:r>
          <a:r>
            <a:rPr lang="en-IN" sz="1600" b="1" baseline="0"/>
            <a:t> MODEL</a:t>
          </a:r>
        </a:p>
        <a:p>
          <a:pPr algn="l"/>
          <a:r>
            <a:rPr lang="en-IN" sz="1600" b="1" baseline="0"/>
            <a:t>BY TEJAS</a:t>
          </a:r>
        </a:p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2</xdr:col>
      <xdr:colOff>522272</xdr:colOff>
      <xdr:row>3</xdr:row>
      <xdr:rowOff>168275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11D0C1-5A5C-E3E8-0B7E-225C22F708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19051" y="0"/>
          <a:ext cx="147492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A8A3-A415-4F9A-97FA-6D5ECF6EB91E}">
  <sheetPr>
    <tabColor rgb="FF0070C0"/>
  </sheetPr>
  <dimension ref="A1"/>
  <sheetViews>
    <sheetView workbookViewId="0">
      <selection activeCell="F30" sqref="F3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2ECE-46C6-47CB-B643-9AC655890E8D}">
  <dimension ref="A1:AR117"/>
  <sheetViews>
    <sheetView showGridLines="0" topLeftCell="Q1" zoomScaleNormal="100" workbookViewId="0">
      <selection activeCell="AX14" sqref="AX14"/>
    </sheetView>
  </sheetViews>
  <sheetFormatPr defaultRowHeight="14.4" x14ac:dyDescent="0.3"/>
  <cols>
    <col min="1" max="1" width="1.88671875" customWidth="1"/>
    <col min="2" max="2" width="15.21875" customWidth="1"/>
    <col min="3" max="3" width="12" customWidth="1"/>
    <col min="4" max="4" width="10.88671875" customWidth="1"/>
    <col min="5" max="5" width="10.21875" customWidth="1"/>
    <col min="6" max="6" width="11.109375" customWidth="1"/>
    <col min="7" max="7" width="12" customWidth="1"/>
    <col min="8" max="8" width="10.77734375" customWidth="1"/>
    <col min="9" max="9" width="10.21875" customWidth="1"/>
    <col min="10" max="10" width="11.109375" customWidth="1"/>
    <col min="11" max="11" width="12" customWidth="1"/>
    <col min="12" max="12" width="10.88671875" customWidth="1"/>
    <col min="13" max="13" width="10.21875" customWidth="1"/>
    <col min="14" max="14" width="11.109375" customWidth="1"/>
    <col min="15" max="15" width="12" customWidth="1"/>
    <col min="16" max="16" width="10.88671875" customWidth="1"/>
    <col min="17" max="17" width="10.21875" customWidth="1"/>
    <col min="18" max="18" width="11.109375" customWidth="1"/>
    <col min="19" max="19" width="12" customWidth="1"/>
    <col min="20" max="20" width="10.88671875" customWidth="1"/>
    <col min="21" max="21" width="9.109375" customWidth="1"/>
    <col min="22" max="22" width="11.21875" customWidth="1"/>
    <col min="23" max="23" width="12" customWidth="1"/>
    <col min="24" max="24" width="10.88671875" customWidth="1"/>
    <col min="25" max="25" width="10.21875" customWidth="1"/>
    <col min="26" max="26" width="18.88671875" customWidth="1"/>
    <col min="27" max="27" width="18.33203125" customWidth="1"/>
    <col min="28" max="28" width="10.5546875" customWidth="1"/>
    <col min="29" max="29" width="13.88671875" customWidth="1"/>
    <col min="30" max="30" width="12.77734375" customWidth="1"/>
    <col min="31" max="31" width="10.88671875" customWidth="1"/>
    <col min="36" max="36" width="0" hidden="1" customWidth="1"/>
    <col min="37" max="37" width="12.77734375" hidden="1" customWidth="1"/>
    <col min="38" max="44" width="0" hidden="1" customWidth="1"/>
  </cols>
  <sheetData>
    <row r="1" spans="1:3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x14ac:dyDescent="0.3">
      <c r="A2" s="57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x14ac:dyDescent="0.3">
      <c r="A3" s="57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6" spans="1:37" ht="15.6" x14ac:dyDescent="0.3">
      <c r="B6" s="40" t="s">
        <v>44</v>
      </c>
    </row>
    <row r="8" spans="1:37" x14ac:dyDescent="0.3">
      <c r="B8" s="63" t="str">
        <f>'WACC - DMART'!B12 &amp; " Return"</f>
        <v>Avenue Supermart Return</v>
      </c>
      <c r="C8" s="63"/>
      <c r="D8" s="63"/>
      <c r="F8" s="63" t="str">
        <f>'WACC - DMART'!B13 &amp; " Return"</f>
        <v>Trent Return</v>
      </c>
      <c r="G8" s="63"/>
      <c r="H8" s="63"/>
      <c r="J8" s="63" t="str">
        <f>'WACC - DMART'!B14 &amp; " Return"</f>
        <v>Vedant Fashions Return</v>
      </c>
      <c r="K8" s="63"/>
      <c r="L8" s="63"/>
      <c r="N8" s="63" t="str">
        <f>'WACC - DMART'!B15 &amp; " Return"</f>
        <v>Aditya Birla Fashions Return</v>
      </c>
      <c r="O8" s="63"/>
      <c r="P8" s="63"/>
      <c r="R8" s="63" t="str">
        <f>'WACC - DMART'!B16 &amp; " Return"</f>
        <v>V Mart Retail Ltd Return</v>
      </c>
      <c r="S8" s="63"/>
      <c r="T8" s="63"/>
      <c r="V8" s="63" t="s">
        <v>47</v>
      </c>
      <c r="W8" s="63"/>
      <c r="X8" s="63"/>
      <c r="Z8" s="63" t="s">
        <v>48</v>
      </c>
      <c r="AA8" s="63"/>
      <c r="AB8" s="63"/>
      <c r="AC8" s="63"/>
      <c r="AD8" s="63"/>
      <c r="AE8" s="63"/>
      <c r="AJ8" t="s">
        <v>91</v>
      </c>
    </row>
    <row r="9" spans="1:37" ht="5.4" customHeight="1" thickBot="1" x14ac:dyDescent="0.35">
      <c r="AD9" s="12"/>
    </row>
    <row r="10" spans="1:37" x14ac:dyDescent="0.3">
      <c r="B10" s="38" t="s">
        <v>45</v>
      </c>
      <c r="C10" s="39" t="s">
        <v>46</v>
      </c>
      <c r="D10" s="39" t="s">
        <v>49</v>
      </c>
      <c r="E10" s="31"/>
      <c r="F10" s="38" t="s">
        <v>45</v>
      </c>
      <c r="G10" s="39" t="s">
        <v>46</v>
      </c>
      <c r="H10" s="39" t="s">
        <v>49</v>
      </c>
      <c r="I10" s="31"/>
      <c r="J10" s="38" t="s">
        <v>45</v>
      </c>
      <c r="K10" s="39" t="s">
        <v>46</v>
      </c>
      <c r="L10" s="39" t="s">
        <v>49</v>
      </c>
      <c r="M10" s="31"/>
      <c r="N10" s="38" t="s">
        <v>45</v>
      </c>
      <c r="O10" s="39" t="s">
        <v>46</v>
      </c>
      <c r="P10" s="39" t="s">
        <v>49</v>
      </c>
      <c r="Q10" s="31"/>
      <c r="R10" s="38" t="s">
        <v>45</v>
      </c>
      <c r="S10" s="39" t="s">
        <v>46</v>
      </c>
      <c r="T10" s="39" t="s">
        <v>49</v>
      </c>
      <c r="U10" s="31"/>
      <c r="V10" s="38" t="s">
        <v>45</v>
      </c>
      <c r="W10" s="39" t="s">
        <v>46</v>
      </c>
      <c r="X10" s="39" t="s">
        <v>49</v>
      </c>
      <c r="Z10" s="38" t="s">
        <v>57</v>
      </c>
      <c r="AA10" s="38" t="s">
        <v>56</v>
      </c>
      <c r="AB10" s="38" t="s">
        <v>58</v>
      </c>
      <c r="AC10" s="38" t="s">
        <v>3</v>
      </c>
      <c r="AD10" s="38" t="s">
        <v>59</v>
      </c>
      <c r="AE10" s="38" t="s">
        <v>60</v>
      </c>
      <c r="AJ10" s="62" t="s">
        <v>92</v>
      </c>
      <c r="AK10" s="62"/>
    </row>
    <row r="11" spans="1:37" x14ac:dyDescent="0.3">
      <c r="B11" s="34">
        <v>44767</v>
      </c>
      <c r="C11" s="33">
        <v>4243.8500979999999</v>
      </c>
      <c r="D11" s="33"/>
      <c r="F11" s="32">
        <v>44767</v>
      </c>
      <c r="G11" s="33">
        <v>1265.869019</v>
      </c>
      <c r="J11" s="32">
        <v>44767</v>
      </c>
      <c r="K11" s="33">
        <v>1065.385376</v>
      </c>
      <c r="N11" s="32">
        <v>44767</v>
      </c>
      <c r="O11" s="33">
        <v>268.64999399999999</v>
      </c>
      <c r="R11" s="32">
        <v>44767</v>
      </c>
      <c r="S11" s="33">
        <v>2771.0043949999999</v>
      </c>
      <c r="V11" s="34">
        <v>44767</v>
      </c>
      <c r="W11" s="35">
        <v>17158.25</v>
      </c>
      <c r="X11" s="35"/>
      <c r="Z11" t="s">
        <v>50</v>
      </c>
      <c r="AA11" s="12">
        <f>AA23</f>
        <v>0.89305117896531294</v>
      </c>
      <c r="AB11" s="12">
        <f>AA24</f>
        <v>0.87072911253347673</v>
      </c>
      <c r="AC11" s="12">
        <f>AA25</f>
        <v>0.67722647464164831</v>
      </c>
      <c r="AD11" s="12">
        <f>AA26</f>
        <v>1.3525298701179902</v>
      </c>
      <c r="AE11" s="12">
        <f>AA27</f>
        <v>1.0352530216155724</v>
      </c>
      <c r="AJ11" t="s">
        <v>93</v>
      </c>
      <c r="AK11">
        <v>0.36242453797216967</v>
      </c>
    </row>
    <row r="12" spans="1:37" x14ac:dyDescent="0.3">
      <c r="B12" s="34">
        <v>44774</v>
      </c>
      <c r="C12" s="33">
        <v>4232.25</v>
      </c>
      <c r="D12" s="36">
        <f>C12/C11-1</f>
        <v>-2.7333901368162827E-3</v>
      </c>
      <c r="F12" s="32">
        <v>44774</v>
      </c>
      <c r="G12" s="33">
        <v>1313.0672609999999</v>
      </c>
      <c r="H12" s="36">
        <f>G12/G11-1</f>
        <v>3.7285249335895054E-2</v>
      </c>
      <c r="J12" s="32">
        <v>44774</v>
      </c>
      <c r="K12" s="33">
        <v>1198.4968260000001</v>
      </c>
      <c r="L12" s="36">
        <f>K12/K11-1</f>
        <v>0.12494206603414093</v>
      </c>
      <c r="N12" s="32">
        <v>44774</v>
      </c>
      <c r="O12" s="33">
        <v>277.89999399999999</v>
      </c>
      <c r="P12" s="36">
        <f>O12/O11-1</f>
        <v>3.4431417109951568E-2</v>
      </c>
      <c r="R12" s="32">
        <v>44774</v>
      </c>
      <c r="S12" s="33">
        <v>2969.1545409999999</v>
      </c>
      <c r="T12" s="36">
        <f>S12/S11-1</f>
        <v>7.1508419964090297E-2</v>
      </c>
      <c r="V12" s="34">
        <v>44774</v>
      </c>
      <c r="W12" s="35">
        <v>17397.5</v>
      </c>
      <c r="X12" s="37">
        <f>W12/W11-1</f>
        <v>1.3943729692713402E-2</v>
      </c>
      <c r="Z12" t="s">
        <v>51</v>
      </c>
      <c r="AA12" s="23">
        <v>0.75</v>
      </c>
      <c r="AB12" s="23">
        <v>0.75</v>
      </c>
      <c r="AC12" s="23">
        <v>0.75</v>
      </c>
      <c r="AD12" s="23">
        <v>0.75</v>
      </c>
      <c r="AE12" s="23">
        <v>0.75</v>
      </c>
      <c r="AJ12" t="s">
        <v>94</v>
      </c>
      <c r="AK12">
        <v>0.13135154572434066</v>
      </c>
    </row>
    <row r="13" spans="1:37" x14ac:dyDescent="0.3">
      <c r="B13" s="34">
        <v>44781</v>
      </c>
      <c r="C13" s="33">
        <v>4336.7001950000003</v>
      </c>
      <c r="D13" s="36">
        <f t="shared" ref="D13:D76" si="0">C13/C12-1</f>
        <v>2.4679590052572697E-2</v>
      </c>
      <c r="F13" s="32">
        <v>44781</v>
      </c>
      <c r="G13" s="33">
        <v>1379.7733149999999</v>
      </c>
      <c r="H13" s="36">
        <f t="shared" ref="H13:H76" si="1">G13/G12-1</f>
        <v>5.0801703752173522E-2</v>
      </c>
      <c r="J13" s="32">
        <v>44781</v>
      </c>
      <c r="K13" s="33">
        <v>1179.0145259999999</v>
      </c>
      <c r="L13" s="36">
        <f t="shared" ref="L13:L76" si="2">K13/K12-1</f>
        <v>-1.6255612511734907E-2</v>
      </c>
      <c r="N13" s="32">
        <v>44781</v>
      </c>
      <c r="O13" s="33">
        <v>289.89999399999999</v>
      </c>
      <c r="P13" s="36">
        <f t="shared" ref="P13:P76" si="3">O13/O12-1</f>
        <v>4.3181001292141197E-2</v>
      </c>
      <c r="R13" s="32">
        <v>44781</v>
      </c>
      <c r="S13" s="33">
        <v>2984.3510740000002</v>
      </c>
      <c r="T13" s="36">
        <f t="shared" ref="T13:T76" si="4">S13/S12-1</f>
        <v>5.1181347384101628E-3</v>
      </c>
      <c r="V13" s="34">
        <v>44781</v>
      </c>
      <c r="W13" s="35">
        <v>17698.150390999999</v>
      </c>
      <c r="X13" s="37">
        <f t="shared" ref="X13:X76" si="5">W13/W12-1</f>
        <v>1.7281241040379314E-2</v>
      </c>
      <c r="AJ13" t="s">
        <v>95</v>
      </c>
      <c r="AK13">
        <v>0.12291806558574202</v>
      </c>
    </row>
    <row r="14" spans="1:37" x14ac:dyDescent="0.3">
      <c r="B14" s="34">
        <v>44788</v>
      </c>
      <c r="C14" s="33">
        <v>4382</v>
      </c>
      <c r="D14" s="36">
        <f t="shared" si="0"/>
        <v>1.0445685189911957E-2</v>
      </c>
      <c r="F14" s="32">
        <v>44788</v>
      </c>
      <c r="G14" s="33">
        <v>1395.140259</v>
      </c>
      <c r="H14" s="36">
        <f t="shared" si="1"/>
        <v>1.1137296128965968E-2</v>
      </c>
      <c r="J14" s="32">
        <v>44788</v>
      </c>
      <c r="K14" s="33">
        <v>1170.7075199999999</v>
      </c>
      <c r="L14" s="36">
        <f t="shared" si="2"/>
        <v>-7.0457198082053418E-3</v>
      </c>
      <c r="N14" s="32">
        <v>44788</v>
      </c>
      <c r="O14" s="33">
        <v>284</v>
      </c>
      <c r="P14" s="36">
        <f t="shared" si="3"/>
        <v>-2.0351825188378525E-2</v>
      </c>
      <c r="R14" s="32">
        <v>44788</v>
      </c>
      <c r="S14" s="33">
        <v>2947.2102049999999</v>
      </c>
      <c r="T14" s="36">
        <f t="shared" si="4"/>
        <v>-1.2445207711510808E-2</v>
      </c>
      <c r="V14" s="34">
        <v>44788</v>
      </c>
      <c r="W14" s="35">
        <v>17758.449218999998</v>
      </c>
      <c r="X14" s="37">
        <f t="shared" si="5"/>
        <v>3.4070694771959342E-3</v>
      </c>
      <c r="Z14" t="s">
        <v>52</v>
      </c>
      <c r="AA14" s="24">
        <v>1</v>
      </c>
      <c r="AB14" s="24">
        <v>1</v>
      </c>
      <c r="AC14" s="24">
        <v>1</v>
      </c>
      <c r="AD14" s="24">
        <v>1</v>
      </c>
      <c r="AE14" s="24">
        <v>1</v>
      </c>
      <c r="AJ14" t="s">
        <v>96</v>
      </c>
      <c r="AK14">
        <v>3.2107814638818066E-2</v>
      </c>
    </row>
    <row r="15" spans="1:37" ht="15" thickBot="1" x14ac:dyDescent="0.35">
      <c r="B15" s="34">
        <v>44795</v>
      </c>
      <c r="C15" s="33">
        <v>4409.6499020000001</v>
      </c>
      <c r="D15" s="36">
        <f t="shared" si="0"/>
        <v>6.3098817891373837E-3</v>
      </c>
      <c r="F15" s="32">
        <v>44795</v>
      </c>
      <c r="G15" s="33">
        <v>1387.606323</v>
      </c>
      <c r="H15" s="36">
        <f t="shared" si="1"/>
        <v>-5.4001280168061161E-3</v>
      </c>
      <c r="J15" s="32">
        <v>44795</v>
      </c>
      <c r="K15" s="33">
        <v>1257.635376</v>
      </c>
      <c r="L15" s="36">
        <f t="shared" si="2"/>
        <v>7.4252411054812395E-2</v>
      </c>
      <c r="N15" s="32">
        <v>44795</v>
      </c>
      <c r="O15" s="33">
        <v>305.20001200000002</v>
      </c>
      <c r="P15" s="36">
        <f t="shared" si="3"/>
        <v>7.4647929577464911E-2</v>
      </c>
      <c r="R15" s="32">
        <v>44795</v>
      </c>
      <c r="S15" s="33">
        <v>2960.9499510000001</v>
      </c>
      <c r="T15" s="36">
        <f t="shared" si="4"/>
        <v>4.6619497912603336E-3</v>
      </c>
      <c r="V15" s="34">
        <v>44795</v>
      </c>
      <c r="W15" s="35">
        <v>17558.900390999999</v>
      </c>
      <c r="X15" s="37">
        <f t="shared" si="5"/>
        <v>-1.1236838619134604E-2</v>
      </c>
      <c r="Z15" t="s">
        <v>53</v>
      </c>
      <c r="AA15" s="23">
        <v>0.25</v>
      </c>
      <c r="AB15" s="23">
        <v>0.25</v>
      </c>
      <c r="AC15" s="23">
        <v>0.25</v>
      </c>
      <c r="AD15" s="23">
        <v>0.25</v>
      </c>
      <c r="AE15" s="23">
        <v>0.25</v>
      </c>
      <c r="AJ15" s="60" t="s">
        <v>97</v>
      </c>
      <c r="AK15" s="60">
        <v>105</v>
      </c>
    </row>
    <row r="16" spans="1:37" x14ac:dyDescent="0.3">
      <c r="B16" s="34">
        <v>44802</v>
      </c>
      <c r="C16" s="33">
        <v>4576.7998049999997</v>
      </c>
      <c r="D16" s="36">
        <f t="shared" si="0"/>
        <v>3.7905481549496356E-2</v>
      </c>
      <c r="F16" s="32">
        <v>44802</v>
      </c>
      <c r="G16" s="33">
        <v>1388.105225</v>
      </c>
      <c r="H16" s="36">
        <f t="shared" si="1"/>
        <v>3.5954145763872347E-4</v>
      </c>
      <c r="J16" s="32">
        <v>44802</v>
      </c>
      <c r="K16" s="33">
        <v>1285.8201899999999</v>
      </c>
      <c r="L16" s="36">
        <f t="shared" si="2"/>
        <v>2.2410958325332464E-2</v>
      </c>
      <c r="N16" s="32">
        <v>44802</v>
      </c>
      <c r="O16" s="33">
        <v>307.45001200000002</v>
      </c>
      <c r="P16" s="36">
        <f t="shared" si="3"/>
        <v>7.3722146511581155E-3</v>
      </c>
      <c r="R16" s="32">
        <v>44802</v>
      </c>
      <c r="S16" s="33">
        <v>2999.9499510000001</v>
      </c>
      <c r="T16" s="36">
        <f t="shared" si="4"/>
        <v>1.3171448570695521E-2</v>
      </c>
      <c r="V16" s="34">
        <v>44802</v>
      </c>
      <c r="W16" s="35">
        <v>17539.449218999998</v>
      </c>
      <c r="X16" s="37">
        <f t="shared" si="5"/>
        <v>-1.1077670905844661E-3</v>
      </c>
    </row>
    <row r="17" spans="2:44" ht="15" thickBot="1" x14ac:dyDescent="0.35">
      <c r="B17" s="34">
        <v>44809</v>
      </c>
      <c r="C17" s="33">
        <v>4386.1000979999999</v>
      </c>
      <c r="D17" s="36">
        <f t="shared" si="0"/>
        <v>-4.1666604423393538E-2</v>
      </c>
      <c r="F17" s="32">
        <v>44809</v>
      </c>
      <c r="G17" s="33">
        <v>1376.380615</v>
      </c>
      <c r="H17" s="36">
        <f t="shared" si="1"/>
        <v>-8.4464850278190839E-3</v>
      </c>
      <c r="J17" s="32">
        <v>44809</v>
      </c>
      <c r="K17" s="33">
        <v>1391.877686</v>
      </c>
      <c r="L17" s="36">
        <f t="shared" si="2"/>
        <v>8.2482369482781426E-2</v>
      </c>
      <c r="N17" s="32">
        <v>44809</v>
      </c>
      <c r="O17" s="33">
        <v>324.95001200000002</v>
      </c>
      <c r="P17" s="36">
        <f t="shared" si="3"/>
        <v>5.6919822140062193E-2</v>
      </c>
      <c r="R17" s="32">
        <v>44809</v>
      </c>
      <c r="S17" s="33">
        <v>2898.8000489999999</v>
      </c>
      <c r="T17" s="36">
        <f t="shared" si="4"/>
        <v>-3.37171965039893E-2</v>
      </c>
      <c r="V17" s="34">
        <v>44809</v>
      </c>
      <c r="W17" s="35">
        <v>17833.349609000001</v>
      </c>
      <c r="X17" s="37">
        <f t="shared" si="5"/>
        <v>1.6756534730955508E-2</v>
      </c>
      <c r="Z17" s="41" t="s">
        <v>54</v>
      </c>
      <c r="AA17" s="28">
        <f>(AA11*AA12)+(AA14*AA15)</f>
        <v>0.91978838422398468</v>
      </c>
      <c r="AB17" s="28">
        <f t="shared" ref="AB17:AE17" si="6">(AB11*AB12)+(AB14*AB15)</f>
        <v>0.90304683440010758</v>
      </c>
      <c r="AC17" s="28">
        <f t="shared" si="6"/>
        <v>0.75791985598123623</v>
      </c>
      <c r="AD17" s="28">
        <f t="shared" si="6"/>
        <v>1.2643974025884925</v>
      </c>
      <c r="AE17" s="28">
        <f t="shared" si="6"/>
        <v>1.0264397662116793</v>
      </c>
      <c r="AJ17" t="s">
        <v>98</v>
      </c>
    </row>
    <row r="18" spans="2:44" x14ac:dyDescent="0.3">
      <c r="B18" s="34">
        <v>44816</v>
      </c>
      <c r="C18" s="33">
        <v>4327.5498049999997</v>
      </c>
      <c r="D18" s="36">
        <f t="shared" si="0"/>
        <v>-1.334905535482378E-2</v>
      </c>
      <c r="F18" s="32">
        <v>44816</v>
      </c>
      <c r="G18" s="33">
        <v>1429.6157229999999</v>
      </c>
      <c r="H18" s="36">
        <f t="shared" si="1"/>
        <v>3.8677606629907268E-2</v>
      </c>
      <c r="J18" s="32">
        <v>44816</v>
      </c>
      <c r="K18" s="33">
        <v>1353.8514399999999</v>
      </c>
      <c r="L18" s="36">
        <f t="shared" si="2"/>
        <v>-2.7320106057077909E-2</v>
      </c>
      <c r="N18" s="32">
        <v>44816</v>
      </c>
      <c r="O18" s="33">
        <v>326.70001200000002</v>
      </c>
      <c r="P18" s="36">
        <f t="shared" si="3"/>
        <v>5.3854437155707036E-3</v>
      </c>
      <c r="R18" s="32">
        <v>44816</v>
      </c>
      <c r="S18" s="33">
        <v>2840.0500489999999</v>
      </c>
      <c r="T18" s="36">
        <f t="shared" si="4"/>
        <v>-2.0267006694810519E-2</v>
      </c>
      <c r="V18" s="34">
        <v>44816</v>
      </c>
      <c r="W18" s="35">
        <v>17530.849609000001</v>
      </c>
      <c r="X18" s="37">
        <f t="shared" si="5"/>
        <v>-1.6962601341440453E-2</v>
      </c>
      <c r="AJ18" s="61"/>
      <c r="AK18" s="61" t="s">
        <v>103</v>
      </c>
      <c r="AL18" s="61" t="s">
        <v>104</v>
      </c>
      <c r="AM18" s="61" t="s">
        <v>105</v>
      </c>
      <c r="AN18" s="61" t="s">
        <v>106</v>
      </c>
      <c r="AO18" s="61" t="s">
        <v>107</v>
      </c>
    </row>
    <row r="19" spans="2:44" x14ac:dyDescent="0.3">
      <c r="B19" s="34">
        <v>44823</v>
      </c>
      <c r="C19" s="33">
        <v>4367</v>
      </c>
      <c r="D19" s="36">
        <f t="shared" si="0"/>
        <v>9.1160579953164511E-3</v>
      </c>
      <c r="F19" s="32">
        <v>44823</v>
      </c>
      <c r="G19" s="33">
        <v>1430.563721</v>
      </c>
      <c r="H19" s="36">
        <f t="shared" si="1"/>
        <v>6.6311385972350756E-4</v>
      </c>
      <c r="J19" s="32">
        <v>44823</v>
      </c>
      <c r="K19" s="33">
        <v>1392.3244629999999</v>
      </c>
      <c r="L19" s="36">
        <f t="shared" si="2"/>
        <v>2.8417462849542829E-2</v>
      </c>
      <c r="N19" s="32">
        <v>44823</v>
      </c>
      <c r="O19" s="33">
        <v>335.14999399999999</v>
      </c>
      <c r="P19" s="36">
        <f t="shared" si="3"/>
        <v>2.5864651636437586E-2</v>
      </c>
      <c r="R19" s="32">
        <v>44823</v>
      </c>
      <c r="S19" s="33">
        <v>2906.0500489999999</v>
      </c>
      <c r="T19" s="36">
        <f t="shared" si="4"/>
        <v>2.3239027080962593E-2</v>
      </c>
      <c r="V19" s="34">
        <v>44823</v>
      </c>
      <c r="W19" s="35">
        <v>17327.349609000001</v>
      </c>
      <c r="X19" s="37">
        <f t="shared" si="5"/>
        <v>-1.1608108251383698E-2</v>
      </c>
      <c r="AJ19" t="s">
        <v>99</v>
      </c>
      <c r="AK19">
        <v>1</v>
      </c>
      <c r="AL19">
        <v>1.6056461990978585E-2</v>
      </c>
      <c r="AM19">
        <v>1.6056461990978585E-2</v>
      </c>
      <c r="AN19">
        <v>15.575010975974971</v>
      </c>
      <c r="AO19">
        <v>1.4510252497400422E-4</v>
      </c>
    </row>
    <row r="20" spans="2:44" x14ac:dyDescent="0.3">
      <c r="B20" s="34">
        <v>44830</v>
      </c>
      <c r="C20" s="33">
        <v>4386.5498049999997</v>
      </c>
      <c r="D20" s="36">
        <f t="shared" si="0"/>
        <v>4.4767128463474304E-3</v>
      </c>
      <c r="F20" s="32">
        <v>44830</v>
      </c>
      <c r="G20" s="33">
        <v>1416.943115</v>
      </c>
      <c r="H20" s="36">
        <f t="shared" si="1"/>
        <v>-9.5211459650876851E-3</v>
      </c>
      <c r="J20" s="32">
        <v>44830</v>
      </c>
      <c r="K20" s="33">
        <v>1398.728394</v>
      </c>
      <c r="L20" s="36">
        <f t="shared" si="2"/>
        <v>4.5994530514832377E-3</v>
      </c>
      <c r="N20" s="32">
        <v>44830</v>
      </c>
      <c r="O20" s="33">
        <v>349.10000600000001</v>
      </c>
      <c r="P20" s="36">
        <f t="shared" si="3"/>
        <v>4.1623190361745888E-2</v>
      </c>
      <c r="R20" s="32">
        <v>44830</v>
      </c>
      <c r="S20" s="33">
        <v>2810.1000979999999</v>
      </c>
      <c r="T20" s="36">
        <f t="shared" si="4"/>
        <v>-3.3017308505411846E-2</v>
      </c>
      <c r="V20" s="34">
        <v>44830</v>
      </c>
      <c r="W20" s="35">
        <v>17094.349609000001</v>
      </c>
      <c r="X20" s="37">
        <f t="shared" si="5"/>
        <v>-1.3446949779265527E-2</v>
      </c>
      <c r="AJ20" t="s">
        <v>100</v>
      </c>
      <c r="AK20">
        <v>103</v>
      </c>
      <c r="AL20">
        <v>0.10618391137071208</v>
      </c>
      <c r="AM20">
        <v>1.0309117608806998E-3</v>
      </c>
    </row>
    <row r="21" spans="2:44" ht="15" thickBot="1" x14ac:dyDescent="0.35">
      <c r="B21" s="34">
        <v>44837</v>
      </c>
      <c r="C21" s="33">
        <v>4471.4501950000003</v>
      </c>
      <c r="D21" s="36">
        <f t="shared" si="0"/>
        <v>1.9354707862481613E-2</v>
      </c>
      <c r="F21" s="32">
        <v>44837</v>
      </c>
      <c r="G21" s="33">
        <v>1447.626953</v>
      </c>
      <c r="H21" s="36">
        <f t="shared" si="1"/>
        <v>2.1654954016979033E-2</v>
      </c>
      <c r="J21" s="32">
        <v>44837</v>
      </c>
      <c r="K21" s="33">
        <v>1458.5972899999999</v>
      </c>
      <c r="L21" s="36">
        <f t="shared" si="2"/>
        <v>4.2802374111238661E-2</v>
      </c>
      <c r="N21" s="32">
        <v>44837</v>
      </c>
      <c r="O21" s="33">
        <v>340.20001200000002</v>
      </c>
      <c r="P21" s="36">
        <f t="shared" si="3"/>
        <v>-2.5494110131868641E-2</v>
      </c>
      <c r="R21" s="32">
        <v>44837</v>
      </c>
      <c r="S21" s="33">
        <v>2841</v>
      </c>
      <c r="T21" s="36">
        <f t="shared" si="4"/>
        <v>1.0996014704953705E-2</v>
      </c>
      <c r="V21" s="34">
        <v>44837</v>
      </c>
      <c r="W21" s="35">
        <v>17314.650390999999</v>
      </c>
      <c r="X21" s="37">
        <f t="shared" si="5"/>
        <v>1.2887345060733635E-2</v>
      </c>
      <c r="AJ21" s="60" t="s">
        <v>101</v>
      </c>
      <c r="AK21" s="60">
        <v>104</v>
      </c>
      <c r="AL21" s="60">
        <v>0.12224037336169066</v>
      </c>
      <c r="AM21" s="60"/>
      <c r="AN21" s="60"/>
      <c r="AO21" s="60"/>
    </row>
    <row r="22" spans="2:44" ht="15" thickBot="1" x14ac:dyDescent="0.35">
      <c r="B22" s="34">
        <v>44844</v>
      </c>
      <c r="C22" s="33">
        <v>4306.1499020000001</v>
      </c>
      <c r="D22" s="36">
        <f t="shared" si="0"/>
        <v>-3.6967937870545864E-2</v>
      </c>
      <c r="F22" s="32">
        <v>44844</v>
      </c>
      <c r="G22" s="33">
        <v>1376.6301269999999</v>
      </c>
      <c r="H22" s="36">
        <f t="shared" si="1"/>
        <v>-4.9043592240990863E-2</v>
      </c>
      <c r="J22" s="32">
        <v>44844</v>
      </c>
      <c r="K22" s="33">
        <v>1385.0269780000001</v>
      </c>
      <c r="L22" s="36">
        <f t="shared" si="2"/>
        <v>-5.0439084526202493E-2</v>
      </c>
      <c r="N22" s="32">
        <v>44844</v>
      </c>
      <c r="O22" s="33">
        <v>327.70001200000002</v>
      </c>
      <c r="P22" s="36">
        <f t="shared" si="3"/>
        <v>-3.6743091002595207E-2</v>
      </c>
      <c r="R22" s="32">
        <v>44844</v>
      </c>
      <c r="S22" s="33">
        <v>2764.75</v>
      </c>
      <c r="T22" s="36">
        <f t="shared" si="4"/>
        <v>-2.6839141147483314E-2</v>
      </c>
      <c r="V22" s="34">
        <v>44844</v>
      </c>
      <c r="W22" s="35">
        <v>17185.699218999998</v>
      </c>
      <c r="X22" s="37">
        <f t="shared" si="5"/>
        <v>-7.4475180894804094E-3</v>
      </c>
      <c r="Z22" t="s">
        <v>61</v>
      </c>
      <c r="AA22" t="s">
        <v>55</v>
      </c>
    </row>
    <row r="23" spans="2:44" x14ac:dyDescent="0.3">
      <c r="B23" s="34">
        <v>44851</v>
      </c>
      <c r="C23" s="33">
        <v>4215.5498049999997</v>
      </c>
      <c r="D23" s="36">
        <f t="shared" si="0"/>
        <v>-2.1039698817247654E-2</v>
      </c>
      <c r="F23" s="32">
        <v>44851</v>
      </c>
      <c r="G23" s="33">
        <v>1427.9194339999999</v>
      </c>
      <c r="H23" s="36">
        <f t="shared" si="1"/>
        <v>3.7257144089801075E-2</v>
      </c>
      <c r="J23" s="32">
        <v>44851</v>
      </c>
      <c r="K23" s="33">
        <v>1398.5794679999999</v>
      </c>
      <c r="L23" s="36">
        <f t="shared" si="2"/>
        <v>9.7850007366424574E-3</v>
      </c>
      <c r="N23" s="32">
        <v>44851</v>
      </c>
      <c r="O23" s="33">
        <v>331.10000600000001</v>
      </c>
      <c r="P23" s="36">
        <f t="shared" si="3"/>
        <v>1.0375324612438508E-2</v>
      </c>
      <c r="R23" s="32">
        <v>44851</v>
      </c>
      <c r="S23" s="33">
        <v>2919.1999510000001</v>
      </c>
      <c r="T23" s="36">
        <f t="shared" si="4"/>
        <v>5.5863984447056758E-2</v>
      </c>
      <c r="V23" s="34">
        <v>44851</v>
      </c>
      <c r="W23" s="35">
        <v>17576.300781000002</v>
      </c>
      <c r="X23" s="37">
        <f t="shared" si="5"/>
        <v>2.2728290366455628E-2</v>
      </c>
      <c r="Z23" t="s">
        <v>56</v>
      </c>
      <c r="AA23" s="22">
        <f>AK25</f>
        <v>0.89305117896531294</v>
      </c>
      <c r="AJ23" s="61"/>
      <c r="AK23" s="61" t="s">
        <v>108</v>
      </c>
      <c r="AL23" s="61" t="s">
        <v>96</v>
      </c>
      <c r="AM23" s="61" t="s">
        <v>109</v>
      </c>
      <c r="AN23" s="61" t="s">
        <v>110</v>
      </c>
      <c r="AO23" s="61" t="s">
        <v>111</v>
      </c>
      <c r="AP23" s="61" t="s">
        <v>112</v>
      </c>
      <c r="AQ23" s="61" t="s">
        <v>113</v>
      </c>
      <c r="AR23" s="61" t="s">
        <v>114</v>
      </c>
    </row>
    <row r="24" spans="2:44" x14ac:dyDescent="0.3">
      <c r="B24" s="34">
        <v>44858</v>
      </c>
      <c r="C24" s="33">
        <v>4307.3500979999999</v>
      </c>
      <c r="D24" s="36">
        <f t="shared" si="0"/>
        <v>2.1776588403988884E-2</v>
      </c>
      <c r="F24" s="32">
        <v>44858</v>
      </c>
      <c r="G24" s="33">
        <v>1455.8092039999999</v>
      </c>
      <c r="H24" s="36">
        <f t="shared" si="1"/>
        <v>1.9531753217947978E-2</v>
      </c>
      <c r="J24" s="32">
        <v>44858</v>
      </c>
      <c r="K24" s="33">
        <v>1420.322876</v>
      </c>
      <c r="L24" s="36">
        <f t="shared" si="2"/>
        <v>1.5546780499426038E-2</v>
      </c>
      <c r="N24" s="32">
        <v>44858</v>
      </c>
      <c r="O24" s="33">
        <v>343.29998799999998</v>
      </c>
      <c r="P24" s="36">
        <f t="shared" si="3"/>
        <v>3.684681902421949E-2</v>
      </c>
      <c r="R24" s="32">
        <v>44858</v>
      </c>
      <c r="S24" s="33">
        <v>2949.5</v>
      </c>
      <c r="T24" s="36">
        <f t="shared" si="4"/>
        <v>1.0379573002397668E-2</v>
      </c>
      <c r="V24" s="34">
        <v>44858</v>
      </c>
      <c r="W24" s="35">
        <v>17786.800781000002</v>
      </c>
      <c r="X24" s="37">
        <f t="shared" si="5"/>
        <v>1.197635399068453E-2</v>
      </c>
      <c r="Z24" t="s">
        <v>58</v>
      </c>
      <c r="AA24" s="22">
        <f>AK47</f>
        <v>0.87072911253347673</v>
      </c>
      <c r="AJ24" t="s">
        <v>102</v>
      </c>
      <c r="AK24">
        <v>-9.1288727117222164E-4</v>
      </c>
      <c r="AL24">
        <v>3.238746078866349E-3</v>
      </c>
      <c r="AM24">
        <v>-0.28186441571602228</v>
      </c>
      <c r="AN24">
        <v>0.77861302008463718</v>
      </c>
      <c r="AO24">
        <v>-7.3361762434134906E-3</v>
      </c>
      <c r="AP24">
        <v>5.5104017010690464E-3</v>
      </c>
      <c r="AQ24">
        <v>-7.3361762434134906E-3</v>
      </c>
      <c r="AR24">
        <v>5.5104017010690464E-3</v>
      </c>
    </row>
    <row r="25" spans="2:44" ht="15" thickBot="1" x14ac:dyDescent="0.35">
      <c r="B25" s="34">
        <v>44865</v>
      </c>
      <c r="C25" s="33">
        <v>4167.3500979999999</v>
      </c>
      <c r="D25" s="36">
        <f t="shared" si="0"/>
        <v>-3.2502582055033091E-2</v>
      </c>
      <c r="F25" s="32">
        <v>44865</v>
      </c>
      <c r="G25" s="33">
        <v>1502.758057</v>
      </c>
      <c r="H25" s="36">
        <f t="shared" si="1"/>
        <v>3.2249317335680372E-2</v>
      </c>
      <c r="J25" s="32">
        <v>44865</v>
      </c>
      <c r="K25" s="33">
        <v>1421.8616939999999</v>
      </c>
      <c r="L25" s="36">
        <f t="shared" si="2"/>
        <v>1.0834283007070677E-3</v>
      </c>
      <c r="N25" s="32">
        <v>44865</v>
      </c>
      <c r="O25" s="33">
        <v>329.14999399999999</v>
      </c>
      <c r="P25" s="36">
        <f t="shared" si="3"/>
        <v>-4.1217577904488545E-2</v>
      </c>
      <c r="R25" s="32">
        <v>44865</v>
      </c>
      <c r="S25" s="33">
        <v>2955.8500979999999</v>
      </c>
      <c r="T25" s="36">
        <f t="shared" si="4"/>
        <v>2.1529404983895439E-3</v>
      </c>
      <c r="V25" s="34">
        <v>44865</v>
      </c>
      <c r="W25" s="35">
        <v>18117.150390999999</v>
      </c>
      <c r="X25" s="37">
        <f t="shared" si="5"/>
        <v>1.8572739081492262E-2</v>
      </c>
      <c r="Z25" t="s">
        <v>3</v>
      </c>
      <c r="AA25" s="22">
        <f>AK68</f>
        <v>0.67722647464164831</v>
      </c>
      <c r="AJ25" s="60" t="s">
        <v>115</v>
      </c>
      <c r="AK25" s="60">
        <v>0.89305117896531294</v>
      </c>
      <c r="AL25" s="60">
        <v>0.22628833525318254</v>
      </c>
      <c r="AM25" s="60">
        <v>3.9465188427239224</v>
      </c>
      <c r="AN25" s="60">
        <v>1.4510252497400422E-4</v>
      </c>
      <c r="AO25" s="60">
        <v>0.44426163727719975</v>
      </c>
      <c r="AP25" s="60">
        <v>1.3418407206534262</v>
      </c>
      <c r="AQ25" s="60">
        <v>0.44426163727719975</v>
      </c>
      <c r="AR25" s="60">
        <v>1.3418407206534262</v>
      </c>
    </row>
    <row r="26" spans="2:44" x14ac:dyDescent="0.3">
      <c r="B26" s="34">
        <v>44872</v>
      </c>
      <c r="C26" s="33">
        <v>4128.3500979999999</v>
      </c>
      <c r="D26" s="36">
        <f t="shared" si="0"/>
        <v>-9.3584649916302887E-3</v>
      </c>
      <c r="F26" s="32">
        <v>44872</v>
      </c>
      <c r="G26" s="33">
        <v>1415.9951169999999</v>
      </c>
      <c r="H26" s="36">
        <f t="shared" si="1"/>
        <v>-5.7735800913426782E-2</v>
      </c>
      <c r="J26" s="32">
        <v>44872</v>
      </c>
      <c r="K26" s="33">
        <v>1358.7164310000001</v>
      </c>
      <c r="L26" s="36">
        <f t="shared" si="2"/>
        <v>-4.4410270890946402E-2</v>
      </c>
      <c r="N26" s="32">
        <v>44872</v>
      </c>
      <c r="O26" s="33">
        <v>318.89999399999999</v>
      </c>
      <c r="P26" s="36">
        <f t="shared" si="3"/>
        <v>-3.1140817824228839E-2</v>
      </c>
      <c r="R26" s="32">
        <v>44872</v>
      </c>
      <c r="S26" s="33">
        <v>2833.0500489999999</v>
      </c>
      <c r="T26" s="36">
        <f t="shared" si="4"/>
        <v>-4.1544748525336073E-2</v>
      </c>
      <c r="V26" s="34">
        <v>44872</v>
      </c>
      <c r="W26" s="35">
        <v>18349.699218999998</v>
      </c>
      <c r="X26" s="37">
        <f t="shared" si="5"/>
        <v>1.2835839134808014E-2</v>
      </c>
      <c r="Z26" t="s">
        <v>59</v>
      </c>
      <c r="AA26" s="22">
        <f>AK88</f>
        <v>1.3525298701179902</v>
      </c>
    </row>
    <row r="27" spans="2:44" x14ac:dyDescent="0.3">
      <c r="B27" s="34">
        <v>44879</v>
      </c>
      <c r="C27" s="33">
        <v>3910.6000979999999</v>
      </c>
      <c r="D27" s="36">
        <f t="shared" si="0"/>
        <v>-5.2745042167206213E-2</v>
      </c>
      <c r="F27" s="32">
        <v>44879</v>
      </c>
      <c r="G27" s="33">
        <v>1380.0726320000001</v>
      </c>
      <c r="H27" s="36">
        <f t="shared" si="1"/>
        <v>-2.5369074065811126E-2</v>
      </c>
      <c r="J27" s="32">
        <v>44879</v>
      </c>
      <c r="K27" s="33">
        <v>1308.0313719999999</v>
      </c>
      <c r="L27" s="36">
        <f t="shared" si="2"/>
        <v>-3.7303632931484088E-2</v>
      </c>
      <c r="N27" s="32">
        <v>44879</v>
      </c>
      <c r="O27" s="33">
        <v>305.5</v>
      </c>
      <c r="P27" s="36">
        <f t="shared" si="3"/>
        <v>-4.2019423807201473E-2</v>
      </c>
      <c r="R27" s="32">
        <v>44879</v>
      </c>
      <c r="S27" s="33">
        <v>2755.0500489999999</v>
      </c>
      <c r="T27" s="36">
        <f t="shared" si="4"/>
        <v>-2.7532164505011947E-2</v>
      </c>
      <c r="V27" s="34">
        <v>44879</v>
      </c>
      <c r="W27" s="35">
        <v>18307.650390999999</v>
      </c>
      <c r="X27" s="37">
        <f t="shared" si="5"/>
        <v>-2.2915268254892762E-3</v>
      </c>
      <c r="Z27" t="s">
        <v>60</v>
      </c>
      <c r="AA27" s="22">
        <f>AK109</f>
        <v>1.0352530216155724</v>
      </c>
    </row>
    <row r="28" spans="2:44" x14ac:dyDescent="0.3">
      <c r="B28" s="34">
        <v>44886</v>
      </c>
      <c r="C28" s="33">
        <v>3904.4499510000001</v>
      </c>
      <c r="D28" s="36">
        <f t="shared" si="0"/>
        <v>-1.5726862491373117E-3</v>
      </c>
      <c r="F28" s="32">
        <v>44886</v>
      </c>
      <c r="G28" s="33">
        <v>1429.3164059999999</v>
      </c>
      <c r="H28" s="36">
        <f t="shared" si="1"/>
        <v>3.5682016191159294E-2</v>
      </c>
      <c r="J28" s="32">
        <v>44886</v>
      </c>
      <c r="K28" s="33">
        <v>1380.013062</v>
      </c>
      <c r="L28" s="36">
        <f t="shared" si="2"/>
        <v>5.5030553196854015E-2</v>
      </c>
      <c r="N28" s="32">
        <v>44886</v>
      </c>
      <c r="O28" s="33">
        <v>310.60000600000001</v>
      </c>
      <c r="P28" s="36">
        <f t="shared" si="3"/>
        <v>1.6693963993453353E-2</v>
      </c>
      <c r="R28" s="32">
        <v>44886</v>
      </c>
      <c r="S28" s="33">
        <v>2773</v>
      </c>
      <c r="T28" s="36">
        <f t="shared" si="4"/>
        <v>6.51529035071996E-3</v>
      </c>
      <c r="V28" s="34">
        <v>44886</v>
      </c>
      <c r="W28" s="35">
        <v>18512.75</v>
      </c>
      <c r="X28" s="37">
        <f t="shared" si="5"/>
        <v>1.1202945469224623E-2</v>
      </c>
    </row>
    <row r="29" spans="2:44" x14ac:dyDescent="0.3">
      <c r="B29" s="34">
        <v>44893</v>
      </c>
      <c r="C29" s="33">
        <v>4005.75</v>
      </c>
      <c r="D29" s="36">
        <f t="shared" si="0"/>
        <v>2.5944768218646219E-2</v>
      </c>
      <c r="F29" s="32">
        <v>44893</v>
      </c>
      <c r="G29" s="33">
        <v>1465.5382079999999</v>
      </c>
      <c r="H29" s="36">
        <f t="shared" si="1"/>
        <v>2.5342045923455236E-2</v>
      </c>
      <c r="J29" s="32">
        <v>44893</v>
      </c>
      <c r="K29" s="33">
        <v>1390.338745</v>
      </c>
      <c r="L29" s="36">
        <f t="shared" si="2"/>
        <v>7.482308163833995E-3</v>
      </c>
      <c r="N29" s="32">
        <v>44893</v>
      </c>
      <c r="O29" s="33">
        <v>317.20001200000002</v>
      </c>
      <c r="P29" s="36">
        <f t="shared" si="3"/>
        <v>2.1249214013215445E-2</v>
      </c>
      <c r="R29" s="32">
        <v>44893</v>
      </c>
      <c r="S29" s="33">
        <v>2800.5</v>
      </c>
      <c r="T29" s="36">
        <f t="shared" si="4"/>
        <v>9.9170573386224703E-3</v>
      </c>
      <c r="V29" s="34">
        <v>44893</v>
      </c>
      <c r="W29" s="35">
        <v>18696.099609000001</v>
      </c>
      <c r="X29" s="37">
        <f t="shared" si="5"/>
        <v>9.9039639707769744E-3</v>
      </c>
    </row>
    <row r="30" spans="2:44" x14ac:dyDescent="0.3">
      <c r="B30" s="34">
        <v>44900</v>
      </c>
      <c r="C30" s="33">
        <v>4002.3999020000001</v>
      </c>
      <c r="D30" s="36">
        <f t="shared" si="0"/>
        <v>-8.3632228671282061E-4</v>
      </c>
      <c r="F30" s="32">
        <v>44900</v>
      </c>
      <c r="G30" s="33">
        <v>1454.861328</v>
      </c>
      <c r="H30" s="36">
        <f t="shared" si="1"/>
        <v>-7.2852962425118406E-3</v>
      </c>
      <c r="J30" s="32">
        <v>44900</v>
      </c>
      <c r="K30" s="33">
        <v>1350.2772219999999</v>
      </c>
      <c r="L30" s="36">
        <f t="shared" si="2"/>
        <v>-2.8814217502080797E-2</v>
      </c>
      <c r="N30" s="32">
        <v>44900</v>
      </c>
      <c r="O30" s="33">
        <v>313.45001200000002</v>
      </c>
      <c r="P30" s="36">
        <f t="shared" si="3"/>
        <v>-1.1822193751997667E-2</v>
      </c>
      <c r="R30" s="32">
        <v>44900</v>
      </c>
      <c r="S30" s="33">
        <v>2812.1999510000001</v>
      </c>
      <c r="T30" s="36">
        <f t="shared" si="4"/>
        <v>4.1778078914480599E-3</v>
      </c>
      <c r="V30" s="34">
        <v>44900</v>
      </c>
      <c r="W30" s="35">
        <v>18496.599609000001</v>
      </c>
      <c r="X30" s="37">
        <f t="shared" si="5"/>
        <v>-1.0670674855838058E-2</v>
      </c>
      <c r="AJ30" t="s">
        <v>91</v>
      </c>
    </row>
    <row r="31" spans="2:44" ht="15" thickBot="1" x14ac:dyDescent="0.35">
      <c r="B31" s="34">
        <v>44907</v>
      </c>
      <c r="C31" s="33">
        <v>3990</v>
      </c>
      <c r="D31" s="36">
        <f t="shared" si="0"/>
        <v>-3.0981167058803383E-3</v>
      </c>
      <c r="F31" s="32">
        <v>44907</v>
      </c>
      <c r="G31" s="33">
        <v>1404.2705080000001</v>
      </c>
      <c r="H31" s="36">
        <f t="shared" si="1"/>
        <v>-3.4773637202624053E-2</v>
      </c>
      <c r="J31" s="32">
        <v>44907</v>
      </c>
      <c r="K31" s="33">
        <v>1307.783203</v>
      </c>
      <c r="L31" s="36">
        <f t="shared" si="2"/>
        <v>-3.1470588637390162E-2</v>
      </c>
      <c r="N31" s="32">
        <v>44907</v>
      </c>
      <c r="O31" s="33">
        <v>303.35000600000001</v>
      </c>
      <c r="P31" s="36">
        <f t="shared" si="3"/>
        <v>-3.2222062891482661E-2</v>
      </c>
      <c r="R31" s="32">
        <v>44907</v>
      </c>
      <c r="S31" s="33">
        <v>2846.3999020000001</v>
      </c>
      <c r="T31" s="36">
        <f t="shared" si="4"/>
        <v>1.2161279992853657E-2</v>
      </c>
      <c r="V31" s="34">
        <v>44907</v>
      </c>
      <c r="W31" s="35">
        <v>18269</v>
      </c>
      <c r="X31" s="37">
        <f t="shared" si="5"/>
        <v>-1.2304943276668867E-2</v>
      </c>
    </row>
    <row r="32" spans="2:44" x14ac:dyDescent="0.3">
      <c r="B32" s="34">
        <v>44914</v>
      </c>
      <c r="C32" s="33">
        <v>3875.6000979999999</v>
      </c>
      <c r="D32" s="36">
        <f t="shared" si="0"/>
        <v>-2.8671654636591493E-2</v>
      </c>
      <c r="F32" s="32">
        <v>44914</v>
      </c>
      <c r="G32" s="33">
        <v>1281.6351320000001</v>
      </c>
      <c r="H32" s="36">
        <f t="shared" si="1"/>
        <v>-8.7330308014985314E-2</v>
      </c>
      <c r="J32" s="32">
        <v>44914</v>
      </c>
      <c r="K32" s="33">
        <v>1276.0616460000001</v>
      </c>
      <c r="L32" s="36">
        <f t="shared" si="2"/>
        <v>-2.4255975246686101E-2</v>
      </c>
      <c r="N32" s="32">
        <v>44914</v>
      </c>
      <c r="O32" s="33">
        <v>285.70001200000002</v>
      </c>
      <c r="P32" s="36">
        <f t="shared" si="3"/>
        <v>-5.8183595354865392E-2</v>
      </c>
      <c r="R32" s="32">
        <v>44914</v>
      </c>
      <c r="S32" s="33">
        <v>2883.6999510000001</v>
      </c>
      <c r="T32" s="36">
        <f t="shared" si="4"/>
        <v>1.3104289728857577E-2</v>
      </c>
      <c r="V32" s="34">
        <v>44914</v>
      </c>
      <c r="W32" s="35">
        <v>17806.800781000002</v>
      </c>
      <c r="X32" s="37">
        <f t="shared" si="5"/>
        <v>-2.529964524604511E-2</v>
      </c>
      <c r="AJ32" s="62" t="s">
        <v>92</v>
      </c>
      <c r="AK32" s="62"/>
    </row>
    <row r="33" spans="2:44" x14ac:dyDescent="0.3">
      <c r="B33" s="34">
        <v>44921</v>
      </c>
      <c r="C33" s="33">
        <v>4068.75</v>
      </c>
      <c r="D33" s="36">
        <f t="shared" si="0"/>
        <v>4.9837417978102261E-2</v>
      </c>
      <c r="F33" s="32">
        <v>44921</v>
      </c>
      <c r="G33" s="33">
        <v>1348.440918</v>
      </c>
      <c r="H33" s="36">
        <f t="shared" si="1"/>
        <v>5.2125432841208852E-2</v>
      </c>
      <c r="J33" s="32">
        <v>44921</v>
      </c>
      <c r="K33" s="33">
        <v>1328.533813</v>
      </c>
      <c r="L33" s="36">
        <f t="shared" si="2"/>
        <v>4.1120401325814848E-2</v>
      </c>
      <c r="N33" s="32">
        <v>44921</v>
      </c>
      <c r="O33" s="33">
        <v>287.5</v>
      </c>
      <c r="P33" s="36">
        <f t="shared" si="3"/>
        <v>6.3002727490260035E-3</v>
      </c>
      <c r="R33" s="32">
        <v>44921</v>
      </c>
      <c r="S33" s="33">
        <v>2842.8500979999999</v>
      </c>
      <c r="T33" s="36">
        <f t="shared" si="4"/>
        <v>-1.4165777887479081E-2</v>
      </c>
      <c r="V33" s="34">
        <v>44921</v>
      </c>
      <c r="W33" s="35">
        <v>18105.300781000002</v>
      </c>
      <c r="X33" s="37">
        <f t="shared" si="5"/>
        <v>1.6763258244484991E-2</v>
      </c>
      <c r="AJ33" t="s">
        <v>93</v>
      </c>
      <c r="AK33">
        <v>0.29734358566432817</v>
      </c>
    </row>
    <row r="34" spans="2:44" x14ac:dyDescent="0.3">
      <c r="B34" s="34">
        <v>44928</v>
      </c>
      <c r="C34" s="33">
        <v>3842.5</v>
      </c>
      <c r="D34" s="36">
        <f t="shared" si="0"/>
        <v>-5.5606758832565273E-2</v>
      </c>
      <c r="F34" s="32">
        <v>44928</v>
      </c>
      <c r="G34" s="33">
        <v>1245.463135</v>
      </c>
      <c r="H34" s="36">
        <f t="shared" si="1"/>
        <v>-7.6368034835917142E-2</v>
      </c>
      <c r="J34" s="32">
        <v>44928</v>
      </c>
      <c r="K34" s="33">
        <v>1290.1104740000001</v>
      </c>
      <c r="L34" s="36">
        <f t="shared" si="2"/>
        <v>-2.8921611647380718E-2</v>
      </c>
      <c r="N34" s="32">
        <v>44928</v>
      </c>
      <c r="O34" s="33">
        <v>277.54998799999998</v>
      </c>
      <c r="P34" s="36">
        <f t="shared" si="3"/>
        <v>-3.4608737391304434E-2</v>
      </c>
      <c r="R34" s="32">
        <v>44928</v>
      </c>
      <c r="S34" s="33">
        <v>2885</v>
      </c>
      <c r="T34" s="36">
        <f t="shared" si="4"/>
        <v>1.4826635435211122E-2</v>
      </c>
      <c r="V34" s="34">
        <v>44928</v>
      </c>
      <c r="W34" s="35">
        <v>17859.449218999998</v>
      </c>
      <c r="X34" s="37">
        <f t="shared" si="5"/>
        <v>-1.3578982474458767E-2</v>
      </c>
      <c r="AJ34" t="s">
        <v>94</v>
      </c>
      <c r="AK34">
        <v>8.8413207935719648E-2</v>
      </c>
    </row>
    <row r="35" spans="2:44" x14ac:dyDescent="0.3">
      <c r="B35" s="34">
        <v>44935</v>
      </c>
      <c r="C35" s="33">
        <v>3863.6999510000001</v>
      </c>
      <c r="D35" s="36">
        <f t="shared" si="0"/>
        <v>5.517228627195836E-3</v>
      </c>
      <c r="F35" s="32">
        <v>44935</v>
      </c>
      <c r="G35" s="33">
        <v>1202.8051760000001</v>
      </c>
      <c r="H35" s="36">
        <f t="shared" si="1"/>
        <v>-3.4250679768213166E-2</v>
      </c>
      <c r="J35" s="32">
        <v>44935</v>
      </c>
      <c r="K35" s="33">
        <v>1283.954712</v>
      </c>
      <c r="L35" s="36">
        <f t="shared" si="2"/>
        <v>-4.7714999017983706E-3</v>
      </c>
      <c r="N35" s="32">
        <v>44935</v>
      </c>
      <c r="O35" s="33">
        <v>268.60000600000001</v>
      </c>
      <c r="P35" s="36">
        <f t="shared" si="3"/>
        <v>-3.224637862351476E-2</v>
      </c>
      <c r="R35" s="32">
        <v>44935</v>
      </c>
      <c r="S35" s="33">
        <v>2831.8500979999999</v>
      </c>
      <c r="T35" s="36">
        <f t="shared" si="4"/>
        <v>-1.8422842980935883E-2</v>
      </c>
      <c r="V35" s="34">
        <v>44935</v>
      </c>
      <c r="W35" s="35">
        <v>17956.599609000001</v>
      </c>
      <c r="X35" s="37">
        <f t="shared" si="5"/>
        <v>5.4397192661825855E-3</v>
      </c>
      <c r="AJ35" t="s">
        <v>95</v>
      </c>
      <c r="AK35">
        <v>7.9562850731212068E-2</v>
      </c>
    </row>
    <row r="36" spans="2:44" x14ac:dyDescent="0.3">
      <c r="B36" s="34">
        <v>44942</v>
      </c>
      <c r="C36" s="33">
        <v>3513.75</v>
      </c>
      <c r="D36" s="36">
        <f t="shared" si="0"/>
        <v>-9.0573790780370089E-2</v>
      </c>
      <c r="F36" s="32">
        <v>44942</v>
      </c>
      <c r="G36" s="33">
        <v>1179.7548830000001</v>
      </c>
      <c r="H36" s="36">
        <f t="shared" si="1"/>
        <v>-1.9163779355069854E-2</v>
      </c>
      <c r="J36" s="32">
        <v>44942</v>
      </c>
      <c r="K36" s="33">
        <v>1211.8242190000001</v>
      </c>
      <c r="L36" s="36">
        <f t="shared" si="2"/>
        <v>-5.6178377886586972E-2</v>
      </c>
      <c r="N36" s="32">
        <v>44942</v>
      </c>
      <c r="O36" s="33">
        <v>259.60000600000001</v>
      </c>
      <c r="P36" s="36">
        <f t="shared" si="3"/>
        <v>-3.3507072967079554E-2</v>
      </c>
      <c r="R36" s="32">
        <v>44942</v>
      </c>
      <c r="S36" s="33">
        <v>2799.8999020000001</v>
      </c>
      <c r="T36" s="36">
        <f t="shared" si="4"/>
        <v>-1.1282446066818497E-2</v>
      </c>
      <c r="V36" s="34">
        <v>44942</v>
      </c>
      <c r="W36" s="35">
        <v>18027.650390999999</v>
      </c>
      <c r="X36" s="37">
        <f t="shared" si="5"/>
        <v>3.9568060516528281E-3</v>
      </c>
      <c r="AJ36" t="s">
        <v>96</v>
      </c>
      <c r="AK36">
        <v>3.9088901900244867E-2</v>
      </c>
    </row>
    <row r="37" spans="2:44" ht="15" thickBot="1" x14ac:dyDescent="0.35">
      <c r="B37" s="34">
        <v>44949</v>
      </c>
      <c r="C37" s="33">
        <v>3562.3500979999999</v>
      </c>
      <c r="D37" s="36">
        <f t="shared" si="0"/>
        <v>1.3831404624688792E-2</v>
      </c>
      <c r="F37" s="32">
        <v>44949</v>
      </c>
      <c r="G37" s="33">
        <v>1173.767822</v>
      </c>
      <c r="H37" s="36">
        <f t="shared" si="1"/>
        <v>-5.0748346849606163E-3</v>
      </c>
      <c r="J37" s="32">
        <v>44949</v>
      </c>
      <c r="K37" s="33">
        <v>1150.565186</v>
      </c>
      <c r="L37" s="36">
        <f t="shared" si="2"/>
        <v>-5.0551088218513396E-2</v>
      </c>
      <c r="N37" s="32">
        <v>44949</v>
      </c>
      <c r="O37" s="33">
        <v>250.550003</v>
      </c>
      <c r="P37" s="36">
        <f t="shared" si="3"/>
        <v>-3.4861335866070875E-2</v>
      </c>
      <c r="R37" s="32">
        <v>44949</v>
      </c>
      <c r="S37" s="33">
        <v>2727.9499510000001</v>
      </c>
      <c r="T37" s="36">
        <f t="shared" si="4"/>
        <v>-2.5697329732611296E-2</v>
      </c>
      <c r="V37" s="34">
        <v>44949</v>
      </c>
      <c r="W37" s="35">
        <v>17604.349609000001</v>
      </c>
      <c r="X37" s="37">
        <f t="shared" si="5"/>
        <v>-2.3480640727941093E-2</v>
      </c>
      <c r="AJ37" s="60" t="s">
        <v>97</v>
      </c>
      <c r="AK37" s="60">
        <v>105</v>
      </c>
    </row>
    <row r="38" spans="2:44" x14ac:dyDescent="0.3">
      <c r="B38" s="34">
        <v>44956</v>
      </c>
      <c r="C38" s="33">
        <v>3470.3500979999999</v>
      </c>
      <c r="D38" s="36">
        <f t="shared" si="0"/>
        <v>-2.5825648088785957E-2</v>
      </c>
      <c r="F38" s="32">
        <v>44956</v>
      </c>
      <c r="G38" s="33">
        <v>1232.98999</v>
      </c>
      <c r="H38" s="36">
        <f t="shared" si="1"/>
        <v>5.0454755097213866E-2</v>
      </c>
      <c r="J38" s="32">
        <v>44956</v>
      </c>
      <c r="K38" s="33">
        <v>1224.1354980000001</v>
      </c>
      <c r="L38" s="36">
        <f t="shared" si="2"/>
        <v>6.3942758650443077E-2</v>
      </c>
      <c r="N38" s="32">
        <v>44956</v>
      </c>
      <c r="O38" s="33">
        <v>250.5</v>
      </c>
      <c r="P38" s="36">
        <f t="shared" si="3"/>
        <v>-1.9957293714345514E-4</v>
      </c>
      <c r="R38" s="32">
        <v>44956</v>
      </c>
      <c r="S38" s="33">
        <v>2729.6499020000001</v>
      </c>
      <c r="T38" s="36">
        <f t="shared" si="4"/>
        <v>6.2316062630718427E-4</v>
      </c>
      <c r="V38" s="34">
        <v>44956</v>
      </c>
      <c r="W38" s="35">
        <v>17854.050781000002</v>
      </c>
      <c r="X38" s="37">
        <f t="shared" si="5"/>
        <v>1.4184061186352848E-2</v>
      </c>
    </row>
    <row r="39" spans="2:44" ht="15" thickBot="1" x14ac:dyDescent="0.35">
      <c r="B39" s="34">
        <v>44963</v>
      </c>
      <c r="C39" s="33">
        <v>3498.8500979999999</v>
      </c>
      <c r="D39" s="36">
        <f t="shared" si="0"/>
        <v>8.2124279093411801E-3</v>
      </c>
      <c r="F39" s="32">
        <v>44963</v>
      </c>
      <c r="G39" s="33">
        <v>1325.939453</v>
      </c>
      <c r="H39" s="36">
        <f t="shared" si="1"/>
        <v>7.5385415740479633E-2</v>
      </c>
      <c r="J39" s="32">
        <v>44963</v>
      </c>
      <c r="K39" s="33">
        <v>1249.502808</v>
      </c>
      <c r="L39" s="36">
        <f t="shared" si="2"/>
        <v>2.0722632454859058E-2</v>
      </c>
      <c r="N39" s="32">
        <v>44963</v>
      </c>
      <c r="O39" s="33">
        <v>254.699997</v>
      </c>
      <c r="P39" s="36">
        <f t="shared" si="3"/>
        <v>1.6766455089820331E-2</v>
      </c>
      <c r="R39" s="32">
        <v>44963</v>
      </c>
      <c r="S39" s="33">
        <v>2557.5500489999999</v>
      </c>
      <c r="T39" s="36">
        <f t="shared" si="4"/>
        <v>-6.3048324575947778E-2</v>
      </c>
      <c r="V39" s="34">
        <v>44963</v>
      </c>
      <c r="W39" s="35">
        <v>17856.5</v>
      </c>
      <c r="X39" s="37">
        <f t="shared" si="5"/>
        <v>1.371800175793414E-4</v>
      </c>
      <c r="AJ39" t="s">
        <v>98</v>
      </c>
    </row>
    <row r="40" spans="2:44" x14ac:dyDescent="0.3">
      <c r="B40" s="34">
        <v>44970</v>
      </c>
      <c r="C40" s="33">
        <v>3545</v>
      </c>
      <c r="D40" s="36">
        <f t="shared" si="0"/>
        <v>1.3190019780035867E-2</v>
      </c>
      <c r="F40" s="32">
        <v>44970</v>
      </c>
      <c r="G40" s="33">
        <v>1357.720947</v>
      </c>
      <c r="H40" s="36">
        <f t="shared" si="1"/>
        <v>2.3969038652627006E-2</v>
      </c>
      <c r="J40" s="32">
        <v>44970</v>
      </c>
      <c r="K40" s="33">
        <v>1233.4187010000001</v>
      </c>
      <c r="L40" s="36">
        <f t="shared" si="2"/>
        <v>-1.2872405645686147E-2</v>
      </c>
      <c r="N40" s="32">
        <v>44970</v>
      </c>
      <c r="O40" s="33">
        <v>262.29998799999998</v>
      </c>
      <c r="P40" s="36">
        <f t="shared" si="3"/>
        <v>2.9838991321228692E-2</v>
      </c>
      <c r="R40" s="32">
        <v>44970</v>
      </c>
      <c r="S40" s="33">
        <v>2499.1499020000001</v>
      </c>
      <c r="T40" s="36">
        <f t="shared" si="4"/>
        <v>-2.2834410228974478E-2</v>
      </c>
      <c r="V40" s="34">
        <v>44970</v>
      </c>
      <c r="W40" s="35">
        <v>17944.199218999998</v>
      </c>
      <c r="X40" s="37">
        <f t="shared" si="5"/>
        <v>4.9113330719905424E-3</v>
      </c>
      <c r="AJ40" s="61"/>
      <c r="AK40" s="61" t="s">
        <v>103</v>
      </c>
      <c r="AL40" s="61" t="s">
        <v>104</v>
      </c>
      <c r="AM40" s="61" t="s">
        <v>105</v>
      </c>
      <c r="AN40" s="61" t="s">
        <v>106</v>
      </c>
      <c r="AO40" s="61" t="s">
        <v>107</v>
      </c>
    </row>
    <row r="41" spans="2:44" x14ac:dyDescent="0.3">
      <c r="B41" s="34">
        <v>44977</v>
      </c>
      <c r="C41" s="33">
        <v>3499.1999510000001</v>
      </c>
      <c r="D41" s="36">
        <f t="shared" si="0"/>
        <v>-1.2919618899858931E-2</v>
      </c>
      <c r="F41" s="32">
        <v>44977</v>
      </c>
      <c r="G41" s="33">
        <v>1302.7395019999999</v>
      </c>
      <c r="H41" s="36">
        <f t="shared" si="1"/>
        <v>-4.0495394227721304E-2</v>
      </c>
      <c r="J41" s="32">
        <v>44977</v>
      </c>
      <c r="K41" s="33">
        <v>1154.5863039999999</v>
      </c>
      <c r="L41" s="36">
        <f t="shared" si="2"/>
        <v>-6.3913735810950834E-2</v>
      </c>
      <c r="N41" s="32">
        <v>44977</v>
      </c>
      <c r="O41" s="33">
        <v>229.85000600000001</v>
      </c>
      <c r="P41" s="36">
        <f t="shared" si="3"/>
        <v>-0.12371324241158554</v>
      </c>
      <c r="R41" s="32">
        <v>44977</v>
      </c>
      <c r="S41" s="33">
        <v>2441.1999510000001</v>
      </c>
      <c r="T41" s="36">
        <f t="shared" si="4"/>
        <v>-2.3187865183126655E-2</v>
      </c>
      <c r="V41" s="34">
        <v>44977</v>
      </c>
      <c r="W41" s="35">
        <v>17465.800781000002</v>
      </c>
      <c r="X41" s="37">
        <f t="shared" si="5"/>
        <v>-2.6660339208308015E-2</v>
      </c>
      <c r="AJ41" t="s">
        <v>99</v>
      </c>
      <c r="AK41">
        <v>1</v>
      </c>
      <c r="AL41">
        <v>1.5263821888504309E-2</v>
      </c>
      <c r="AM41">
        <v>1.5263821888504309E-2</v>
      </c>
      <c r="AN41">
        <v>9.9897897782803504</v>
      </c>
      <c r="AO41">
        <v>2.0673696597072158E-3</v>
      </c>
    </row>
    <row r="42" spans="2:44" x14ac:dyDescent="0.3">
      <c r="B42" s="34">
        <v>44984</v>
      </c>
      <c r="C42" s="33">
        <v>3463.25</v>
      </c>
      <c r="D42" s="36">
        <f t="shared" si="0"/>
        <v>-1.0273763003947889E-2</v>
      </c>
      <c r="F42" s="32">
        <v>44984</v>
      </c>
      <c r="G42" s="33">
        <v>1302.090942</v>
      </c>
      <c r="H42" s="36">
        <f t="shared" si="1"/>
        <v>-4.9784319812529176E-4</v>
      </c>
      <c r="J42" s="32">
        <v>44984</v>
      </c>
      <c r="K42" s="33">
        <v>1178.762207</v>
      </c>
      <c r="L42" s="36">
        <f t="shared" si="2"/>
        <v>2.0939017651815162E-2</v>
      </c>
      <c r="N42" s="32">
        <v>44984</v>
      </c>
      <c r="O42" s="33">
        <v>236</v>
      </c>
      <c r="P42" s="36">
        <f t="shared" si="3"/>
        <v>2.6756553576074316E-2</v>
      </c>
      <c r="R42" s="32">
        <v>44984</v>
      </c>
      <c r="S42" s="33">
        <v>2396</v>
      </c>
      <c r="T42" s="36">
        <f t="shared" si="4"/>
        <v>-1.8515464487652733E-2</v>
      </c>
      <c r="V42" s="34">
        <v>44984</v>
      </c>
      <c r="W42" s="35">
        <v>17594.349609000001</v>
      </c>
      <c r="X42" s="37">
        <f t="shared" si="5"/>
        <v>7.3600305884538031E-3</v>
      </c>
      <c r="AJ42" t="s">
        <v>100</v>
      </c>
      <c r="AK42">
        <v>103</v>
      </c>
      <c r="AL42">
        <v>0.15737805193199758</v>
      </c>
      <c r="AM42">
        <v>1.5279422517669669E-3</v>
      </c>
    </row>
    <row r="43" spans="2:44" ht="15" thickBot="1" x14ac:dyDescent="0.35">
      <c r="B43" s="34">
        <v>44991</v>
      </c>
      <c r="C43" s="33">
        <v>3391.8500979999999</v>
      </c>
      <c r="D43" s="36">
        <f t="shared" si="0"/>
        <v>-2.0616444669024792E-2</v>
      </c>
      <c r="F43" s="32">
        <v>44991</v>
      </c>
      <c r="G43" s="33">
        <v>1338.113159</v>
      </c>
      <c r="H43" s="36">
        <f t="shared" si="1"/>
        <v>2.766490099736818E-2</v>
      </c>
      <c r="J43" s="32">
        <v>44991</v>
      </c>
      <c r="K43" s="33">
        <v>1159.0541989999999</v>
      </c>
      <c r="L43" s="36">
        <f t="shared" si="2"/>
        <v>-1.6719239794901308E-2</v>
      </c>
      <c r="N43" s="32">
        <v>44991</v>
      </c>
      <c r="O43" s="33">
        <v>235</v>
      </c>
      <c r="P43" s="36">
        <f t="shared" si="3"/>
        <v>-4.237288135593209E-3</v>
      </c>
      <c r="R43" s="32">
        <v>44991</v>
      </c>
      <c r="S43" s="33">
        <v>2377.6499020000001</v>
      </c>
      <c r="T43" s="36">
        <f t="shared" si="4"/>
        <v>-7.6586385642737342E-3</v>
      </c>
      <c r="V43" s="34">
        <v>44991</v>
      </c>
      <c r="W43" s="35">
        <v>17412.900390999999</v>
      </c>
      <c r="X43" s="37">
        <f t="shared" si="5"/>
        <v>-1.0312925571695164E-2</v>
      </c>
      <c r="AJ43" s="60" t="s">
        <v>101</v>
      </c>
      <c r="AK43" s="60">
        <v>104</v>
      </c>
      <c r="AL43" s="60">
        <v>0.17264187382050189</v>
      </c>
      <c r="AM43" s="60"/>
      <c r="AN43" s="60"/>
      <c r="AO43" s="60"/>
    </row>
    <row r="44" spans="2:44" ht="15" thickBot="1" x14ac:dyDescent="0.35">
      <c r="B44" s="34">
        <v>44998</v>
      </c>
      <c r="C44" s="33">
        <v>3311.3000489999999</v>
      </c>
      <c r="D44" s="36">
        <f t="shared" si="0"/>
        <v>-2.3748115828437166E-2</v>
      </c>
      <c r="F44" s="32">
        <v>44998</v>
      </c>
      <c r="G44" s="33">
        <v>1353.2803960000001</v>
      </c>
      <c r="H44" s="36">
        <f t="shared" si="1"/>
        <v>1.1334793995550374E-2</v>
      </c>
      <c r="J44" s="32">
        <v>44998</v>
      </c>
      <c r="K44" s="33">
        <v>1160.295288</v>
      </c>
      <c r="L44" s="36">
        <f t="shared" si="2"/>
        <v>1.0707773640532547E-3</v>
      </c>
      <c r="N44" s="32">
        <v>44998</v>
      </c>
      <c r="O44" s="33">
        <v>215.050003</v>
      </c>
      <c r="P44" s="36">
        <f t="shared" si="3"/>
        <v>-8.4893604255319111E-2</v>
      </c>
      <c r="R44" s="32">
        <v>44998</v>
      </c>
      <c r="S44" s="33">
        <v>2290.6999510000001</v>
      </c>
      <c r="T44" s="36">
        <f t="shared" si="4"/>
        <v>-3.6569703103413453E-2</v>
      </c>
      <c r="V44" s="34">
        <v>44998</v>
      </c>
      <c r="W44" s="35">
        <v>17100.050781000002</v>
      </c>
      <c r="X44" s="37">
        <f t="shared" si="5"/>
        <v>-1.7966542217268788E-2</v>
      </c>
    </row>
    <row r="45" spans="2:44" x14ac:dyDescent="0.3">
      <c r="B45" s="34">
        <v>45005</v>
      </c>
      <c r="C45" s="33">
        <v>3358.3999020000001</v>
      </c>
      <c r="D45" s="36">
        <f t="shared" si="0"/>
        <v>1.4223976173413977E-2</v>
      </c>
      <c r="F45" s="32">
        <v>45005</v>
      </c>
      <c r="G45" s="33">
        <v>1307.2298579999999</v>
      </c>
      <c r="H45" s="36">
        <f t="shared" si="1"/>
        <v>-3.4028822213131527E-2</v>
      </c>
      <c r="J45" s="32">
        <v>45005</v>
      </c>
      <c r="K45" s="33">
        <v>1102.4616699999999</v>
      </c>
      <c r="L45" s="36">
        <f t="shared" si="2"/>
        <v>-4.9843879052278051E-2</v>
      </c>
      <c r="N45" s="32">
        <v>45005</v>
      </c>
      <c r="O45" s="33">
        <v>211.89999399999999</v>
      </c>
      <c r="P45" s="36">
        <f t="shared" si="3"/>
        <v>-1.4647797982128008E-2</v>
      </c>
      <c r="R45" s="32">
        <v>45005</v>
      </c>
      <c r="S45" s="33">
        <v>2262.3999020000001</v>
      </c>
      <c r="T45" s="36">
        <f t="shared" si="4"/>
        <v>-1.2354323833484004E-2</v>
      </c>
      <c r="V45" s="34">
        <v>45005</v>
      </c>
      <c r="W45" s="35">
        <v>16945.050781000002</v>
      </c>
      <c r="X45" s="37">
        <f t="shared" si="5"/>
        <v>-9.0643005675878907E-3</v>
      </c>
      <c r="AJ45" s="61"/>
      <c r="AK45" s="61" t="s">
        <v>108</v>
      </c>
      <c r="AL45" s="61" t="s">
        <v>96</v>
      </c>
      <c r="AM45" s="61" t="s">
        <v>109</v>
      </c>
      <c r="AN45" s="61" t="s">
        <v>110</v>
      </c>
      <c r="AO45" s="61" t="s">
        <v>111</v>
      </c>
      <c r="AP45" s="61" t="s">
        <v>112</v>
      </c>
      <c r="AQ45" s="61" t="s">
        <v>113</v>
      </c>
      <c r="AR45" s="61" t="s">
        <v>114</v>
      </c>
    </row>
    <row r="46" spans="2:44" x14ac:dyDescent="0.3">
      <c r="B46" s="34">
        <v>45012</v>
      </c>
      <c r="C46" s="33">
        <v>3401.0500489999999</v>
      </c>
      <c r="D46" s="36">
        <f t="shared" si="0"/>
        <v>1.2699543903214261E-2</v>
      </c>
      <c r="F46" s="32">
        <v>45012</v>
      </c>
      <c r="G46" s="33">
        <v>1371.990112</v>
      </c>
      <c r="H46" s="36">
        <f t="shared" si="1"/>
        <v>4.9540066426481566E-2</v>
      </c>
      <c r="J46" s="32">
        <v>45012</v>
      </c>
      <c r="K46" s="33">
        <v>1131.0061040000001</v>
      </c>
      <c r="L46" s="36">
        <f t="shared" si="2"/>
        <v>2.5891543240682546E-2</v>
      </c>
      <c r="N46" s="32">
        <v>45012</v>
      </c>
      <c r="O46" s="33">
        <v>214.35000600000001</v>
      </c>
      <c r="P46" s="36">
        <f t="shared" si="3"/>
        <v>1.1562114532197798E-2</v>
      </c>
      <c r="R46" s="32">
        <v>45012</v>
      </c>
      <c r="S46" s="33">
        <v>2162.3000489999999</v>
      </c>
      <c r="T46" s="36">
        <f t="shared" si="4"/>
        <v>-4.424498644625563E-2</v>
      </c>
      <c r="V46" s="34">
        <v>45012</v>
      </c>
      <c r="W46" s="35">
        <v>17359.75</v>
      </c>
      <c r="X46" s="37">
        <f t="shared" si="5"/>
        <v>2.4473176525678486E-2</v>
      </c>
      <c r="AJ46" t="s">
        <v>102</v>
      </c>
      <c r="AK46">
        <v>1.1773953333365363E-2</v>
      </c>
      <c r="AL46">
        <v>3.9429350511931858E-3</v>
      </c>
      <c r="AM46">
        <v>2.9860885813481519</v>
      </c>
      <c r="AN46">
        <v>3.5309107135587776E-3</v>
      </c>
      <c r="AO46">
        <v>3.9540716211634089E-3</v>
      </c>
      <c r="AP46">
        <v>1.9593835045567318E-2</v>
      </c>
      <c r="AQ46">
        <v>3.9540716211634089E-3</v>
      </c>
      <c r="AR46">
        <v>1.9593835045567318E-2</v>
      </c>
    </row>
    <row r="47" spans="2:44" ht="15" thickBot="1" x14ac:dyDescent="0.35">
      <c r="B47" s="34">
        <v>45019</v>
      </c>
      <c r="C47" s="33">
        <v>3496.1000979999999</v>
      </c>
      <c r="D47" s="36">
        <f t="shared" si="0"/>
        <v>2.7947265588739834E-2</v>
      </c>
      <c r="F47" s="32">
        <v>45019</v>
      </c>
      <c r="G47" s="33">
        <v>1364.3066409999999</v>
      </c>
      <c r="H47" s="36">
        <f t="shared" si="1"/>
        <v>-5.6002378827639809E-3</v>
      </c>
      <c r="J47" s="32">
        <v>45019</v>
      </c>
      <c r="K47" s="33">
        <v>1131.4528809999999</v>
      </c>
      <c r="L47" s="36">
        <f t="shared" si="2"/>
        <v>3.9502616159170501E-4</v>
      </c>
      <c r="N47" s="32">
        <v>45019</v>
      </c>
      <c r="O47" s="33">
        <v>215.85000600000001</v>
      </c>
      <c r="P47" s="36">
        <f t="shared" si="3"/>
        <v>6.9979004339286721E-3</v>
      </c>
      <c r="R47" s="32">
        <v>45019</v>
      </c>
      <c r="S47" s="33">
        <v>2110.6999510000001</v>
      </c>
      <c r="T47" s="36">
        <f t="shared" si="4"/>
        <v>-2.3863523484570659E-2</v>
      </c>
      <c r="V47" s="34">
        <v>45019</v>
      </c>
      <c r="W47" s="35">
        <v>17599.150390999999</v>
      </c>
      <c r="X47" s="37">
        <f t="shared" si="5"/>
        <v>1.3790543700226143E-2</v>
      </c>
      <c r="AJ47" s="60" t="s">
        <v>115</v>
      </c>
      <c r="AK47" s="60">
        <v>0.87072911253347673</v>
      </c>
      <c r="AL47" s="60">
        <v>0.27548939837180347</v>
      </c>
      <c r="AM47" s="60">
        <v>3.1606628700765147</v>
      </c>
      <c r="AN47" s="60">
        <v>2.0673696597072596E-3</v>
      </c>
      <c r="AO47" s="60">
        <v>0.32436086647746676</v>
      </c>
      <c r="AP47" s="60">
        <v>1.4170973585894866</v>
      </c>
      <c r="AQ47" s="60">
        <v>0.32436086647746676</v>
      </c>
      <c r="AR47" s="60">
        <v>1.4170973585894866</v>
      </c>
    </row>
    <row r="48" spans="2:44" x14ac:dyDescent="0.3">
      <c r="B48" s="34">
        <v>45026</v>
      </c>
      <c r="C48" s="33">
        <v>3501.0500489999999</v>
      </c>
      <c r="D48" s="36">
        <f t="shared" si="0"/>
        <v>1.4158493353297885E-3</v>
      </c>
      <c r="F48" s="32">
        <v>45026</v>
      </c>
      <c r="G48" s="33">
        <v>1358.868408</v>
      </c>
      <c r="H48" s="36">
        <f t="shared" si="1"/>
        <v>-3.9860782294615094E-3</v>
      </c>
      <c r="J48" s="32">
        <v>45026</v>
      </c>
      <c r="K48" s="33">
        <v>1229.695557</v>
      </c>
      <c r="L48" s="36">
        <f t="shared" si="2"/>
        <v>8.6828782399821502E-2</v>
      </c>
      <c r="N48" s="32">
        <v>45026</v>
      </c>
      <c r="O48" s="33">
        <v>226.75</v>
      </c>
      <c r="P48" s="36">
        <f t="shared" si="3"/>
        <v>5.0498001839295759E-2</v>
      </c>
      <c r="R48" s="32">
        <v>45026</v>
      </c>
      <c r="S48" s="33">
        <v>2145.3999020000001</v>
      </c>
      <c r="T48" s="36">
        <f t="shared" si="4"/>
        <v>1.6440020754044271E-2</v>
      </c>
      <c r="V48" s="34">
        <v>45026</v>
      </c>
      <c r="W48" s="35">
        <v>17828</v>
      </c>
      <c r="X48" s="37">
        <f t="shared" si="5"/>
        <v>1.3003446411653519E-2</v>
      </c>
    </row>
    <row r="49" spans="2:41" x14ac:dyDescent="0.3">
      <c r="B49" s="34">
        <v>45033</v>
      </c>
      <c r="C49" s="33">
        <v>3455.8999020000001</v>
      </c>
      <c r="D49" s="36">
        <f t="shared" si="0"/>
        <v>-1.2896172967563291E-2</v>
      </c>
      <c r="F49" s="32">
        <v>45033</v>
      </c>
      <c r="G49" s="33">
        <v>1380.3720699999999</v>
      </c>
      <c r="H49" s="36">
        <f t="shared" si="1"/>
        <v>1.5824683150629237E-2</v>
      </c>
      <c r="J49" s="32">
        <v>45033</v>
      </c>
      <c r="K49" s="33">
        <v>1271.0477289999999</v>
      </c>
      <c r="L49" s="36">
        <f t="shared" si="2"/>
        <v>3.3627975448560443E-2</v>
      </c>
      <c r="N49" s="32">
        <v>45033</v>
      </c>
      <c r="O49" s="33">
        <v>219.550003</v>
      </c>
      <c r="P49" s="36">
        <f t="shared" si="3"/>
        <v>-3.1753018743109096E-2</v>
      </c>
      <c r="R49" s="32">
        <v>45033</v>
      </c>
      <c r="S49" s="33">
        <v>2183</v>
      </c>
      <c r="T49" s="36">
        <f t="shared" si="4"/>
        <v>1.752591578145779E-2</v>
      </c>
      <c r="V49" s="34">
        <v>45033</v>
      </c>
      <c r="W49" s="35">
        <v>17624.050781000002</v>
      </c>
      <c r="X49" s="37">
        <f t="shared" si="5"/>
        <v>-1.1439826060130054E-2</v>
      </c>
    </row>
    <row r="50" spans="2:41" x14ac:dyDescent="0.3">
      <c r="B50" s="34">
        <v>45040</v>
      </c>
      <c r="C50" s="33">
        <v>3511.9499510000001</v>
      </c>
      <c r="D50" s="36">
        <f t="shared" si="0"/>
        <v>1.621865522423338E-2</v>
      </c>
      <c r="F50" s="32">
        <v>45040</v>
      </c>
      <c r="G50" s="33">
        <v>1364.8055420000001</v>
      </c>
      <c r="H50" s="36">
        <f t="shared" si="1"/>
        <v>-1.1277052280549094E-2</v>
      </c>
      <c r="J50" s="32">
        <v>45040</v>
      </c>
      <c r="K50" s="33">
        <v>1263.055298</v>
      </c>
      <c r="L50" s="36">
        <f t="shared" si="2"/>
        <v>-6.2880652060862685E-3</v>
      </c>
      <c r="N50" s="32">
        <v>45040</v>
      </c>
      <c r="O50" s="33">
        <v>222.64999399999999</v>
      </c>
      <c r="P50" s="36">
        <f t="shared" si="3"/>
        <v>1.4119749294651429E-2</v>
      </c>
      <c r="R50" s="32">
        <v>45040</v>
      </c>
      <c r="S50" s="33">
        <v>2169.75</v>
      </c>
      <c r="T50" s="36">
        <f t="shared" si="4"/>
        <v>-6.06962895098484E-3</v>
      </c>
      <c r="V50" s="34">
        <v>45040</v>
      </c>
      <c r="W50" s="35">
        <v>18065</v>
      </c>
      <c r="X50" s="37">
        <f t="shared" si="5"/>
        <v>2.5019742877464557E-2</v>
      </c>
    </row>
    <row r="51" spans="2:41" x14ac:dyDescent="0.3">
      <c r="B51" s="34">
        <v>45047</v>
      </c>
      <c r="C51" s="33">
        <v>3598.1999510000001</v>
      </c>
      <c r="D51" s="36">
        <f t="shared" si="0"/>
        <v>2.4559006023260999E-2</v>
      </c>
      <c r="F51" s="32">
        <v>45047</v>
      </c>
      <c r="G51" s="33">
        <v>1413.75</v>
      </c>
      <c r="H51" s="36">
        <f t="shared" si="1"/>
        <v>3.5861854669989368E-2</v>
      </c>
      <c r="J51" s="32">
        <v>45047</v>
      </c>
      <c r="K51" s="33">
        <v>1217.135986</v>
      </c>
      <c r="L51" s="36">
        <f t="shared" si="2"/>
        <v>-3.6355741567856481E-2</v>
      </c>
      <c r="N51" s="32">
        <v>45047</v>
      </c>
      <c r="O51" s="33">
        <v>214.199997</v>
      </c>
      <c r="P51" s="36">
        <f t="shared" si="3"/>
        <v>-3.7951930059337835E-2</v>
      </c>
      <c r="R51" s="32">
        <v>45047</v>
      </c>
      <c r="S51" s="33">
        <v>2067.4499510000001</v>
      </c>
      <c r="T51" s="36">
        <f t="shared" si="4"/>
        <v>-4.7148311556630906E-2</v>
      </c>
      <c r="V51" s="34">
        <v>45047</v>
      </c>
      <c r="W51" s="35">
        <v>18069</v>
      </c>
      <c r="X51" s="37">
        <f t="shared" si="5"/>
        <v>2.2142264046509652E-4</v>
      </c>
      <c r="AJ51" t="s">
        <v>91</v>
      </c>
    </row>
    <row r="52" spans="2:41" ht="15" thickBot="1" x14ac:dyDescent="0.35">
      <c r="B52" s="34">
        <v>45054</v>
      </c>
      <c r="C52" s="33">
        <v>3677.5500489999999</v>
      </c>
      <c r="D52" s="36">
        <f t="shared" si="0"/>
        <v>2.20527205493255E-2</v>
      </c>
      <c r="F52" s="32">
        <v>45054</v>
      </c>
      <c r="G52" s="33">
        <v>1482.9506839999999</v>
      </c>
      <c r="H52" s="36">
        <f t="shared" si="1"/>
        <v>4.8948317595048474E-2</v>
      </c>
      <c r="J52" s="32">
        <v>45054</v>
      </c>
      <c r="K52" s="33">
        <v>1265.2395019999999</v>
      </c>
      <c r="L52" s="36">
        <f t="shared" si="2"/>
        <v>3.9521891188253777E-2</v>
      </c>
      <c r="N52" s="32">
        <v>45054</v>
      </c>
      <c r="O52" s="33">
        <v>198.699997</v>
      </c>
      <c r="P52" s="36">
        <f t="shared" si="3"/>
        <v>-7.2362279258108453E-2</v>
      </c>
      <c r="R52" s="32">
        <v>45054</v>
      </c>
      <c r="S52" s="33">
        <v>2142.5</v>
      </c>
      <c r="T52" s="36">
        <f t="shared" si="4"/>
        <v>3.6300781532195847E-2</v>
      </c>
      <c r="V52" s="34">
        <v>45054</v>
      </c>
      <c r="W52" s="35">
        <v>18314.800781000002</v>
      </c>
      <c r="X52" s="37">
        <f t="shared" si="5"/>
        <v>1.3603452376999448E-2</v>
      </c>
    </row>
    <row r="53" spans="2:41" x14ac:dyDescent="0.3">
      <c r="B53" s="34">
        <v>45061</v>
      </c>
      <c r="C53" s="33">
        <v>3395.25</v>
      </c>
      <c r="D53" s="36">
        <f t="shared" si="0"/>
        <v>-7.6763074666179709E-2</v>
      </c>
      <c r="F53" s="32">
        <v>45061</v>
      </c>
      <c r="G53" s="33">
        <v>1489.8857419999999</v>
      </c>
      <c r="H53" s="36">
        <f t="shared" si="1"/>
        <v>4.6765263840695681E-3</v>
      </c>
      <c r="J53" s="32">
        <v>45061</v>
      </c>
      <c r="K53" s="33">
        <v>1221.4548339999999</v>
      </c>
      <c r="L53" s="36">
        <f t="shared" si="2"/>
        <v>-3.4605833860536506E-2</v>
      </c>
      <c r="N53" s="32">
        <v>45061</v>
      </c>
      <c r="O53" s="33">
        <v>190.85000600000001</v>
      </c>
      <c r="P53" s="36">
        <f t="shared" si="3"/>
        <v>-3.9506749464117918E-2</v>
      </c>
      <c r="R53" s="32">
        <v>45061</v>
      </c>
      <c r="S53" s="33">
        <v>2041.599976</v>
      </c>
      <c r="T53" s="36">
        <f t="shared" si="4"/>
        <v>-4.7094526954492455E-2</v>
      </c>
      <c r="V53" s="34">
        <v>45061</v>
      </c>
      <c r="W53" s="35">
        <v>18203.400390999999</v>
      </c>
      <c r="X53" s="37">
        <f t="shared" si="5"/>
        <v>-6.0825335384249168E-3</v>
      </c>
      <c r="AJ53" s="62" t="s">
        <v>92</v>
      </c>
      <c r="AK53" s="62"/>
    </row>
    <row r="54" spans="2:41" x14ac:dyDescent="0.3">
      <c r="B54" s="34">
        <v>45068</v>
      </c>
      <c r="C54" s="33">
        <v>3501.75</v>
      </c>
      <c r="D54" s="36">
        <f t="shared" si="0"/>
        <v>3.1367351446874414E-2</v>
      </c>
      <c r="F54" s="32">
        <v>45068</v>
      </c>
      <c r="G54" s="33">
        <v>1526.905884</v>
      </c>
      <c r="H54" s="36">
        <f t="shared" si="1"/>
        <v>2.4847638282855744E-2</v>
      </c>
      <c r="J54" s="32">
        <v>45068</v>
      </c>
      <c r="K54" s="33">
        <v>1265.7856449999999</v>
      </c>
      <c r="L54" s="36">
        <f t="shared" si="2"/>
        <v>3.6293450863693621E-2</v>
      </c>
      <c r="N54" s="32">
        <v>45068</v>
      </c>
      <c r="O54" s="33">
        <v>197.050003</v>
      </c>
      <c r="P54" s="36">
        <f t="shared" si="3"/>
        <v>3.248622900226672E-2</v>
      </c>
      <c r="R54" s="32">
        <v>45068</v>
      </c>
      <c r="S54" s="33">
        <v>2034.900024</v>
      </c>
      <c r="T54" s="36">
        <f t="shared" si="4"/>
        <v>-3.28171633951857E-3</v>
      </c>
      <c r="V54" s="34">
        <v>45068</v>
      </c>
      <c r="W54" s="35">
        <v>18499.349609000001</v>
      </c>
      <c r="X54" s="37">
        <f t="shared" si="5"/>
        <v>1.6257908502980811E-2</v>
      </c>
      <c r="AJ54" t="s">
        <v>93</v>
      </c>
      <c r="AK54">
        <v>0.22738172254602726</v>
      </c>
    </row>
    <row r="55" spans="2:41" x14ac:dyDescent="0.3">
      <c r="B55" s="34">
        <v>45075</v>
      </c>
      <c r="C55" s="33">
        <v>3531.6000979999999</v>
      </c>
      <c r="D55" s="36">
        <f t="shared" si="0"/>
        <v>8.5243372599415057E-3</v>
      </c>
      <c r="F55" s="32">
        <v>45075</v>
      </c>
      <c r="G55" s="33">
        <v>1596.2048339999999</v>
      </c>
      <c r="H55" s="36">
        <f t="shared" si="1"/>
        <v>4.5385213801429014E-2</v>
      </c>
      <c r="J55" s="32">
        <v>45075</v>
      </c>
      <c r="K55" s="33">
        <v>1277.600586</v>
      </c>
      <c r="L55" s="36">
        <f t="shared" si="2"/>
        <v>9.3340772560270846E-3</v>
      </c>
      <c r="N55" s="32">
        <v>45075</v>
      </c>
      <c r="O55" s="33">
        <v>202.60000600000001</v>
      </c>
      <c r="P55" s="36">
        <f t="shared" si="3"/>
        <v>2.8165455039348641E-2</v>
      </c>
      <c r="R55" s="32">
        <v>45075</v>
      </c>
      <c r="S55" s="33">
        <v>2022.5500489999999</v>
      </c>
      <c r="T55" s="36">
        <f t="shared" si="4"/>
        <v>-6.0690819471925783E-3</v>
      </c>
      <c r="V55" s="34">
        <v>45075</v>
      </c>
      <c r="W55" s="35">
        <v>18534.099609000001</v>
      </c>
      <c r="X55" s="37">
        <f t="shared" si="5"/>
        <v>1.8784444174779757E-3</v>
      </c>
      <c r="AJ55" t="s">
        <v>94</v>
      </c>
      <c r="AK55">
        <v>5.1702447747998523E-2</v>
      </c>
    </row>
    <row r="56" spans="2:41" x14ac:dyDescent="0.3">
      <c r="B56" s="34">
        <v>45082</v>
      </c>
      <c r="C56" s="33">
        <v>3632.1000979999999</v>
      </c>
      <c r="D56" s="36">
        <f t="shared" si="0"/>
        <v>2.8457355649331495E-2</v>
      </c>
      <c r="F56" s="32">
        <v>45082</v>
      </c>
      <c r="G56" s="33">
        <v>1597.304077</v>
      </c>
      <c r="H56" s="36">
        <f t="shared" si="1"/>
        <v>6.886603627465071E-4</v>
      </c>
      <c r="J56" s="32">
        <v>45082</v>
      </c>
      <c r="K56" s="33">
        <v>1275.763672</v>
      </c>
      <c r="L56" s="36">
        <f t="shared" si="2"/>
        <v>-1.437784249732621E-3</v>
      </c>
      <c r="N56" s="32">
        <v>45082</v>
      </c>
      <c r="O56" s="33">
        <v>199.25</v>
      </c>
      <c r="P56" s="36">
        <f t="shared" si="3"/>
        <v>-1.6535073547826129E-2</v>
      </c>
      <c r="R56" s="32">
        <v>45082</v>
      </c>
      <c r="S56" s="33">
        <v>1985.4499510000001</v>
      </c>
      <c r="T56" s="36">
        <f t="shared" si="4"/>
        <v>-1.8343228647589305E-2</v>
      </c>
      <c r="V56" s="34">
        <v>45082</v>
      </c>
      <c r="W56" s="35">
        <v>18563.400390999999</v>
      </c>
      <c r="X56" s="37">
        <f t="shared" si="5"/>
        <v>1.5809120819534339E-3</v>
      </c>
      <c r="AJ56" t="s">
        <v>95</v>
      </c>
      <c r="AK56">
        <v>4.2495675396037345E-2</v>
      </c>
    </row>
    <row r="57" spans="2:41" x14ac:dyDescent="0.3">
      <c r="B57" s="34">
        <v>45089</v>
      </c>
      <c r="C57" s="33">
        <v>4085.6000979999999</v>
      </c>
      <c r="D57" s="36">
        <f t="shared" si="0"/>
        <v>0.12485889368790182</v>
      </c>
      <c r="F57" s="32">
        <v>45089</v>
      </c>
      <c r="G57" s="33">
        <v>1713.074707</v>
      </c>
      <c r="H57" s="36">
        <f t="shared" si="1"/>
        <v>7.2478766984327869E-2</v>
      </c>
      <c r="J57" s="32">
        <v>45089</v>
      </c>
      <c r="K57" s="33">
        <v>1353.9506839999999</v>
      </c>
      <c r="L57" s="36">
        <f t="shared" si="2"/>
        <v>6.1286438637515817E-2</v>
      </c>
      <c r="N57" s="32">
        <v>45089</v>
      </c>
      <c r="O57" s="33">
        <v>208.89999399999999</v>
      </c>
      <c r="P57" s="36">
        <f t="shared" si="3"/>
        <v>4.8431588456712582E-2</v>
      </c>
      <c r="R57" s="32">
        <v>45089</v>
      </c>
      <c r="S57" s="33">
        <v>2138.1999510000001</v>
      </c>
      <c r="T57" s="36">
        <f t="shared" si="4"/>
        <v>7.6934701840791986E-2</v>
      </c>
      <c r="V57" s="34">
        <v>45089</v>
      </c>
      <c r="W57" s="35">
        <v>18826</v>
      </c>
      <c r="X57" s="37">
        <f t="shared" si="5"/>
        <v>1.4146094113625551E-2</v>
      </c>
      <c r="AJ57" t="s">
        <v>96</v>
      </c>
      <c r="AK57">
        <v>4.0549047532979408E-2</v>
      </c>
    </row>
    <row r="58" spans="2:41" ht="15" thickBot="1" x14ac:dyDescent="0.35">
      <c r="B58" s="34">
        <v>45096</v>
      </c>
      <c r="C58" s="33">
        <v>3744.0500489999999</v>
      </c>
      <c r="D58" s="36">
        <f t="shared" si="0"/>
        <v>-8.359850225360943E-2</v>
      </c>
      <c r="F58" s="32">
        <v>45096</v>
      </c>
      <c r="G58" s="33">
        <v>1723.767212</v>
      </c>
      <c r="H58" s="36">
        <f t="shared" si="1"/>
        <v>6.2417038534909874E-3</v>
      </c>
      <c r="J58" s="32">
        <v>45096</v>
      </c>
      <c r="K58" s="33">
        <v>1291.30188</v>
      </c>
      <c r="L58" s="36">
        <f t="shared" si="2"/>
        <v>-4.6271112190671149E-2</v>
      </c>
      <c r="N58" s="32">
        <v>45096</v>
      </c>
      <c r="O58" s="33">
        <v>203.949997</v>
      </c>
      <c r="P58" s="36">
        <f t="shared" si="3"/>
        <v>-2.3695534428785026E-2</v>
      </c>
      <c r="R58" s="32">
        <v>45096</v>
      </c>
      <c r="S58" s="33">
        <v>2098.6499020000001</v>
      </c>
      <c r="T58" s="36">
        <f t="shared" si="4"/>
        <v>-1.8496889863599097E-2</v>
      </c>
      <c r="V58" s="34">
        <v>45096</v>
      </c>
      <c r="W58" s="35">
        <v>18665.5</v>
      </c>
      <c r="X58" s="37">
        <f t="shared" si="5"/>
        <v>-8.5254435355359703E-3</v>
      </c>
      <c r="AJ58" s="60" t="s">
        <v>97</v>
      </c>
      <c r="AK58" s="60">
        <v>105</v>
      </c>
    </row>
    <row r="59" spans="2:41" x14ac:dyDescent="0.3">
      <c r="B59" s="34">
        <v>45103</v>
      </c>
      <c r="C59" s="33">
        <v>3889.1999510000001</v>
      </c>
      <c r="D59" s="36">
        <f t="shared" si="0"/>
        <v>3.8768152161525737E-2</v>
      </c>
      <c r="F59" s="32">
        <v>45103</v>
      </c>
      <c r="G59" s="33">
        <v>1762.9404300000001</v>
      </c>
      <c r="H59" s="36">
        <f t="shared" si="1"/>
        <v>2.2725352778087293E-2</v>
      </c>
      <c r="J59" s="32">
        <v>45103</v>
      </c>
      <c r="K59" s="33">
        <v>1230.142212</v>
      </c>
      <c r="L59" s="36">
        <f t="shared" si="2"/>
        <v>-4.7362796374152305E-2</v>
      </c>
      <c r="N59" s="32">
        <v>45103</v>
      </c>
      <c r="O59" s="33">
        <v>212.949997</v>
      </c>
      <c r="P59" s="36">
        <f t="shared" si="3"/>
        <v>4.4128463507650872E-2</v>
      </c>
      <c r="R59" s="32">
        <v>45103</v>
      </c>
      <c r="S59" s="33">
        <v>2211.8500979999999</v>
      </c>
      <c r="T59" s="36">
        <f t="shared" si="4"/>
        <v>5.3939533169453657E-2</v>
      </c>
      <c r="V59" s="34">
        <v>45103</v>
      </c>
      <c r="W59" s="35">
        <v>19189.050781000002</v>
      </c>
      <c r="X59" s="37">
        <f t="shared" si="5"/>
        <v>2.804911633762841E-2</v>
      </c>
    </row>
    <row r="60" spans="2:41" ht="15" thickBot="1" x14ac:dyDescent="0.35">
      <c r="B60" s="34">
        <v>45110</v>
      </c>
      <c r="C60" s="33">
        <v>3808.9499510000001</v>
      </c>
      <c r="D60" s="36">
        <f t="shared" si="0"/>
        <v>-2.0634063820597848E-2</v>
      </c>
      <c r="F60" s="32">
        <v>45110</v>
      </c>
      <c r="G60" s="33">
        <v>1701.682495</v>
      </c>
      <c r="H60" s="36">
        <f t="shared" si="1"/>
        <v>-3.4747592123688498E-2</v>
      </c>
      <c r="J60" s="32">
        <v>45110</v>
      </c>
      <c r="K60" s="33">
        <v>1197.5271</v>
      </c>
      <c r="L60" s="36">
        <f t="shared" si="2"/>
        <v>-2.6513285766345152E-2</v>
      </c>
      <c r="N60" s="32">
        <v>45110</v>
      </c>
      <c r="O60" s="33">
        <v>213.550003</v>
      </c>
      <c r="P60" s="36">
        <f t="shared" si="3"/>
        <v>2.8175910234926604E-3</v>
      </c>
      <c r="R60" s="32">
        <v>45110</v>
      </c>
      <c r="S60" s="33">
        <v>2179.1999510000001</v>
      </c>
      <c r="T60" s="36">
        <f t="shared" si="4"/>
        <v>-1.4761464635204113E-2</v>
      </c>
      <c r="V60" s="34">
        <v>45110</v>
      </c>
      <c r="W60" s="35">
        <v>19331.800781000002</v>
      </c>
      <c r="X60" s="37">
        <f t="shared" si="5"/>
        <v>7.4391381642151533E-3</v>
      </c>
      <c r="AJ60" t="s">
        <v>98</v>
      </c>
    </row>
    <row r="61" spans="2:41" x14ac:dyDescent="0.3">
      <c r="B61" s="34">
        <v>45117</v>
      </c>
      <c r="C61" s="33">
        <v>3838.75</v>
      </c>
      <c r="D61" s="36">
        <f t="shared" si="0"/>
        <v>7.8236914066502905E-3</v>
      </c>
      <c r="F61" s="32">
        <v>45117</v>
      </c>
      <c r="G61" s="33">
        <v>1686.4929199999999</v>
      </c>
      <c r="H61" s="36">
        <f t="shared" si="1"/>
        <v>-8.9262098215331376E-3</v>
      </c>
      <c r="J61" s="32">
        <v>45117</v>
      </c>
      <c r="K61" s="33">
        <v>1222.0505370000001</v>
      </c>
      <c r="L61" s="36">
        <f t="shared" si="2"/>
        <v>2.0478398359419225E-2</v>
      </c>
      <c r="N61" s="32">
        <v>45117</v>
      </c>
      <c r="O61" s="33">
        <v>214.89999399999999</v>
      </c>
      <c r="P61" s="36">
        <f t="shared" si="3"/>
        <v>6.3216622853430327E-3</v>
      </c>
      <c r="R61" s="32">
        <v>45117</v>
      </c>
      <c r="S61" s="33">
        <v>2222.8000489999999</v>
      </c>
      <c r="T61" s="36">
        <f t="shared" si="4"/>
        <v>2.0007387564409784E-2</v>
      </c>
      <c r="V61" s="34">
        <v>45117</v>
      </c>
      <c r="W61" s="35">
        <v>19564.5</v>
      </c>
      <c r="X61" s="37">
        <f t="shared" si="5"/>
        <v>1.2037120681933855E-2</v>
      </c>
      <c r="AJ61" s="61"/>
      <c r="AK61" s="61" t="s">
        <v>103</v>
      </c>
      <c r="AL61" s="61" t="s">
        <v>104</v>
      </c>
      <c r="AM61" s="61" t="s">
        <v>105</v>
      </c>
      <c r="AN61" s="61" t="s">
        <v>106</v>
      </c>
      <c r="AO61" s="61" t="s">
        <v>107</v>
      </c>
    </row>
    <row r="62" spans="2:41" x14ac:dyDescent="0.3">
      <c r="B62" s="34">
        <v>45124</v>
      </c>
      <c r="C62" s="33">
        <v>3675.6999510000001</v>
      </c>
      <c r="D62" s="36">
        <f t="shared" si="0"/>
        <v>-4.2474776685118787E-2</v>
      </c>
      <c r="F62" s="32">
        <v>45124</v>
      </c>
      <c r="G62" s="33">
        <v>1712.724976</v>
      </c>
      <c r="H62" s="36">
        <f t="shared" si="1"/>
        <v>1.5554204639056657E-2</v>
      </c>
      <c r="J62" s="32">
        <v>45124</v>
      </c>
      <c r="K62" s="33">
        <v>1271.8917240000001</v>
      </c>
      <c r="L62" s="36">
        <f t="shared" si="2"/>
        <v>4.0784882041257076E-2</v>
      </c>
      <c r="N62" s="32">
        <v>45124</v>
      </c>
      <c r="O62" s="33">
        <v>213.10000600000001</v>
      </c>
      <c r="P62" s="36">
        <f t="shared" si="3"/>
        <v>-8.375933225944987E-3</v>
      </c>
      <c r="R62" s="32">
        <v>45124</v>
      </c>
      <c r="S62" s="33">
        <v>2225.1499020000001</v>
      </c>
      <c r="T62" s="36">
        <f t="shared" si="4"/>
        <v>1.0571589653587399E-3</v>
      </c>
      <c r="V62" s="34">
        <v>45124</v>
      </c>
      <c r="W62" s="35">
        <v>19745</v>
      </c>
      <c r="X62" s="37">
        <f t="shared" si="5"/>
        <v>9.225893838329613E-3</v>
      </c>
      <c r="AJ62" t="s">
        <v>99</v>
      </c>
      <c r="AK62">
        <v>1</v>
      </c>
      <c r="AL62">
        <v>9.233471527888476E-3</v>
      </c>
      <c r="AM62">
        <v>9.233471527888476E-3</v>
      </c>
      <c r="AN62">
        <v>5.6156974204955912</v>
      </c>
      <c r="AO62">
        <v>1.9662708880877885E-2</v>
      </c>
    </row>
    <row r="63" spans="2:41" x14ac:dyDescent="0.3">
      <c r="B63" s="34">
        <v>45131</v>
      </c>
      <c r="C63" s="33">
        <v>3713.8999020000001</v>
      </c>
      <c r="D63" s="36">
        <f t="shared" si="0"/>
        <v>1.039256509215547E-2</v>
      </c>
      <c r="F63" s="32">
        <v>45131</v>
      </c>
      <c r="G63" s="33">
        <v>1729.463379</v>
      </c>
      <c r="H63" s="36">
        <f t="shared" si="1"/>
        <v>9.7729660246397287E-3</v>
      </c>
      <c r="J63" s="32">
        <v>45131</v>
      </c>
      <c r="K63" s="33">
        <v>1231.7308350000001</v>
      </c>
      <c r="L63" s="36">
        <f t="shared" si="2"/>
        <v>-3.1575713751558321E-2</v>
      </c>
      <c r="N63" s="32">
        <v>45131</v>
      </c>
      <c r="O63" s="33">
        <v>223.050003</v>
      </c>
      <c r="P63" s="36">
        <f t="shared" si="3"/>
        <v>4.6691678647817536E-2</v>
      </c>
      <c r="R63" s="32">
        <v>45131</v>
      </c>
      <c r="S63" s="33">
        <v>2245.5500489999999</v>
      </c>
      <c r="T63" s="36">
        <f t="shared" si="4"/>
        <v>9.167987730473337E-3</v>
      </c>
      <c r="V63" s="34">
        <v>45131</v>
      </c>
      <c r="W63" s="35">
        <v>19646.050781000002</v>
      </c>
      <c r="X63" s="37">
        <f t="shared" si="5"/>
        <v>-5.0113557356291638E-3</v>
      </c>
      <c r="AJ63" t="s">
        <v>100</v>
      </c>
      <c r="AK63">
        <v>103</v>
      </c>
      <c r="AL63">
        <v>0.16935520135067783</v>
      </c>
      <c r="AM63">
        <v>1.6442252558318236E-3</v>
      </c>
    </row>
    <row r="64" spans="2:41" ht="15" thickBot="1" x14ac:dyDescent="0.35">
      <c r="B64" s="34">
        <v>45138</v>
      </c>
      <c r="C64" s="33">
        <v>3652.1000979999999</v>
      </c>
      <c r="D64" s="36">
        <f t="shared" si="0"/>
        <v>-1.6640137222524443E-2</v>
      </c>
      <c r="F64" s="32">
        <v>45138</v>
      </c>
      <c r="G64" s="33">
        <v>1699.7836910000001</v>
      </c>
      <c r="H64" s="36">
        <f t="shared" si="1"/>
        <v>-1.7161212177363994E-2</v>
      </c>
      <c r="J64" s="32">
        <v>45138</v>
      </c>
      <c r="K64" s="33">
        <v>1265.0410159999999</v>
      </c>
      <c r="L64" s="36">
        <f t="shared" si="2"/>
        <v>2.70433929666134E-2</v>
      </c>
      <c r="N64" s="32">
        <v>45138</v>
      </c>
      <c r="O64" s="33">
        <v>209.800003</v>
      </c>
      <c r="P64" s="36">
        <f t="shared" si="3"/>
        <v>-5.9403720339784027E-2</v>
      </c>
      <c r="R64" s="32">
        <v>45138</v>
      </c>
      <c r="S64" s="33">
        <v>2291.8500979999999</v>
      </c>
      <c r="T64" s="36">
        <f t="shared" si="4"/>
        <v>2.0618578072048921E-2</v>
      </c>
      <c r="V64" s="34">
        <v>45138</v>
      </c>
      <c r="W64" s="35">
        <v>19517</v>
      </c>
      <c r="X64" s="37">
        <f t="shared" si="5"/>
        <v>-6.568789953694365E-3</v>
      </c>
      <c r="AJ64" s="60" t="s">
        <v>101</v>
      </c>
      <c r="AK64" s="60">
        <v>104</v>
      </c>
      <c r="AL64" s="60">
        <v>0.17858867287856631</v>
      </c>
      <c r="AM64" s="60"/>
      <c r="AN64" s="60"/>
      <c r="AO64" s="60"/>
    </row>
    <row r="65" spans="2:44" ht="15" thickBot="1" x14ac:dyDescent="0.35">
      <c r="B65" s="34">
        <v>45145</v>
      </c>
      <c r="C65" s="33">
        <v>3550.0500489999999</v>
      </c>
      <c r="D65" s="36">
        <f t="shared" si="0"/>
        <v>-2.7942840081487841E-2</v>
      </c>
      <c r="F65" s="32">
        <v>45145</v>
      </c>
      <c r="G65" s="33">
        <v>1884.5070800000001</v>
      </c>
      <c r="H65" s="36">
        <f t="shared" si="1"/>
        <v>0.1086746448845648</v>
      </c>
      <c r="J65" s="32">
        <v>45145</v>
      </c>
      <c r="K65" s="33">
        <v>1257.9918210000001</v>
      </c>
      <c r="L65" s="36">
        <f t="shared" si="2"/>
        <v>-5.5723054911602787E-3</v>
      </c>
      <c r="N65" s="32">
        <v>45145</v>
      </c>
      <c r="O65" s="33">
        <v>211.300003</v>
      </c>
      <c r="P65" s="36">
        <f t="shared" si="3"/>
        <v>7.1496662466683514E-3</v>
      </c>
      <c r="R65" s="32">
        <v>45145</v>
      </c>
      <c r="S65" s="33">
        <v>2338.5</v>
      </c>
      <c r="T65" s="36">
        <f t="shared" si="4"/>
        <v>2.0354691626956578E-2</v>
      </c>
      <c r="V65" s="34">
        <v>45145</v>
      </c>
      <c r="W65" s="35">
        <v>19428.300781000002</v>
      </c>
      <c r="X65" s="37">
        <f t="shared" si="5"/>
        <v>-4.5447158374749552E-3</v>
      </c>
    </row>
    <row r="66" spans="2:44" x14ac:dyDescent="0.3">
      <c r="B66" s="34">
        <v>45152</v>
      </c>
      <c r="C66" s="33">
        <v>3540.9499510000001</v>
      </c>
      <c r="D66" s="36">
        <f t="shared" si="0"/>
        <v>-2.5633717481147178E-3</v>
      </c>
      <c r="F66" s="32">
        <v>45152</v>
      </c>
      <c r="G66" s="33">
        <v>1972.646606</v>
      </c>
      <c r="H66" s="36">
        <f t="shared" si="1"/>
        <v>4.6770599556463344E-2</v>
      </c>
      <c r="J66" s="32">
        <v>45152</v>
      </c>
      <c r="K66" s="33">
        <v>1216.2919919999999</v>
      </c>
      <c r="L66" s="36">
        <f t="shared" si="2"/>
        <v>-3.314793332030741E-2</v>
      </c>
      <c r="N66" s="32">
        <v>45152</v>
      </c>
      <c r="O66" s="33">
        <v>214.85000600000001</v>
      </c>
      <c r="P66" s="36">
        <f t="shared" si="3"/>
        <v>1.6800771176515239E-2</v>
      </c>
      <c r="R66" s="32">
        <v>45152</v>
      </c>
      <c r="S66" s="33">
        <v>2198.9499510000001</v>
      </c>
      <c r="T66" s="36">
        <f t="shared" si="4"/>
        <v>-5.9675026298909528E-2</v>
      </c>
      <c r="V66" s="34">
        <v>45152</v>
      </c>
      <c r="W66" s="35">
        <v>19310.150390999999</v>
      </c>
      <c r="X66" s="37">
        <f t="shared" si="5"/>
        <v>-6.0813547891717112E-3</v>
      </c>
      <c r="AJ66" s="61"/>
      <c r="AK66" s="61" t="s">
        <v>108</v>
      </c>
      <c r="AL66" s="61" t="s">
        <v>96</v>
      </c>
      <c r="AM66" s="61" t="s">
        <v>109</v>
      </c>
      <c r="AN66" s="61" t="s">
        <v>110</v>
      </c>
      <c r="AO66" s="61" t="s">
        <v>111</v>
      </c>
      <c r="AP66" s="61" t="s">
        <v>112</v>
      </c>
      <c r="AQ66" s="61" t="s">
        <v>113</v>
      </c>
      <c r="AR66" s="61" t="s">
        <v>114</v>
      </c>
    </row>
    <row r="67" spans="2:44" x14ac:dyDescent="0.3">
      <c r="B67" s="34">
        <v>45159</v>
      </c>
      <c r="C67" s="33">
        <v>3534.6000979999999</v>
      </c>
      <c r="D67" s="36">
        <f t="shared" si="0"/>
        <v>-1.7932625673533487E-3</v>
      </c>
      <c r="F67" s="32">
        <v>45159</v>
      </c>
      <c r="G67" s="33">
        <v>2012.6191409999999</v>
      </c>
      <c r="H67" s="36">
        <f t="shared" si="1"/>
        <v>2.0263403935818713E-2</v>
      </c>
      <c r="J67" s="32">
        <v>45159</v>
      </c>
      <c r="K67" s="33">
        <v>1218.5500489999999</v>
      </c>
      <c r="L67" s="36">
        <f t="shared" si="2"/>
        <v>1.8565089755191444E-3</v>
      </c>
      <c r="N67" s="32">
        <v>45159</v>
      </c>
      <c r="O67" s="33">
        <v>213.550003</v>
      </c>
      <c r="P67" s="36">
        <f t="shared" si="3"/>
        <v>-6.0507468638376638E-3</v>
      </c>
      <c r="R67" s="32">
        <v>45159</v>
      </c>
      <c r="S67" s="33">
        <v>2176.75</v>
      </c>
      <c r="T67" s="36">
        <f t="shared" si="4"/>
        <v>-1.0095705447913605E-2</v>
      </c>
      <c r="V67" s="34">
        <v>45159</v>
      </c>
      <c r="W67" s="35">
        <v>19265.800781000002</v>
      </c>
      <c r="X67" s="37">
        <f t="shared" si="5"/>
        <v>-2.2966993576947203E-3</v>
      </c>
      <c r="AJ67" t="s">
        <v>102</v>
      </c>
      <c r="AK67">
        <v>-1.3599437695088917E-3</v>
      </c>
      <c r="AL67">
        <v>4.0902213425770741E-3</v>
      </c>
      <c r="AM67">
        <v>-0.33248659561588639</v>
      </c>
      <c r="AN67">
        <v>0.74019758140768954</v>
      </c>
      <c r="AO67">
        <v>-9.4719331024291677E-3</v>
      </c>
      <c r="AP67">
        <v>6.7520455634113852E-3</v>
      </c>
      <c r="AQ67">
        <v>-9.4719331024291677E-3</v>
      </c>
      <c r="AR67">
        <v>6.7520455634113852E-3</v>
      </c>
    </row>
    <row r="68" spans="2:44" ht="15" thickBot="1" x14ac:dyDescent="0.35">
      <c r="B68" s="34">
        <v>45166</v>
      </c>
      <c r="C68" s="33">
        <v>3761.0500489999999</v>
      </c>
      <c r="D68" s="36">
        <f t="shared" si="0"/>
        <v>6.406663971070814E-2</v>
      </c>
      <c r="F68" s="32">
        <v>45166</v>
      </c>
      <c r="G68" s="33">
        <v>2061.685547</v>
      </c>
      <c r="H68" s="36">
        <f t="shared" si="1"/>
        <v>2.4379379585757421E-2</v>
      </c>
      <c r="J68" s="32">
        <v>45166</v>
      </c>
      <c r="K68" s="33">
        <v>1258.400024</v>
      </c>
      <c r="L68" s="36">
        <f t="shared" si="2"/>
        <v>3.2702780679958909E-2</v>
      </c>
      <c r="N68" s="32">
        <v>45166</v>
      </c>
      <c r="O68" s="33">
        <v>218.35000600000001</v>
      </c>
      <c r="P68" s="36">
        <f t="shared" si="3"/>
        <v>2.2477185355038287E-2</v>
      </c>
      <c r="R68" s="32">
        <v>45166</v>
      </c>
      <c r="S68" s="33">
        <v>2254.6999510000001</v>
      </c>
      <c r="T68" s="36">
        <f t="shared" si="4"/>
        <v>3.58102450901574E-2</v>
      </c>
      <c r="V68" s="34">
        <v>45166</v>
      </c>
      <c r="W68" s="35">
        <v>19435.300781000002</v>
      </c>
      <c r="X68" s="37">
        <f t="shared" si="5"/>
        <v>8.797973254616176E-3</v>
      </c>
      <c r="AJ68" s="60" t="s">
        <v>115</v>
      </c>
      <c r="AK68" s="60">
        <v>0.67722647464164831</v>
      </c>
      <c r="AL68" s="60">
        <v>0.28578016179421462</v>
      </c>
      <c r="AM68" s="60">
        <v>2.3697462776625744</v>
      </c>
      <c r="AN68" s="60">
        <v>1.9662708880877473E-2</v>
      </c>
      <c r="AO68" s="60">
        <v>0.11044892646762405</v>
      </c>
      <c r="AP68" s="60">
        <v>1.2440040228156726</v>
      </c>
      <c r="AQ68" s="60">
        <v>0.11044892646762405</v>
      </c>
      <c r="AR68" s="60">
        <v>1.2440040228156726</v>
      </c>
    </row>
    <row r="69" spans="2:44" x14ac:dyDescent="0.3">
      <c r="B69" s="34">
        <v>45173</v>
      </c>
      <c r="C69" s="33">
        <v>3782.3999020000001</v>
      </c>
      <c r="D69" s="36">
        <f t="shared" si="0"/>
        <v>5.6765671080811764E-3</v>
      </c>
      <c r="F69" s="32">
        <v>45173</v>
      </c>
      <c r="G69" s="33">
        <v>2085.119385</v>
      </c>
      <c r="H69" s="36">
        <f t="shared" si="1"/>
        <v>1.136634926412472E-2</v>
      </c>
      <c r="J69" s="32">
        <v>45173</v>
      </c>
      <c r="K69" s="33">
        <v>1280.75</v>
      </c>
      <c r="L69" s="36">
        <f t="shared" si="2"/>
        <v>1.7760629031901454E-2</v>
      </c>
      <c r="N69" s="32">
        <v>45173</v>
      </c>
      <c r="O69" s="33">
        <v>229.35000600000001</v>
      </c>
      <c r="P69" s="36">
        <f t="shared" si="3"/>
        <v>5.0377832368825315E-2</v>
      </c>
      <c r="R69" s="32">
        <v>45173</v>
      </c>
      <c r="S69" s="33">
        <v>2226.3500979999999</v>
      </c>
      <c r="T69" s="36">
        <f t="shared" si="4"/>
        <v>-1.2573669941060905E-2</v>
      </c>
      <c r="V69" s="34">
        <v>45173</v>
      </c>
      <c r="W69" s="35">
        <v>19819.949218999998</v>
      </c>
      <c r="X69" s="37">
        <f t="shared" si="5"/>
        <v>1.9791226404688889E-2</v>
      </c>
    </row>
    <row r="70" spans="2:44" x14ac:dyDescent="0.3">
      <c r="B70" s="34">
        <v>45180</v>
      </c>
      <c r="C70" s="33">
        <v>3796</v>
      </c>
      <c r="D70" s="36">
        <f t="shared" si="0"/>
        <v>3.5956266794552327E-3</v>
      </c>
      <c r="F70" s="32">
        <v>45180</v>
      </c>
      <c r="G70" s="33">
        <v>2068.8305660000001</v>
      </c>
      <c r="H70" s="36">
        <f t="shared" si="1"/>
        <v>-7.8119359098471897E-3</v>
      </c>
      <c r="J70" s="32">
        <v>45180</v>
      </c>
      <c r="K70" s="33">
        <v>1314</v>
      </c>
      <c r="L70" s="36">
        <f t="shared" si="2"/>
        <v>2.5961350771032565E-2</v>
      </c>
      <c r="N70" s="32">
        <v>45180</v>
      </c>
      <c r="O70" s="33">
        <v>225.300003</v>
      </c>
      <c r="P70" s="36">
        <f t="shared" si="3"/>
        <v>-1.7658613010893109E-2</v>
      </c>
      <c r="R70" s="32">
        <v>45180</v>
      </c>
      <c r="S70" s="33">
        <v>2119.3999020000001</v>
      </c>
      <c r="T70" s="36">
        <f t="shared" si="4"/>
        <v>-4.8038354837397934E-2</v>
      </c>
      <c r="V70" s="34">
        <v>45180</v>
      </c>
      <c r="W70" s="35">
        <v>20192.349609000001</v>
      </c>
      <c r="X70" s="37">
        <f t="shared" si="5"/>
        <v>1.8789169734249711E-2</v>
      </c>
    </row>
    <row r="71" spans="2:44" x14ac:dyDescent="0.3">
      <c r="B71" s="34">
        <v>45187</v>
      </c>
      <c r="C71" s="33">
        <v>3689.1000979999999</v>
      </c>
      <c r="D71" s="36">
        <f t="shared" si="0"/>
        <v>-2.8161196522655474E-2</v>
      </c>
      <c r="F71" s="32">
        <v>45187</v>
      </c>
      <c r="G71" s="33">
        <v>2064.4833979999999</v>
      </c>
      <c r="H71" s="36">
        <f t="shared" si="1"/>
        <v>-2.1012682582340902E-3</v>
      </c>
      <c r="J71" s="32">
        <v>45187</v>
      </c>
      <c r="K71" s="33">
        <v>1342.25</v>
      </c>
      <c r="L71" s="36">
        <f t="shared" si="2"/>
        <v>2.1499238964992395E-2</v>
      </c>
      <c r="N71" s="32">
        <v>45187</v>
      </c>
      <c r="O71" s="33">
        <v>214.550003</v>
      </c>
      <c r="P71" s="36">
        <f t="shared" si="3"/>
        <v>-4.7714158263903794E-2</v>
      </c>
      <c r="R71" s="32">
        <v>45187</v>
      </c>
      <c r="S71" s="33">
        <v>2063.3000489999999</v>
      </c>
      <c r="T71" s="36">
        <f t="shared" si="4"/>
        <v>-2.6469687455897728E-2</v>
      </c>
      <c r="V71" s="34">
        <v>45187</v>
      </c>
      <c r="W71" s="35">
        <v>19674.25</v>
      </c>
      <c r="X71" s="37">
        <f t="shared" si="5"/>
        <v>-2.5658213087251469E-2</v>
      </c>
      <c r="AJ71" t="s">
        <v>91</v>
      </c>
    </row>
    <row r="72" spans="2:44" ht="15" thickBot="1" x14ac:dyDescent="0.35">
      <c r="B72" s="34">
        <v>45194</v>
      </c>
      <c r="C72" s="33">
        <v>3675.6000979999999</v>
      </c>
      <c r="D72" s="36">
        <f t="shared" si="0"/>
        <v>-3.6594290318440192E-3</v>
      </c>
      <c r="F72" s="32">
        <v>45194</v>
      </c>
      <c r="G72" s="33">
        <v>2078.7236330000001</v>
      </c>
      <c r="H72" s="36">
        <f t="shared" si="1"/>
        <v>6.8977231852751508E-3</v>
      </c>
      <c r="J72" s="32">
        <v>45194</v>
      </c>
      <c r="K72" s="33">
        <v>1338.5500489999999</v>
      </c>
      <c r="L72" s="36">
        <f t="shared" si="2"/>
        <v>-2.7565289625629541E-3</v>
      </c>
      <c r="N72" s="32">
        <v>45194</v>
      </c>
      <c r="O72" s="33">
        <v>214.25</v>
      </c>
      <c r="P72" s="36">
        <f t="shared" si="3"/>
        <v>-1.398289423468313E-3</v>
      </c>
      <c r="R72" s="32">
        <v>45194</v>
      </c>
      <c r="S72" s="33">
        <v>1972.3000489999999</v>
      </c>
      <c r="T72" s="36">
        <f t="shared" si="4"/>
        <v>-4.410410402699505E-2</v>
      </c>
      <c r="V72" s="34">
        <v>45194</v>
      </c>
      <c r="W72" s="35">
        <v>19638.300781000002</v>
      </c>
      <c r="X72" s="37">
        <f t="shared" si="5"/>
        <v>-1.8272218254824502E-3</v>
      </c>
    </row>
    <row r="73" spans="2:44" x14ac:dyDescent="0.3">
      <c r="B73" s="34">
        <v>45201</v>
      </c>
      <c r="C73" s="33">
        <v>3833.9499510000001</v>
      </c>
      <c r="D73" s="36">
        <f t="shared" si="0"/>
        <v>4.308136053379763E-2</v>
      </c>
      <c r="F73" s="32">
        <v>45201</v>
      </c>
      <c r="G73" s="33">
        <v>2070.679443</v>
      </c>
      <c r="H73" s="36">
        <f t="shared" si="1"/>
        <v>-3.8697736785677783E-3</v>
      </c>
      <c r="J73" s="32">
        <v>45201</v>
      </c>
      <c r="K73" s="33">
        <v>1298.900024</v>
      </c>
      <c r="L73" s="36">
        <f t="shared" si="2"/>
        <v>-2.9621623061178437E-2</v>
      </c>
      <c r="N73" s="32">
        <v>45201</v>
      </c>
      <c r="O73" s="33">
        <v>219</v>
      </c>
      <c r="P73" s="36">
        <f t="shared" si="3"/>
        <v>2.2170361726954413E-2</v>
      </c>
      <c r="R73" s="32">
        <v>45201</v>
      </c>
      <c r="S73" s="33">
        <v>1997.75</v>
      </c>
      <c r="T73" s="36">
        <f t="shared" si="4"/>
        <v>1.2903691308482124E-2</v>
      </c>
      <c r="V73" s="34">
        <v>45201</v>
      </c>
      <c r="W73" s="35">
        <v>19653.5</v>
      </c>
      <c r="X73" s="37">
        <f t="shared" si="5"/>
        <v>7.7395794928980521E-4</v>
      </c>
      <c r="AJ73" s="62" t="s">
        <v>92</v>
      </c>
      <c r="AK73" s="62"/>
    </row>
    <row r="74" spans="2:44" x14ac:dyDescent="0.3">
      <c r="B74" s="34">
        <v>45208</v>
      </c>
      <c r="C74" s="33">
        <v>3935.8500979999999</v>
      </c>
      <c r="D74" s="36">
        <f t="shared" si="0"/>
        <v>2.6578371732114414E-2</v>
      </c>
      <c r="F74" s="32">
        <v>45208</v>
      </c>
      <c r="G74" s="33">
        <v>2083.3706050000001</v>
      </c>
      <c r="H74" s="36">
        <f t="shared" si="1"/>
        <v>6.1289843982867964E-3</v>
      </c>
      <c r="J74" s="32">
        <v>45208</v>
      </c>
      <c r="K74" s="33">
        <v>1276.900024</v>
      </c>
      <c r="L74" s="36">
        <f t="shared" si="2"/>
        <v>-1.6937408263532405E-2</v>
      </c>
      <c r="N74" s="32">
        <v>45208</v>
      </c>
      <c r="O74" s="33">
        <v>222.5</v>
      </c>
      <c r="P74" s="36">
        <f t="shared" si="3"/>
        <v>1.5981735159817267E-2</v>
      </c>
      <c r="R74" s="32">
        <v>45208</v>
      </c>
      <c r="S74" s="33">
        <v>1942.400024</v>
      </c>
      <c r="T74" s="36">
        <f t="shared" si="4"/>
        <v>-2.7706157427105471E-2</v>
      </c>
      <c r="V74" s="34">
        <v>45208</v>
      </c>
      <c r="W74" s="35">
        <v>19751.050781000002</v>
      </c>
      <c r="X74" s="37">
        <f t="shared" si="5"/>
        <v>4.96353224616497E-3</v>
      </c>
      <c r="AJ74" t="s">
        <v>93</v>
      </c>
      <c r="AK74">
        <v>0.41279254769922213</v>
      </c>
    </row>
    <row r="75" spans="2:44" x14ac:dyDescent="0.3">
      <c r="B75" s="34">
        <v>45215</v>
      </c>
      <c r="C75" s="33">
        <v>3749.5</v>
      </c>
      <c r="D75" s="36">
        <f t="shared" si="0"/>
        <v>-4.7346848421563004E-2</v>
      </c>
      <c r="F75" s="32">
        <v>45215</v>
      </c>
      <c r="G75" s="33">
        <v>2034.7540280000001</v>
      </c>
      <c r="H75" s="36">
        <f t="shared" si="1"/>
        <v>-2.3335539477864486E-2</v>
      </c>
      <c r="J75" s="32">
        <v>45215</v>
      </c>
      <c r="K75" s="33">
        <v>1311.099976</v>
      </c>
      <c r="L75" s="36">
        <f t="shared" si="2"/>
        <v>2.6783578476931691E-2</v>
      </c>
      <c r="N75" s="32">
        <v>45215</v>
      </c>
      <c r="O75" s="33">
        <v>229.39999399999999</v>
      </c>
      <c r="P75" s="36">
        <f t="shared" si="3"/>
        <v>3.1011208988763972E-2</v>
      </c>
      <c r="R75" s="32">
        <v>45215</v>
      </c>
      <c r="S75" s="33">
        <v>1885.5500489999999</v>
      </c>
      <c r="T75" s="36">
        <f t="shared" si="4"/>
        <v>-2.9267902747925456E-2</v>
      </c>
      <c r="V75" s="34">
        <v>45215</v>
      </c>
      <c r="W75" s="35">
        <v>19542.650390999999</v>
      </c>
      <c r="X75" s="37">
        <f t="shared" si="5"/>
        <v>-1.0551357105540893E-2</v>
      </c>
      <c r="AJ75" t="s">
        <v>94</v>
      </c>
      <c r="AK75">
        <v>0.17039768743601458</v>
      </c>
    </row>
    <row r="76" spans="2:44" x14ac:dyDescent="0.3">
      <c r="B76" s="34">
        <v>45222</v>
      </c>
      <c r="C76" s="33">
        <v>3665.4499510000001</v>
      </c>
      <c r="D76" s="36">
        <f t="shared" si="0"/>
        <v>-2.2416335244699326E-2</v>
      </c>
      <c r="F76" s="32">
        <v>45222</v>
      </c>
      <c r="G76" s="33">
        <v>2120.6450199999999</v>
      </c>
      <c r="H76" s="36">
        <f t="shared" si="1"/>
        <v>4.221197786959241E-2</v>
      </c>
      <c r="J76" s="32">
        <v>45222</v>
      </c>
      <c r="K76" s="33">
        <v>1283.0500489999999</v>
      </c>
      <c r="L76" s="36">
        <f t="shared" si="2"/>
        <v>-2.1394193816993923E-2</v>
      </c>
      <c r="N76" s="32">
        <v>45222</v>
      </c>
      <c r="O76" s="33">
        <v>216</v>
      </c>
      <c r="P76" s="36">
        <f t="shared" si="3"/>
        <v>-5.8413227334260465E-2</v>
      </c>
      <c r="R76" s="32">
        <v>45222</v>
      </c>
      <c r="S76" s="33">
        <v>1745.1999510000001</v>
      </c>
      <c r="T76" s="36">
        <f t="shared" si="4"/>
        <v>-7.4434565168097433E-2</v>
      </c>
      <c r="V76" s="34">
        <v>45222</v>
      </c>
      <c r="W76" s="35">
        <v>19047.25</v>
      </c>
      <c r="X76" s="37">
        <f t="shared" si="5"/>
        <v>-2.5349703396840506E-2</v>
      </c>
      <c r="AJ76" t="s">
        <v>95</v>
      </c>
      <c r="AK76">
        <v>0.16234329605189823</v>
      </c>
    </row>
    <row r="77" spans="2:44" x14ac:dyDescent="0.3">
      <c r="B77" s="34">
        <v>45229</v>
      </c>
      <c r="C77" s="33">
        <v>3649.6999510000001</v>
      </c>
      <c r="D77" s="36">
        <f t="shared" ref="D77:D116" si="7">C77/C76-1</f>
        <v>-4.2968803859135818E-3</v>
      </c>
      <c r="F77" s="32">
        <v>45229</v>
      </c>
      <c r="G77" s="33">
        <v>2194.9938959999999</v>
      </c>
      <c r="H77" s="36">
        <f t="shared" ref="H77:H116" si="8">G77/G76-1</f>
        <v>3.5059557492559623E-2</v>
      </c>
      <c r="J77" s="32">
        <v>45229</v>
      </c>
      <c r="K77" s="33">
        <v>1302.650024</v>
      </c>
      <c r="L77" s="36">
        <f t="shared" ref="L77:L116" si="9">K77/K76-1</f>
        <v>1.5276079849945168E-2</v>
      </c>
      <c r="N77" s="32">
        <v>45229</v>
      </c>
      <c r="O77" s="33">
        <v>215.39999399999999</v>
      </c>
      <c r="P77" s="36">
        <f t="shared" ref="P77:P116" si="10">O77/O76-1</f>
        <v>-2.7778055555556236E-3</v>
      </c>
      <c r="R77" s="32">
        <v>45229</v>
      </c>
      <c r="S77" s="33">
        <v>1709.25</v>
      </c>
      <c r="T77" s="36">
        <f t="shared" ref="T77:T116" si="11">S77/S76-1</f>
        <v>-2.0599330741099764E-2</v>
      </c>
      <c r="V77" s="34">
        <v>45229</v>
      </c>
      <c r="W77" s="35">
        <v>19230.599609000001</v>
      </c>
      <c r="X77" s="37">
        <f t="shared" ref="X77:X116" si="12">W77/W76-1</f>
        <v>9.6260409770438926E-3</v>
      </c>
      <c r="AJ77" t="s">
        <v>96</v>
      </c>
      <c r="AK77">
        <v>4.1723425916418373E-2</v>
      </c>
    </row>
    <row r="78" spans="2:44" ht="15" thickBot="1" x14ac:dyDescent="0.35">
      <c r="B78" s="34">
        <v>45236</v>
      </c>
      <c r="C78" s="33">
        <v>3798.3999020000001</v>
      </c>
      <c r="D78" s="36">
        <f t="shared" si="7"/>
        <v>4.0743061894514598E-2</v>
      </c>
      <c r="F78" s="32">
        <v>45236</v>
      </c>
      <c r="G78" s="33">
        <v>2487.6433109999998</v>
      </c>
      <c r="H78" s="36">
        <f t="shared" si="8"/>
        <v>0.13332584456535534</v>
      </c>
      <c r="J78" s="32">
        <v>45236</v>
      </c>
      <c r="K78" s="33">
        <v>1332.6999510000001</v>
      </c>
      <c r="L78" s="36">
        <f t="shared" si="9"/>
        <v>2.3068304184823862E-2</v>
      </c>
      <c r="N78" s="32">
        <v>45236</v>
      </c>
      <c r="O78" s="33">
        <v>216.60000600000001</v>
      </c>
      <c r="P78" s="36">
        <f t="shared" si="10"/>
        <v>5.5710865061584514E-3</v>
      </c>
      <c r="R78" s="32">
        <v>45236</v>
      </c>
      <c r="S78" s="33">
        <v>1682</v>
      </c>
      <c r="T78" s="36">
        <f t="shared" si="11"/>
        <v>-1.5942664911510862E-2</v>
      </c>
      <c r="V78" s="34">
        <v>45236</v>
      </c>
      <c r="W78" s="35">
        <v>19425.349609000001</v>
      </c>
      <c r="X78" s="37">
        <f t="shared" si="12"/>
        <v>1.0127089324289962E-2</v>
      </c>
      <c r="AJ78" s="60" t="s">
        <v>97</v>
      </c>
      <c r="AK78" s="60">
        <v>105</v>
      </c>
    </row>
    <row r="79" spans="2:44" x14ac:dyDescent="0.3">
      <c r="B79" s="34">
        <v>45243</v>
      </c>
      <c r="C79" s="33">
        <v>3810.8999020000001</v>
      </c>
      <c r="D79" s="36">
        <f t="shared" si="7"/>
        <v>3.2908593940881303E-3</v>
      </c>
      <c r="F79" s="32">
        <v>45243</v>
      </c>
      <c r="G79" s="33">
        <v>2574.6335450000001</v>
      </c>
      <c r="H79" s="36">
        <f t="shared" si="8"/>
        <v>3.4968933695334048E-2</v>
      </c>
      <c r="J79" s="32">
        <v>45243</v>
      </c>
      <c r="K79" s="33">
        <v>1304.8000489999999</v>
      </c>
      <c r="L79" s="36">
        <f t="shared" si="9"/>
        <v>-2.0934871333239902E-2</v>
      </c>
      <c r="N79" s="32">
        <v>45243</v>
      </c>
      <c r="O79" s="33">
        <v>215.64999399999999</v>
      </c>
      <c r="P79" s="36">
        <f t="shared" si="10"/>
        <v>-4.3860201924463826E-3</v>
      </c>
      <c r="R79" s="32">
        <v>45243</v>
      </c>
      <c r="S79" s="33">
        <v>1695.75</v>
      </c>
      <c r="T79" s="36">
        <f t="shared" si="11"/>
        <v>8.1747919143875247E-3</v>
      </c>
      <c r="V79" s="34">
        <v>45243</v>
      </c>
      <c r="W79" s="35">
        <v>19731.800781000002</v>
      </c>
      <c r="X79" s="37">
        <f t="shared" si="12"/>
        <v>1.5775838178892609E-2</v>
      </c>
    </row>
    <row r="80" spans="2:44" ht="15" thickBot="1" x14ac:dyDescent="0.35">
      <c r="B80" s="34">
        <v>45250</v>
      </c>
      <c r="C80" s="33">
        <v>3842.8999020000001</v>
      </c>
      <c r="D80" s="36">
        <f t="shared" si="7"/>
        <v>8.396966811751172E-3</v>
      </c>
      <c r="F80" s="32">
        <v>45250</v>
      </c>
      <c r="G80" s="33">
        <v>2647.8833009999998</v>
      </c>
      <c r="H80" s="36">
        <f t="shared" si="8"/>
        <v>2.8450556057677545E-2</v>
      </c>
      <c r="J80" s="32">
        <v>45250</v>
      </c>
      <c r="K80" s="33">
        <v>1344.349976</v>
      </c>
      <c r="L80" s="36">
        <f t="shared" si="9"/>
        <v>3.0311101712719113E-2</v>
      </c>
      <c r="N80" s="32">
        <v>45250</v>
      </c>
      <c r="O80" s="33">
        <v>228.300003</v>
      </c>
      <c r="P80" s="36">
        <f t="shared" si="10"/>
        <v>5.8659908889216128E-2</v>
      </c>
      <c r="R80" s="32">
        <v>45250</v>
      </c>
      <c r="S80" s="33">
        <v>1849.650024</v>
      </c>
      <c r="T80" s="36">
        <f t="shared" si="11"/>
        <v>9.0756316674038162E-2</v>
      </c>
      <c r="V80" s="34">
        <v>45250</v>
      </c>
      <c r="W80" s="35">
        <v>19794.699218999998</v>
      </c>
      <c r="X80" s="37">
        <f t="shared" si="12"/>
        <v>3.1876684088845142E-3</v>
      </c>
      <c r="AJ80" t="s">
        <v>98</v>
      </c>
    </row>
    <row r="81" spans="2:44" x14ac:dyDescent="0.3">
      <c r="B81" s="34">
        <v>45257</v>
      </c>
      <c r="C81" s="33">
        <v>3988.3999020000001</v>
      </c>
      <c r="D81" s="36">
        <f t="shared" si="7"/>
        <v>3.7862032244003085E-2</v>
      </c>
      <c r="F81" s="32">
        <v>45257</v>
      </c>
      <c r="G81" s="33">
        <v>2805.7749020000001</v>
      </c>
      <c r="H81" s="36">
        <f t="shared" si="8"/>
        <v>5.9629365440829973E-2</v>
      </c>
      <c r="J81" s="32">
        <v>45257</v>
      </c>
      <c r="K81" s="33">
        <v>1391.75</v>
      </c>
      <c r="L81" s="36">
        <f t="shared" si="9"/>
        <v>3.525869367814094E-2</v>
      </c>
      <c r="N81" s="32">
        <v>45257</v>
      </c>
      <c r="O81" s="33">
        <v>231.39999399999999</v>
      </c>
      <c r="P81" s="36">
        <f t="shared" si="10"/>
        <v>1.357858501648801E-2</v>
      </c>
      <c r="R81" s="32">
        <v>45257</v>
      </c>
      <c r="S81" s="33">
        <v>1781.150024</v>
      </c>
      <c r="T81" s="36">
        <f t="shared" si="11"/>
        <v>-3.7034032985258425E-2</v>
      </c>
      <c r="V81" s="34">
        <v>45257</v>
      </c>
      <c r="W81" s="35">
        <v>20267.900390999999</v>
      </c>
      <c r="X81" s="37">
        <f t="shared" si="12"/>
        <v>2.390544896715574E-2</v>
      </c>
      <c r="AJ81" s="61"/>
      <c r="AK81" s="61" t="s">
        <v>103</v>
      </c>
      <c r="AL81" s="61" t="s">
        <v>104</v>
      </c>
      <c r="AM81" s="61" t="s">
        <v>105</v>
      </c>
      <c r="AN81" s="61" t="s">
        <v>106</v>
      </c>
      <c r="AO81" s="61" t="s">
        <v>107</v>
      </c>
    </row>
    <row r="82" spans="2:44" x14ac:dyDescent="0.3">
      <c r="B82" s="34">
        <v>45264</v>
      </c>
      <c r="C82" s="33">
        <v>4070.6499020000001</v>
      </c>
      <c r="D82" s="36">
        <f t="shared" si="7"/>
        <v>2.0622305190298285E-2</v>
      </c>
      <c r="F82" s="32">
        <v>45264</v>
      </c>
      <c r="G82" s="33">
        <v>2839.3520509999998</v>
      </c>
      <c r="H82" s="36">
        <f t="shared" si="8"/>
        <v>1.1967157085932101E-2</v>
      </c>
      <c r="J82" s="32">
        <v>45264</v>
      </c>
      <c r="K82" s="33">
        <v>1458.75</v>
      </c>
      <c r="L82" s="36">
        <f t="shared" si="9"/>
        <v>4.8140829890425785E-2</v>
      </c>
      <c r="N82" s="32">
        <v>45264</v>
      </c>
      <c r="O82" s="33">
        <v>233.949997</v>
      </c>
      <c r="P82" s="36">
        <f t="shared" si="10"/>
        <v>1.101989224770672E-2</v>
      </c>
      <c r="R82" s="32">
        <v>45264</v>
      </c>
      <c r="S82" s="33">
        <v>1780</v>
      </c>
      <c r="T82" s="36">
        <f t="shared" si="11"/>
        <v>-6.4566374786179104E-4</v>
      </c>
      <c r="V82" s="34">
        <v>45264</v>
      </c>
      <c r="W82" s="35">
        <v>20969.400390999999</v>
      </c>
      <c r="X82" s="37">
        <f t="shared" si="12"/>
        <v>3.4611379889724736E-2</v>
      </c>
      <c r="AJ82" t="s">
        <v>99</v>
      </c>
      <c r="AK82">
        <v>1</v>
      </c>
      <c r="AL82">
        <v>3.6829081637848177E-2</v>
      </c>
      <c r="AM82">
        <v>3.6829081637848177E-2</v>
      </c>
      <c r="AN82">
        <v>21.155873772417713</v>
      </c>
      <c r="AO82">
        <v>1.2086366680085817E-5</v>
      </c>
    </row>
    <row r="83" spans="2:44" x14ac:dyDescent="0.3">
      <c r="B83" s="34">
        <v>45271</v>
      </c>
      <c r="C83" s="33">
        <v>4045.6499020000001</v>
      </c>
      <c r="D83" s="36">
        <f t="shared" si="7"/>
        <v>-6.1415254570816868E-3</v>
      </c>
      <c r="F83" s="32">
        <v>45271</v>
      </c>
      <c r="G83" s="33">
        <v>2987.7001949999999</v>
      </c>
      <c r="H83" s="36">
        <f t="shared" si="8"/>
        <v>5.2247182221645483E-2</v>
      </c>
      <c r="J83" s="32">
        <v>45271</v>
      </c>
      <c r="K83" s="33">
        <v>1330.9499510000001</v>
      </c>
      <c r="L83" s="36">
        <f t="shared" si="9"/>
        <v>-8.7609288089117388E-2</v>
      </c>
      <c r="N83" s="32">
        <v>45271</v>
      </c>
      <c r="O83" s="33">
        <v>232.60000600000001</v>
      </c>
      <c r="P83" s="36">
        <f t="shared" si="10"/>
        <v>-5.7704253785478832E-3</v>
      </c>
      <c r="R83" s="32">
        <v>45271</v>
      </c>
      <c r="S83" s="33">
        <v>1832.5500489999999</v>
      </c>
      <c r="T83" s="36">
        <f t="shared" si="11"/>
        <v>2.9522499438202177E-2</v>
      </c>
      <c r="V83" s="34">
        <v>45271</v>
      </c>
      <c r="W83" s="35">
        <v>21456.650390999999</v>
      </c>
      <c r="X83" s="37">
        <f t="shared" si="12"/>
        <v>2.3236239039487572E-2</v>
      </c>
      <c r="AJ83" t="s">
        <v>100</v>
      </c>
      <c r="AK83">
        <v>103</v>
      </c>
      <c r="AL83">
        <v>0.17930695983089379</v>
      </c>
      <c r="AM83">
        <v>1.7408442702028524E-3</v>
      </c>
    </row>
    <row r="84" spans="2:44" ht="15" thickBot="1" x14ac:dyDescent="0.35">
      <c r="B84" s="34">
        <v>45278</v>
      </c>
      <c r="C84" s="33">
        <v>4007.9499510000001</v>
      </c>
      <c r="D84" s="36">
        <f t="shared" si="7"/>
        <v>-9.3186390105982619E-3</v>
      </c>
      <c r="F84" s="32">
        <v>45278</v>
      </c>
      <c r="G84" s="33">
        <v>2963.466797</v>
      </c>
      <c r="H84" s="36">
        <f t="shared" si="8"/>
        <v>-8.1110541280396964E-3</v>
      </c>
      <c r="J84" s="32">
        <v>45278</v>
      </c>
      <c r="K84" s="33">
        <v>1278.349976</v>
      </c>
      <c r="L84" s="36">
        <f t="shared" si="9"/>
        <v>-3.9520625821038213E-2</v>
      </c>
      <c r="N84" s="32">
        <v>45278</v>
      </c>
      <c r="O84" s="33">
        <v>219.800003</v>
      </c>
      <c r="P84" s="36">
        <f t="shared" si="10"/>
        <v>-5.5030106061132233E-2</v>
      </c>
      <c r="R84" s="32">
        <v>45278</v>
      </c>
      <c r="S84" s="33">
        <v>2104.4499510000001</v>
      </c>
      <c r="T84" s="36">
        <f t="shared" si="11"/>
        <v>0.14837242898133818</v>
      </c>
      <c r="V84" s="34">
        <v>45278</v>
      </c>
      <c r="W84" s="35">
        <v>21349.400390999999</v>
      </c>
      <c r="X84" s="37">
        <f t="shared" si="12"/>
        <v>-4.9984502727874469E-3</v>
      </c>
      <c r="AJ84" s="60" t="s">
        <v>101</v>
      </c>
      <c r="AK84" s="60">
        <v>104</v>
      </c>
      <c r="AL84" s="60">
        <v>0.21613604146874196</v>
      </c>
      <c r="AM84" s="60"/>
      <c r="AN84" s="60"/>
      <c r="AO84" s="60"/>
    </row>
    <row r="85" spans="2:44" ht="15" thickBot="1" x14ac:dyDescent="0.35">
      <c r="B85" s="34">
        <v>45285</v>
      </c>
      <c r="C85" s="33">
        <v>4082.6499020000001</v>
      </c>
      <c r="D85" s="36">
        <f t="shared" si="7"/>
        <v>1.8637945062503158E-2</v>
      </c>
      <c r="F85" s="32">
        <v>45285</v>
      </c>
      <c r="G85" s="33">
        <v>3052.8554690000001</v>
      </c>
      <c r="H85" s="36">
        <f t="shared" si="8"/>
        <v>3.0163547670077007E-2</v>
      </c>
      <c r="J85" s="32">
        <v>45285</v>
      </c>
      <c r="K85" s="33">
        <v>1267.900024</v>
      </c>
      <c r="L85" s="36">
        <f t="shared" si="9"/>
        <v>-8.174562675471897E-3</v>
      </c>
      <c r="N85" s="32">
        <v>45285</v>
      </c>
      <c r="O85" s="33">
        <v>223.699997</v>
      </c>
      <c r="P85" s="36">
        <f t="shared" si="10"/>
        <v>1.7743375554003071E-2</v>
      </c>
      <c r="R85" s="32">
        <v>45285</v>
      </c>
      <c r="S85" s="33">
        <v>2004.6999510000001</v>
      </c>
      <c r="T85" s="36">
        <f t="shared" si="11"/>
        <v>-4.7399559182959128E-2</v>
      </c>
      <c r="V85" s="34">
        <v>45285</v>
      </c>
      <c r="W85" s="35">
        <v>21731.400390999999</v>
      </c>
      <c r="X85" s="37">
        <f t="shared" si="12"/>
        <v>1.7892774176507364E-2</v>
      </c>
    </row>
    <row r="86" spans="2:44" x14ac:dyDescent="0.3">
      <c r="B86" s="34">
        <v>45292</v>
      </c>
      <c r="C86" s="33">
        <v>3863.5</v>
      </c>
      <c r="D86" s="36">
        <f t="shared" si="7"/>
        <v>-5.3678347950590455E-2</v>
      </c>
      <c r="F86" s="32">
        <v>45292</v>
      </c>
      <c r="G86" s="33">
        <v>3063.4482419999999</v>
      </c>
      <c r="H86" s="36">
        <f t="shared" si="8"/>
        <v>3.469791841626213E-3</v>
      </c>
      <c r="J86" s="32">
        <v>45292</v>
      </c>
      <c r="K86" s="33">
        <v>1209.5500489999999</v>
      </c>
      <c r="L86" s="36">
        <f t="shared" si="9"/>
        <v>-4.602095898375036E-2</v>
      </c>
      <c r="N86" s="32">
        <v>45292</v>
      </c>
      <c r="O86" s="33">
        <v>238.10000600000001</v>
      </c>
      <c r="P86" s="36">
        <f t="shared" si="10"/>
        <v>6.4371967783262818E-2</v>
      </c>
      <c r="R86" s="32">
        <v>45292</v>
      </c>
      <c r="S86" s="33">
        <v>2197</v>
      </c>
      <c r="T86" s="36">
        <f t="shared" si="11"/>
        <v>9.5924604030680705E-2</v>
      </c>
      <c r="V86" s="34">
        <v>45292</v>
      </c>
      <c r="W86" s="35">
        <v>21710.800781000002</v>
      </c>
      <c r="X86" s="37">
        <f t="shared" si="12"/>
        <v>-9.4791912299074799E-4</v>
      </c>
      <c r="AJ86" s="61"/>
      <c r="AK86" s="61" t="s">
        <v>108</v>
      </c>
      <c r="AL86" s="61" t="s">
        <v>96</v>
      </c>
      <c r="AM86" s="61" t="s">
        <v>109</v>
      </c>
      <c r="AN86" s="61" t="s">
        <v>110</v>
      </c>
      <c r="AO86" s="61" t="s">
        <v>111</v>
      </c>
      <c r="AP86" s="61" t="s">
        <v>112</v>
      </c>
      <c r="AQ86" s="61" t="s">
        <v>113</v>
      </c>
      <c r="AR86" s="61" t="s">
        <v>114</v>
      </c>
    </row>
    <row r="87" spans="2:44" x14ac:dyDescent="0.3">
      <c r="B87" s="34">
        <v>45299</v>
      </c>
      <c r="C87" s="33">
        <v>3841</v>
      </c>
      <c r="D87" s="36">
        <f t="shared" si="7"/>
        <v>-5.8237349553513784E-3</v>
      </c>
      <c r="F87" s="32">
        <v>45299</v>
      </c>
      <c r="G87" s="33">
        <v>3209.94751</v>
      </c>
      <c r="H87" s="36">
        <f t="shared" si="8"/>
        <v>4.7821688642063265E-2</v>
      </c>
      <c r="J87" s="32">
        <v>45299</v>
      </c>
      <c r="K87" s="33">
        <v>1199.650024</v>
      </c>
      <c r="L87" s="36">
        <f t="shared" si="9"/>
        <v>-8.1848824760784034E-3</v>
      </c>
      <c r="N87" s="32">
        <v>45299</v>
      </c>
      <c r="O87" s="33">
        <v>233</v>
      </c>
      <c r="P87" s="36">
        <f t="shared" si="10"/>
        <v>-2.1419596268300811E-2</v>
      </c>
      <c r="R87" s="32">
        <v>45299</v>
      </c>
      <c r="S87" s="33">
        <v>2088.25</v>
      </c>
      <c r="T87" s="36">
        <f t="shared" si="11"/>
        <v>-4.9499317250796593E-2</v>
      </c>
      <c r="V87" s="34">
        <v>45299</v>
      </c>
      <c r="W87" s="35">
        <v>21894.550781000002</v>
      </c>
      <c r="X87" s="37">
        <f t="shared" si="12"/>
        <v>8.4635293674109047E-3</v>
      </c>
      <c r="AJ87" t="s">
        <v>102</v>
      </c>
      <c r="AK87">
        <v>-1.5774648035621354E-3</v>
      </c>
      <c r="AL87">
        <v>4.2086820172525137E-3</v>
      </c>
      <c r="AM87">
        <v>-0.374812066365595</v>
      </c>
      <c r="AN87">
        <v>0.70857086540038172</v>
      </c>
      <c r="AO87">
        <v>-9.9243929451318848E-3</v>
      </c>
      <c r="AP87">
        <v>6.7694633380076131E-3</v>
      </c>
      <c r="AQ87">
        <v>-9.9243929451318848E-3</v>
      </c>
      <c r="AR87">
        <v>6.7694633380076131E-3</v>
      </c>
    </row>
    <row r="88" spans="2:44" ht="15" thickBot="1" x14ac:dyDescent="0.35">
      <c r="B88" s="34">
        <v>45306</v>
      </c>
      <c r="C88" s="33">
        <v>3731.6999510000001</v>
      </c>
      <c r="D88" s="36">
        <f t="shared" si="7"/>
        <v>-2.8456143972923731E-2</v>
      </c>
      <c r="F88" s="32">
        <v>45306</v>
      </c>
      <c r="G88" s="33">
        <v>3207.8491210000002</v>
      </c>
      <c r="H88" s="36">
        <f t="shared" si="8"/>
        <v>-6.5371442787232059E-4</v>
      </c>
      <c r="J88" s="32">
        <v>45306</v>
      </c>
      <c r="K88" s="33">
        <v>1088.0500489999999</v>
      </c>
      <c r="L88" s="36">
        <f t="shared" si="9"/>
        <v>-9.3027110213270037E-2</v>
      </c>
      <c r="N88" s="32">
        <v>45306</v>
      </c>
      <c r="O88" s="33">
        <v>223.800003</v>
      </c>
      <c r="P88" s="36">
        <f t="shared" si="10"/>
        <v>-3.9484965665236071E-2</v>
      </c>
      <c r="R88" s="32">
        <v>45306</v>
      </c>
      <c r="S88" s="33">
        <v>2068.5</v>
      </c>
      <c r="T88" s="36">
        <f t="shared" si="11"/>
        <v>-9.4576798754938407E-3</v>
      </c>
      <c r="V88" s="34">
        <v>45306</v>
      </c>
      <c r="W88" s="35">
        <v>21622.400390999999</v>
      </c>
      <c r="X88" s="37">
        <f t="shared" si="12"/>
        <v>-1.2430051327482539E-2</v>
      </c>
      <c r="AJ88" s="60" t="s">
        <v>115</v>
      </c>
      <c r="AK88" s="60">
        <v>1.3525298701179902</v>
      </c>
      <c r="AL88" s="60">
        <v>0.2940569047720577</v>
      </c>
      <c r="AM88" s="60">
        <v>4.5995514751351356</v>
      </c>
      <c r="AN88" s="60">
        <v>1.2086366680085281E-5</v>
      </c>
      <c r="AO88" s="60">
        <v>0.76933735436050432</v>
      </c>
      <c r="AP88" s="60">
        <v>1.9357223858754762</v>
      </c>
      <c r="AQ88" s="60">
        <v>0.76933735436050432</v>
      </c>
      <c r="AR88" s="60">
        <v>1.9357223858754762</v>
      </c>
    </row>
    <row r="89" spans="2:44" x14ac:dyDescent="0.3">
      <c r="B89" s="34">
        <v>45313</v>
      </c>
      <c r="C89" s="33">
        <v>3734.25</v>
      </c>
      <c r="D89" s="36">
        <f t="shared" si="7"/>
        <v>6.8334781292289648E-4</v>
      </c>
      <c r="F89" s="32">
        <v>45313</v>
      </c>
      <c r="G89" s="33">
        <v>3229.5842290000001</v>
      </c>
      <c r="H89" s="36">
        <f t="shared" si="8"/>
        <v>6.7756017132203361E-3</v>
      </c>
      <c r="J89" s="32">
        <v>45313</v>
      </c>
      <c r="K89" s="33">
        <v>1125.0500489999999</v>
      </c>
      <c r="L89" s="36">
        <f t="shared" si="9"/>
        <v>3.4005788643643564E-2</v>
      </c>
      <c r="N89" s="32">
        <v>45313</v>
      </c>
      <c r="O89" s="33">
        <v>241.60000600000001</v>
      </c>
      <c r="P89" s="36">
        <f t="shared" si="10"/>
        <v>7.9535311713110124E-2</v>
      </c>
      <c r="R89" s="32">
        <v>45313</v>
      </c>
      <c r="S89" s="33">
        <v>2073.5</v>
      </c>
      <c r="T89" s="36">
        <f t="shared" si="11"/>
        <v>2.4172105390378729E-3</v>
      </c>
      <c r="V89" s="34">
        <v>45313</v>
      </c>
      <c r="W89" s="35">
        <v>21352.599609000001</v>
      </c>
      <c r="X89" s="37">
        <f t="shared" si="12"/>
        <v>-1.2477836739731241E-2</v>
      </c>
    </row>
    <row r="90" spans="2:44" x14ac:dyDescent="0.3">
      <c r="B90" s="34">
        <v>45320</v>
      </c>
      <c r="C90" s="33">
        <v>3784.3000489999999</v>
      </c>
      <c r="D90" s="36">
        <f t="shared" si="7"/>
        <v>1.3402972216643327E-2</v>
      </c>
      <c r="F90" s="32">
        <v>45320</v>
      </c>
      <c r="G90" s="33">
        <v>3123.9067380000001</v>
      </c>
      <c r="H90" s="36">
        <f t="shared" si="8"/>
        <v>-3.2721701465801889E-2</v>
      </c>
      <c r="J90" s="32">
        <v>45320</v>
      </c>
      <c r="K90" s="33">
        <v>961.65002400000003</v>
      </c>
      <c r="L90" s="36">
        <f t="shared" si="9"/>
        <v>-0.14523800531828601</v>
      </c>
      <c r="N90" s="32">
        <v>45320</v>
      </c>
      <c r="O90" s="33">
        <v>248.449997</v>
      </c>
      <c r="P90" s="36">
        <f t="shared" si="10"/>
        <v>2.8352611050845633E-2</v>
      </c>
      <c r="R90" s="32">
        <v>45320</v>
      </c>
      <c r="S90" s="33">
        <v>2084.75</v>
      </c>
      <c r="T90" s="36">
        <f t="shared" si="11"/>
        <v>5.4256088738846575E-3</v>
      </c>
      <c r="V90" s="34">
        <v>45320</v>
      </c>
      <c r="W90" s="35">
        <v>21853.800781000002</v>
      </c>
      <c r="X90" s="37">
        <f t="shared" si="12"/>
        <v>2.3472606669810325E-2</v>
      </c>
    </row>
    <row r="91" spans="2:44" x14ac:dyDescent="0.3">
      <c r="B91" s="34">
        <v>45327</v>
      </c>
      <c r="C91" s="33">
        <v>3719.1999510000001</v>
      </c>
      <c r="D91" s="36">
        <f t="shared" si="7"/>
        <v>-1.7202678740339983E-2</v>
      </c>
      <c r="F91" s="32">
        <v>45327</v>
      </c>
      <c r="G91" s="33">
        <v>3756.9724120000001</v>
      </c>
      <c r="H91" s="36">
        <f t="shared" si="8"/>
        <v>0.20265191220314849</v>
      </c>
      <c r="J91" s="32">
        <v>45327</v>
      </c>
      <c r="K91" s="33">
        <v>964.79998799999998</v>
      </c>
      <c r="L91" s="36">
        <f t="shared" si="9"/>
        <v>3.2755825106702829E-3</v>
      </c>
      <c r="N91" s="32">
        <v>45327</v>
      </c>
      <c r="O91" s="33">
        <v>252.85000600000001</v>
      </c>
      <c r="P91" s="36">
        <f t="shared" si="10"/>
        <v>1.7709837203177869E-2</v>
      </c>
      <c r="R91" s="32">
        <v>45327</v>
      </c>
      <c r="S91" s="33">
        <v>2164.6499020000001</v>
      </c>
      <c r="T91" s="36">
        <f t="shared" si="11"/>
        <v>3.8325891353879316E-2</v>
      </c>
      <c r="V91" s="34">
        <v>45327</v>
      </c>
      <c r="W91" s="35">
        <v>21782.5</v>
      </c>
      <c r="X91" s="37">
        <f t="shared" si="12"/>
        <v>-3.2626261085894059E-3</v>
      </c>
    </row>
    <row r="92" spans="2:44" x14ac:dyDescent="0.3">
      <c r="B92" s="34">
        <v>45334</v>
      </c>
      <c r="C92" s="33">
        <v>3693.3000489999999</v>
      </c>
      <c r="D92" s="36">
        <f t="shared" si="7"/>
        <v>-6.9638369383814291E-3</v>
      </c>
      <c r="F92" s="32">
        <v>45334</v>
      </c>
      <c r="G92" s="33">
        <v>4021.8408199999999</v>
      </c>
      <c r="H92" s="36">
        <f t="shared" si="8"/>
        <v>7.0500493204047388E-2</v>
      </c>
      <c r="J92" s="32">
        <v>45334</v>
      </c>
      <c r="K92" s="33">
        <v>972.40002400000003</v>
      </c>
      <c r="L92" s="36">
        <f t="shared" si="9"/>
        <v>7.8773176767494846E-3</v>
      </c>
      <c r="N92" s="32">
        <v>45334</v>
      </c>
      <c r="O92" s="33">
        <v>230.85000600000001</v>
      </c>
      <c r="P92" s="36">
        <f t="shared" si="10"/>
        <v>-8.7008105509002842E-2</v>
      </c>
      <c r="R92" s="32">
        <v>45334</v>
      </c>
      <c r="S92" s="33">
        <v>1988.75</v>
      </c>
      <c r="T92" s="36">
        <f t="shared" si="11"/>
        <v>-8.126020833090819E-2</v>
      </c>
      <c r="V92" s="34">
        <v>45334</v>
      </c>
      <c r="W92" s="35">
        <v>22040.699218999998</v>
      </c>
      <c r="X92" s="37">
        <f t="shared" si="12"/>
        <v>1.1853516308963474E-2</v>
      </c>
      <c r="AJ92" t="s">
        <v>91</v>
      </c>
    </row>
    <row r="93" spans="2:44" ht="15" thickBot="1" x14ac:dyDescent="0.35">
      <c r="B93" s="34">
        <v>45341</v>
      </c>
      <c r="C93" s="33">
        <v>3840.5500489999999</v>
      </c>
      <c r="D93" s="36">
        <f t="shared" si="7"/>
        <v>3.9869492878020996E-2</v>
      </c>
      <c r="F93" s="32">
        <v>45341</v>
      </c>
      <c r="G93" s="33">
        <v>3883.1357419999999</v>
      </c>
      <c r="H93" s="36">
        <f t="shared" si="8"/>
        <v>-3.4487958178314959E-2</v>
      </c>
      <c r="J93" s="32">
        <v>45341</v>
      </c>
      <c r="K93" s="33">
        <v>985.20001200000002</v>
      </c>
      <c r="L93" s="36">
        <f t="shared" si="9"/>
        <v>1.3163294615467835E-2</v>
      </c>
      <c r="N93" s="32">
        <v>45341</v>
      </c>
      <c r="O93" s="33">
        <v>226.199997</v>
      </c>
      <c r="P93" s="36">
        <f t="shared" si="10"/>
        <v>-2.0142988430331688E-2</v>
      </c>
      <c r="R93" s="32">
        <v>45341</v>
      </c>
      <c r="S93" s="33">
        <v>1988.0500489999999</v>
      </c>
      <c r="T93" s="36">
        <f t="shared" si="11"/>
        <v>-3.5195524827158486E-4</v>
      </c>
      <c r="V93" s="34">
        <v>45341</v>
      </c>
      <c r="W93" s="35">
        <v>22212.699218999998</v>
      </c>
      <c r="X93" s="37">
        <f t="shared" si="12"/>
        <v>7.803745166656384E-3</v>
      </c>
    </row>
    <row r="94" spans="2:44" x14ac:dyDescent="0.3">
      <c r="B94" s="34">
        <v>45348</v>
      </c>
      <c r="C94" s="33">
        <v>3884.1499020000001</v>
      </c>
      <c r="D94" s="36">
        <f t="shared" si="7"/>
        <v>1.1352502231119832E-2</v>
      </c>
      <c r="F94" s="32">
        <v>45348</v>
      </c>
      <c r="G94" s="33">
        <v>3898.5751949999999</v>
      </c>
      <c r="H94" s="36">
        <f t="shared" si="8"/>
        <v>3.9760271146349613E-3</v>
      </c>
      <c r="J94" s="32">
        <v>45348</v>
      </c>
      <c r="K94" s="33">
        <v>1024.3000489999999</v>
      </c>
      <c r="L94" s="36">
        <f t="shared" si="9"/>
        <v>3.9687410194631623E-2</v>
      </c>
      <c r="N94" s="32">
        <v>45348</v>
      </c>
      <c r="O94" s="33">
        <v>229.75</v>
      </c>
      <c r="P94" s="36">
        <f t="shared" si="10"/>
        <v>1.5694089509647569E-2</v>
      </c>
      <c r="R94" s="32">
        <v>45348</v>
      </c>
      <c r="S94" s="33">
        <v>1934.150024</v>
      </c>
      <c r="T94" s="36">
        <f t="shared" si="11"/>
        <v>-2.7112006072036232E-2</v>
      </c>
      <c r="V94" s="34">
        <v>45348</v>
      </c>
      <c r="W94" s="35">
        <v>22338.75</v>
      </c>
      <c r="X94" s="37">
        <f t="shared" si="12"/>
        <v>5.6747169606556902E-3</v>
      </c>
      <c r="AJ94" s="62" t="s">
        <v>92</v>
      </c>
      <c r="AK94" s="62"/>
    </row>
    <row r="95" spans="2:44" x14ac:dyDescent="0.3">
      <c r="B95" s="34">
        <v>45355</v>
      </c>
      <c r="C95" s="33">
        <v>3925.9499510000001</v>
      </c>
      <c r="D95" s="36">
        <f t="shared" si="7"/>
        <v>1.0761698197712777E-2</v>
      </c>
      <c r="F95" s="32">
        <v>45355</v>
      </c>
      <c r="G95" s="33">
        <v>3949.4902339999999</v>
      </c>
      <c r="H95" s="36">
        <f t="shared" si="8"/>
        <v>1.3059909442121098E-2</v>
      </c>
      <c r="J95" s="32">
        <v>45355</v>
      </c>
      <c r="K95" s="33">
        <v>965.34997599999997</v>
      </c>
      <c r="L95" s="36">
        <f t="shared" si="9"/>
        <v>-5.7551567099456413E-2</v>
      </c>
      <c r="N95" s="32">
        <v>45355</v>
      </c>
      <c r="O95" s="33">
        <v>225.39999399999999</v>
      </c>
      <c r="P95" s="36">
        <f t="shared" si="10"/>
        <v>-1.8933649619151338E-2</v>
      </c>
      <c r="R95" s="32">
        <v>45355</v>
      </c>
      <c r="S95" s="33">
        <v>1914.4499510000001</v>
      </c>
      <c r="T95" s="36">
        <f t="shared" si="11"/>
        <v>-1.0185390355220925E-2</v>
      </c>
      <c r="V95" s="34">
        <v>45355</v>
      </c>
      <c r="W95" s="35">
        <v>22493.550781000002</v>
      </c>
      <c r="X95" s="37">
        <f t="shared" si="12"/>
        <v>6.9296975435062524E-3</v>
      </c>
      <c r="AJ95" t="s">
        <v>93</v>
      </c>
      <c r="AK95">
        <v>0.30595609853496447</v>
      </c>
    </row>
    <row r="96" spans="2:44" x14ac:dyDescent="0.3">
      <c r="B96" s="34">
        <v>45362</v>
      </c>
      <c r="C96" s="33">
        <v>3932.1000979999999</v>
      </c>
      <c r="D96" s="36">
        <f t="shared" si="7"/>
        <v>1.5665372907858188E-3</v>
      </c>
      <c r="F96" s="32">
        <v>45362</v>
      </c>
      <c r="G96" s="33">
        <v>4061.1135250000002</v>
      </c>
      <c r="H96" s="36">
        <f t="shared" si="8"/>
        <v>2.8262708447553075E-2</v>
      </c>
      <c r="J96" s="32">
        <v>45362</v>
      </c>
      <c r="K96" s="33">
        <v>925.40002400000003</v>
      </c>
      <c r="L96" s="36">
        <f t="shared" si="9"/>
        <v>-4.1383905312284308E-2</v>
      </c>
      <c r="N96" s="32">
        <v>45362</v>
      </c>
      <c r="O96" s="33">
        <v>207.35000600000001</v>
      </c>
      <c r="P96" s="36">
        <f t="shared" si="10"/>
        <v>-8.007980692315364E-2</v>
      </c>
      <c r="R96" s="32">
        <v>45362</v>
      </c>
      <c r="S96" s="33">
        <v>1889.849976</v>
      </c>
      <c r="T96" s="36">
        <f t="shared" si="11"/>
        <v>-1.2849630771047504E-2</v>
      </c>
      <c r="V96" s="34">
        <v>45362</v>
      </c>
      <c r="W96" s="35">
        <v>22023.349609000001</v>
      </c>
      <c r="X96" s="37">
        <f t="shared" si="12"/>
        <v>-2.0903821569921877E-2</v>
      </c>
      <c r="AJ96" t="s">
        <v>94</v>
      </c>
      <c r="AK96">
        <v>9.3609134230736885E-2</v>
      </c>
    </row>
    <row r="97" spans="2:44" x14ac:dyDescent="0.3">
      <c r="B97" s="34">
        <v>45369</v>
      </c>
      <c r="C97" s="33">
        <v>4297.6000979999999</v>
      </c>
      <c r="D97" s="36">
        <f t="shared" si="7"/>
        <v>9.2952872737371406E-2</v>
      </c>
      <c r="F97" s="32">
        <v>45369</v>
      </c>
      <c r="G97" s="33">
        <v>3945.8928219999998</v>
      </c>
      <c r="H97" s="36">
        <f t="shared" si="8"/>
        <v>-2.8371702069077354E-2</v>
      </c>
      <c r="J97" s="32">
        <v>45369</v>
      </c>
      <c r="K97" s="33">
        <v>933</v>
      </c>
      <c r="L97" s="36">
        <f t="shared" si="9"/>
        <v>8.2126386458791778E-3</v>
      </c>
      <c r="N97" s="32">
        <v>45369</v>
      </c>
      <c r="O97" s="33">
        <v>205.35000600000001</v>
      </c>
      <c r="P97" s="36">
        <f t="shared" si="10"/>
        <v>-9.6455266077976054E-3</v>
      </c>
      <c r="R97" s="32">
        <v>45369</v>
      </c>
      <c r="S97" s="33">
        <v>2016.0500489999999</v>
      </c>
      <c r="T97" s="36">
        <f t="shared" si="11"/>
        <v>6.6777826072263791E-2</v>
      </c>
      <c r="V97" s="34">
        <v>45369</v>
      </c>
      <c r="W97" s="35">
        <v>22096.75</v>
      </c>
      <c r="X97" s="37">
        <f t="shared" si="12"/>
        <v>3.3328441087818739E-3</v>
      </c>
      <c r="AJ97" t="s">
        <v>95</v>
      </c>
      <c r="AK97">
        <v>8.4809222912588703E-2</v>
      </c>
    </row>
    <row r="98" spans="2:44" x14ac:dyDescent="0.3">
      <c r="B98" s="34">
        <v>45376</v>
      </c>
      <c r="C98" s="33">
        <v>4525.6000979999999</v>
      </c>
      <c r="D98" s="36">
        <f t="shared" si="7"/>
        <v>5.3052865506519664E-2</v>
      </c>
      <c r="F98" s="32">
        <v>45376</v>
      </c>
      <c r="G98" s="33">
        <v>3945.2932129999999</v>
      </c>
      <c r="H98" s="36">
        <f t="shared" si="8"/>
        <v>-1.5195775127418987E-4</v>
      </c>
      <c r="J98" s="32">
        <v>45376</v>
      </c>
      <c r="K98" s="33">
        <v>926.5</v>
      </c>
      <c r="L98" s="36">
        <f t="shared" si="9"/>
        <v>-6.9667738478027541E-3</v>
      </c>
      <c r="N98" s="32">
        <v>45376</v>
      </c>
      <c r="O98" s="33">
        <v>205.550003</v>
      </c>
      <c r="P98" s="36">
        <f t="shared" si="10"/>
        <v>9.7393228223219275E-4</v>
      </c>
      <c r="R98" s="32">
        <v>45376</v>
      </c>
      <c r="S98" s="33">
        <v>2153.9499510000001</v>
      </c>
      <c r="T98" s="36">
        <f t="shared" si="11"/>
        <v>6.8401031049998506E-2</v>
      </c>
      <c r="V98" s="34">
        <v>45376</v>
      </c>
      <c r="W98" s="35">
        <v>22326.900390999999</v>
      </c>
      <c r="X98" s="37">
        <f t="shared" si="12"/>
        <v>1.0415576544061889E-2</v>
      </c>
      <c r="AJ98" t="s">
        <v>96</v>
      </c>
      <c r="AK98">
        <v>4.5037587603134664E-2</v>
      </c>
    </row>
    <row r="99" spans="2:44" ht="15" thickBot="1" x14ac:dyDescent="0.35">
      <c r="B99" s="34">
        <v>45383</v>
      </c>
      <c r="C99" s="33">
        <v>4619.25</v>
      </c>
      <c r="D99" s="36">
        <f t="shared" si="7"/>
        <v>2.0693366619243925E-2</v>
      </c>
      <c r="F99" s="32">
        <v>45383</v>
      </c>
      <c r="G99" s="33">
        <v>3929.9038089999999</v>
      </c>
      <c r="H99" s="36">
        <f t="shared" si="8"/>
        <v>-3.9006996867282373E-3</v>
      </c>
      <c r="J99" s="32">
        <v>45383</v>
      </c>
      <c r="K99" s="33">
        <v>909.65002400000003</v>
      </c>
      <c r="L99" s="36">
        <f t="shared" si="9"/>
        <v>-1.8186698327037232E-2</v>
      </c>
      <c r="N99" s="32">
        <v>45383</v>
      </c>
      <c r="O99" s="33">
        <v>237.35000600000001</v>
      </c>
      <c r="P99" s="36">
        <f t="shared" si="10"/>
        <v>0.15470689630688073</v>
      </c>
      <c r="R99" s="32">
        <v>45383</v>
      </c>
      <c r="S99" s="33">
        <v>2173.4499510000001</v>
      </c>
      <c r="T99" s="36">
        <f t="shared" si="11"/>
        <v>9.0531351440858998E-3</v>
      </c>
      <c r="V99" s="34">
        <v>45383</v>
      </c>
      <c r="W99" s="35">
        <v>22513.699218999998</v>
      </c>
      <c r="X99" s="37">
        <f t="shared" si="12"/>
        <v>8.3665365424077098E-3</v>
      </c>
      <c r="AJ99" s="60" t="s">
        <v>97</v>
      </c>
      <c r="AK99" s="60">
        <v>105</v>
      </c>
    </row>
    <row r="100" spans="2:44" x14ac:dyDescent="0.3">
      <c r="B100" s="34">
        <v>45390</v>
      </c>
      <c r="C100" s="33">
        <v>4765.0498049999997</v>
      </c>
      <c r="D100" s="36">
        <f t="shared" si="7"/>
        <v>3.156352329923684E-2</v>
      </c>
      <c r="F100" s="32">
        <v>45390</v>
      </c>
      <c r="G100" s="33">
        <v>4051.070557</v>
      </c>
      <c r="H100" s="36">
        <f t="shared" si="8"/>
        <v>3.0831988234040875E-2</v>
      </c>
      <c r="J100" s="32">
        <v>45390</v>
      </c>
      <c r="K100" s="33">
        <v>914.34997599999997</v>
      </c>
      <c r="L100" s="36">
        <f t="shared" si="9"/>
        <v>5.1667695003545511E-3</v>
      </c>
      <c r="N100" s="32">
        <v>45390</v>
      </c>
      <c r="O100" s="33">
        <v>233.949997</v>
      </c>
      <c r="P100" s="36">
        <f t="shared" si="10"/>
        <v>-1.4324874295558288E-2</v>
      </c>
      <c r="R100" s="32">
        <v>45390</v>
      </c>
      <c r="S100" s="33">
        <v>2103.3000489999999</v>
      </c>
      <c r="T100" s="36">
        <f t="shared" si="11"/>
        <v>-3.2275830399372318E-2</v>
      </c>
      <c r="V100" s="34">
        <v>45390</v>
      </c>
      <c r="W100" s="35">
        <v>22519.400390999999</v>
      </c>
      <c r="X100" s="37">
        <f t="shared" si="12"/>
        <v>2.5323124132303754E-4</v>
      </c>
    </row>
    <row r="101" spans="2:44" ht="15" thickBot="1" x14ac:dyDescent="0.35">
      <c r="B101" s="34">
        <v>45397</v>
      </c>
      <c r="C101" s="33">
        <v>4696</v>
      </c>
      <c r="D101" s="36">
        <f t="shared" si="7"/>
        <v>-1.4490888411605951E-2</v>
      </c>
      <c r="F101" s="32">
        <v>45397</v>
      </c>
      <c r="G101" s="33">
        <v>4156.0986329999996</v>
      </c>
      <c r="H101" s="36">
        <f t="shared" si="8"/>
        <v>2.5926005119441209E-2</v>
      </c>
      <c r="J101" s="32">
        <v>45397</v>
      </c>
      <c r="K101" s="33">
        <v>918.29998799999998</v>
      </c>
      <c r="L101" s="36">
        <f t="shared" si="9"/>
        <v>4.3200219868546608E-3</v>
      </c>
      <c r="N101" s="32">
        <v>45397</v>
      </c>
      <c r="O101" s="33">
        <v>231.550003</v>
      </c>
      <c r="P101" s="36">
        <f t="shared" si="10"/>
        <v>-1.0258576750483916E-2</v>
      </c>
      <c r="R101" s="32">
        <v>45397</v>
      </c>
      <c r="S101" s="33">
        <v>2051.9499510000001</v>
      </c>
      <c r="T101" s="36">
        <f t="shared" si="11"/>
        <v>-2.44140620946659E-2</v>
      </c>
      <c r="V101" s="34">
        <v>45397</v>
      </c>
      <c r="W101" s="35">
        <v>22147</v>
      </c>
      <c r="X101" s="37">
        <f t="shared" si="12"/>
        <v>-1.6536869744934735E-2</v>
      </c>
      <c r="AJ101" t="s">
        <v>98</v>
      </c>
    </row>
    <row r="102" spans="2:44" x14ac:dyDescent="0.3">
      <c r="B102" s="34">
        <v>45404</v>
      </c>
      <c r="C102" s="33">
        <v>4553.1499020000001</v>
      </c>
      <c r="D102" s="36">
        <f t="shared" si="7"/>
        <v>-3.0419526831345856E-2</v>
      </c>
      <c r="F102" s="32">
        <v>45404</v>
      </c>
      <c r="G102" s="33">
        <v>4301.8984380000002</v>
      </c>
      <c r="H102" s="36">
        <f t="shared" si="8"/>
        <v>3.5080929947699069E-2</v>
      </c>
      <c r="J102" s="32">
        <v>45404</v>
      </c>
      <c r="K102" s="33">
        <v>937.54998799999998</v>
      </c>
      <c r="L102" s="36">
        <f t="shared" si="9"/>
        <v>2.0962648645923787E-2</v>
      </c>
      <c r="N102" s="32">
        <v>45404</v>
      </c>
      <c r="O102" s="33">
        <v>268.54998799999998</v>
      </c>
      <c r="P102" s="36">
        <f t="shared" si="10"/>
        <v>0.15979263450927261</v>
      </c>
      <c r="R102" s="32">
        <v>45404</v>
      </c>
      <c r="S102" s="33">
        <v>2164.75</v>
      </c>
      <c r="T102" s="36">
        <f t="shared" si="11"/>
        <v>5.4972124902475272E-2</v>
      </c>
      <c r="V102" s="34">
        <v>45404</v>
      </c>
      <c r="W102" s="35">
        <v>22419.949218999998</v>
      </c>
      <c r="X102" s="37">
        <f t="shared" si="12"/>
        <v>1.2324433060911133E-2</v>
      </c>
      <c r="AJ102" s="61"/>
      <c r="AK102" s="61" t="s">
        <v>103</v>
      </c>
      <c r="AL102" s="61" t="s">
        <v>104</v>
      </c>
      <c r="AM102" s="61" t="s">
        <v>105</v>
      </c>
      <c r="AN102" s="61" t="s">
        <v>106</v>
      </c>
      <c r="AO102" s="61" t="s">
        <v>107</v>
      </c>
    </row>
    <row r="103" spans="2:44" x14ac:dyDescent="0.3">
      <c r="B103" s="34">
        <v>45411</v>
      </c>
      <c r="C103" s="33">
        <v>4612.3500979999999</v>
      </c>
      <c r="D103" s="36">
        <f t="shared" si="7"/>
        <v>1.300203096190522E-2</v>
      </c>
      <c r="F103" s="32">
        <v>45411</v>
      </c>
      <c r="G103" s="33">
        <v>4520.5483400000003</v>
      </c>
      <c r="H103" s="36">
        <f t="shared" si="8"/>
        <v>5.0826374716008704E-2</v>
      </c>
      <c r="J103" s="32">
        <v>45411</v>
      </c>
      <c r="K103" s="33">
        <v>932.59997599999997</v>
      </c>
      <c r="L103" s="36">
        <f t="shared" si="9"/>
        <v>-5.27973128191217E-3</v>
      </c>
      <c r="N103" s="32">
        <v>45411</v>
      </c>
      <c r="O103" s="33">
        <v>254.14999399999999</v>
      </c>
      <c r="P103" s="36">
        <f t="shared" si="10"/>
        <v>-5.3621279625601703E-2</v>
      </c>
      <c r="R103" s="32">
        <v>45411</v>
      </c>
      <c r="S103" s="33">
        <v>2188.25</v>
      </c>
      <c r="T103" s="36">
        <f t="shared" si="11"/>
        <v>1.0855757015821643E-2</v>
      </c>
      <c r="V103" s="34">
        <v>45411</v>
      </c>
      <c r="W103" s="35">
        <v>22475.849609000001</v>
      </c>
      <c r="X103" s="37">
        <f t="shared" si="12"/>
        <v>2.4933325875970969E-3</v>
      </c>
      <c r="AJ103" t="s">
        <v>99</v>
      </c>
      <c r="AK103">
        <v>1</v>
      </c>
      <c r="AL103">
        <v>2.1576955843646856E-2</v>
      </c>
      <c r="AM103">
        <v>2.1576955843646856E-2</v>
      </c>
      <c r="AN103">
        <v>10.637508816445161</v>
      </c>
      <c r="AO103">
        <v>1.5031921187811912E-3</v>
      </c>
    </row>
    <row r="104" spans="2:44" x14ac:dyDescent="0.3">
      <c r="B104" s="34">
        <v>45418</v>
      </c>
      <c r="C104" s="33">
        <v>4796.7998049999997</v>
      </c>
      <c r="D104" s="36">
        <f t="shared" si="7"/>
        <v>3.9990396019586649E-2</v>
      </c>
      <c r="F104" s="32">
        <v>45418</v>
      </c>
      <c r="G104" s="33">
        <v>4468.3339839999999</v>
      </c>
      <c r="H104" s="36">
        <f t="shared" si="8"/>
        <v>-1.155044743974587E-2</v>
      </c>
      <c r="J104" s="32">
        <v>45418</v>
      </c>
      <c r="K104" s="33">
        <v>983.54998799999998</v>
      </c>
      <c r="L104" s="36">
        <f t="shared" si="9"/>
        <v>5.4632225296132875E-2</v>
      </c>
      <c r="N104" s="32">
        <v>45418</v>
      </c>
      <c r="O104" s="33">
        <v>256.85000600000001</v>
      </c>
      <c r="P104" s="36">
        <f t="shared" si="10"/>
        <v>1.0623694919308146E-2</v>
      </c>
      <c r="R104" s="32">
        <v>45418</v>
      </c>
      <c r="S104" s="33">
        <v>2104.0500489999999</v>
      </c>
      <c r="T104" s="36">
        <f t="shared" si="11"/>
        <v>-3.8478213641037429E-2</v>
      </c>
      <c r="V104" s="34">
        <v>45418</v>
      </c>
      <c r="W104" s="35">
        <v>22055.199218999998</v>
      </c>
      <c r="X104" s="37">
        <f t="shared" si="12"/>
        <v>-1.8715661357315838E-2</v>
      </c>
      <c r="AJ104" t="s">
        <v>100</v>
      </c>
      <c r="AK104">
        <v>103</v>
      </c>
      <c r="AL104">
        <v>0.20892358260233299</v>
      </c>
      <c r="AM104">
        <v>2.0283842971100291E-3</v>
      </c>
    </row>
    <row r="105" spans="2:44" ht="15" thickBot="1" x14ac:dyDescent="0.35">
      <c r="B105" s="34">
        <v>45425</v>
      </c>
      <c r="C105" s="33">
        <v>4670.6499020000001</v>
      </c>
      <c r="D105" s="36">
        <f t="shared" si="7"/>
        <v>-2.6298763368966527E-2</v>
      </c>
      <c r="F105" s="32">
        <v>45425</v>
      </c>
      <c r="G105" s="33">
        <v>4639.8164059999999</v>
      </c>
      <c r="H105" s="36">
        <f t="shared" si="8"/>
        <v>3.8377261550733621E-2</v>
      </c>
      <c r="J105" s="32">
        <v>45425</v>
      </c>
      <c r="K105" s="33">
        <v>1044</v>
      </c>
      <c r="L105" s="36">
        <f t="shared" si="9"/>
        <v>6.1461046960024968E-2</v>
      </c>
      <c r="N105" s="32">
        <v>45425</v>
      </c>
      <c r="O105" s="33">
        <v>264.04998799999998</v>
      </c>
      <c r="P105" s="36">
        <f t="shared" si="10"/>
        <v>2.8031854513563825E-2</v>
      </c>
      <c r="R105" s="32">
        <v>45425</v>
      </c>
      <c r="S105" s="33">
        <v>2237.8999020000001</v>
      </c>
      <c r="T105" s="36">
        <f t="shared" si="11"/>
        <v>6.3615337032318031E-2</v>
      </c>
      <c r="V105" s="34">
        <v>45425</v>
      </c>
      <c r="W105" s="35">
        <v>22466.099609000001</v>
      </c>
      <c r="X105" s="37">
        <f t="shared" si="12"/>
        <v>1.8630545383875763E-2</v>
      </c>
      <c r="AJ105" s="60" t="s">
        <v>101</v>
      </c>
      <c r="AK105" s="60">
        <v>104</v>
      </c>
      <c r="AL105" s="60">
        <v>0.23050053844597984</v>
      </c>
      <c r="AM105" s="60"/>
      <c r="AN105" s="60"/>
      <c r="AO105" s="60"/>
    </row>
    <row r="106" spans="2:44" ht="15" thickBot="1" x14ac:dyDescent="0.35">
      <c r="B106" s="34">
        <v>45432</v>
      </c>
      <c r="C106" s="33">
        <v>4684.5</v>
      </c>
      <c r="D106" s="36">
        <f t="shared" si="7"/>
        <v>2.965347069594948E-3</v>
      </c>
      <c r="F106" s="32">
        <v>45432</v>
      </c>
      <c r="G106" s="33">
        <v>4712.1669920000004</v>
      </c>
      <c r="H106" s="36">
        <f t="shared" si="8"/>
        <v>1.5593415702060964E-2</v>
      </c>
      <c r="J106" s="32">
        <v>45432</v>
      </c>
      <c r="K106" s="33">
        <v>1023.200012</v>
      </c>
      <c r="L106" s="36">
        <f t="shared" si="9"/>
        <v>-1.9923360153256686E-2</v>
      </c>
      <c r="N106" s="32">
        <v>45432</v>
      </c>
      <c r="O106" s="33">
        <v>290.04998799999998</v>
      </c>
      <c r="P106" s="36">
        <f t="shared" si="10"/>
        <v>9.846620405830131E-2</v>
      </c>
      <c r="R106" s="32">
        <v>45432</v>
      </c>
      <c r="S106" s="33">
        <v>2270.1499020000001</v>
      </c>
      <c r="T106" s="36">
        <f t="shared" si="11"/>
        <v>1.4410832214246216E-2</v>
      </c>
      <c r="V106" s="34">
        <v>45432</v>
      </c>
      <c r="W106" s="35">
        <v>22957.099609000001</v>
      </c>
      <c r="X106" s="37">
        <f t="shared" si="12"/>
        <v>2.1855151029567477E-2</v>
      </c>
    </row>
    <row r="107" spans="2:44" x14ac:dyDescent="0.3">
      <c r="B107" s="34">
        <v>45439</v>
      </c>
      <c r="C107" s="33">
        <v>4302.1499020000001</v>
      </c>
      <c r="D107" s="36">
        <f t="shared" si="7"/>
        <v>-8.1620257871704571E-2</v>
      </c>
      <c r="F107" s="32">
        <v>45439</v>
      </c>
      <c r="G107" s="33">
        <v>4559.1499020000001</v>
      </c>
      <c r="H107" s="36">
        <f t="shared" si="8"/>
        <v>-3.2472764708844637E-2</v>
      </c>
      <c r="J107" s="32">
        <v>45439</v>
      </c>
      <c r="K107" s="33">
        <v>1043.25</v>
      </c>
      <c r="L107" s="36">
        <f t="shared" si="9"/>
        <v>1.9595375063385045E-2</v>
      </c>
      <c r="N107" s="32">
        <v>45439</v>
      </c>
      <c r="O107" s="33">
        <v>287.64999399999999</v>
      </c>
      <c r="P107" s="36">
        <f t="shared" si="10"/>
        <v>-8.2744150984070952E-3</v>
      </c>
      <c r="R107" s="32">
        <v>45439</v>
      </c>
      <c r="S107" s="33">
        <v>2093.8999020000001</v>
      </c>
      <c r="T107" s="36">
        <f t="shared" si="11"/>
        <v>-7.7638044890658509E-2</v>
      </c>
      <c r="V107" s="34">
        <v>45439</v>
      </c>
      <c r="W107" s="35">
        <v>22530.699218999998</v>
      </c>
      <c r="X107" s="37">
        <f t="shared" si="12"/>
        <v>-1.8573791866671074E-2</v>
      </c>
      <c r="AJ107" s="61"/>
      <c r="AK107" s="61" t="s">
        <v>108</v>
      </c>
      <c r="AL107" s="61" t="s">
        <v>96</v>
      </c>
      <c r="AM107" s="61" t="s">
        <v>109</v>
      </c>
      <c r="AN107" s="61" t="s">
        <v>110</v>
      </c>
      <c r="AO107" s="61" t="s">
        <v>111</v>
      </c>
      <c r="AP107" s="61" t="s">
        <v>112</v>
      </c>
      <c r="AQ107" s="61" t="s">
        <v>113</v>
      </c>
      <c r="AR107" s="61" t="s">
        <v>114</v>
      </c>
    </row>
    <row r="108" spans="2:44" x14ac:dyDescent="0.3">
      <c r="B108" s="34">
        <v>45446</v>
      </c>
      <c r="C108" s="33">
        <v>4747.25</v>
      </c>
      <c r="D108" s="36">
        <f t="shared" si="7"/>
        <v>0.10345992309405116</v>
      </c>
      <c r="F108" s="32">
        <v>45446</v>
      </c>
      <c r="G108" s="33">
        <v>4964.6000979999999</v>
      </c>
      <c r="H108" s="36">
        <f t="shared" si="8"/>
        <v>8.8931095646172409E-2</v>
      </c>
      <c r="J108" s="32">
        <v>45446</v>
      </c>
      <c r="K108" s="33">
        <v>1114.5</v>
      </c>
      <c r="L108" s="36">
        <f t="shared" si="9"/>
        <v>6.8296189791516859E-2</v>
      </c>
      <c r="N108" s="32">
        <v>45446</v>
      </c>
      <c r="O108" s="33">
        <v>324.20001200000002</v>
      </c>
      <c r="P108" s="36">
        <f t="shared" si="10"/>
        <v>0.12706420567490095</v>
      </c>
      <c r="R108" s="32">
        <v>45446</v>
      </c>
      <c r="S108" s="33">
        <v>2634.1000979999999</v>
      </c>
      <c r="T108" s="36">
        <f t="shared" si="11"/>
        <v>0.25798759314331332</v>
      </c>
      <c r="V108" s="34">
        <v>45446</v>
      </c>
      <c r="W108" s="35">
        <v>23290.150390999999</v>
      </c>
      <c r="X108" s="37">
        <f t="shared" si="12"/>
        <v>3.3707394724774575E-2</v>
      </c>
      <c r="AJ108" t="s">
        <v>102</v>
      </c>
      <c r="AK108">
        <v>-7.5904395764652159E-4</v>
      </c>
      <c r="AL108">
        <v>4.5429846874381228E-3</v>
      </c>
      <c r="AM108">
        <v>-0.1670804569835698</v>
      </c>
      <c r="AN108">
        <v>0.86763432499288173</v>
      </c>
      <c r="AO108">
        <v>-9.7689825984974173E-3</v>
      </c>
      <c r="AP108">
        <v>8.2508946832043732E-3</v>
      </c>
      <c r="AQ108">
        <v>-9.7689825984974173E-3</v>
      </c>
      <c r="AR108">
        <v>8.2508946832043732E-3</v>
      </c>
    </row>
    <row r="109" spans="2:44" ht="15" thickBot="1" x14ac:dyDescent="0.35">
      <c r="B109" s="34">
        <v>45453</v>
      </c>
      <c r="C109" s="33">
        <v>4739.9501950000003</v>
      </c>
      <c r="D109" s="36">
        <f t="shared" si="7"/>
        <v>-1.5376912949601751E-3</v>
      </c>
      <c r="F109" s="32">
        <v>45453</v>
      </c>
      <c r="G109" s="33">
        <v>5245.5498049999997</v>
      </c>
      <c r="H109" s="36">
        <f t="shared" si="8"/>
        <v>5.6590601751222769E-2</v>
      </c>
      <c r="J109" s="32">
        <v>45453</v>
      </c>
      <c r="K109" s="33">
        <v>1147.650024</v>
      </c>
      <c r="L109" s="36">
        <f t="shared" si="9"/>
        <v>2.974430148048457E-2</v>
      </c>
      <c r="N109" s="32">
        <v>45453</v>
      </c>
      <c r="O109" s="33">
        <v>328.60000600000001</v>
      </c>
      <c r="P109" s="36">
        <f t="shared" si="10"/>
        <v>1.3571850207087621E-2</v>
      </c>
      <c r="R109" s="32">
        <v>45453</v>
      </c>
      <c r="S109" s="33">
        <v>2772.75</v>
      </c>
      <c r="T109" s="36">
        <f t="shared" si="11"/>
        <v>5.2636534999286111E-2</v>
      </c>
      <c r="V109" s="34">
        <v>45453</v>
      </c>
      <c r="W109" s="35">
        <v>23465.599609000001</v>
      </c>
      <c r="X109" s="37">
        <f t="shared" si="12"/>
        <v>7.5331938632650086E-3</v>
      </c>
      <c r="AJ109" s="60" t="s">
        <v>115</v>
      </c>
      <c r="AK109" s="60">
        <v>1.0352530216155724</v>
      </c>
      <c r="AL109" s="60">
        <v>0.31741433782326944</v>
      </c>
      <c r="AM109" s="60">
        <v>3.2615194030459409</v>
      </c>
      <c r="AN109" s="60">
        <v>1.5031921187812012E-3</v>
      </c>
      <c r="AO109" s="60">
        <v>0.40573654637367174</v>
      </c>
      <c r="AP109" s="60">
        <v>1.6647694968574731</v>
      </c>
      <c r="AQ109" s="60">
        <v>0.40573654637367174</v>
      </c>
      <c r="AR109" s="60">
        <v>1.6647694968574731</v>
      </c>
    </row>
    <row r="110" spans="2:44" x14ac:dyDescent="0.3">
      <c r="B110" s="34">
        <v>45460</v>
      </c>
      <c r="C110" s="33">
        <v>4804.8500979999999</v>
      </c>
      <c r="D110" s="36">
        <f t="shared" si="7"/>
        <v>1.3692106526448367E-2</v>
      </c>
      <c r="F110" s="32">
        <v>45460</v>
      </c>
      <c r="G110" s="33">
        <v>5266.3500979999999</v>
      </c>
      <c r="H110" s="36">
        <f t="shared" si="8"/>
        <v>3.9653218010005098E-3</v>
      </c>
      <c r="J110" s="32">
        <v>45460</v>
      </c>
      <c r="K110" s="33">
        <v>1120.150024</v>
      </c>
      <c r="L110" s="36">
        <f t="shared" si="9"/>
        <v>-2.3962008822299263E-2</v>
      </c>
      <c r="N110" s="32">
        <v>45460</v>
      </c>
      <c r="O110" s="33">
        <v>314.89999399999999</v>
      </c>
      <c r="P110" s="36">
        <f t="shared" si="10"/>
        <v>-4.1692062537576513E-2</v>
      </c>
      <c r="R110" s="32">
        <v>45460</v>
      </c>
      <c r="S110" s="33">
        <v>2836.5</v>
      </c>
      <c r="T110" s="36">
        <f t="shared" si="11"/>
        <v>2.2991614822829298E-2</v>
      </c>
      <c r="V110" s="34">
        <v>45460</v>
      </c>
      <c r="W110" s="35">
        <v>23501.099609000001</v>
      </c>
      <c r="X110" s="37">
        <f t="shared" si="12"/>
        <v>1.5128528821561904E-3</v>
      </c>
    </row>
    <row r="111" spans="2:44" x14ac:dyDescent="0.3">
      <c r="B111" s="34">
        <v>45467</v>
      </c>
      <c r="C111" s="33">
        <v>4716.75</v>
      </c>
      <c r="D111" s="36">
        <f t="shared" si="7"/>
        <v>-1.8335660052468894E-2</v>
      </c>
      <c r="F111" s="32">
        <v>45467</v>
      </c>
      <c r="G111" s="33">
        <v>5479.8500979999999</v>
      </c>
      <c r="H111" s="36">
        <f t="shared" si="8"/>
        <v>4.0540411485571637E-2</v>
      </c>
      <c r="J111" s="32">
        <v>45467</v>
      </c>
      <c r="K111" s="33">
        <v>1051.650024</v>
      </c>
      <c r="L111" s="36">
        <f t="shared" si="9"/>
        <v>-6.1152522905271178E-2</v>
      </c>
      <c r="N111" s="32">
        <v>45467</v>
      </c>
      <c r="O111" s="33">
        <v>312.14999399999999</v>
      </c>
      <c r="P111" s="36">
        <f t="shared" si="10"/>
        <v>-8.7329312556290173E-3</v>
      </c>
      <c r="R111" s="32">
        <v>45467</v>
      </c>
      <c r="S111" s="33">
        <v>2922.3500979999999</v>
      </c>
      <c r="T111" s="36">
        <f t="shared" si="11"/>
        <v>3.0266207650273103E-2</v>
      </c>
      <c r="V111" s="34">
        <v>45467</v>
      </c>
      <c r="W111" s="35">
        <v>24010.599609000001</v>
      </c>
      <c r="X111" s="37">
        <f t="shared" si="12"/>
        <v>2.1679836623682114E-2</v>
      </c>
    </row>
    <row r="112" spans="2:44" x14ac:dyDescent="0.3">
      <c r="B112" s="34">
        <v>45474</v>
      </c>
      <c r="C112" s="33">
        <v>4853.1000979999999</v>
      </c>
      <c r="D112" s="36">
        <f t="shared" si="7"/>
        <v>2.8907637250225271E-2</v>
      </c>
      <c r="F112" s="32">
        <v>45474</v>
      </c>
      <c r="G112" s="33">
        <v>5619.8999020000001</v>
      </c>
      <c r="H112" s="36">
        <f t="shared" si="8"/>
        <v>2.5557232678885544E-2</v>
      </c>
      <c r="J112" s="32">
        <v>45474</v>
      </c>
      <c r="K112" s="33">
        <v>1094.650024</v>
      </c>
      <c r="L112" s="36">
        <f t="shared" si="9"/>
        <v>4.088812724640789E-2</v>
      </c>
      <c r="N112" s="32">
        <v>45474</v>
      </c>
      <c r="O112" s="33">
        <v>327.64999399999999</v>
      </c>
      <c r="P112" s="36">
        <f t="shared" si="10"/>
        <v>4.9655615242459428E-2</v>
      </c>
      <c r="R112" s="32">
        <v>45474</v>
      </c>
      <c r="S112" s="33">
        <v>3248.8000489999999</v>
      </c>
      <c r="T112" s="36">
        <f t="shared" si="11"/>
        <v>0.11170802267100588</v>
      </c>
      <c r="V112" s="34">
        <v>45474</v>
      </c>
      <c r="W112" s="35">
        <v>24323.849609000001</v>
      </c>
      <c r="X112" s="37">
        <f t="shared" si="12"/>
        <v>1.3046321420585594E-2</v>
      </c>
    </row>
    <row r="113" spans="2:24" x14ac:dyDescent="0.3">
      <c r="B113" s="34">
        <v>45481</v>
      </c>
      <c r="C113" s="33">
        <v>4943.6499020000001</v>
      </c>
      <c r="D113" s="36">
        <f t="shared" si="7"/>
        <v>1.8658136484206667E-2</v>
      </c>
      <c r="F113" s="32">
        <v>45481</v>
      </c>
      <c r="G113" s="33">
        <v>5651.25</v>
      </c>
      <c r="H113" s="36">
        <f t="shared" si="8"/>
        <v>5.5784086098833452E-3</v>
      </c>
      <c r="J113" s="32">
        <v>45481</v>
      </c>
      <c r="K113" s="33">
        <v>1026.099976</v>
      </c>
      <c r="L113" s="36">
        <f t="shared" si="9"/>
        <v>-6.2622798608735986E-2</v>
      </c>
      <c r="N113" s="32">
        <v>45481</v>
      </c>
      <c r="O113" s="33">
        <v>323.20001200000002</v>
      </c>
      <c r="P113" s="36">
        <f t="shared" si="10"/>
        <v>-1.3581511007138891E-2</v>
      </c>
      <c r="R113" s="32">
        <v>45481</v>
      </c>
      <c r="S113" s="33">
        <v>3274.8000489999999</v>
      </c>
      <c r="T113" s="36">
        <f t="shared" si="11"/>
        <v>8.0029548165030384E-3</v>
      </c>
      <c r="V113" s="34">
        <v>45481</v>
      </c>
      <c r="W113" s="35">
        <v>24502.150390999999</v>
      </c>
      <c r="X113" s="37">
        <f t="shared" si="12"/>
        <v>7.3302863184134814E-3</v>
      </c>
    </row>
    <row r="114" spans="2:24" x14ac:dyDescent="0.3">
      <c r="B114" s="34">
        <v>45488</v>
      </c>
      <c r="C114" s="33">
        <v>5010.7001950000003</v>
      </c>
      <c r="D114" s="36">
        <f t="shared" si="7"/>
        <v>1.3562912894150125E-2</v>
      </c>
      <c r="F114" s="32">
        <v>45488</v>
      </c>
      <c r="G114" s="33">
        <v>5166.3500979999999</v>
      </c>
      <c r="H114" s="36">
        <f t="shared" si="8"/>
        <v>-8.5804008316744063E-2</v>
      </c>
      <c r="J114" s="32">
        <v>45488</v>
      </c>
      <c r="K114" s="33">
        <v>1036.3000489999999</v>
      </c>
      <c r="L114" s="36">
        <f t="shared" si="9"/>
        <v>9.9406229788274736E-3</v>
      </c>
      <c r="N114" s="32">
        <v>45488</v>
      </c>
      <c r="O114" s="33">
        <v>315.60000600000001</v>
      </c>
      <c r="P114" s="36">
        <f t="shared" si="10"/>
        <v>-2.3514869176428199E-2</v>
      </c>
      <c r="R114" s="32">
        <v>45488</v>
      </c>
      <c r="S114" s="33">
        <v>3201.6499020000001</v>
      </c>
      <c r="T114" s="36">
        <f t="shared" si="11"/>
        <v>-2.23372865229855E-2</v>
      </c>
      <c r="V114" s="34">
        <v>45488</v>
      </c>
      <c r="W114" s="35">
        <v>24530.900390999999</v>
      </c>
      <c r="X114" s="37">
        <f t="shared" si="12"/>
        <v>1.1733664001409849E-3</v>
      </c>
    </row>
    <row r="115" spans="2:24" x14ac:dyDescent="0.3">
      <c r="B115" s="34">
        <v>45495</v>
      </c>
      <c r="C115" s="33">
        <v>5071.6000979999999</v>
      </c>
      <c r="D115" s="36">
        <f t="shared" si="7"/>
        <v>1.2153970628849375E-2</v>
      </c>
      <c r="F115" s="32">
        <v>45495</v>
      </c>
      <c r="G115" s="33">
        <v>5393.3500979999999</v>
      </c>
      <c r="H115" s="36">
        <f t="shared" si="8"/>
        <v>4.3938176022541686E-2</v>
      </c>
      <c r="J115" s="32">
        <v>45495</v>
      </c>
      <c r="K115" s="33">
        <v>1082.8000489999999</v>
      </c>
      <c r="L115" s="36">
        <f t="shared" si="9"/>
        <v>4.4871174178628292E-2</v>
      </c>
      <c r="N115" s="32">
        <v>45495</v>
      </c>
      <c r="O115" s="33">
        <v>330</v>
      </c>
      <c r="P115" s="36">
        <f t="shared" si="10"/>
        <v>4.5627356547008446E-2</v>
      </c>
      <c r="R115" s="32">
        <v>45495</v>
      </c>
      <c r="S115" s="33">
        <v>3403.1499020000001</v>
      </c>
      <c r="T115" s="36">
        <f t="shared" si="11"/>
        <v>6.2936300397531619E-2</v>
      </c>
      <c r="V115" s="34">
        <v>45495</v>
      </c>
      <c r="W115" s="35">
        <v>24834.849609000001</v>
      </c>
      <c r="X115" s="37">
        <f t="shared" si="12"/>
        <v>1.2390463177271549E-2</v>
      </c>
    </row>
    <row r="116" spans="2:24" x14ac:dyDescent="0.3">
      <c r="B116" s="34">
        <v>45502</v>
      </c>
      <c r="C116" s="33">
        <v>5094.3500979999999</v>
      </c>
      <c r="D116" s="36">
        <f t="shared" si="7"/>
        <v>4.4857637748234591E-3</v>
      </c>
      <c r="F116" s="32">
        <v>45502</v>
      </c>
      <c r="G116" s="33">
        <v>5524.0498049999997</v>
      </c>
      <c r="H116" s="36">
        <f t="shared" si="8"/>
        <v>2.4233492101405796E-2</v>
      </c>
      <c r="J116" s="32">
        <v>45502</v>
      </c>
      <c r="K116" s="33">
        <v>1092</v>
      </c>
      <c r="L116" s="36">
        <f t="shared" si="9"/>
        <v>8.4964449424402844E-3</v>
      </c>
      <c r="N116" s="32">
        <v>45502</v>
      </c>
      <c r="O116" s="33">
        <v>342.20001200000002</v>
      </c>
      <c r="P116" s="36">
        <f t="shared" si="10"/>
        <v>3.6969733333333421E-2</v>
      </c>
      <c r="R116" s="32">
        <v>45502</v>
      </c>
      <c r="S116" s="33">
        <v>3400.3500979999999</v>
      </c>
      <c r="T116" s="36">
        <f t="shared" si="11"/>
        <v>-8.2270957219798824E-4</v>
      </c>
      <c r="V116" s="34">
        <v>45502</v>
      </c>
      <c r="W116" s="35">
        <v>24827.300781000002</v>
      </c>
      <c r="X116" s="37">
        <f t="shared" si="12"/>
        <v>-3.0396109172581287E-4</v>
      </c>
    </row>
    <row r="117" spans="2:24" x14ac:dyDescent="0.3">
      <c r="T117" s="36"/>
    </row>
  </sheetData>
  <mergeCells count="7">
    <mergeCell ref="Z8:AE8"/>
    <mergeCell ref="B8:D8"/>
    <mergeCell ref="V8:X8"/>
    <mergeCell ref="F8:H8"/>
    <mergeCell ref="J8:L8"/>
    <mergeCell ref="N8:P8"/>
    <mergeCell ref="R8:T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8F37-AC93-48DA-A2FE-B306C741853C}">
  <dimension ref="A1:L33"/>
  <sheetViews>
    <sheetView showGridLines="0" topLeftCell="A3" workbookViewId="0">
      <selection activeCell="G16" sqref="G16"/>
    </sheetView>
  </sheetViews>
  <sheetFormatPr defaultRowHeight="14.4" x14ac:dyDescent="0.3"/>
  <cols>
    <col min="1" max="1" width="1.88671875" customWidth="1"/>
    <col min="2" max="2" width="17.109375" customWidth="1"/>
    <col min="3" max="3" width="12" customWidth="1"/>
    <col min="4" max="4" width="3.6640625" customWidth="1"/>
    <col min="5" max="5" width="17.44140625" customWidth="1"/>
    <col min="6" max="6" width="7.88671875" customWidth="1"/>
    <col min="8" max="8" width="13.88671875" customWidth="1"/>
    <col min="11" max="11" width="16.21875" customWidth="1"/>
    <col min="12" max="12" width="13.6640625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x14ac:dyDescent="0.3">
      <c r="A2" s="57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x14ac:dyDescent="0.3">
      <c r="A3" s="57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6" spans="1:12" x14ac:dyDescent="0.3">
      <c r="B6" s="64" t="s">
        <v>65</v>
      </c>
      <c r="C6" s="64"/>
      <c r="D6" s="64"/>
      <c r="E6" s="64"/>
      <c r="F6" s="64"/>
      <c r="H6" s="64" t="s">
        <v>64</v>
      </c>
      <c r="I6" s="64"/>
      <c r="K6" s="64" t="s">
        <v>71</v>
      </c>
      <c r="L6" s="64"/>
    </row>
    <row r="8" spans="1:12" x14ac:dyDescent="0.3">
      <c r="B8" s="42" t="s">
        <v>66</v>
      </c>
      <c r="C8" s="42" t="s">
        <v>67</v>
      </c>
    </row>
    <row r="9" spans="1:12" x14ac:dyDescent="0.3">
      <c r="B9" s="46">
        <v>2000</v>
      </c>
      <c r="C9" s="10">
        <v>-0.14649999999999999</v>
      </c>
      <c r="E9" t="s">
        <v>68</v>
      </c>
      <c r="F9" s="13">
        <f>C33</f>
        <v>0.15609166666666666</v>
      </c>
      <c r="H9" s="43" t="s">
        <v>27</v>
      </c>
      <c r="I9" s="44">
        <v>7.2349999999999998E-2</v>
      </c>
      <c r="K9" t="s">
        <v>72</v>
      </c>
      <c r="L9" s="13">
        <f>F11</f>
        <v>0.16859166666666667</v>
      </c>
    </row>
    <row r="10" spans="1:12" x14ac:dyDescent="0.3">
      <c r="B10" s="46">
        <v>2001</v>
      </c>
      <c r="C10" s="10">
        <v>-0.1618</v>
      </c>
      <c r="E10" t="s">
        <v>69</v>
      </c>
      <c r="F10" s="20">
        <v>1.2500000000000001E-2</v>
      </c>
      <c r="H10" t="s">
        <v>63</v>
      </c>
      <c r="K10" t="s">
        <v>64</v>
      </c>
      <c r="L10" s="13">
        <f>I9</f>
        <v>7.2349999999999998E-2</v>
      </c>
    </row>
    <row r="11" spans="1:12" x14ac:dyDescent="0.3">
      <c r="B11" s="46">
        <v>2002</v>
      </c>
      <c r="C11" s="10">
        <v>3.2500000000000001E-2</v>
      </c>
      <c r="E11" s="43" t="s">
        <v>70</v>
      </c>
      <c r="F11" s="44">
        <f>SUM(F9:F10)</f>
        <v>0.16859166666666667</v>
      </c>
      <c r="K11" s="43" t="s">
        <v>28</v>
      </c>
      <c r="L11" s="44">
        <f>L9-L10</f>
        <v>9.624166666666667E-2</v>
      </c>
    </row>
    <row r="12" spans="1:12" x14ac:dyDescent="0.3">
      <c r="B12" s="46">
        <v>2003</v>
      </c>
      <c r="C12" s="10">
        <v>0.71900000000000008</v>
      </c>
    </row>
    <row r="13" spans="1:12" x14ac:dyDescent="0.3">
      <c r="B13" s="46">
        <v>2004</v>
      </c>
      <c r="C13" s="10">
        <v>0.10679999999999999</v>
      </c>
    </row>
    <row r="14" spans="1:12" x14ac:dyDescent="0.3">
      <c r="B14" s="46">
        <v>2005</v>
      </c>
      <c r="C14" s="10">
        <v>0.36340000000000006</v>
      </c>
    </row>
    <row r="15" spans="1:12" x14ac:dyDescent="0.3">
      <c r="B15" s="46">
        <v>2006</v>
      </c>
      <c r="C15" s="10">
        <v>0.39829999999999999</v>
      </c>
    </row>
    <row r="16" spans="1:12" x14ac:dyDescent="0.3">
      <c r="B16" s="46">
        <v>2007</v>
      </c>
      <c r="C16" s="10">
        <v>0.54770000000000008</v>
      </c>
    </row>
    <row r="17" spans="2:3" x14ac:dyDescent="0.3">
      <c r="B17" s="46">
        <v>2008</v>
      </c>
      <c r="C17" s="10">
        <v>-0.51790000000000003</v>
      </c>
    </row>
    <row r="18" spans="2:3" x14ac:dyDescent="0.3">
      <c r="B18" s="46">
        <v>2009</v>
      </c>
      <c r="C18" s="10">
        <v>0.75760000000000005</v>
      </c>
    </row>
    <row r="19" spans="2:3" x14ac:dyDescent="0.3">
      <c r="B19" s="46">
        <v>2010</v>
      </c>
      <c r="C19" s="10">
        <v>0.17949999999999999</v>
      </c>
    </row>
    <row r="20" spans="2:3" x14ac:dyDescent="0.3">
      <c r="B20" s="46">
        <v>2011</v>
      </c>
      <c r="C20" s="10">
        <v>-0.2462</v>
      </c>
    </row>
    <row r="21" spans="2:3" x14ac:dyDescent="0.3">
      <c r="B21" s="46">
        <v>2012</v>
      </c>
      <c r="C21" s="10">
        <v>0.27699999999999997</v>
      </c>
    </row>
    <row r="22" spans="2:3" x14ac:dyDescent="0.3">
      <c r="B22" s="46">
        <v>2013</v>
      </c>
      <c r="C22" s="10">
        <v>6.7599999999999993E-2</v>
      </c>
    </row>
    <row r="23" spans="2:3" x14ac:dyDescent="0.3">
      <c r="B23" s="46">
        <v>2014</v>
      </c>
      <c r="C23" s="10">
        <v>0.31390000000000001</v>
      </c>
    </row>
    <row r="24" spans="2:3" x14ac:dyDescent="0.3">
      <c r="B24" s="46">
        <v>2015</v>
      </c>
      <c r="C24" s="10">
        <v>-4.0599999999999997E-2</v>
      </c>
    </row>
    <row r="25" spans="2:3" x14ac:dyDescent="0.3">
      <c r="B25" s="46">
        <v>2016</v>
      </c>
      <c r="C25" s="10">
        <v>3.0099999999999998E-2</v>
      </c>
    </row>
    <row r="26" spans="2:3" x14ac:dyDescent="0.3">
      <c r="B26" s="46">
        <v>2017</v>
      </c>
      <c r="C26" s="10">
        <v>0.28649999999999998</v>
      </c>
    </row>
    <row r="27" spans="2:3" x14ac:dyDescent="0.3">
      <c r="B27" s="46">
        <v>2018</v>
      </c>
      <c r="C27" s="10">
        <v>3.15E-2</v>
      </c>
    </row>
    <row r="28" spans="2:3" x14ac:dyDescent="0.3">
      <c r="B28" s="46">
        <v>2019</v>
      </c>
      <c r="C28" s="10">
        <v>0.1202</v>
      </c>
    </row>
    <row r="29" spans="2:3" x14ac:dyDescent="0.3">
      <c r="B29" s="46">
        <v>2020</v>
      </c>
      <c r="C29" s="10">
        <v>0.14899999999999999</v>
      </c>
    </row>
    <row r="30" spans="2:3" x14ac:dyDescent="0.3">
      <c r="B30" s="46">
        <v>2021</v>
      </c>
      <c r="C30" s="10">
        <v>0.2412</v>
      </c>
    </row>
    <row r="31" spans="2:3" x14ac:dyDescent="0.3">
      <c r="B31" s="46">
        <v>2022</v>
      </c>
      <c r="C31" s="10">
        <v>4.3200000000000002E-2</v>
      </c>
    </row>
    <row r="32" spans="2:3" x14ac:dyDescent="0.3">
      <c r="B32" s="46">
        <v>2023</v>
      </c>
      <c r="C32" s="10">
        <v>0.19420000000000001</v>
      </c>
    </row>
    <row r="33" spans="2:3" x14ac:dyDescent="0.3">
      <c r="B33" s="46" t="s">
        <v>20</v>
      </c>
      <c r="C33" s="10">
        <f>AVERAGE(C9:C32)</f>
        <v>0.15609166666666666</v>
      </c>
    </row>
  </sheetData>
  <mergeCells count="3">
    <mergeCell ref="K6:L6"/>
    <mergeCell ref="B6:F6"/>
    <mergeCell ref="H6:I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7EDE-2B0F-4987-A4E5-AC33BC08A9C3}">
  <sheetPr>
    <tabColor rgb="FF0070C0"/>
  </sheetPr>
  <dimension ref="A1"/>
  <sheetViews>
    <sheetView workbookViewId="0">
      <selection activeCell="F26" sqref="F26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47B9-293E-4826-97E8-7B073E99D526}">
  <dimension ref="A1:K44"/>
  <sheetViews>
    <sheetView showGridLines="0" tabSelected="1" zoomScale="120" zoomScaleNormal="120" workbookViewId="0">
      <pane xSplit="1" ySplit="4" topLeftCell="B15" activePane="bottomRight" state="frozen"/>
      <selection pane="topRight" activeCell="B1" sqref="B1"/>
      <selection pane="bottomLeft" activeCell="A5" sqref="A5"/>
      <selection pane="bottomRight" activeCell="F21" sqref="F21"/>
    </sheetView>
  </sheetViews>
  <sheetFormatPr defaultRowHeight="14.4" x14ac:dyDescent="0.3"/>
  <cols>
    <col min="1" max="1" width="1.88671875" customWidth="1"/>
    <col min="2" max="2" width="16.21875" customWidth="1"/>
    <col min="3" max="3" width="8" customWidth="1"/>
    <col min="4" max="4" width="9.5546875" customWidth="1"/>
    <col min="5" max="5" width="10.5546875" customWidth="1"/>
    <col min="6" max="7" width="11.77734375" customWidth="1"/>
    <col min="8" max="8" width="12.88671875" customWidth="1"/>
    <col min="9" max="10" width="11.77734375" customWidth="1"/>
    <col min="11" max="11" width="13.109375" customWidth="1"/>
  </cols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57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57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6" spans="1:11" x14ac:dyDescent="0.3">
      <c r="B6" s="5" t="s">
        <v>6</v>
      </c>
      <c r="C6" s="2"/>
      <c r="D6" s="2"/>
      <c r="E6" s="2"/>
      <c r="F6" s="2"/>
      <c r="G6" s="2"/>
      <c r="H6" s="2"/>
      <c r="I6" s="2"/>
      <c r="J6" s="2"/>
      <c r="K6" s="2"/>
    </row>
    <row r="8" spans="1:11" x14ac:dyDescent="0.3">
      <c r="B8" s="6" t="s">
        <v>73</v>
      </c>
    </row>
    <row r="10" spans="1:11" x14ac:dyDescent="0.3">
      <c r="H10" s="45" t="s">
        <v>75</v>
      </c>
      <c r="I10" s="45" t="s">
        <v>75</v>
      </c>
      <c r="J10" s="45" t="s">
        <v>16</v>
      </c>
      <c r="K10" s="45" t="s">
        <v>18</v>
      </c>
    </row>
    <row r="11" spans="1:11" ht="16.2" x14ac:dyDescent="0.3">
      <c r="B11" s="56" t="s">
        <v>74</v>
      </c>
      <c r="C11" s="42"/>
      <c r="D11" s="55" t="s">
        <v>10</v>
      </c>
      <c r="E11" s="55" t="s">
        <v>11</v>
      </c>
      <c r="F11" s="55" t="s">
        <v>12</v>
      </c>
      <c r="G11" s="55" t="s">
        <v>76</v>
      </c>
      <c r="H11" s="55" t="s">
        <v>40</v>
      </c>
      <c r="I11" s="55" t="s">
        <v>15</v>
      </c>
      <c r="J11" s="55" t="s">
        <v>17</v>
      </c>
      <c r="K11" s="55" t="s">
        <v>19</v>
      </c>
    </row>
    <row r="12" spans="1:11" x14ac:dyDescent="0.3">
      <c r="B12" s="46" t="s">
        <v>56</v>
      </c>
      <c r="D12" s="45" t="s">
        <v>1</v>
      </c>
      <c r="E12" s="49">
        <v>592</v>
      </c>
      <c r="F12" s="49">
        <v>331002</v>
      </c>
      <c r="G12" s="23">
        <v>0.3</v>
      </c>
      <c r="H12" s="21">
        <f>E12/F12</f>
        <v>1.788508830762352E-3</v>
      </c>
      <c r="I12" s="21">
        <f>E12/(E12+F12)</f>
        <v>1.7853157777281857E-3</v>
      </c>
      <c r="J12" s="22">
        <f>'Comps Beta - Regression'!AA17</f>
        <v>0.91978838422398468</v>
      </c>
      <c r="K12" s="22">
        <f>J12/(1+(1-G12)*H12)</f>
        <v>0.91863828933905323</v>
      </c>
    </row>
    <row r="13" spans="1:11" x14ac:dyDescent="0.3">
      <c r="B13" s="46" t="s">
        <v>87</v>
      </c>
      <c r="D13" s="45" t="s">
        <v>1</v>
      </c>
      <c r="E13" s="49">
        <v>1753</v>
      </c>
      <c r="F13" s="49">
        <v>196314</v>
      </c>
      <c r="G13" s="23">
        <v>0.3</v>
      </c>
      <c r="H13" s="21">
        <f t="shared" ref="H13:H16" si="0">E13/F13</f>
        <v>8.9295720121845609E-3</v>
      </c>
      <c r="I13" s="21">
        <f t="shared" ref="I13:I16" si="1">E13/(E13+F13)</f>
        <v>8.850540473678099E-3</v>
      </c>
      <c r="J13" s="22">
        <f>'Comps Beta - Regression'!AB17</f>
        <v>0.90304683440010758</v>
      </c>
      <c r="K13" s="22">
        <f t="shared" ref="K13:K16" si="2">J13/(1+(1-G13)*H13)</f>
        <v>0.89743722318253116</v>
      </c>
    </row>
    <row r="14" spans="1:11" x14ac:dyDescent="0.3">
      <c r="B14" s="46" t="s">
        <v>88</v>
      </c>
      <c r="D14" s="45" t="s">
        <v>1</v>
      </c>
      <c r="E14" s="49">
        <v>444</v>
      </c>
      <c r="F14" s="49">
        <v>26421</v>
      </c>
      <c r="G14" s="23">
        <v>0.3</v>
      </c>
      <c r="H14" s="21">
        <f t="shared" si="0"/>
        <v>1.6804814352219824E-2</v>
      </c>
      <c r="I14" s="21">
        <f t="shared" si="1"/>
        <v>1.6527079843662758E-2</v>
      </c>
      <c r="J14" s="22">
        <f>'Comps Beta - Regression'!AC17</f>
        <v>0.75791985598123623</v>
      </c>
      <c r="K14" s="22">
        <f t="shared" si="2"/>
        <v>0.74910782344923443</v>
      </c>
    </row>
    <row r="15" spans="1:11" x14ac:dyDescent="0.3">
      <c r="B15" s="46" t="s">
        <v>89</v>
      </c>
      <c r="D15" s="45" t="s">
        <v>1</v>
      </c>
      <c r="E15" s="49">
        <v>9451</v>
      </c>
      <c r="F15" s="49">
        <v>34451</v>
      </c>
      <c r="G15" s="23">
        <v>0.3</v>
      </c>
      <c r="H15" s="21">
        <f t="shared" si="0"/>
        <v>0.27433165945836113</v>
      </c>
      <c r="I15" s="21">
        <f t="shared" si="1"/>
        <v>0.21527493052708305</v>
      </c>
      <c r="J15" s="22">
        <f>'Comps Beta - Regression'!AD17</f>
        <v>1.2643974025884925</v>
      </c>
      <c r="K15" s="22">
        <f t="shared" si="2"/>
        <v>1.0607074568099251</v>
      </c>
    </row>
    <row r="16" spans="1:11" x14ac:dyDescent="0.3">
      <c r="B16" s="46" t="s">
        <v>90</v>
      </c>
      <c r="D16" s="45" t="s">
        <v>1</v>
      </c>
      <c r="E16" s="49">
        <v>1391</v>
      </c>
      <c r="F16" s="49">
        <v>6744</v>
      </c>
      <c r="G16" s="23">
        <v>0.3</v>
      </c>
      <c r="H16" s="21">
        <f t="shared" si="0"/>
        <v>0.20625741399762751</v>
      </c>
      <c r="I16" s="21">
        <f t="shared" si="1"/>
        <v>0.17098955132145052</v>
      </c>
      <c r="J16" s="22">
        <f>'Comps Beta - Regression'!AE17</f>
        <v>1.0264397662116793</v>
      </c>
      <c r="K16" s="22">
        <f t="shared" si="2"/>
        <v>0.89693947462735857</v>
      </c>
    </row>
    <row r="18" spans="2:11" x14ac:dyDescent="0.3">
      <c r="F18" s="47" t="s">
        <v>77</v>
      </c>
      <c r="G18" s="50">
        <f>AVERAGE(G12:G16)</f>
        <v>0.3</v>
      </c>
      <c r="H18" s="50">
        <f t="shared" ref="H18:K18" si="3">AVERAGE(H12:H16)</f>
        <v>0.10162239373023108</v>
      </c>
      <c r="I18" s="50">
        <f t="shared" si="3"/>
        <v>8.2685483588720521E-2</v>
      </c>
      <c r="J18" s="51">
        <f t="shared" si="3"/>
        <v>0.97431844868109996</v>
      </c>
      <c r="K18" s="51">
        <f t="shared" si="3"/>
        <v>0.90456605348162056</v>
      </c>
    </row>
    <row r="19" spans="2:11" x14ac:dyDescent="0.3">
      <c r="F19" s="48" t="s">
        <v>21</v>
      </c>
      <c r="G19" s="52">
        <f>MEDIAN(G12:G16)</f>
        <v>0.3</v>
      </c>
      <c r="H19" s="52">
        <f t="shared" ref="H19:K19" si="4">MEDIAN(H12:H16)</f>
        <v>1.6804814352219824E-2</v>
      </c>
      <c r="I19" s="52">
        <f t="shared" si="4"/>
        <v>1.6527079843662758E-2</v>
      </c>
      <c r="J19" s="53">
        <f t="shared" si="4"/>
        <v>0.91978838422398468</v>
      </c>
      <c r="K19" s="53">
        <f t="shared" si="4"/>
        <v>0.89743722318253116</v>
      </c>
    </row>
    <row r="22" spans="2:11" x14ac:dyDescent="0.3">
      <c r="B22" s="65" t="s">
        <v>78</v>
      </c>
      <c r="C22" s="65"/>
      <c r="D22" s="65"/>
      <c r="E22" s="65"/>
      <c r="H22" s="65" t="s">
        <v>26</v>
      </c>
      <c r="I22" s="65"/>
      <c r="J22" s="65"/>
      <c r="K22" s="65"/>
    </row>
    <row r="23" spans="2:11" x14ac:dyDescent="0.3">
      <c r="B23" s="31"/>
      <c r="C23" s="31"/>
      <c r="D23" s="31"/>
      <c r="E23" s="31"/>
    </row>
    <row r="24" spans="2:11" x14ac:dyDescent="0.3">
      <c r="B24" t="s">
        <v>23</v>
      </c>
      <c r="E24" s="10">
        <f>59.5/E12</f>
        <v>0.10050675675675676</v>
      </c>
      <c r="H24" t="s">
        <v>80</v>
      </c>
      <c r="K24" s="13">
        <f>'Rm &amp; RfR'!I9</f>
        <v>7.2349999999999998E-2</v>
      </c>
    </row>
    <row r="25" spans="2:11" x14ac:dyDescent="0.3">
      <c r="B25" t="s">
        <v>24</v>
      </c>
      <c r="E25" s="13">
        <f>G19</f>
        <v>0.3</v>
      </c>
      <c r="H25" t="s">
        <v>72</v>
      </c>
      <c r="K25" s="13">
        <f>'Rm &amp; RfR'!F11</f>
        <v>0.16859166666666667</v>
      </c>
    </row>
    <row r="26" spans="2:11" ht="16.2" x14ac:dyDescent="0.3">
      <c r="B26" s="43" t="s">
        <v>79</v>
      </c>
      <c r="C26" s="43"/>
      <c r="D26" s="43"/>
      <c r="E26" s="21">
        <f>E24*(1-E25)</f>
        <v>7.0354729729729726E-2</v>
      </c>
      <c r="H26" t="s">
        <v>29</v>
      </c>
      <c r="K26" s="12">
        <f>K34</f>
        <v>0.96849843702419069</v>
      </c>
    </row>
    <row r="27" spans="2:11" x14ac:dyDescent="0.3">
      <c r="H27" s="43" t="s">
        <v>81</v>
      </c>
      <c r="I27" s="43"/>
      <c r="J27" s="43"/>
      <c r="K27" s="44">
        <f>K24+(K26*(K25-K24))</f>
        <v>0.16555990374326982</v>
      </c>
    </row>
    <row r="29" spans="2:11" x14ac:dyDescent="0.3">
      <c r="B29" s="65" t="s">
        <v>30</v>
      </c>
      <c r="C29" s="65"/>
      <c r="D29" s="65"/>
      <c r="E29" s="65"/>
      <c r="H29" s="65" t="s">
        <v>35</v>
      </c>
      <c r="I29" s="65"/>
      <c r="J29" s="65"/>
      <c r="K29" s="65"/>
    </row>
    <row r="31" spans="2:11" x14ac:dyDescent="0.3">
      <c r="D31" s="54" t="s">
        <v>31</v>
      </c>
      <c r="E31" s="54" t="s">
        <v>32</v>
      </c>
      <c r="H31" t="s">
        <v>83</v>
      </c>
      <c r="K31" s="12">
        <f>K19</f>
        <v>0.89743722318253116</v>
      </c>
    </row>
    <row r="32" spans="2:11" x14ac:dyDescent="0.3">
      <c r="B32" t="s">
        <v>11</v>
      </c>
      <c r="D32" s="33">
        <f>E12</f>
        <v>592</v>
      </c>
      <c r="E32" s="13">
        <f>H18</f>
        <v>0.10162239373023108</v>
      </c>
      <c r="F32" s="12"/>
      <c r="H32" t="s">
        <v>84</v>
      </c>
      <c r="K32" s="13">
        <f>E36</f>
        <v>0.11311768350080115</v>
      </c>
    </row>
    <row r="33" spans="2:11" x14ac:dyDescent="0.3">
      <c r="B33" t="s">
        <v>82</v>
      </c>
      <c r="D33" s="33">
        <f>F12</f>
        <v>331002</v>
      </c>
      <c r="E33" s="13">
        <f>E34-E32</f>
        <v>0.89837760626976892</v>
      </c>
      <c r="H33" t="s">
        <v>24</v>
      </c>
      <c r="K33" s="13">
        <f>E25</f>
        <v>0.3</v>
      </c>
    </row>
    <row r="34" spans="2:11" x14ac:dyDescent="0.3">
      <c r="B34" s="43" t="s">
        <v>34</v>
      </c>
      <c r="C34" s="43"/>
      <c r="D34" s="21">
        <f>1</f>
        <v>1</v>
      </c>
      <c r="E34" s="21">
        <v>1</v>
      </c>
      <c r="H34" s="43" t="s">
        <v>35</v>
      </c>
      <c r="I34" s="43"/>
      <c r="J34" s="43"/>
      <c r="K34" s="22">
        <f>K31*(1+(1-K33)*K32)</f>
        <v>0.96849843702419069</v>
      </c>
    </row>
    <row r="36" spans="2:11" x14ac:dyDescent="0.3">
      <c r="B36" s="43" t="s">
        <v>38</v>
      </c>
      <c r="C36" s="43"/>
      <c r="D36" s="21">
        <f>D32/D33</f>
        <v>1.788508830762352E-3</v>
      </c>
      <c r="E36" s="21">
        <f t="shared" ref="E36" si="5">E32/E33</f>
        <v>0.11311768350080115</v>
      </c>
      <c r="H36" s="65" t="s">
        <v>0</v>
      </c>
      <c r="I36" s="65"/>
      <c r="J36" s="65"/>
      <c r="K36" s="65"/>
    </row>
    <row r="38" spans="2:11" x14ac:dyDescent="0.3">
      <c r="H38" t="s">
        <v>22</v>
      </c>
      <c r="K38" s="13">
        <f>E26</f>
        <v>7.0354729729729726E-2</v>
      </c>
    </row>
    <row r="39" spans="2:11" x14ac:dyDescent="0.3">
      <c r="H39" t="s">
        <v>85</v>
      </c>
      <c r="K39" s="13">
        <f>E32</f>
        <v>0.10162239373023108</v>
      </c>
    </row>
    <row r="41" spans="2:11" x14ac:dyDescent="0.3">
      <c r="H41" t="s">
        <v>26</v>
      </c>
      <c r="K41" s="13">
        <f>K27</f>
        <v>0.16555990374326982</v>
      </c>
    </row>
    <row r="42" spans="2:11" x14ac:dyDescent="0.3">
      <c r="H42" t="s">
        <v>86</v>
      </c>
      <c r="K42" s="13">
        <f>E33</f>
        <v>0.89837760626976892</v>
      </c>
    </row>
    <row r="43" spans="2:11" ht="15" thickBot="1" x14ac:dyDescent="0.35">
      <c r="H43" s="58" t="s">
        <v>43</v>
      </c>
      <c r="I43" s="58"/>
      <c r="J43" s="58"/>
      <c r="K43" s="59">
        <f>(K38*K39)+(K41*K42)</f>
        <v>0.15588492606451068</v>
      </c>
    </row>
    <row r="44" spans="2:11" ht="15" thickTop="1" x14ac:dyDescent="0.3"/>
  </sheetData>
  <mergeCells count="5">
    <mergeCell ref="H36:K36"/>
    <mergeCell ref="B22:E22"/>
    <mergeCell ref="H22:K22"/>
    <mergeCell ref="B29:E29"/>
    <mergeCell ref="H29:K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5B7B-C668-4751-B269-60A6246385E1}">
  <dimension ref="A1:K43"/>
  <sheetViews>
    <sheetView showGridLines="0" zoomScaleNormal="100" workbookViewId="0">
      <pane ySplit="4" topLeftCell="A5" activePane="bottomLeft" state="frozen"/>
      <selection pane="bottomLeft" activeCell="D12" sqref="D12"/>
    </sheetView>
  </sheetViews>
  <sheetFormatPr defaultRowHeight="14.4" x14ac:dyDescent="0.3"/>
  <cols>
    <col min="1" max="1" width="1.88671875" customWidth="1"/>
    <col min="2" max="11" width="12.33203125" customWidth="1"/>
    <col min="12" max="12" width="20.5546875" bestFit="1" customWidth="1"/>
    <col min="13" max="16" width="9.109375"/>
  </cols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6" spans="1:11" x14ac:dyDescent="0.3">
      <c r="B6" s="5" t="s">
        <v>6</v>
      </c>
      <c r="C6" s="2"/>
      <c r="D6" s="2"/>
      <c r="E6" s="2"/>
      <c r="F6" s="2"/>
      <c r="G6" s="2"/>
      <c r="H6" s="2"/>
      <c r="I6" s="2"/>
      <c r="J6" s="2"/>
      <c r="K6" s="2"/>
    </row>
    <row r="8" spans="1:11" x14ac:dyDescent="0.3">
      <c r="B8" s="6" t="s">
        <v>7</v>
      </c>
    </row>
    <row r="10" spans="1:11" x14ac:dyDescent="0.3">
      <c r="B10" t="s">
        <v>8</v>
      </c>
    </row>
    <row r="11" spans="1:11" x14ac:dyDescent="0.3">
      <c r="B11" s="7"/>
      <c r="C11" s="7"/>
      <c r="D11" s="7"/>
      <c r="E11" s="7"/>
      <c r="F11" s="7"/>
      <c r="G11" s="7"/>
      <c r="H11" s="9" t="s">
        <v>14</v>
      </c>
      <c r="I11" s="9" t="s">
        <v>14</v>
      </c>
      <c r="J11" s="9" t="s">
        <v>16</v>
      </c>
      <c r="K11" s="9" t="s">
        <v>18</v>
      </c>
    </row>
    <row r="12" spans="1:11" ht="16.2" x14ac:dyDescent="0.3">
      <c r="B12" s="8" t="s">
        <v>9</v>
      </c>
      <c r="C12" s="8"/>
      <c r="D12" s="8" t="s">
        <v>10</v>
      </c>
      <c r="E12" s="8" t="s">
        <v>11</v>
      </c>
      <c r="F12" s="8" t="s">
        <v>12</v>
      </c>
      <c r="G12" s="8" t="s">
        <v>13</v>
      </c>
      <c r="H12" s="8" t="s">
        <v>40</v>
      </c>
      <c r="I12" s="8" t="s">
        <v>15</v>
      </c>
      <c r="J12" s="8" t="s">
        <v>17</v>
      </c>
      <c r="K12" s="8" t="s">
        <v>19</v>
      </c>
    </row>
    <row r="13" spans="1:11" x14ac:dyDescent="0.3">
      <c r="B13" s="3" t="s">
        <v>56</v>
      </c>
      <c r="C13" s="3"/>
      <c r="D13" s="3" t="s">
        <v>1</v>
      </c>
      <c r="E13" s="4">
        <v>1139</v>
      </c>
      <c r="F13" s="4">
        <v>611503.89</v>
      </c>
      <c r="G13" s="23">
        <v>0.3</v>
      </c>
      <c r="H13" s="21">
        <f>E13/F13</f>
        <v>1.8626210211025803E-3</v>
      </c>
      <c r="I13" s="21">
        <f>E13/(E13+F13)</f>
        <v>1.8591581141176713E-3</v>
      </c>
      <c r="J13" s="24">
        <f>'Comps Beta - Regression'!AA17</f>
        <v>0.91978838422398468</v>
      </c>
      <c r="K13" s="22">
        <f>J13/(1+(1-G13)*H13)</f>
        <v>0.91859069378875657</v>
      </c>
    </row>
    <row r="14" spans="1:11" x14ac:dyDescent="0.3">
      <c r="B14" s="3" t="s">
        <v>2</v>
      </c>
      <c r="C14" s="3"/>
      <c r="D14" s="3" t="s">
        <v>1</v>
      </c>
      <c r="E14" s="4">
        <v>279.93</v>
      </c>
      <c r="F14" s="4">
        <v>182975.03</v>
      </c>
      <c r="G14" s="23">
        <v>0.3</v>
      </c>
      <c r="H14" s="21">
        <f t="shared" ref="H14:H17" si="0">E14/F14</f>
        <v>1.5298808804676792E-3</v>
      </c>
      <c r="I14" s="21">
        <f t="shared" ref="I14:I17" si="1">E14/(E14+F14)</f>
        <v>1.5275439202300446E-3</v>
      </c>
      <c r="J14" s="24">
        <f>'Comps Beta - Regression'!AB17</f>
        <v>0.90304683440010758</v>
      </c>
      <c r="K14" s="22">
        <f t="shared" ref="K14:K17" si="2">J14/(1+(1-G14)*H14)</f>
        <v>0.90208078110235546</v>
      </c>
    </row>
    <row r="15" spans="1:11" x14ac:dyDescent="0.3">
      <c r="B15" s="3" t="s">
        <v>3</v>
      </c>
      <c r="C15" s="3"/>
      <c r="D15" s="3" t="s">
        <v>1</v>
      </c>
      <c r="E15" s="4">
        <v>3037.7</v>
      </c>
      <c r="F15" s="4">
        <v>110689.96</v>
      </c>
      <c r="G15" s="23">
        <v>0.3</v>
      </c>
      <c r="H15" s="21">
        <f t="shared" si="0"/>
        <v>2.7443320062632597E-2</v>
      </c>
      <c r="I15" s="21">
        <f t="shared" si="1"/>
        <v>2.671030073071054E-2</v>
      </c>
      <c r="J15" s="24">
        <f>'Comps Beta - Regression'!AC17</f>
        <v>0.75791985598123623</v>
      </c>
      <c r="K15" s="22">
        <f t="shared" si="2"/>
        <v>0.74363439822125788</v>
      </c>
    </row>
    <row r="16" spans="1:11" x14ac:dyDescent="0.3">
      <c r="B16" s="3" t="s">
        <v>4</v>
      </c>
      <c r="C16" s="3"/>
      <c r="D16" s="3" t="s">
        <v>1</v>
      </c>
      <c r="E16" s="4">
        <v>1164.46</v>
      </c>
      <c r="F16" s="4">
        <v>96256.38</v>
      </c>
      <c r="G16" s="23">
        <v>0.3</v>
      </c>
      <c r="H16" s="21">
        <f t="shared" si="0"/>
        <v>1.2097483823929386E-2</v>
      </c>
      <c r="I16" s="21">
        <f t="shared" si="1"/>
        <v>1.1952884003053145E-2</v>
      </c>
      <c r="J16" s="24">
        <f>'Comps Beta - Regression'!AD17</f>
        <v>1.2643974025884925</v>
      </c>
      <c r="K16" s="22">
        <f t="shared" si="2"/>
        <v>1.2537800935085039</v>
      </c>
    </row>
    <row r="17" spans="2:11" x14ac:dyDescent="0.3">
      <c r="B17" s="3" t="s">
        <v>5</v>
      </c>
      <c r="C17" s="3"/>
      <c r="D17" s="3" t="s">
        <v>1</v>
      </c>
      <c r="E17" s="4">
        <v>1068.1099999999999</v>
      </c>
      <c r="F17" s="4">
        <v>94940.38</v>
      </c>
      <c r="G17" s="23">
        <v>0.3</v>
      </c>
      <c r="H17" s="21">
        <f t="shared" si="0"/>
        <v>1.1250323624152335E-2</v>
      </c>
      <c r="I17" s="21">
        <f t="shared" si="1"/>
        <v>1.1125161951823217E-2</v>
      </c>
      <c r="J17" s="24">
        <f>'Comps Beta - Regression'!AE17</f>
        <v>1.0264397662116793</v>
      </c>
      <c r="K17" s="22">
        <f t="shared" si="2"/>
        <v>1.0184194820806947</v>
      </c>
    </row>
    <row r="19" spans="2:11" x14ac:dyDescent="0.3">
      <c r="F19" s="14" t="s">
        <v>20</v>
      </c>
      <c r="G19" s="15">
        <f>AVERAGE(G13:G17)</f>
        <v>0.3</v>
      </c>
      <c r="H19" s="15">
        <f t="shared" ref="H19:K19" si="3">AVERAGE(H13:H17)</f>
        <v>1.0836725882456915E-2</v>
      </c>
      <c r="I19" s="15">
        <f t="shared" si="3"/>
        <v>1.0635009743986925E-2</v>
      </c>
      <c r="J19" s="16">
        <f t="shared" si="3"/>
        <v>0.97431844868109996</v>
      </c>
      <c r="K19" s="16">
        <f t="shared" si="3"/>
        <v>0.96730108974031381</v>
      </c>
    </row>
    <row r="20" spans="2:11" x14ac:dyDescent="0.3">
      <c r="F20" s="17" t="s">
        <v>21</v>
      </c>
      <c r="G20" s="18">
        <f>MEDIAN(G13:G17)</f>
        <v>0.3</v>
      </c>
      <c r="H20" s="18">
        <f t="shared" ref="H20:K20" si="4">MEDIAN(H13:H17)</f>
        <v>1.1250323624152335E-2</v>
      </c>
      <c r="I20" s="18">
        <f t="shared" si="4"/>
        <v>1.1125161951823217E-2</v>
      </c>
      <c r="J20" s="19">
        <f t="shared" si="4"/>
        <v>0.91978838422398468</v>
      </c>
      <c r="K20" s="19">
        <f t="shared" si="4"/>
        <v>0.91859069378875657</v>
      </c>
    </row>
    <row r="23" spans="2:11" x14ac:dyDescent="0.3">
      <c r="B23" s="17" t="s">
        <v>22</v>
      </c>
      <c r="C23" s="8"/>
      <c r="D23" s="8"/>
      <c r="E23" s="8"/>
      <c r="H23" s="17" t="s">
        <v>26</v>
      </c>
      <c r="I23" s="8"/>
      <c r="J23" s="8"/>
      <c r="K23" s="8"/>
    </row>
    <row r="25" spans="2:11" x14ac:dyDescent="0.3">
      <c r="B25" t="s">
        <v>23</v>
      </c>
      <c r="E25" s="20">
        <v>8.5000000000000006E-2</v>
      </c>
      <c r="H25" t="s">
        <v>27</v>
      </c>
      <c r="K25" s="23">
        <v>0.04</v>
      </c>
    </row>
    <row r="26" spans="2:11" x14ac:dyDescent="0.3">
      <c r="B26" t="s">
        <v>24</v>
      </c>
      <c r="E26" s="20">
        <f>G20</f>
        <v>0.3</v>
      </c>
      <c r="H26" t="s">
        <v>28</v>
      </c>
      <c r="K26" s="23">
        <v>0.08</v>
      </c>
    </row>
    <row r="27" spans="2:11" ht="16.2" x14ac:dyDescent="0.3">
      <c r="B27" s="25" t="s">
        <v>25</v>
      </c>
      <c r="C27" s="25"/>
      <c r="D27" s="25"/>
      <c r="E27" s="27">
        <f>E25*(1-E26)</f>
        <v>5.9499999999999997E-2</v>
      </c>
      <c r="H27" t="s">
        <v>29</v>
      </c>
      <c r="K27" s="12">
        <f>K36</f>
        <v>0.92590711571143836</v>
      </c>
    </row>
    <row r="28" spans="2:11" x14ac:dyDescent="0.3">
      <c r="H28" s="25" t="s">
        <v>26</v>
      </c>
      <c r="I28" s="25"/>
      <c r="J28" s="25"/>
      <c r="K28" s="27">
        <f>K25+(K26*K27)</f>
        <v>0.11407256925691506</v>
      </c>
    </row>
    <row r="31" spans="2:11" x14ac:dyDescent="0.3">
      <c r="B31" s="17" t="s">
        <v>30</v>
      </c>
      <c r="C31" s="8"/>
      <c r="D31" s="8"/>
      <c r="E31" s="8"/>
      <c r="H31" s="17" t="s">
        <v>35</v>
      </c>
      <c r="I31" s="8"/>
      <c r="J31" s="8"/>
      <c r="K31" s="8"/>
    </row>
    <row r="33" spans="2:11" x14ac:dyDescent="0.3">
      <c r="D33" s="17" t="s">
        <v>31</v>
      </c>
      <c r="E33" s="17" t="s">
        <v>32</v>
      </c>
      <c r="H33" t="s">
        <v>36</v>
      </c>
      <c r="K33" s="12">
        <f>K20</f>
        <v>0.91859069378875657</v>
      </c>
    </row>
    <row r="34" spans="2:11" x14ac:dyDescent="0.3">
      <c r="B34" t="s">
        <v>11</v>
      </c>
      <c r="C34" s="11">
        <v>18440</v>
      </c>
      <c r="D34" s="10">
        <f>C34/$C$36</f>
        <v>0.3252778267772094</v>
      </c>
      <c r="E34" s="20">
        <f>H20</f>
        <v>1.1250323624152335E-2</v>
      </c>
      <c r="H34" t="s">
        <v>37</v>
      </c>
      <c r="K34" s="13">
        <f>E38</f>
        <v>1.1378333558994577E-2</v>
      </c>
    </row>
    <row r="35" spans="2:11" x14ac:dyDescent="0.3">
      <c r="B35" t="s">
        <v>33</v>
      </c>
      <c r="C35" s="11">
        <v>38250</v>
      </c>
      <c r="D35" s="10">
        <f t="shared" ref="D35:D36" si="5">C35/$C$36</f>
        <v>0.6747221732227906</v>
      </c>
      <c r="E35" s="13">
        <f>E36-E34</f>
        <v>0.98874967637584765</v>
      </c>
      <c r="H35" t="s">
        <v>24</v>
      </c>
      <c r="K35" s="13">
        <f>E26</f>
        <v>0.3</v>
      </c>
    </row>
    <row r="36" spans="2:11" x14ac:dyDescent="0.3">
      <c r="B36" s="25" t="s">
        <v>34</v>
      </c>
      <c r="C36" s="30">
        <f>SUM(C34:C35)</f>
        <v>56690</v>
      </c>
      <c r="D36" s="26">
        <f t="shared" si="5"/>
        <v>1</v>
      </c>
      <c r="E36" s="26">
        <f>D36</f>
        <v>1</v>
      </c>
      <c r="H36" s="25" t="s">
        <v>62</v>
      </c>
      <c r="I36" s="25"/>
      <c r="J36" s="25"/>
      <c r="K36" s="28">
        <f>K33*(1+(1-K35)*K34)</f>
        <v>0.92590711571143836</v>
      </c>
    </row>
    <row r="38" spans="2:11" x14ac:dyDescent="0.3">
      <c r="B38" t="s">
        <v>38</v>
      </c>
      <c r="D38" s="21">
        <f>D34/D35</f>
        <v>0.4820915032679739</v>
      </c>
      <c r="E38" s="21">
        <f>E34/E35</f>
        <v>1.1378333558994577E-2</v>
      </c>
      <c r="H38" s="17" t="s">
        <v>0</v>
      </c>
      <c r="I38" s="8"/>
      <c r="J38" s="8"/>
      <c r="K38" s="8"/>
    </row>
    <row r="40" spans="2:11" x14ac:dyDescent="0.3">
      <c r="J40" t="s">
        <v>41</v>
      </c>
      <c r="K40" t="s">
        <v>42</v>
      </c>
    </row>
    <row r="41" spans="2:11" x14ac:dyDescent="0.3">
      <c r="H41" t="s">
        <v>39</v>
      </c>
      <c r="J41" s="13">
        <f>E27</f>
        <v>5.9499999999999997E-2</v>
      </c>
      <c r="K41" s="13">
        <f>E34</f>
        <v>1.1250323624152335E-2</v>
      </c>
    </row>
    <row r="42" spans="2:11" x14ac:dyDescent="0.3">
      <c r="H42" t="s">
        <v>40</v>
      </c>
      <c r="J42" s="13">
        <f>K28</f>
        <v>0.11407256925691506</v>
      </c>
      <c r="K42" s="13">
        <f>E35</f>
        <v>0.98874967637584765</v>
      </c>
    </row>
    <row r="43" spans="2:11" x14ac:dyDescent="0.3">
      <c r="H43" s="25" t="s">
        <v>43</v>
      </c>
      <c r="I43" s="25"/>
      <c r="J43" s="25"/>
      <c r="K43" s="29">
        <f>SUMPRODUCT(J41:J42,K41:K42)</f>
        <v>0.11345861019177331</v>
      </c>
    </row>
  </sheetData>
  <pageMargins left="0.7" right="0.7" top="0.75" bottom="0.75" header="0.3" footer="0.3"/>
  <pageSetup orientation="portrait" r:id="rId1"/>
  <customProperties>
    <customPr name="Gu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Data&gt;&gt;</vt:lpstr>
      <vt:lpstr>Comps Beta - Regression</vt:lpstr>
      <vt:lpstr>Rm &amp; RfR</vt:lpstr>
      <vt:lpstr>WACC Report&gt;&gt;</vt:lpstr>
      <vt:lpstr>WACC - DMART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rajesh n</cp:lastModifiedBy>
  <dcterms:created xsi:type="dcterms:W3CDTF">2023-02-06T14:53:36Z</dcterms:created>
  <dcterms:modified xsi:type="dcterms:W3CDTF">2024-07-29T13:01:40Z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{1EE99B22-FCBF-4602-91E6-C0830BFCF47D}</vt:lpwstr>
  </property>
</Properties>
</file>