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2 - Nutrient Solubility/data/"/>
    </mc:Choice>
  </mc:AlternateContent>
  <xr:revisionPtr revIDLastSave="0" documentId="8_{46E0F06F-FFC3-B444-A5E9-A6C312FF0599}" xr6:coauthVersionLast="47" xr6:coauthVersionMax="47" xr10:uidLastSave="{00000000-0000-0000-0000-000000000000}"/>
  <bookViews>
    <workbookView xWindow="840" yWindow="500" windowWidth="24760" windowHeight="15500" activeTab="1" xr2:uid="{028F6809-90A5-9344-B266-0EAA3207EB1F}"/>
  </bookViews>
  <sheets>
    <sheet name="important notes" sheetId="3" r:id="rId1"/>
    <sheet name="nutrient solutions" sheetId="1" r:id="rId2"/>
    <sheet name="nutrient rat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4" i="1" l="1"/>
  <c r="BD4" i="1"/>
  <c r="BH4" i="1"/>
  <c r="BD5" i="1"/>
  <c r="BB6" i="1"/>
  <c r="BB7" i="1"/>
  <c r="BD7" i="1"/>
  <c r="BB8" i="1"/>
  <c r="BD8" i="1"/>
  <c r="BH8" i="1"/>
  <c r="BB9" i="1"/>
  <c r="BH9" i="1"/>
  <c r="BD10" i="1"/>
  <c r="BB11" i="1"/>
  <c r="BD11" i="1"/>
  <c r="BH11" i="1"/>
  <c r="BD12" i="1"/>
  <c r="BB13" i="1"/>
  <c r="BD13" i="1"/>
  <c r="BH13" i="1"/>
  <c r="BD14" i="1"/>
  <c r="BB15" i="1"/>
  <c r="BD15" i="1"/>
  <c r="BH15" i="1"/>
  <c r="BB16" i="1"/>
  <c r="BD16" i="1"/>
  <c r="BB17" i="1"/>
  <c r="BD17" i="1"/>
  <c r="BH17" i="1"/>
  <c r="BD18" i="1"/>
  <c r="BB19" i="1"/>
  <c r="BH19" i="1"/>
  <c r="BB20" i="1"/>
  <c r="BH20" i="1"/>
  <c r="BB21" i="1"/>
  <c r="BH21" i="1"/>
  <c r="BB22" i="1"/>
  <c r="BD22" i="1"/>
  <c r="BH22" i="1"/>
  <c r="BB23" i="1"/>
  <c r="BH23" i="1"/>
  <c r="BB24" i="1"/>
  <c r="BH24" i="1"/>
  <c r="BB25" i="1"/>
  <c r="BD25" i="1"/>
  <c r="BG25" i="1"/>
  <c r="BH25" i="1"/>
  <c r="BB26" i="1"/>
  <c r="BB27" i="1"/>
  <c r="BB28" i="1"/>
  <c r="BH28" i="1"/>
  <c r="BB29" i="1"/>
  <c r="BD29" i="1"/>
  <c r="BH29" i="1"/>
  <c r="BB30" i="1"/>
  <c r="BD30" i="1"/>
  <c r="BH30" i="1"/>
  <c r="BB31" i="1"/>
  <c r="BD31" i="1"/>
  <c r="BH31" i="1"/>
  <c r="BB32" i="1"/>
  <c r="BH32" i="1"/>
  <c r="BB33" i="1"/>
  <c r="BH33" i="1"/>
  <c r="BB34" i="1"/>
  <c r="BH34" i="1"/>
  <c r="BB35" i="1"/>
  <c r="BH35" i="1"/>
  <c r="BB36" i="1"/>
  <c r="BH36" i="1"/>
  <c r="BB37" i="1"/>
  <c r="BH37" i="1"/>
  <c r="BB38" i="1"/>
  <c r="BH38" i="1"/>
  <c r="BB39" i="1"/>
  <c r="BH39" i="1"/>
  <c r="BB40" i="1"/>
  <c r="BH40" i="1"/>
  <c r="BD41" i="1"/>
  <c r="BB42" i="1"/>
  <c r="BD42" i="1"/>
  <c r="BH42" i="1"/>
  <c r="BB43" i="1"/>
  <c r="BD43" i="1"/>
  <c r="BH43" i="1"/>
  <c r="BB44" i="1"/>
  <c r="BD44" i="1"/>
  <c r="BH44" i="1"/>
  <c r="BB45" i="1"/>
  <c r="BH45" i="1"/>
  <c r="BB46" i="1"/>
  <c r="BD46" i="1"/>
  <c r="BH46" i="1"/>
  <c r="BB47" i="1"/>
  <c r="BH47" i="1"/>
  <c r="BB48" i="1"/>
  <c r="BH48" i="1"/>
  <c r="BB49" i="1"/>
  <c r="BH49" i="1"/>
  <c r="BB50" i="1"/>
  <c r="BH50" i="1"/>
  <c r="BH3" i="1"/>
  <c r="BD3" i="1"/>
  <c r="BB3" i="1"/>
  <c r="D51" i="1"/>
  <c r="G51" i="1"/>
  <c r="J51" i="1"/>
  <c r="N51" i="1"/>
  <c r="O51" i="1"/>
  <c r="P51" i="1"/>
  <c r="Q51" i="1"/>
  <c r="R51" i="1"/>
  <c r="S51" i="1"/>
  <c r="T51" i="1"/>
  <c r="U51" i="1"/>
  <c r="Z51" i="1"/>
  <c r="AA51" i="1"/>
  <c r="AB51" i="1"/>
  <c r="AC51" i="1"/>
  <c r="AD51" i="1"/>
  <c r="AE51" i="1"/>
  <c r="AF51" i="1"/>
  <c r="D52" i="1"/>
  <c r="G52" i="1"/>
  <c r="J52" i="1"/>
  <c r="N52" i="1"/>
  <c r="O52" i="1"/>
  <c r="P52" i="1"/>
  <c r="Q52" i="1"/>
  <c r="R52" i="1"/>
  <c r="S52" i="1"/>
  <c r="T52" i="1"/>
  <c r="U52" i="1"/>
  <c r="Z52" i="1"/>
  <c r="AA52" i="1"/>
  <c r="AB52" i="1"/>
  <c r="AC52" i="1"/>
  <c r="AD52" i="1"/>
  <c r="AE52" i="1"/>
  <c r="AF52" i="1"/>
  <c r="D53" i="1"/>
  <c r="G53" i="1"/>
  <c r="J53" i="1"/>
  <c r="N53" i="1"/>
  <c r="O53" i="1"/>
  <c r="P53" i="1"/>
  <c r="Q53" i="1"/>
  <c r="R53" i="1"/>
  <c r="S53" i="1"/>
  <c r="T53" i="1"/>
  <c r="U53" i="1"/>
  <c r="Z53" i="1"/>
  <c r="AA53" i="1"/>
  <c r="AB53" i="1"/>
  <c r="AC53" i="1"/>
  <c r="AD53" i="1"/>
  <c r="AE53" i="1"/>
  <c r="AF53" i="1"/>
  <c r="D54" i="1"/>
  <c r="G54" i="1"/>
  <c r="J54" i="1"/>
  <c r="N54" i="1"/>
  <c r="O54" i="1"/>
  <c r="P54" i="1"/>
  <c r="Q54" i="1"/>
  <c r="R54" i="1"/>
  <c r="S54" i="1"/>
  <c r="T54" i="1"/>
  <c r="U54" i="1"/>
  <c r="Z54" i="1"/>
  <c r="AA54" i="1"/>
  <c r="AB54" i="1"/>
  <c r="AC54" i="1"/>
  <c r="AD54" i="1"/>
  <c r="AE54" i="1"/>
  <c r="AF54" i="1"/>
  <c r="D55" i="1"/>
  <c r="G55" i="1"/>
  <c r="J55" i="1"/>
  <c r="N55" i="1"/>
  <c r="O55" i="1"/>
  <c r="P55" i="1"/>
  <c r="Q55" i="1"/>
  <c r="R55" i="1"/>
  <c r="S55" i="1"/>
  <c r="T55" i="1"/>
  <c r="U55" i="1"/>
  <c r="Z55" i="1"/>
  <c r="AA55" i="1"/>
  <c r="AB55" i="1"/>
  <c r="AC55" i="1"/>
  <c r="AD55" i="1"/>
  <c r="AE55" i="1"/>
  <c r="AF55" i="1"/>
  <c r="AQ26" i="1"/>
  <c r="AQ27" i="1"/>
  <c r="AQ28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6" i="1"/>
  <c r="AQ7" i="1"/>
  <c r="AQ9" i="1"/>
  <c r="AQ11" i="1"/>
  <c r="AQ13" i="1"/>
  <c r="AQ14" i="1"/>
  <c r="AQ15" i="1"/>
  <c r="AQ16" i="1"/>
  <c r="AQ17" i="1"/>
  <c r="AQ18" i="1"/>
  <c r="AQ19" i="1"/>
  <c r="AQ20" i="1"/>
  <c r="AQ21" i="1"/>
  <c r="AT12" i="1"/>
  <c r="AT13" i="1"/>
  <c r="AT14" i="1"/>
  <c r="AT15" i="1"/>
  <c r="AU7" i="1"/>
  <c r="AU8" i="1"/>
  <c r="AU9" i="1"/>
  <c r="AU10" i="1"/>
  <c r="AU11" i="1"/>
  <c r="AU12" i="1"/>
  <c r="AU13" i="1"/>
  <c r="AU14" i="1"/>
  <c r="AU15" i="1"/>
  <c r="AS19" i="1"/>
  <c r="AT19" i="1"/>
  <c r="AU19" i="1"/>
  <c r="AS20" i="1"/>
  <c r="AT20" i="1"/>
  <c r="AU20" i="1"/>
  <c r="AS21" i="1"/>
  <c r="AT21" i="1"/>
  <c r="AU21" i="1"/>
  <c r="AS13" i="1"/>
  <c r="AV13" i="1"/>
  <c r="AS14" i="1"/>
  <c r="AV14" i="1"/>
  <c r="AS15" i="1"/>
  <c r="AV15" i="1"/>
  <c r="AS16" i="1"/>
  <c r="AT16" i="1"/>
  <c r="AU16" i="1"/>
  <c r="AV16" i="1"/>
  <c r="AS17" i="1"/>
  <c r="AT17" i="1"/>
  <c r="AU17" i="1"/>
  <c r="AV17" i="1"/>
  <c r="AS18" i="1"/>
  <c r="AT18" i="1"/>
  <c r="AU18" i="1"/>
  <c r="AV18" i="1"/>
  <c r="AS8" i="1"/>
  <c r="AT8" i="1"/>
  <c r="AV8" i="1"/>
  <c r="AS9" i="1"/>
  <c r="AT9" i="1"/>
  <c r="AV9" i="1"/>
  <c r="AS10" i="1"/>
  <c r="AT10" i="1"/>
  <c r="AV10" i="1"/>
  <c r="AS26" i="1"/>
  <c r="AT26" i="1"/>
  <c r="AU26" i="1"/>
  <c r="AV26" i="1"/>
  <c r="AS27" i="1"/>
  <c r="AT27" i="1"/>
  <c r="AU27" i="1"/>
  <c r="AV27" i="1"/>
  <c r="AS28" i="1"/>
  <c r="AT28" i="1"/>
  <c r="AU28" i="1"/>
  <c r="AV28" i="1"/>
  <c r="AS32" i="1"/>
  <c r="AT32" i="1"/>
  <c r="AU32" i="1"/>
  <c r="AV32" i="1"/>
  <c r="AS33" i="1"/>
  <c r="AT33" i="1"/>
  <c r="AU33" i="1"/>
  <c r="AV33" i="1"/>
  <c r="AS34" i="1"/>
  <c r="AT34" i="1"/>
  <c r="AU34" i="1"/>
  <c r="AV34" i="1"/>
  <c r="AS35" i="1"/>
  <c r="AT35" i="1"/>
  <c r="AU35" i="1"/>
  <c r="AV35" i="1"/>
  <c r="AS36" i="1"/>
  <c r="AT36" i="1"/>
  <c r="AU36" i="1"/>
  <c r="AV36" i="1"/>
  <c r="AS37" i="1"/>
  <c r="AT37" i="1"/>
  <c r="AU37" i="1"/>
  <c r="AV37" i="1"/>
  <c r="AS38" i="1"/>
  <c r="AT38" i="1"/>
  <c r="AU38" i="1"/>
  <c r="AV38" i="1"/>
  <c r="AS39" i="1"/>
  <c r="AT39" i="1"/>
  <c r="AU39" i="1"/>
  <c r="AV39" i="1"/>
  <c r="AS40" i="1"/>
  <c r="AT40" i="1"/>
  <c r="AU40" i="1"/>
  <c r="AV40" i="1"/>
  <c r="AS41" i="1"/>
  <c r="AT41" i="1"/>
  <c r="AU41" i="1"/>
  <c r="AV41" i="1"/>
  <c r="AS42" i="1"/>
  <c r="AT42" i="1"/>
  <c r="AU42" i="1"/>
  <c r="AV42" i="1"/>
  <c r="AS43" i="1"/>
  <c r="AT43" i="1"/>
  <c r="AU43" i="1"/>
  <c r="AV43" i="1"/>
  <c r="AS44" i="1"/>
  <c r="AT44" i="1"/>
  <c r="AU44" i="1"/>
  <c r="AV44" i="1"/>
  <c r="AS45" i="1"/>
  <c r="AT45" i="1"/>
  <c r="AU45" i="1"/>
  <c r="AV45" i="1"/>
  <c r="AS46" i="1"/>
  <c r="AT46" i="1"/>
  <c r="AU46" i="1"/>
  <c r="AV46" i="1"/>
  <c r="AS47" i="1"/>
  <c r="AT47" i="1"/>
  <c r="AU47" i="1"/>
  <c r="AV47" i="1"/>
  <c r="AS48" i="1"/>
  <c r="AT48" i="1"/>
  <c r="AU48" i="1"/>
  <c r="AV48" i="1"/>
  <c r="AS49" i="1"/>
  <c r="AT49" i="1"/>
  <c r="AU49" i="1"/>
  <c r="AV49" i="1"/>
  <c r="AS50" i="1"/>
  <c r="AT50" i="1"/>
  <c r="AU50" i="1"/>
  <c r="AV50" i="1"/>
  <c r="AR33" i="1"/>
  <c r="AR34" i="1"/>
  <c r="AR35" i="1"/>
  <c r="AR36" i="1"/>
  <c r="AR37" i="1"/>
  <c r="AR38" i="1"/>
  <c r="AR39" i="1"/>
  <c r="AR40" i="1"/>
  <c r="AR41" i="1"/>
  <c r="AR42" i="1"/>
  <c r="AR43" i="1"/>
  <c r="AR45" i="1"/>
  <c r="AR46" i="1"/>
  <c r="AR47" i="1"/>
  <c r="AR48" i="1"/>
  <c r="AR49" i="1"/>
  <c r="AR50" i="1"/>
  <c r="AR32" i="1"/>
  <c r="AR27" i="1"/>
  <c r="AR28" i="1"/>
  <c r="AR26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7" i="1"/>
  <c r="AG4" i="1"/>
  <c r="AZ4" i="1" s="1"/>
  <c r="AH4" i="1"/>
  <c r="BA4" i="1" s="1"/>
  <c r="AJ4" i="1"/>
  <c r="BC4" i="1" s="1"/>
  <c r="AG5" i="1"/>
  <c r="AZ5" i="1" s="1"/>
  <c r="AH5" i="1"/>
  <c r="BA5" i="1" s="1"/>
  <c r="AI5" i="1"/>
  <c r="AJ5" i="1"/>
  <c r="BC5" i="1" s="1"/>
  <c r="AP5" i="1"/>
  <c r="BH5" i="1" s="1"/>
  <c r="AG6" i="1"/>
  <c r="AZ6" i="1" s="1"/>
  <c r="AH6" i="1"/>
  <c r="BA6" i="1" s="1"/>
  <c r="AJ6" i="1"/>
  <c r="BC6" i="1" s="1"/>
  <c r="AP6" i="1"/>
  <c r="BH6" i="1" s="1"/>
  <c r="AG7" i="1"/>
  <c r="AZ7" i="1" s="1"/>
  <c r="AH7" i="1"/>
  <c r="BA7" i="1" s="1"/>
  <c r="AJ7" i="1"/>
  <c r="BC7" i="1" s="1"/>
  <c r="AP7" i="1"/>
  <c r="BH7" i="1" s="1"/>
  <c r="AG8" i="1"/>
  <c r="AZ8" i="1" s="1"/>
  <c r="AH8" i="1"/>
  <c r="BA8" i="1" s="1"/>
  <c r="AJ8" i="1"/>
  <c r="BC8" i="1" s="1"/>
  <c r="AG9" i="1"/>
  <c r="AZ9" i="1" s="1"/>
  <c r="AH9" i="1"/>
  <c r="BA9" i="1" s="1"/>
  <c r="AJ9" i="1"/>
  <c r="BC9" i="1" s="1"/>
  <c r="AH10" i="1"/>
  <c r="BA10" i="1" s="1"/>
  <c r="AI10" i="1"/>
  <c r="BB10" i="1" s="1"/>
  <c r="AP10" i="1"/>
  <c r="BH10" i="1" s="1"/>
  <c r="AG11" i="1"/>
  <c r="AZ11" i="1" s="1"/>
  <c r="AH11" i="1"/>
  <c r="BA11" i="1" s="1"/>
  <c r="AJ11" i="1"/>
  <c r="BC11" i="1" s="1"/>
  <c r="AG12" i="1"/>
  <c r="AZ12" i="1" s="1"/>
  <c r="AH12" i="1"/>
  <c r="BA12" i="1" s="1"/>
  <c r="AI12" i="1"/>
  <c r="BB12" i="1" s="1"/>
  <c r="AJ12" i="1"/>
  <c r="BC12" i="1" s="1"/>
  <c r="AP12" i="1"/>
  <c r="BH12" i="1" s="1"/>
  <c r="AG13" i="1"/>
  <c r="AZ13" i="1" s="1"/>
  <c r="AH13" i="1"/>
  <c r="BA13" i="1" s="1"/>
  <c r="AJ13" i="1"/>
  <c r="AG14" i="1"/>
  <c r="AZ14" i="1" s="1"/>
  <c r="AH14" i="1"/>
  <c r="BA14" i="1" s="1"/>
  <c r="AI14" i="1"/>
  <c r="BB14" i="1" s="1"/>
  <c r="AJ14" i="1"/>
  <c r="AP14" i="1"/>
  <c r="BH14" i="1" s="1"/>
  <c r="AG15" i="1"/>
  <c r="AZ15" i="1" s="1"/>
  <c r="AH15" i="1"/>
  <c r="BA15" i="1" s="1"/>
  <c r="AJ15" i="1"/>
  <c r="AH16" i="1"/>
  <c r="BA16" i="1" s="1"/>
  <c r="AJ16" i="1"/>
  <c r="AP16" i="1"/>
  <c r="BH16" i="1" s="1"/>
  <c r="AG17" i="1"/>
  <c r="AZ17" i="1" s="1"/>
  <c r="AH17" i="1"/>
  <c r="BA17" i="1" s="1"/>
  <c r="AJ17" i="1"/>
  <c r="AG18" i="1"/>
  <c r="AZ18" i="1" s="1"/>
  <c r="AH18" i="1"/>
  <c r="BA18" i="1" s="1"/>
  <c r="AI18" i="1"/>
  <c r="BB18" i="1" s="1"/>
  <c r="AJ18" i="1"/>
  <c r="AP18" i="1"/>
  <c r="BH18" i="1" s="1"/>
  <c r="AG19" i="1"/>
  <c r="AZ19" i="1" s="1"/>
  <c r="AH19" i="1"/>
  <c r="BA19" i="1" s="1"/>
  <c r="AJ19" i="1"/>
  <c r="AG20" i="1"/>
  <c r="AZ20" i="1" s="1"/>
  <c r="AH20" i="1"/>
  <c r="BA20" i="1" s="1"/>
  <c r="AJ20" i="1"/>
  <c r="AG21" i="1"/>
  <c r="AZ21" i="1" s="1"/>
  <c r="AH21" i="1"/>
  <c r="BA21" i="1" s="1"/>
  <c r="AJ21" i="1"/>
  <c r="AG22" i="1"/>
  <c r="AZ22" i="1" s="1"/>
  <c r="AH22" i="1"/>
  <c r="BA22" i="1" s="1"/>
  <c r="AJ22" i="1"/>
  <c r="AG23" i="1"/>
  <c r="AZ23" i="1" s="1"/>
  <c r="AH23" i="1"/>
  <c r="BA23" i="1" s="1"/>
  <c r="AJ23" i="1"/>
  <c r="AG24" i="1"/>
  <c r="AZ24" i="1" s="1"/>
  <c r="AH24" i="1"/>
  <c r="BA24" i="1" s="1"/>
  <c r="AJ24" i="1"/>
  <c r="AG25" i="1"/>
  <c r="AZ25" i="1" s="1"/>
  <c r="AH25" i="1"/>
  <c r="BA25" i="1" s="1"/>
  <c r="AJ25" i="1"/>
  <c r="AG26" i="1"/>
  <c r="AZ26" i="1" s="1"/>
  <c r="AH26" i="1"/>
  <c r="BA26" i="1" s="1"/>
  <c r="AJ26" i="1"/>
  <c r="AP26" i="1"/>
  <c r="BH26" i="1" s="1"/>
  <c r="AG27" i="1"/>
  <c r="AZ27" i="1" s="1"/>
  <c r="AH27" i="1"/>
  <c r="BA27" i="1" s="1"/>
  <c r="AJ27" i="1"/>
  <c r="AP27" i="1"/>
  <c r="BH27" i="1" s="1"/>
  <c r="AG28" i="1"/>
  <c r="AZ28" i="1" s="1"/>
  <c r="AH28" i="1"/>
  <c r="BA28" i="1" s="1"/>
  <c r="AJ28" i="1"/>
  <c r="AG29" i="1"/>
  <c r="AZ29" i="1" s="1"/>
  <c r="AH29" i="1"/>
  <c r="BA29" i="1" s="1"/>
  <c r="AJ29" i="1"/>
  <c r="AG30" i="1"/>
  <c r="AZ30" i="1" s="1"/>
  <c r="AH30" i="1"/>
  <c r="BA30" i="1" s="1"/>
  <c r="AJ30" i="1"/>
  <c r="AG31" i="1"/>
  <c r="AZ31" i="1" s="1"/>
  <c r="AH31" i="1"/>
  <c r="BA31" i="1" s="1"/>
  <c r="AJ31" i="1"/>
  <c r="AG32" i="1"/>
  <c r="AZ32" i="1" s="1"/>
  <c r="AH32" i="1"/>
  <c r="BA32" i="1" s="1"/>
  <c r="AJ32" i="1"/>
  <c r="AG33" i="1"/>
  <c r="AZ33" i="1" s="1"/>
  <c r="AH33" i="1"/>
  <c r="BA33" i="1" s="1"/>
  <c r="AJ33" i="1"/>
  <c r="AG34" i="1"/>
  <c r="AZ34" i="1" s="1"/>
  <c r="AH34" i="1"/>
  <c r="BA34" i="1" s="1"/>
  <c r="AJ34" i="1"/>
  <c r="AG35" i="1"/>
  <c r="AZ35" i="1" s="1"/>
  <c r="AH35" i="1"/>
  <c r="BA35" i="1" s="1"/>
  <c r="AJ35" i="1"/>
  <c r="AG36" i="1"/>
  <c r="AZ36" i="1" s="1"/>
  <c r="AH36" i="1"/>
  <c r="BA36" i="1" s="1"/>
  <c r="AJ36" i="1"/>
  <c r="AG37" i="1"/>
  <c r="AZ37" i="1" s="1"/>
  <c r="AH37" i="1"/>
  <c r="BA37" i="1" s="1"/>
  <c r="AJ37" i="1"/>
  <c r="AG38" i="1"/>
  <c r="AZ38" i="1" s="1"/>
  <c r="AH38" i="1"/>
  <c r="BA38" i="1" s="1"/>
  <c r="AJ38" i="1"/>
  <c r="AG39" i="1"/>
  <c r="AZ39" i="1" s="1"/>
  <c r="AH39" i="1"/>
  <c r="BA39" i="1" s="1"/>
  <c r="AJ39" i="1"/>
  <c r="AG40" i="1"/>
  <c r="AZ40" i="1" s="1"/>
  <c r="AH40" i="1"/>
  <c r="BA40" i="1" s="1"/>
  <c r="AJ40" i="1"/>
  <c r="AG41" i="1"/>
  <c r="AZ41" i="1" s="1"/>
  <c r="AH41" i="1"/>
  <c r="BA41" i="1" s="1"/>
  <c r="AJ41" i="1"/>
  <c r="AG42" i="1"/>
  <c r="AZ42" i="1" s="1"/>
  <c r="AH42" i="1"/>
  <c r="BA42" i="1" s="1"/>
  <c r="AJ42" i="1"/>
  <c r="AG43" i="1"/>
  <c r="AZ43" i="1" s="1"/>
  <c r="AH43" i="1"/>
  <c r="BA43" i="1" s="1"/>
  <c r="AJ43" i="1"/>
  <c r="AG44" i="1"/>
  <c r="AZ44" i="1" s="1"/>
  <c r="AH44" i="1"/>
  <c r="BA44" i="1" s="1"/>
  <c r="AJ44" i="1"/>
  <c r="AG45" i="1"/>
  <c r="AZ45" i="1" s="1"/>
  <c r="AH45" i="1"/>
  <c r="BA45" i="1" s="1"/>
  <c r="AJ45" i="1"/>
  <c r="AG46" i="1"/>
  <c r="AZ46" i="1" s="1"/>
  <c r="AH46" i="1"/>
  <c r="BA46" i="1" s="1"/>
  <c r="AJ46" i="1"/>
  <c r="AG47" i="1"/>
  <c r="AZ47" i="1" s="1"/>
  <c r="AH47" i="1"/>
  <c r="BA47" i="1" s="1"/>
  <c r="AJ47" i="1"/>
  <c r="AG48" i="1"/>
  <c r="AZ48" i="1" s="1"/>
  <c r="AH48" i="1"/>
  <c r="BA48" i="1" s="1"/>
  <c r="AJ48" i="1"/>
  <c r="AG49" i="1"/>
  <c r="AZ49" i="1" s="1"/>
  <c r="AH49" i="1"/>
  <c r="BA49" i="1" s="1"/>
  <c r="AJ49" i="1"/>
  <c r="AG50" i="1"/>
  <c r="AZ50" i="1" s="1"/>
  <c r="AH50" i="1"/>
  <c r="BA50" i="1" s="1"/>
  <c r="AJ50" i="1"/>
  <c r="AH3" i="1"/>
  <c r="AJ3" i="1"/>
  <c r="AG3" i="1"/>
  <c r="V5" i="1"/>
  <c r="W5" i="1"/>
  <c r="AL5" i="1" s="1"/>
  <c r="AM5" i="1" s="1"/>
  <c r="X5" i="1"/>
  <c r="AN5" i="1" s="1"/>
  <c r="Y5" i="1"/>
  <c r="AO5" i="1" s="1"/>
  <c r="BG5" i="1" s="1"/>
  <c r="V6" i="1"/>
  <c r="AK6" i="1" s="1"/>
  <c r="BD6" i="1" s="1"/>
  <c r="W6" i="1"/>
  <c r="AL6" i="1" s="1"/>
  <c r="BE6" i="1" s="1"/>
  <c r="X6" i="1"/>
  <c r="AN6" i="1" s="1"/>
  <c r="Y6" i="1"/>
  <c r="AO6" i="1" s="1"/>
  <c r="BG6" i="1" s="1"/>
  <c r="V7" i="1"/>
  <c r="W7" i="1"/>
  <c r="AL7" i="1" s="1"/>
  <c r="X7" i="1"/>
  <c r="AN7" i="1" s="1"/>
  <c r="Y7" i="1"/>
  <c r="AO7" i="1" s="1"/>
  <c r="BG7" i="1" s="1"/>
  <c r="V8" i="1"/>
  <c r="W8" i="1"/>
  <c r="AL8" i="1" s="1"/>
  <c r="X8" i="1"/>
  <c r="AN8" i="1" s="1"/>
  <c r="Y8" i="1"/>
  <c r="AO8" i="1" s="1"/>
  <c r="BG8" i="1" s="1"/>
  <c r="V9" i="1"/>
  <c r="AK9" i="1" s="1"/>
  <c r="BD9" i="1" s="1"/>
  <c r="W9" i="1"/>
  <c r="AL9" i="1" s="1"/>
  <c r="BE9" i="1" s="1"/>
  <c r="X9" i="1"/>
  <c r="AN9" i="1" s="1"/>
  <c r="Y9" i="1"/>
  <c r="AO9" i="1" s="1"/>
  <c r="BG9" i="1" s="1"/>
  <c r="V10" i="1"/>
  <c r="W10" i="1"/>
  <c r="X10" i="1"/>
  <c r="AN10" i="1" s="1"/>
  <c r="Y10" i="1"/>
  <c r="AO10" i="1" s="1"/>
  <c r="BG10" i="1" s="1"/>
  <c r="V11" i="1"/>
  <c r="W11" i="1"/>
  <c r="AL11" i="1" s="1"/>
  <c r="X11" i="1"/>
  <c r="AN11" i="1" s="1"/>
  <c r="Y11" i="1"/>
  <c r="AO11" i="1" s="1"/>
  <c r="BG11" i="1" s="1"/>
  <c r="V12" i="1"/>
  <c r="W12" i="1"/>
  <c r="AL12" i="1" s="1"/>
  <c r="X12" i="1"/>
  <c r="AN12" i="1" s="1"/>
  <c r="Y12" i="1"/>
  <c r="AO12" i="1" s="1"/>
  <c r="BG12" i="1" s="1"/>
  <c r="V13" i="1"/>
  <c r="W13" i="1"/>
  <c r="AL13" i="1" s="1"/>
  <c r="AM13" i="1" s="1"/>
  <c r="X13" i="1"/>
  <c r="AN13" i="1" s="1"/>
  <c r="Y13" i="1"/>
  <c r="AO13" i="1" s="1"/>
  <c r="BG13" i="1" s="1"/>
  <c r="V14" i="1"/>
  <c r="W14" i="1"/>
  <c r="AL14" i="1" s="1"/>
  <c r="X14" i="1"/>
  <c r="AN14" i="1" s="1"/>
  <c r="Y14" i="1"/>
  <c r="AO14" i="1" s="1"/>
  <c r="BG14" i="1" s="1"/>
  <c r="V15" i="1"/>
  <c r="W15" i="1"/>
  <c r="AL15" i="1" s="1"/>
  <c r="X15" i="1"/>
  <c r="AN15" i="1" s="1"/>
  <c r="Y15" i="1"/>
  <c r="AO15" i="1" s="1"/>
  <c r="BG15" i="1" s="1"/>
  <c r="V16" i="1"/>
  <c r="W16" i="1"/>
  <c r="X16" i="1"/>
  <c r="Y16" i="1"/>
  <c r="AO16" i="1" s="1"/>
  <c r="BG16" i="1" s="1"/>
  <c r="V17" i="1"/>
  <c r="W17" i="1"/>
  <c r="AL17" i="1" s="1"/>
  <c r="AM17" i="1" s="1"/>
  <c r="X17" i="1"/>
  <c r="AN17" i="1" s="1"/>
  <c r="Y17" i="1"/>
  <c r="AO17" i="1" s="1"/>
  <c r="BG17" i="1" s="1"/>
  <c r="V18" i="1"/>
  <c r="W18" i="1"/>
  <c r="AL18" i="1" s="1"/>
  <c r="X18" i="1"/>
  <c r="AN18" i="1" s="1"/>
  <c r="Y18" i="1"/>
  <c r="AO18" i="1" s="1"/>
  <c r="BG18" i="1" s="1"/>
  <c r="V19" i="1"/>
  <c r="AK19" i="1" s="1"/>
  <c r="BD19" i="1" s="1"/>
  <c r="W19" i="1"/>
  <c r="AL19" i="1" s="1"/>
  <c r="BE19" i="1" s="1"/>
  <c r="X19" i="1"/>
  <c r="AN19" i="1" s="1"/>
  <c r="Y19" i="1"/>
  <c r="AO19" i="1" s="1"/>
  <c r="BG19" i="1" s="1"/>
  <c r="V20" i="1"/>
  <c r="AK20" i="1" s="1"/>
  <c r="BD20" i="1" s="1"/>
  <c r="W20" i="1"/>
  <c r="AL20" i="1" s="1"/>
  <c r="BE20" i="1" s="1"/>
  <c r="X20" i="1"/>
  <c r="AN20" i="1" s="1"/>
  <c r="Y20" i="1"/>
  <c r="AO20" i="1" s="1"/>
  <c r="BG20" i="1" s="1"/>
  <c r="V21" i="1"/>
  <c r="AK21" i="1" s="1"/>
  <c r="BD21" i="1" s="1"/>
  <c r="W21" i="1"/>
  <c r="AL21" i="1" s="1"/>
  <c r="BE21" i="1" s="1"/>
  <c r="X21" i="1"/>
  <c r="AN21" i="1" s="1"/>
  <c r="Y21" i="1"/>
  <c r="AO21" i="1" s="1"/>
  <c r="BG21" i="1" s="1"/>
  <c r="V22" i="1"/>
  <c r="W22" i="1"/>
  <c r="AL22" i="1" s="1"/>
  <c r="X22" i="1"/>
  <c r="AN22" i="1" s="1"/>
  <c r="Y22" i="1"/>
  <c r="AO22" i="1" s="1"/>
  <c r="BG22" i="1" s="1"/>
  <c r="V23" i="1"/>
  <c r="AK23" i="1" s="1"/>
  <c r="BD23" i="1" s="1"/>
  <c r="W23" i="1"/>
  <c r="AL23" i="1" s="1"/>
  <c r="BE23" i="1" s="1"/>
  <c r="X23" i="1"/>
  <c r="AN23" i="1" s="1"/>
  <c r="Y23" i="1"/>
  <c r="AO23" i="1" s="1"/>
  <c r="BG23" i="1" s="1"/>
  <c r="V24" i="1"/>
  <c r="AK24" i="1" s="1"/>
  <c r="BD24" i="1" s="1"/>
  <c r="W24" i="1"/>
  <c r="AL24" i="1" s="1"/>
  <c r="BE24" i="1" s="1"/>
  <c r="X24" i="1"/>
  <c r="AN24" i="1" s="1"/>
  <c r="Y24" i="1"/>
  <c r="AO24" i="1" s="1"/>
  <c r="BG24" i="1" s="1"/>
  <c r="V25" i="1"/>
  <c r="W25" i="1"/>
  <c r="AL25" i="1" s="1"/>
  <c r="AM25" i="1" s="1"/>
  <c r="X25" i="1"/>
  <c r="AN25" i="1" s="1"/>
  <c r="Y25" i="1"/>
  <c r="V26" i="1"/>
  <c r="AK26" i="1" s="1"/>
  <c r="BD26" i="1" s="1"/>
  <c r="W26" i="1"/>
  <c r="AL26" i="1" s="1"/>
  <c r="BE26" i="1" s="1"/>
  <c r="X26" i="1"/>
  <c r="AN26" i="1" s="1"/>
  <c r="Y26" i="1"/>
  <c r="AO26" i="1" s="1"/>
  <c r="BG26" i="1" s="1"/>
  <c r="V27" i="1"/>
  <c r="AK27" i="1" s="1"/>
  <c r="BD27" i="1" s="1"/>
  <c r="W27" i="1"/>
  <c r="AL27" i="1" s="1"/>
  <c r="BE27" i="1" s="1"/>
  <c r="X27" i="1"/>
  <c r="AN27" i="1" s="1"/>
  <c r="Y27" i="1"/>
  <c r="AO27" i="1" s="1"/>
  <c r="BG27" i="1" s="1"/>
  <c r="V28" i="1"/>
  <c r="AK28" i="1" s="1"/>
  <c r="BD28" i="1" s="1"/>
  <c r="W28" i="1"/>
  <c r="AL28" i="1" s="1"/>
  <c r="BE28" i="1" s="1"/>
  <c r="X28" i="1"/>
  <c r="AN28" i="1" s="1"/>
  <c r="Y28" i="1"/>
  <c r="AO28" i="1" s="1"/>
  <c r="BG28" i="1" s="1"/>
  <c r="V29" i="1"/>
  <c r="W29" i="1"/>
  <c r="AL29" i="1" s="1"/>
  <c r="AM29" i="1" s="1"/>
  <c r="X29" i="1"/>
  <c r="AN29" i="1" s="1"/>
  <c r="Y29" i="1"/>
  <c r="AO29" i="1" s="1"/>
  <c r="BG29" i="1" s="1"/>
  <c r="V30" i="1"/>
  <c r="W30" i="1"/>
  <c r="AL30" i="1" s="1"/>
  <c r="X30" i="1"/>
  <c r="AN30" i="1" s="1"/>
  <c r="Y30" i="1"/>
  <c r="AO30" i="1" s="1"/>
  <c r="BG30" i="1" s="1"/>
  <c r="V31" i="1"/>
  <c r="W31" i="1"/>
  <c r="AL31" i="1" s="1"/>
  <c r="X31" i="1"/>
  <c r="AN31" i="1" s="1"/>
  <c r="Y31" i="1"/>
  <c r="AO31" i="1" s="1"/>
  <c r="BG31" i="1" s="1"/>
  <c r="V32" i="1"/>
  <c r="AK32" i="1" s="1"/>
  <c r="BD32" i="1" s="1"/>
  <c r="W32" i="1"/>
  <c r="AL32" i="1" s="1"/>
  <c r="BE32" i="1" s="1"/>
  <c r="X32" i="1"/>
  <c r="AN32" i="1" s="1"/>
  <c r="Y32" i="1"/>
  <c r="AO32" i="1" s="1"/>
  <c r="BG32" i="1" s="1"/>
  <c r="V33" i="1"/>
  <c r="AK33" i="1" s="1"/>
  <c r="BD33" i="1" s="1"/>
  <c r="W33" i="1"/>
  <c r="AL33" i="1" s="1"/>
  <c r="BE33" i="1" s="1"/>
  <c r="X33" i="1"/>
  <c r="AN33" i="1" s="1"/>
  <c r="Y33" i="1"/>
  <c r="AO33" i="1" s="1"/>
  <c r="BG33" i="1" s="1"/>
  <c r="V34" i="1"/>
  <c r="AK34" i="1" s="1"/>
  <c r="BD34" i="1" s="1"/>
  <c r="W34" i="1"/>
  <c r="AL34" i="1" s="1"/>
  <c r="BE34" i="1" s="1"/>
  <c r="X34" i="1"/>
  <c r="AN34" i="1" s="1"/>
  <c r="Y34" i="1"/>
  <c r="AO34" i="1" s="1"/>
  <c r="BG34" i="1" s="1"/>
  <c r="V35" i="1"/>
  <c r="AK35" i="1" s="1"/>
  <c r="BD35" i="1" s="1"/>
  <c r="W35" i="1"/>
  <c r="AL35" i="1" s="1"/>
  <c r="BE35" i="1" s="1"/>
  <c r="X35" i="1"/>
  <c r="AN35" i="1" s="1"/>
  <c r="Y35" i="1"/>
  <c r="AO35" i="1" s="1"/>
  <c r="BG35" i="1" s="1"/>
  <c r="V36" i="1"/>
  <c r="AK36" i="1" s="1"/>
  <c r="BD36" i="1" s="1"/>
  <c r="W36" i="1"/>
  <c r="AL36" i="1" s="1"/>
  <c r="BE36" i="1" s="1"/>
  <c r="X36" i="1"/>
  <c r="AN36" i="1" s="1"/>
  <c r="Y36" i="1"/>
  <c r="AO36" i="1" s="1"/>
  <c r="BG36" i="1" s="1"/>
  <c r="V37" i="1"/>
  <c r="AK37" i="1" s="1"/>
  <c r="BD37" i="1" s="1"/>
  <c r="W37" i="1"/>
  <c r="AL37" i="1" s="1"/>
  <c r="BE37" i="1" s="1"/>
  <c r="X37" i="1"/>
  <c r="AN37" i="1" s="1"/>
  <c r="Y37" i="1"/>
  <c r="AO37" i="1" s="1"/>
  <c r="BG37" i="1" s="1"/>
  <c r="V38" i="1"/>
  <c r="AK38" i="1" s="1"/>
  <c r="BD38" i="1" s="1"/>
  <c r="W38" i="1"/>
  <c r="AL38" i="1" s="1"/>
  <c r="BE38" i="1" s="1"/>
  <c r="X38" i="1"/>
  <c r="AN38" i="1" s="1"/>
  <c r="Y38" i="1"/>
  <c r="AO38" i="1" s="1"/>
  <c r="BG38" i="1" s="1"/>
  <c r="V39" i="1"/>
  <c r="AK39" i="1" s="1"/>
  <c r="BD39" i="1" s="1"/>
  <c r="W39" i="1"/>
  <c r="AL39" i="1" s="1"/>
  <c r="BE39" i="1" s="1"/>
  <c r="X39" i="1"/>
  <c r="AN39" i="1" s="1"/>
  <c r="Y39" i="1"/>
  <c r="AO39" i="1" s="1"/>
  <c r="BG39" i="1" s="1"/>
  <c r="V40" i="1"/>
  <c r="AK40" i="1" s="1"/>
  <c r="BD40" i="1" s="1"/>
  <c r="W40" i="1"/>
  <c r="AL40" i="1" s="1"/>
  <c r="BE40" i="1" s="1"/>
  <c r="X40" i="1"/>
  <c r="AN40" i="1" s="1"/>
  <c r="Y40" i="1"/>
  <c r="AO40" i="1" s="1"/>
  <c r="BG40" i="1" s="1"/>
  <c r="V41" i="1"/>
  <c r="W41" i="1"/>
  <c r="X41" i="1"/>
  <c r="AN41" i="1" s="1"/>
  <c r="Y41" i="1"/>
  <c r="AO41" i="1" s="1"/>
  <c r="BG41" i="1" s="1"/>
  <c r="V42" i="1"/>
  <c r="W42" i="1"/>
  <c r="AL42" i="1" s="1"/>
  <c r="X42" i="1"/>
  <c r="AN42" i="1" s="1"/>
  <c r="Y42" i="1"/>
  <c r="AO42" i="1" s="1"/>
  <c r="BG42" i="1" s="1"/>
  <c r="V43" i="1"/>
  <c r="W43" i="1"/>
  <c r="AL43" i="1" s="1"/>
  <c r="X43" i="1"/>
  <c r="AN43" i="1" s="1"/>
  <c r="Y43" i="1"/>
  <c r="AO43" i="1" s="1"/>
  <c r="BG43" i="1" s="1"/>
  <c r="V44" i="1"/>
  <c r="W44" i="1"/>
  <c r="AL44" i="1" s="1"/>
  <c r="AM44" i="1" s="1"/>
  <c r="X44" i="1"/>
  <c r="AN44" i="1" s="1"/>
  <c r="Y44" i="1"/>
  <c r="AO44" i="1" s="1"/>
  <c r="BG44" i="1" s="1"/>
  <c r="V45" i="1"/>
  <c r="AK45" i="1" s="1"/>
  <c r="BD45" i="1" s="1"/>
  <c r="W45" i="1"/>
  <c r="AL45" i="1" s="1"/>
  <c r="BE45" i="1" s="1"/>
  <c r="X45" i="1"/>
  <c r="AN45" i="1" s="1"/>
  <c r="Y45" i="1"/>
  <c r="AO45" i="1" s="1"/>
  <c r="BG45" i="1" s="1"/>
  <c r="V46" i="1"/>
  <c r="W46" i="1"/>
  <c r="AL46" i="1" s="1"/>
  <c r="AM46" i="1" s="1"/>
  <c r="X46" i="1"/>
  <c r="AN46" i="1" s="1"/>
  <c r="Y46" i="1"/>
  <c r="AO46" i="1" s="1"/>
  <c r="BG46" i="1" s="1"/>
  <c r="V47" i="1"/>
  <c r="AK47" i="1" s="1"/>
  <c r="BD47" i="1" s="1"/>
  <c r="W47" i="1"/>
  <c r="AL47" i="1" s="1"/>
  <c r="BE47" i="1" s="1"/>
  <c r="X47" i="1"/>
  <c r="AN47" i="1" s="1"/>
  <c r="Y47" i="1"/>
  <c r="AO47" i="1" s="1"/>
  <c r="BG47" i="1" s="1"/>
  <c r="V48" i="1"/>
  <c r="AK48" i="1" s="1"/>
  <c r="BD48" i="1" s="1"/>
  <c r="W48" i="1"/>
  <c r="AL48" i="1" s="1"/>
  <c r="BE48" i="1" s="1"/>
  <c r="X48" i="1"/>
  <c r="AN48" i="1" s="1"/>
  <c r="Y48" i="1"/>
  <c r="AO48" i="1" s="1"/>
  <c r="BG48" i="1" s="1"/>
  <c r="V49" i="1"/>
  <c r="AK49" i="1" s="1"/>
  <c r="BD49" i="1" s="1"/>
  <c r="W49" i="1"/>
  <c r="AL49" i="1" s="1"/>
  <c r="BE49" i="1" s="1"/>
  <c r="X49" i="1"/>
  <c r="AN49" i="1" s="1"/>
  <c r="Y49" i="1"/>
  <c r="AO49" i="1" s="1"/>
  <c r="BG49" i="1" s="1"/>
  <c r="V50" i="1"/>
  <c r="AK50" i="1" s="1"/>
  <c r="BD50" i="1" s="1"/>
  <c r="W50" i="1"/>
  <c r="AL50" i="1" s="1"/>
  <c r="BE50" i="1" s="1"/>
  <c r="X50" i="1"/>
  <c r="AN50" i="1" s="1"/>
  <c r="Y50" i="1"/>
  <c r="AO50" i="1" s="1"/>
  <c r="BG50" i="1" s="1"/>
  <c r="Y4" i="1"/>
  <c r="AO4" i="1" s="1"/>
  <c r="BG4" i="1" s="1"/>
  <c r="X4" i="1"/>
  <c r="AN4" i="1" s="1"/>
  <c r="W4" i="1"/>
  <c r="AL4" i="1" s="1"/>
  <c r="V4" i="1"/>
  <c r="Y3" i="1"/>
  <c r="AO3" i="1" s="1"/>
  <c r="BG3" i="1" s="1"/>
  <c r="X3" i="1"/>
  <c r="AN3" i="1" s="1"/>
  <c r="V3" i="1"/>
  <c r="W3" i="1"/>
  <c r="AL3" i="1" s="1"/>
  <c r="AM3" i="1" s="1"/>
  <c r="E25" i="2"/>
  <c r="E24" i="2"/>
  <c r="F12" i="2"/>
  <c r="F10" i="2"/>
  <c r="F9" i="2"/>
  <c r="E10" i="2"/>
  <c r="E9" i="2"/>
  <c r="M44" i="1"/>
  <c r="AR44" i="1" s="1"/>
  <c r="L10" i="1"/>
  <c r="AQ10" i="1" s="1"/>
  <c r="K41" i="1"/>
  <c r="AP41" i="1" s="1"/>
  <c r="BH41" i="1" s="1"/>
  <c r="I16" i="1"/>
  <c r="AN16" i="1" s="1"/>
  <c r="H41" i="1"/>
  <c r="H16" i="1"/>
  <c r="H10" i="1"/>
  <c r="AL10" i="1" s="1"/>
  <c r="F10" i="1"/>
  <c r="AJ10" i="1" s="1"/>
  <c r="BC10" i="1" s="1"/>
  <c r="E41" i="1"/>
  <c r="AI41" i="1" s="1"/>
  <c r="BB41" i="1" s="1"/>
  <c r="C16" i="1"/>
  <c r="AG16" i="1" s="1"/>
  <c r="AZ16" i="1" s="1"/>
  <c r="C10" i="1"/>
  <c r="AG10" i="1" s="1"/>
  <c r="AZ10" i="1" s="1"/>
  <c r="B16" i="1"/>
  <c r="B15" i="1"/>
  <c r="B10" i="1"/>
  <c r="AX3" i="1" l="1"/>
  <c r="AW3" i="1"/>
  <c r="BC25" i="1"/>
  <c r="AX25" i="1"/>
  <c r="AY25" i="1"/>
  <c r="BF49" i="1"/>
  <c r="BF46" i="1"/>
  <c r="AW46" i="1"/>
  <c r="BF43" i="1"/>
  <c r="BF39" i="1"/>
  <c r="BF37" i="1"/>
  <c r="BF34" i="1"/>
  <c r="BF31" i="1"/>
  <c r="BF28" i="1"/>
  <c r="BF25" i="1"/>
  <c r="AW25" i="1"/>
  <c r="BF22" i="1"/>
  <c r="BF18" i="1"/>
  <c r="AW18" i="1"/>
  <c r="BF14" i="1"/>
  <c r="BF11" i="1"/>
  <c r="AY11" i="1"/>
  <c r="BF8" i="1"/>
  <c r="AY8" i="1"/>
  <c r="BF6" i="1"/>
  <c r="AY6" i="1"/>
  <c r="BF3" i="1"/>
  <c r="BF51" i="1" s="1"/>
  <c r="AY3" i="1"/>
  <c r="BF4" i="1"/>
  <c r="AY4" i="1"/>
  <c r="AW5" i="1"/>
  <c r="AX5" i="1"/>
  <c r="BC49" i="1"/>
  <c r="AY49" i="1"/>
  <c r="BC45" i="1"/>
  <c r="AY45" i="1"/>
  <c r="BC41" i="1"/>
  <c r="AY41" i="1"/>
  <c r="BC37" i="1"/>
  <c r="AX37" i="1"/>
  <c r="AY37" i="1"/>
  <c r="BC33" i="1"/>
  <c r="AY33" i="1"/>
  <c r="BC29" i="1"/>
  <c r="AX29" i="1"/>
  <c r="AY29" i="1"/>
  <c r="BC23" i="1"/>
  <c r="AY23" i="1"/>
  <c r="BC19" i="1"/>
  <c r="AX19" i="1"/>
  <c r="AY19" i="1"/>
  <c r="BC18" i="1"/>
  <c r="AX18" i="1"/>
  <c r="AY18" i="1"/>
  <c r="BC17" i="1"/>
  <c r="AX17" i="1"/>
  <c r="AY17" i="1"/>
  <c r="BC16" i="1"/>
  <c r="AY16" i="1"/>
  <c r="BF16" i="1"/>
  <c r="BF50" i="1"/>
  <c r="BF47" i="1"/>
  <c r="BF44" i="1"/>
  <c r="AW44" i="1"/>
  <c r="BF42" i="1"/>
  <c r="AW42" i="1"/>
  <c r="BF40" i="1"/>
  <c r="BF36" i="1"/>
  <c r="BF33" i="1"/>
  <c r="BF30" i="1"/>
  <c r="AW30" i="1"/>
  <c r="BF27" i="1"/>
  <c r="BF24" i="1"/>
  <c r="AW24" i="1"/>
  <c r="BF21" i="1"/>
  <c r="BF19" i="1"/>
  <c r="AW19" i="1"/>
  <c r="BF15" i="1"/>
  <c r="BF12" i="1"/>
  <c r="AY12" i="1"/>
  <c r="BF10" i="1"/>
  <c r="AY10" i="1"/>
  <c r="BF7" i="1"/>
  <c r="AY7" i="1"/>
  <c r="BC44" i="1"/>
  <c r="AY44" i="1"/>
  <c r="AX44" i="1"/>
  <c r="BC32" i="1"/>
  <c r="AY32" i="1"/>
  <c r="BC28" i="1"/>
  <c r="AY28" i="1"/>
  <c r="BC50" i="1"/>
  <c r="AX50" i="1"/>
  <c r="AY50" i="1"/>
  <c r="BC46" i="1"/>
  <c r="AX46" i="1"/>
  <c r="AY46" i="1"/>
  <c r="BC42" i="1"/>
  <c r="AY42" i="1"/>
  <c r="BC38" i="1"/>
  <c r="AX38" i="1"/>
  <c r="AY38" i="1"/>
  <c r="BC34" i="1"/>
  <c r="AX34" i="1"/>
  <c r="AY34" i="1"/>
  <c r="BC30" i="1"/>
  <c r="AY30" i="1"/>
  <c r="BC24" i="1"/>
  <c r="AY24" i="1"/>
  <c r="BC20" i="1"/>
  <c r="AY20" i="1"/>
  <c r="BC15" i="1"/>
  <c r="AY15" i="1"/>
  <c r="BC14" i="1"/>
  <c r="AY14" i="1"/>
  <c r="BC13" i="1"/>
  <c r="AX13" i="1"/>
  <c r="AY13" i="1"/>
  <c r="BC47" i="1"/>
  <c r="AY47" i="1"/>
  <c r="BC43" i="1"/>
  <c r="AY43" i="1"/>
  <c r="BC39" i="1"/>
  <c r="AY39" i="1"/>
  <c r="BC35" i="1"/>
  <c r="AY35" i="1"/>
  <c r="BC31" i="1"/>
  <c r="AX31" i="1"/>
  <c r="AY31" i="1"/>
  <c r="BC21" i="1"/>
  <c r="AY21" i="1"/>
  <c r="BF48" i="1"/>
  <c r="BF45" i="1"/>
  <c r="AW45" i="1"/>
  <c r="BF41" i="1"/>
  <c r="BF38" i="1"/>
  <c r="AW38" i="1"/>
  <c r="BF35" i="1"/>
  <c r="BF32" i="1"/>
  <c r="AW32" i="1"/>
  <c r="BF29" i="1"/>
  <c r="AW29" i="1"/>
  <c r="BF26" i="1"/>
  <c r="AW26" i="1"/>
  <c r="BF23" i="1"/>
  <c r="BF20" i="1"/>
  <c r="BF17" i="1"/>
  <c r="AW17" i="1"/>
  <c r="BF13" i="1"/>
  <c r="AW13" i="1"/>
  <c r="BF9" i="1"/>
  <c r="AY9" i="1"/>
  <c r="BF5" i="1"/>
  <c r="AY5" i="1"/>
  <c r="BC48" i="1"/>
  <c r="AY48" i="1"/>
  <c r="AX48" i="1"/>
  <c r="BC40" i="1"/>
  <c r="AY40" i="1"/>
  <c r="BC36" i="1"/>
  <c r="AY36" i="1"/>
  <c r="BC27" i="1"/>
  <c r="AX27" i="1"/>
  <c r="AY27" i="1"/>
  <c r="BC26" i="1"/>
  <c r="AY26" i="1"/>
  <c r="BC22" i="1"/>
  <c r="AY22" i="1"/>
  <c r="BF54" i="1"/>
  <c r="BG52" i="1"/>
  <c r="BG53" i="1"/>
  <c r="BG54" i="1"/>
  <c r="BG51" i="1"/>
  <c r="BG55" i="1"/>
  <c r="BD51" i="1"/>
  <c r="BD55" i="1"/>
  <c r="BD52" i="1"/>
  <c r="BD53" i="1"/>
  <c r="BE44" i="1"/>
  <c r="BD54" i="1"/>
  <c r="AM4" i="1"/>
  <c r="BE4" i="1"/>
  <c r="BE25" i="1"/>
  <c r="AN51" i="1"/>
  <c r="AM43" i="1"/>
  <c r="AW43" i="1" s="1"/>
  <c r="BE43" i="1"/>
  <c r="AM42" i="1"/>
  <c r="AX42" i="1" s="1"/>
  <c r="BE42" i="1"/>
  <c r="AM31" i="1"/>
  <c r="AW31" i="1" s="1"/>
  <c r="BE31" i="1"/>
  <c r="AM30" i="1"/>
  <c r="AX30" i="1" s="1"/>
  <c r="BE30" i="1"/>
  <c r="AM22" i="1"/>
  <c r="AW22" i="1" s="1"/>
  <c r="BE22" i="1"/>
  <c r="AM18" i="1"/>
  <c r="BE18" i="1"/>
  <c r="AM15" i="1"/>
  <c r="AW15" i="1" s="1"/>
  <c r="BE15" i="1"/>
  <c r="AM14" i="1"/>
  <c r="AW14" i="1" s="1"/>
  <c r="BE14" i="1"/>
  <c r="AM12" i="1"/>
  <c r="BE12" i="1"/>
  <c r="AM11" i="1"/>
  <c r="BE11" i="1"/>
  <c r="AM8" i="1"/>
  <c r="BE8" i="1"/>
  <c r="AM7" i="1"/>
  <c r="BE7" i="1"/>
  <c r="AH52" i="1"/>
  <c r="AI51" i="1"/>
  <c r="BB5" i="1"/>
  <c r="BB55" i="1" s="1"/>
  <c r="AV51" i="1"/>
  <c r="BE5" i="1"/>
  <c r="AM10" i="1"/>
  <c r="BE10" i="1"/>
  <c r="B53" i="1"/>
  <c r="AO52" i="1"/>
  <c r="BE3" i="1"/>
  <c r="BH51" i="1"/>
  <c r="BH55" i="1"/>
  <c r="BH52" i="1"/>
  <c r="BH53" i="1"/>
  <c r="BE46" i="1"/>
  <c r="BE29" i="1"/>
  <c r="BE17" i="1"/>
  <c r="BE13" i="1"/>
  <c r="BH54" i="1"/>
  <c r="AM48" i="1"/>
  <c r="AW48" i="1" s="1"/>
  <c r="AM40" i="1"/>
  <c r="AW40" i="1" s="1"/>
  <c r="AM36" i="1"/>
  <c r="AX36" i="1" s="1"/>
  <c r="AM32" i="1"/>
  <c r="AX32" i="1" s="1"/>
  <c r="AM27" i="1"/>
  <c r="AW27" i="1" s="1"/>
  <c r="AM19" i="1"/>
  <c r="AP53" i="1"/>
  <c r="X54" i="1"/>
  <c r="BA3" i="1"/>
  <c r="H54" i="1"/>
  <c r="AM47" i="1"/>
  <c r="AX47" i="1" s="1"/>
  <c r="AM38" i="1"/>
  <c r="AM34" i="1"/>
  <c r="AW34" i="1" s="1"/>
  <c r="AM24" i="1"/>
  <c r="AX24" i="1" s="1"/>
  <c r="AM20" i="1"/>
  <c r="AX20" i="1" s="1"/>
  <c r="V55" i="1"/>
  <c r="AT52" i="1"/>
  <c r="AG52" i="1"/>
  <c r="AI54" i="1"/>
  <c r="AP52" i="1"/>
  <c r="AR51" i="1"/>
  <c r="AS52" i="1"/>
  <c r="AU51" i="1"/>
  <c r="AQ54" i="1"/>
  <c r="AM50" i="1"/>
  <c r="AW50" i="1" s="1"/>
  <c r="AM39" i="1"/>
  <c r="AW39" i="1" s="1"/>
  <c r="AM35" i="1"/>
  <c r="AX35" i="1" s="1"/>
  <c r="AM28" i="1"/>
  <c r="AW28" i="1" s="1"/>
  <c r="AM26" i="1"/>
  <c r="AX26" i="1" s="1"/>
  <c r="AM23" i="1"/>
  <c r="AX23" i="1" s="1"/>
  <c r="AM6" i="1"/>
  <c r="AJ54" i="1"/>
  <c r="AH51" i="1"/>
  <c r="AR54" i="1"/>
  <c r="AV55" i="1"/>
  <c r="AN54" i="1"/>
  <c r="V52" i="1"/>
  <c r="AJ51" i="1"/>
  <c r="AQ51" i="1"/>
  <c r="F55" i="1"/>
  <c r="AZ3" i="1"/>
  <c r="BC3" i="1"/>
  <c r="B54" i="1"/>
  <c r="AT55" i="1"/>
  <c r="AP55" i="1"/>
  <c r="AH55" i="1"/>
  <c r="AV54" i="1"/>
  <c r="L54" i="1"/>
  <c r="AT53" i="1"/>
  <c r="AH53" i="1"/>
  <c r="V53" i="1"/>
  <c r="F53" i="1"/>
  <c r="AV52" i="1"/>
  <c r="AR52" i="1"/>
  <c r="AN52" i="1"/>
  <c r="AJ52" i="1"/>
  <c r="X52" i="1"/>
  <c r="L52" i="1"/>
  <c r="H52" i="1"/>
  <c r="AT51" i="1"/>
  <c r="AP51" i="1"/>
  <c r="V51" i="1"/>
  <c r="F51" i="1"/>
  <c r="B51" i="1"/>
  <c r="B55" i="1"/>
  <c r="AS55" i="1"/>
  <c r="AO55" i="1"/>
  <c r="AK55" i="1"/>
  <c r="AG55" i="1"/>
  <c r="Y55" i="1"/>
  <c r="M55" i="1"/>
  <c r="I55" i="1"/>
  <c r="E55" i="1"/>
  <c r="AU54" i="1"/>
  <c r="W54" i="1"/>
  <c r="K54" i="1"/>
  <c r="C54" i="1"/>
  <c r="AS53" i="1"/>
  <c r="AO53" i="1"/>
  <c r="AK53" i="1"/>
  <c r="AG53" i="1"/>
  <c r="Y53" i="1"/>
  <c r="M53" i="1"/>
  <c r="I53" i="1"/>
  <c r="E53" i="1"/>
  <c r="AU52" i="1"/>
  <c r="AQ52" i="1"/>
  <c r="AI52" i="1"/>
  <c r="W52" i="1"/>
  <c r="K52" i="1"/>
  <c r="C52" i="1"/>
  <c r="AS51" i="1"/>
  <c r="AO51" i="1"/>
  <c r="AK51" i="1"/>
  <c r="AG51" i="1"/>
  <c r="Y51" i="1"/>
  <c r="M51" i="1"/>
  <c r="I51" i="1"/>
  <c r="E51" i="1"/>
  <c r="B52" i="1"/>
  <c r="AR55" i="1"/>
  <c r="AN55" i="1"/>
  <c r="AJ55" i="1"/>
  <c r="X55" i="1"/>
  <c r="L55" i="1"/>
  <c r="H55" i="1"/>
  <c r="AT54" i="1"/>
  <c r="AP54" i="1"/>
  <c r="AH54" i="1"/>
  <c r="V54" i="1"/>
  <c r="F54" i="1"/>
  <c r="AV53" i="1"/>
  <c r="AR53" i="1"/>
  <c r="AN53" i="1"/>
  <c r="AJ53" i="1"/>
  <c r="X53" i="1"/>
  <c r="L53" i="1"/>
  <c r="H53" i="1"/>
  <c r="F52" i="1"/>
  <c r="X51" i="1"/>
  <c r="L51" i="1"/>
  <c r="H51" i="1"/>
  <c r="AM49" i="1"/>
  <c r="AW49" i="1" s="1"/>
  <c r="AM45" i="1"/>
  <c r="AX45" i="1" s="1"/>
  <c r="AM37" i="1"/>
  <c r="AW37" i="1" s="1"/>
  <c r="AM33" i="1"/>
  <c r="AW33" i="1" s="1"/>
  <c r="AM21" i="1"/>
  <c r="AW21" i="1" s="1"/>
  <c r="AM9" i="1"/>
  <c r="AU55" i="1"/>
  <c r="AQ55" i="1"/>
  <c r="AI55" i="1"/>
  <c r="W55" i="1"/>
  <c r="K55" i="1"/>
  <c r="C55" i="1"/>
  <c r="AS54" i="1"/>
  <c r="AO54" i="1"/>
  <c r="AK54" i="1"/>
  <c r="AG54" i="1"/>
  <c r="Y54" i="1"/>
  <c r="M54" i="1"/>
  <c r="I54" i="1"/>
  <c r="E54" i="1"/>
  <c r="AU53" i="1"/>
  <c r="AQ53" i="1"/>
  <c r="AI53" i="1"/>
  <c r="W53" i="1"/>
  <c r="K53" i="1"/>
  <c r="C53" i="1"/>
  <c r="AK52" i="1"/>
  <c r="Y52" i="1"/>
  <c r="M52" i="1"/>
  <c r="I52" i="1"/>
  <c r="E52" i="1"/>
  <c r="W51" i="1"/>
  <c r="K51" i="1"/>
  <c r="C51" i="1"/>
  <c r="AL16" i="1"/>
  <c r="AL41" i="1"/>
  <c r="AW6" i="1" l="1"/>
  <c r="AX6" i="1"/>
  <c r="AW47" i="1"/>
  <c r="AW8" i="1"/>
  <c r="AX8" i="1"/>
  <c r="AW12" i="1"/>
  <c r="AX12" i="1"/>
  <c r="AW4" i="1"/>
  <c r="AX4" i="1"/>
  <c r="BF52" i="1"/>
  <c r="BF53" i="1"/>
  <c r="AX21" i="1"/>
  <c r="AX43" i="1"/>
  <c r="AX15" i="1"/>
  <c r="AY51" i="1"/>
  <c r="AX33" i="1"/>
  <c r="AX49" i="1"/>
  <c r="AW10" i="1"/>
  <c r="AX10" i="1"/>
  <c r="BF55" i="1"/>
  <c r="AX40" i="1"/>
  <c r="AW23" i="1"/>
  <c r="AW35" i="1"/>
  <c r="AX39" i="1"/>
  <c r="AX14" i="1"/>
  <c r="AW20" i="1"/>
  <c r="AW36" i="1"/>
  <c r="AW9" i="1"/>
  <c r="AX9" i="1"/>
  <c r="AX7" i="1"/>
  <c r="AW7" i="1"/>
  <c r="AX11" i="1"/>
  <c r="AW11" i="1"/>
  <c r="AX22" i="1"/>
  <c r="AX28" i="1"/>
  <c r="AY52" i="1"/>
  <c r="AY54" i="1"/>
  <c r="AY53" i="1"/>
  <c r="AY55" i="1"/>
  <c r="BB51" i="1"/>
  <c r="BB54" i="1"/>
  <c r="BB52" i="1"/>
  <c r="AM41" i="1"/>
  <c r="BE41" i="1"/>
  <c r="BC52" i="1"/>
  <c r="BC53" i="1"/>
  <c r="BC54" i="1"/>
  <c r="BC51" i="1"/>
  <c r="BC55" i="1"/>
  <c r="BB53" i="1"/>
  <c r="AL54" i="1"/>
  <c r="BE16" i="1"/>
  <c r="BE54" i="1" s="1"/>
  <c r="AZ51" i="1"/>
  <c r="AZ55" i="1"/>
  <c r="AZ52" i="1"/>
  <c r="BA57" i="1" s="1"/>
  <c r="AZ53" i="1"/>
  <c r="AZ54" i="1"/>
  <c r="BA54" i="1"/>
  <c r="BA51" i="1"/>
  <c r="BA55" i="1"/>
  <c r="BA52" i="1"/>
  <c r="BA53" i="1"/>
  <c r="AM16" i="1"/>
  <c r="AL55" i="1"/>
  <c r="AL52" i="1"/>
  <c r="AL51" i="1"/>
  <c r="AL53" i="1"/>
  <c r="AX53" i="1" l="1"/>
  <c r="AX41" i="1"/>
  <c r="AW41" i="1"/>
  <c r="AW16" i="1"/>
  <c r="AW53" i="1" s="1"/>
  <c r="AX16" i="1"/>
  <c r="BE52" i="1"/>
  <c r="BA58" i="1" s="1"/>
  <c r="BA59" i="1" s="1"/>
  <c r="BE51" i="1"/>
  <c r="BE55" i="1"/>
  <c r="BE53" i="1"/>
  <c r="AM53" i="1"/>
  <c r="AM52" i="1"/>
  <c r="AM55" i="1"/>
  <c r="AM54" i="1"/>
  <c r="AM51" i="1"/>
  <c r="AW51" i="1" l="1"/>
  <c r="AW52" i="1"/>
  <c r="AX54" i="1"/>
  <c r="AX52" i="1"/>
  <c r="AW55" i="1"/>
  <c r="AX55" i="1"/>
  <c r="AW54" i="1"/>
  <c r="AX51" i="1"/>
</calcChain>
</file>

<file path=xl/sharedStrings.xml><?xml version="1.0" encoding="utf-8"?>
<sst xmlns="http://schemas.openxmlformats.org/spreadsheetml/2006/main" count="153" uniqueCount="139">
  <si>
    <t>References</t>
  </si>
  <si>
    <t>Knopp (1865)</t>
  </si>
  <si>
    <t>Shive (1915)</t>
  </si>
  <si>
    <t>Hoagland (1919)</t>
  </si>
  <si>
    <t>Jones and Shive (1921)</t>
  </si>
  <si>
    <t>Rothamsted</t>
  </si>
  <si>
    <t>Hoagland and Snyder (1933, 1938)</t>
  </si>
  <si>
    <t>Hoagland and Arnon (1938)</t>
  </si>
  <si>
    <t>Long Ashton Soln</t>
  </si>
  <si>
    <t>Eaton (1931)</t>
  </si>
  <si>
    <t>Shive and Robbins (1942)</t>
  </si>
  <si>
    <t>Robbins (1946)</t>
  </si>
  <si>
    <t>White (1943)</t>
  </si>
  <si>
    <t>Duclos (1957)</t>
  </si>
  <si>
    <t>Tumanov (1960)</t>
  </si>
  <si>
    <t>A. J. Abbott</t>
  </si>
  <si>
    <t>E. B. Kidson</t>
  </si>
  <si>
    <t>Schwartz (Israel)</t>
  </si>
  <si>
    <t>Schwartz (California)</t>
  </si>
  <si>
    <t>Schwartz (New Jersey)</t>
  </si>
  <si>
    <t>Schwartz (South Africa)</t>
  </si>
  <si>
    <t>Dr. H. M. Resh</t>
  </si>
  <si>
    <t>University of British Columbia</t>
  </si>
  <si>
    <t>Vancouver, Canada (§1971)</t>
  </si>
  <si>
    <t>pH</t>
  </si>
  <si>
    <t>Dr. H. M. Resh Anguilla (2011) Lettuce</t>
  </si>
  <si>
    <t>K</t>
  </si>
  <si>
    <t>Summer</t>
  </si>
  <si>
    <t>Winter</t>
  </si>
  <si>
    <t>Central Europe</t>
  </si>
  <si>
    <t>Mediterranean and subtropical</t>
  </si>
  <si>
    <t>Tomato (mature)</t>
  </si>
  <si>
    <t>N</t>
  </si>
  <si>
    <t>P</t>
  </si>
  <si>
    <t>Ammonium:Nitrate ratio</t>
  </si>
  <si>
    <t>NH4+</t>
  </si>
  <si>
    <t>NO3-</t>
  </si>
  <si>
    <t>N:P:K ratio</t>
  </si>
  <si>
    <t>Ca (g/mol)</t>
  </si>
  <si>
    <t>Mg (g/mol)</t>
  </si>
  <si>
    <t>Na (g/mol)</t>
  </si>
  <si>
    <t>K (g/mol)</t>
  </si>
  <si>
    <t>NH4 (g/mol)</t>
  </si>
  <si>
    <t>NO3 (g/mol)</t>
  </si>
  <si>
    <t>PO4 (g/mol)</t>
  </si>
  <si>
    <t>SO4 (g/mol)</t>
  </si>
  <si>
    <t>CL (g/mol)</t>
  </si>
  <si>
    <t>Fe (g/mol)</t>
  </si>
  <si>
    <t>Mn (g/mol)</t>
  </si>
  <si>
    <t>Cu (g/mol)</t>
  </si>
  <si>
    <t>Zn (g/mol)</t>
  </si>
  <si>
    <t>B (g/mol)</t>
  </si>
  <si>
    <t>Mo (g/mol)</t>
  </si>
  <si>
    <t>Mean</t>
  </si>
  <si>
    <t>Median</t>
  </si>
  <si>
    <t>Min</t>
  </si>
  <si>
    <t>Max</t>
  </si>
  <si>
    <t>SD</t>
  </si>
  <si>
    <t>mol</t>
  </si>
  <si>
    <t>g</t>
  </si>
  <si>
    <t>meq</t>
  </si>
  <si>
    <t>Ca (mEq/L)</t>
  </si>
  <si>
    <t>Mg (mEq/L)</t>
  </si>
  <si>
    <t>Na (mEq/L)</t>
  </si>
  <si>
    <t>K (mEq/L)</t>
  </si>
  <si>
    <t>NH4 (mEq/L)</t>
  </si>
  <si>
    <t>NO3 (mEq/L)</t>
  </si>
  <si>
    <t>PO4 (mEq/L)</t>
  </si>
  <si>
    <t>SO4 (mEq/L)</t>
  </si>
  <si>
    <t>Cl (mEq/L)</t>
  </si>
  <si>
    <t>Fe (mEq/L)</t>
  </si>
  <si>
    <t>Mn (mEq/L)</t>
  </si>
  <si>
    <t>Cu (mEq/L)</t>
  </si>
  <si>
    <t>Zn (mEq/L)</t>
  </si>
  <si>
    <t>B (mEq/L)</t>
  </si>
  <si>
    <t>Mo (mEq/L)</t>
  </si>
  <si>
    <t>+</t>
  </si>
  <si>
    <t>-</t>
  </si>
  <si>
    <t>Sum +</t>
  </si>
  <si>
    <t>Sum -</t>
  </si>
  <si>
    <t>Diff +/-</t>
  </si>
  <si>
    <t>N:P</t>
  </si>
  <si>
    <t>N:K</t>
  </si>
  <si>
    <t>P:K</t>
  </si>
  <si>
    <t>Purdue (1948) A</t>
  </si>
  <si>
    <t>Purdue (1948) B</t>
  </si>
  <si>
    <t>Purdue (1948) C</t>
  </si>
  <si>
    <t>Dr. H. M. Resh Florida (1990) Cucumbers I</t>
  </si>
  <si>
    <t>Dr. H. M. Resh Florida (1990) Cucumbers II</t>
  </si>
  <si>
    <t>Dr. H. M. Resh Florida (1990) Cucumbers III</t>
  </si>
  <si>
    <t>Dr. H. M. Resh Tomato A</t>
  </si>
  <si>
    <t>Dr. H. M. Resh Tomato B</t>
  </si>
  <si>
    <t>Dr. H. M. Resh Tomato C</t>
  </si>
  <si>
    <t>Sonneveld and Straver Netherlands (1992) Tomato I</t>
  </si>
  <si>
    <t>Sonneveld and Straver Netherlands (1992) Tomato II</t>
  </si>
  <si>
    <t>Sonneveld and Straver Netherlands (1992) Tomato III</t>
  </si>
  <si>
    <t>Sonneveld and Straver Netherlands (1992) Cucumber I</t>
  </si>
  <si>
    <t>Sonneveld and Straver Netherlands (1992) Cucumber II</t>
  </si>
  <si>
    <t>Sonneveld and Straver Netherlands (1992) Cucumber III</t>
  </si>
  <si>
    <t>Dr. H. M. Resh, Tropical - Dry Lettuce</t>
  </si>
  <si>
    <t>Dr. H. M. Resh - Tropical Wet Lettuce</t>
  </si>
  <si>
    <t>Dr. H. M. Resh Florida (1989) California (1993) Lettuce</t>
  </si>
  <si>
    <t>CDA A</t>
  </si>
  <si>
    <t>Saanichton B</t>
  </si>
  <si>
    <t>B. C. Canada C</t>
  </si>
  <si>
    <t>Dr. Pilgrim C</t>
  </si>
  <si>
    <t>Elizabeth B</t>
  </si>
  <si>
    <t>N.C., USA A</t>
  </si>
  <si>
    <t>Ca_mgL</t>
  </si>
  <si>
    <t>Mg_mgL</t>
  </si>
  <si>
    <t>Na_mgL</t>
  </si>
  <si>
    <t>K_mgL</t>
  </si>
  <si>
    <t>Cl_mgL</t>
  </si>
  <si>
    <t>Fe_mgL</t>
  </si>
  <si>
    <t>Mn_mgL</t>
  </si>
  <si>
    <t>Cu_mgL</t>
  </si>
  <si>
    <t>Zn_mgL</t>
  </si>
  <si>
    <t>B_mgL</t>
  </si>
  <si>
    <t>Mo_mgL</t>
  </si>
  <si>
    <t>Ca_mM</t>
  </si>
  <si>
    <t>Mg_mM</t>
  </si>
  <si>
    <t>Na_mM</t>
  </si>
  <si>
    <t>K_mM</t>
  </si>
  <si>
    <t>NH4_mM</t>
  </si>
  <si>
    <t>NO3_mM</t>
  </si>
  <si>
    <t>sumN_mM</t>
  </si>
  <si>
    <t>PO4_mM</t>
  </si>
  <si>
    <t>SO4_mM</t>
  </si>
  <si>
    <t>Cl_mM</t>
  </si>
  <si>
    <t>Fe_uM</t>
  </si>
  <si>
    <t>Mn_uM</t>
  </si>
  <si>
    <t>Cu_uM</t>
  </si>
  <si>
    <t>Zn_uM</t>
  </si>
  <si>
    <t>B_uM</t>
  </si>
  <si>
    <t>Mo_uM</t>
  </si>
  <si>
    <t>PO4_P_mgL</t>
  </si>
  <si>
    <t>NO3_N_mgL</t>
  </si>
  <si>
    <t>NH4_N_mgL</t>
  </si>
  <si>
    <t>SO4_S_mgL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</si>
</sst>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2" fontId="1" fillId="0" borderId="7" xfId="0" applyNumberFormat="1" applyFont="1" applyBorder="1"/>
    <xf numFmtId="2" fontId="1" fillId="0" borderId="5" xfId="0" applyNumberFormat="1" applyFon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2" fontId="1" fillId="0" borderId="10" xfId="0" applyNumberFormat="1" applyFont="1" applyBorder="1"/>
    <xf numFmtId="2" fontId="1" fillId="0" borderId="8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2" fontId="1" fillId="0" borderId="13" xfId="0" applyNumberFormat="1" applyFont="1" applyBorder="1"/>
    <xf numFmtId="2" fontId="1" fillId="0" borderId="12" xfId="0" applyNumberFormat="1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14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2" fontId="0" fillId="0" borderId="23" xfId="0" applyNumberFormat="1" applyBorder="1"/>
    <xf numFmtId="0" fontId="4" fillId="0" borderId="0" xfId="0" applyFont="1" applyAlignment="1">
      <alignment horizontal="center"/>
    </xf>
    <xf numFmtId="0" fontId="1" fillId="0" borderId="25" xfId="0" applyFont="1" applyBorder="1"/>
    <xf numFmtId="2" fontId="0" fillId="0" borderId="26" xfId="0" applyNumberFormat="1" applyBorder="1"/>
    <xf numFmtId="2" fontId="1" fillId="0" borderId="27" xfId="0" applyNumberFormat="1" applyFont="1" applyBorder="1"/>
    <xf numFmtId="2" fontId="1" fillId="0" borderId="28" xfId="0" applyNumberFormat="1" applyFont="1" applyBorder="1"/>
    <xf numFmtId="0" fontId="4" fillId="0" borderId="24" xfId="0" applyFont="1" applyBorder="1" applyAlignment="1">
      <alignment horizontal="center"/>
    </xf>
    <xf numFmtId="0" fontId="1" fillId="0" borderId="24" xfId="0" applyFont="1" applyBorder="1"/>
    <xf numFmtId="0" fontId="0" fillId="0" borderId="2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2" fontId="0" fillId="2" borderId="15" xfId="0" applyNumberFormat="1" applyFill="1" applyBorder="1"/>
    <xf numFmtId="2" fontId="0" fillId="2" borderId="23" xfId="0" applyNumberFormat="1" applyFill="1" applyBorder="1"/>
    <xf numFmtId="2" fontId="0" fillId="2" borderId="26" xfId="0" applyNumberFormat="1" applyFill="1" applyBorder="1"/>
    <xf numFmtId="2" fontId="0" fillId="2" borderId="18" xfId="0" applyNumberFormat="1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5" xfId="0" applyFill="1" applyBorder="1"/>
    <xf numFmtId="2" fontId="0" fillId="2" borderId="1" xfId="0" applyNumberFormat="1" applyFill="1" applyBorder="1"/>
    <xf numFmtId="2" fontId="0" fillId="2" borderId="8" xfId="0" applyNumberFormat="1" applyFill="1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3CE1-1252-824E-A2D5-FBFAE16FB28D}">
  <sheetPr>
    <tabColor rgb="FFFF0000"/>
  </sheetPr>
  <dimension ref="A1"/>
  <sheetViews>
    <sheetView workbookViewId="0">
      <selection activeCell="D55" sqref="D55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F64-B304-1D44-A781-19A8684FBFE5}">
  <dimension ref="A1:BO59"/>
  <sheetViews>
    <sheetView tabSelected="1" zoomScale="110" zoomScaleNormal="110" workbookViewId="0">
      <pane xSplit="1" ySplit="2" topLeftCell="C3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baseColWidth="10" defaultRowHeight="16" x14ac:dyDescent="0.2"/>
  <cols>
    <col min="1" max="1" width="46.1640625" customWidth="1"/>
    <col min="2" max="2" width="10.83203125" style="22"/>
    <col min="17" max="17" width="10.83203125" style="22"/>
    <col min="18" max="32" width="0" hidden="1" customWidth="1"/>
    <col min="33" max="33" width="11.6640625" bestFit="1" customWidth="1"/>
    <col min="34" max="34" width="12.6640625" bestFit="1" customWidth="1"/>
    <col min="35" max="35" width="11.6640625" bestFit="1" customWidth="1"/>
    <col min="36" max="36" width="12.6640625" bestFit="1" customWidth="1"/>
    <col min="37" max="39" width="11.6640625" bestFit="1" customWidth="1"/>
    <col min="48" max="48" width="10.83203125" style="22"/>
    <col min="52" max="52" width="10.83203125" style="45"/>
    <col min="66" max="66" width="10.83203125" style="22"/>
  </cols>
  <sheetData>
    <row r="1" spans="1:67" ht="48" customHeight="1" x14ac:dyDescent="0.2">
      <c r="C1" s="60" t="s">
        <v>59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AG1" s="61" t="s">
        <v>58</v>
      </c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2"/>
      <c r="AW1" s="61" t="s">
        <v>58</v>
      </c>
      <c r="AX1" s="61"/>
      <c r="AY1" s="61"/>
      <c r="AZ1" s="61" t="s">
        <v>60</v>
      </c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2"/>
    </row>
    <row r="2" spans="1:67" s="33" customFormat="1" ht="17" thickBot="1" x14ac:dyDescent="0.25">
      <c r="A2" s="29" t="s">
        <v>0</v>
      </c>
      <c r="B2" s="31" t="s">
        <v>24</v>
      </c>
      <c r="C2" s="32" t="s">
        <v>108</v>
      </c>
      <c r="D2" s="29" t="s">
        <v>109</v>
      </c>
      <c r="E2" s="29" t="s">
        <v>110</v>
      </c>
      <c r="F2" s="29" t="s">
        <v>111</v>
      </c>
      <c r="G2" s="29" t="s">
        <v>137</v>
      </c>
      <c r="H2" s="29" t="s">
        <v>136</v>
      </c>
      <c r="I2" s="29" t="s">
        <v>135</v>
      </c>
      <c r="J2" s="29" t="s">
        <v>138</v>
      </c>
      <c r="K2" s="29" t="s">
        <v>112</v>
      </c>
      <c r="L2" s="29" t="s">
        <v>113</v>
      </c>
      <c r="M2" s="29" t="s">
        <v>114</v>
      </c>
      <c r="N2" s="29" t="s">
        <v>115</v>
      </c>
      <c r="O2" s="29" t="s">
        <v>116</v>
      </c>
      <c r="P2" s="29" t="s">
        <v>117</v>
      </c>
      <c r="Q2" s="30" t="s">
        <v>118</v>
      </c>
      <c r="R2" s="32" t="s">
        <v>38</v>
      </c>
      <c r="S2" s="29" t="s">
        <v>39</v>
      </c>
      <c r="T2" s="29" t="s">
        <v>40</v>
      </c>
      <c r="U2" s="29" t="s">
        <v>41</v>
      </c>
      <c r="V2" s="29" t="s">
        <v>42</v>
      </c>
      <c r="W2" s="29" t="s">
        <v>43</v>
      </c>
      <c r="X2" s="29" t="s">
        <v>44</v>
      </c>
      <c r="Y2" s="29" t="s">
        <v>45</v>
      </c>
      <c r="Z2" s="29" t="s">
        <v>46</v>
      </c>
      <c r="AA2" s="29" t="s">
        <v>47</v>
      </c>
      <c r="AB2" s="29" t="s">
        <v>48</v>
      </c>
      <c r="AC2" s="29" t="s">
        <v>49</v>
      </c>
      <c r="AD2" s="29" t="s">
        <v>50</v>
      </c>
      <c r="AE2" s="29" t="s">
        <v>51</v>
      </c>
      <c r="AF2" s="29" t="s">
        <v>52</v>
      </c>
      <c r="AG2" s="29" t="s">
        <v>119</v>
      </c>
      <c r="AH2" s="29" t="s">
        <v>120</v>
      </c>
      <c r="AI2" s="29" t="s">
        <v>121</v>
      </c>
      <c r="AJ2" s="29" t="s">
        <v>122</v>
      </c>
      <c r="AK2" s="29" t="s">
        <v>123</v>
      </c>
      <c r="AL2" s="29" t="s">
        <v>124</v>
      </c>
      <c r="AM2" s="29" t="s">
        <v>125</v>
      </c>
      <c r="AN2" s="29" t="s">
        <v>126</v>
      </c>
      <c r="AO2" s="29" t="s">
        <v>127</v>
      </c>
      <c r="AP2" s="29" t="s">
        <v>128</v>
      </c>
      <c r="AQ2" s="29" t="s">
        <v>129</v>
      </c>
      <c r="AR2" s="29" t="s">
        <v>130</v>
      </c>
      <c r="AS2" s="29" t="s">
        <v>131</v>
      </c>
      <c r="AT2" s="29" t="s">
        <v>132</v>
      </c>
      <c r="AU2" s="29" t="s">
        <v>133</v>
      </c>
      <c r="AV2" s="30" t="s">
        <v>134</v>
      </c>
      <c r="AW2" s="32" t="s">
        <v>81</v>
      </c>
      <c r="AX2" s="29" t="s">
        <v>82</v>
      </c>
      <c r="AY2" s="29" t="s">
        <v>83</v>
      </c>
      <c r="AZ2" s="39" t="s">
        <v>61</v>
      </c>
      <c r="BA2" s="29" t="s">
        <v>62</v>
      </c>
      <c r="BB2" s="29" t="s">
        <v>63</v>
      </c>
      <c r="BC2" s="29" t="s">
        <v>64</v>
      </c>
      <c r="BD2" s="29" t="s">
        <v>65</v>
      </c>
      <c r="BE2" s="29" t="s">
        <v>66</v>
      </c>
      <c r="BF2" s="29" t="s">
        <v>67</v>
      </c>
      <c r="BG2" s="29" t="s">
        <v>68</v>
      </c>
      <c r="BH2" s="29" t="s">
        <v>69</v>
      </c>
      <c r="BI2" s="29" t="s">
        <v>70</v>
      </c>
      <c r="BJ2" s="29" t="s">
        <v>71</v>
      </c>
      <c r="BK2" s="29" t="s">
        <v>72</v>
      </c>
      <c r="BL2" s="29" t="s">
        <v>73</v>
      </c>
      <c r="BM2" s="29" t="s">
        <v>74</v>
      </c>
      <c r="BN2" s="30" t="s">
        <v>75</v>
      </c>
    </row>
    <row r="3" spans="1:67" s="46" customFormat="1" x14ac:dyDescent="0.2">
      <c r="A3" s="46" t="s">
        <v>1</v>
      </c>
      <c r="B3" s="48"/>
      <c r="C3" s="49">
        <v>244</v>
      </c>
      <c r="D3" s="46">
        <v>24</v>
      </c>
      <c r="F3" s="46">
        <v>168</v>
      </c>
      <c r="H3" s="46">
        <v>206</v>
      </c>
      <c r="I3" s="46">
        <v>57</v>
      </c>
      <c r="J3" s="46">
        <v>32</v>
      </c>
      <c r="Q3" s="47"/>
      <c r="R3" s="49">
        <v>40.078000000000003</v>
      </c>
      <c r="S3" s="46">
        <v>24.305</v>
      </c>
      <c r="T3" s="46">
        <v>22.99</v>
      </c>
      <c r="U3" s="46">
        <v>39.097999999999999</v>
      </c>
      <c r="V3" s="46">
        <f>14+4*1</f>
        <v>18</v>
      </c>
      <c r="W3" s="46">
        <f>14+3*16</f>
        <v>62</v>
      </c>
      <c r="X3" s="46">
        <f>31+4*16</f>
        <v>95</v>
      </c>
      <c r="Y3" s="46">
        <f>32+4*16</f>
        <v>96</v>
      </c>
      <c r="Z3" s="46">
        <v>35.450000000000003</v>
      </c>
      <c r="AA3" s="46">
        <v>55.844999999999999</v>
      </c>
      <c r="AB3" s="46">
        <v>54.938000000000002</v>
      </c>
      <c r="AC3" s="46">
        <v>36.545999999999999</v>
      </c>
      <c r="AD3" s="46">
        <v>65.38</v>
      </c>
      <c r="AE3" s="46">
        <v>10.81</v>
      </c>
      <c r="AF3" s="46">
        <v>95.962000000000003</v>
      </c>
      <c r="AG3" s="50">
        <f>C3/(R3*1000)*1000</f>
        <v>6.0881281501072912</v>
      </c>
      <c r="AH3" s="50">
        <f t="shared" ref="AH3:AL3" si="0">D3/(S3*1000)*1000</f>
        <v>0.98745114174038251</v>
      </c>
      <c r="AI3" s="50"/>
      <c r="AJ3" s="50">
        <f t="shared" si="0"/>
        <v>4.296894981840504</v>
      </c>
      <c r="AK3" s="50"/>
      <c r="AL3" s="50">
        <f t="shared" si="0"/>
        <v>3.32258064516129</v>
      </c>
      <c r="AM3" s="50">
        <f>AK3+AL3</f>
        <v>3.32258064516129</v>
      </c>
      <c r="AN3" s="50">
        <f>I3/(X3*1000)*1000</f>
        <v>0.6</v>
      </c>
      <c r="AO3" s="50">
        <f>J3/(Y3*1000)*1000</f>
        <v>0.33333333333333331</v>
      </c>
      <c r="AP3" s="50"/>
      <c r="AV3" s="47"/>
      <c r="AW3" s="51">
        <f>AM3/AN3</f>
        <v>5.5376344086021501</v>
      </c>
      <c r="AX3" s="51">
        <f>AM3/AJ3</f>
        <v>0.7732515360983101</v>
      </c>
      <c r="AY3" s="51">
        <f>AN3/AJ3</f>
        <v>0.13963571428571425</v>
      </c>
      <c r="AZ3" s="52">
        <f>AG3*2</f>
        <v>12.176256300214582</v>
      </c>
      <c r="BA3" s="53">
        <f t="shared" ref="BA3" si="1">AH3*2</f>
        <v>1.974902283480765</v>
      </c>
      <c r="BB3" s="53">
        <f>AI3*1</f>
        <v>0</v>
      </c>
      <c r="BC3" s="53">
        <f t="shared" ref="BC3:BE3" si="2">AJ3*1</f>
        <v>4.296894981840504</v>
      </c>
      <c r="BD3" s="53">
        <f>AK3*2</f>
        <v>0</v>
      </c>
      <c r="BE3" s="53">
        <f t="shared" si="2"/>
        <v>3.32258064516129</v>
      </c>
      <c r="BF3" s="53">
        <f>AN3*3</f>
        <v>1.7999999999999998</v>
      </c>
      <c r="BG3" s="53">
        <f>AO3*2</f>
        <v>0.66666666666666663</v>
      </c>
      <c r="BH3" s="53">
        <f>AP3*1</f>
        <v>0</v>
      </c>
      <c r="BI3" s="49"/>
      <c r="BJ3" s="49"/>
      <c r="BK3" s="49"/>
      <c r="BL3" s="49"/>
      <c r="BM3" s="49"/>
      <c r="BN3" s="49"/>
      <c r="BO3" s="49"/>
    </row>
    <row r="4" spans="1:67" s="6" customFormat="1" x14ac:dyDescent="0.2">
      <c r="A4" s="6" t="s">
        <v>2</v>
      </c>
      <c r="B4" s="23"/>
      <c r="C4" s="13">
        <v>208</v>
      </c>
      <c r="D4" s="6">
        <v>484</v>
      </c>
      <c r="F4" s="6">
        <v>562</v>
      </c>
      <c r="H4" s="6">
        <v>148</v>
      </c>
      <c r="I4" s="6">
        <v>448</v>
      </c>
      <c r="J4" s="6">
        <v>640</v>
      </c>
      <c r="Q4" s="18"/>
      <c r="R4" s="13">
        <v>40.078000000000003</v>
      </c>
      <c r="S4" s="6">
        <v>24.305</v>
      </c>
      <c r="T4" s="6">
        <v>22.99</v>
      </c>
      <c r="U4" s="6">
        <v>39.097999999999999</v>
      </c>
      <c r="V4" s="6">
        <f>14+4*1</f>
        <v>18</v>
      </c>
      <c r="W4" s="6">
        <f>14+3*16</f>
        <v>62</v>
      </c>
      <c r="X4" s="6">
        <f>31+4*16</f>
        <v>95</v>
      </c>
      <c r="Y4" s="6">
        <f>32+4*16</f>
        <v>96</v>
      </c>
      <c r="Z4" s="6">
        <v>35.450000000000003</v>
      </c>
      <c r="AA4" s="6">
        <v>55.844999999999999</v>
      </c>
      <c r="AB4" s="6">
        <v>54.938000000000002</v>
      </c>
      <c r="AC4" s="6">
        <v>36.545999999999999</v>
      </c>
      <c r="AD4" s="6">
        <v>65.38</v>
      </c>
      <c r="AE4" s="6">
        <v>10.81</v>
      </c>
      <c r="AF4" s="6">
        <v>95.962000000000003</v>
      </c>
      <c r="AG4" s="7">
        <f t="shared" ref="AG4:AG50" si="3">C4/(R4*1000)*1000</f>
        <v>5.1898797345176906</v>
      </c>
      <c r="AH4" s="7">
        <f t="shared" ref="AH4:AH50" si="4">D4/(S4*1000)*1000</f>
        <v>19.913598025097716</v>
      </c>
      <c r="AI4" s="7"/>
      <c r="AJ4" s="7">
        <f t="shared" ref="AJ4:AJ50" si="5">F4/(U4*1000)*1000</f>
        <v>14.374136784490254</v>
      </c>
      <c r="AK4" s="7"/>
      <c r="AL4" s="7">
        <f t="shared" ref="AL4:AL50" si="6">H4/(W4*1000)*1000</f>
        <v>2.387096774193548</v>
      </c>
      <c r="AM4" s="7">
        <f t="shared" ref="AM4:AM50" si="7">AK4+AL4</f>
        <v>2.387096774193548</v>
      </c>
      <c r="AN4" s="7">
        <f t="shared" ref="AN4:AN50" si="8">I4/(X4*1000)*1000</f>
        <v>4.7157894736842101</v>
      </c>
      <c r="AO4" s="7">
        <f t="shared" ref="AO4:AO24" si="9">J4/(Y4*1000)*1000</f>
        <v>6.666666666666667</v>
      </c>
      <c r="AP4" s="7"/>
      <c r="AV4" s="18"/>
      <c r="AW4" s="37">
        <f t="shared" ref="AW4:AW12" si="10">AM4/AN4</f>
        <v>0.50619239631336399</v>
      </c>
      <c r="AX4" s="37">
        <f t="shared" ref="AX4:AX12" si="11">AM4/AJ4</f>
        <v>0.1660688784295718</v>
      </c>
      <c r="AY4" s="37">
        <f t="shared" ref="AY4:AY12" si="12">AN4/AJ4</f>
        <v>0.32807462071548976</v>
      </c>
      <c r="AZ4" s="40">
        <f t="shared" ref="AZ4:AZ50" si="13">AG4*2</f>
        <v>10.379759469035381</v>
      </c>
      <c r="BA4" s="36">
        <f t="shared" ref="BA4:BA50" si="14">AH4*2</f>
        <v>39.827196050195433</v>
      </c>
      <c r="BB4" s="36">
        <f t="shared" ref="BB4:BB50" si="15">AI4*1</f>
        <v>0</v>
      </c>
      <c r="BC4" s="36">
        <f t="shared" ref="BC4:BC50" si="16">AJ4*1</f>
        <v>14.374136784490254</v>
      </c>
      <c r="BD4" s="36">
        <f t="shared" ref="BD4:BD50" si="17">AK4*2</f>
        <v>0</v>
      </c>
      <c r="BE4" s="36">
        <f t="shared" ref="BE4:BE50" si="18">AL4*1</f>
        <v>2.387096774193548</v>
      </c>
      <c r="BF4" s="36">
        <f t="shared" ref="BF4:BF50" si="19">AN4*3</f>
        <v>14.147368421052629</v>
      </c>
      <c r="BG4" s="36">
        <f t="shared" ref="BG4:BG50" si="20">AO4*2</f>
        <v>13.333333333333334</v>
      </c>
      <c r="BH4" s="36">
        <f t="shared" ref="BH4:BH50" si="21">AP4*1</f>
        <v>0</v>
      </c>
      <c r="BN4" s="18"/>
      <c r="BO4" s="13"/>
    </row>
    <row r="5" spans="1:67" s="6" customFormat="1" x14ac:dyDescent="0.2">
      <c r="A5" s="6" t="s">
        <v>3</v>
      </c>
      <c r="B5" s="23">
        <v>6.8</v>
      </c>
      <c r="C5" s="13">
        <v>200</v>
      </c>
      <c r="D5" s="6">
        <v>99</v>
      </c>
      <c r="E5" s="6">
        <v>12</v>
      </c>
      <c r="F5" s="6">
        <v>284</v>
      </c>
      <c r="H5" s="6">
        <v>158</v>
      </c>
      <c r="I5" s="6">
        <v>44</v>
      </c>
      <c r="J5" s="6">
        <v>125</v>
      </c>
      <c r="K5" s="6">
        <v>18</v>
      </c>
      <c r="Q5" s="18"/>
      <c r="R5" s="13">
        <v>40.078000000000003</v>
      </c>
      <c r="S5" s="6">
        <v>24.305</v>
      </c>
      <c r="T5" s="6">
        <v>22.99</v>
      </c>
      <c r="U5" s="6">
        <v>39.097999999999999</v>
      </c>
      <c r="V5" s="6">
        <f t="shared" ref="V5:V50" si="22">14+4*1</f>
        <v>18</v>
      </c>
      <c r="W5" s="6">
        <f t="shared" ref="W5:W50" si="23">14+3*16</f>
        <v>62</v>
      </c>
      <c r="X5" s="6">
        <f t="shared" ref="X5:X50" si="24">31+4*16</f>
        <v>95</v>
      </c>
      <c r="Y5" s="6">
        <f t="shared" ref="Y5:Y50" si="25">32+4*16</f>
        <v>96</v>
      </c>
      <c r="Z5" s="6">
        <v>35.450000000000003</v>
      </c>
      <c r="AA5" s="6">
        <v>55.844999999999999</v>
      </c>
      <c r="AB5" s="6">
        <v>54.938000000000002</v>
      </c>
      <c r="AC5" s="6">
        <v>36.545999999999999</v>
      </c>
      <c r="AD5" s="6">
        <v>65.38</v>
      </c>
      <c r="AE5" s="6">
        <v>10.81</v>
      </c>
      <c r="AF5" s="6">
        <v>95.962000000000003</v>
      </c>
      <c r="AG5" s="7">
        <f t="shared" si="3"/>
        <v>4.9902689754977798</v>
      </c>
      <c r="AH5" s="7">
        <f t="shared" si="4"/>
        <v>4.0732359596790779</v>
      </c>
      <c r="AI5" s="7">
        <f t="shared" ref="AI5:AI41" si="26">E5/(T5*1000)*1000</f>
        <v>0.52196607220530666</v>
      </c>
      <c r="AJ5" s="7">
        <f t="shared" si="5"/>
        <v>7.2637986597779935</v>
      </c>
      <c r="AK5" s="7"/>
      <c r="AL5" s="7">
        <f t="shared" si="6"/>
        <v>2.5483870967741939</v>
      </c>
      <c r="AM5" s="7">
        <f t="shared" si="7"/>
        <v>2.5483870967741939</v>
      </c>
      <c r="AN5" s="7">
        <f t="shared" si="8"/>
        <v>0.4631578947368421</v>
      </c>
      <c r="AO5" s="7">
        <f t="shared" si="9"/>
        <v>1.3020833333333333</v>
      </c>
      <c r="AP5" s="7">
        <f>K5/(Z5*1000)*1000</f>
        <v>0.50775740479548659</v>
      </c>
      <c r="AV5" s="18"/>
      <c r="AW5" s="37">
        <f t="shared" si="10"/>
        <v>5.5021994134897367</v>
      </c>
      <c r="AX5" s="37">
        <f t="shared" si="11"/>
        <v>0.35083393911858252</v>
      </c>
      <c r="AY5" s="37">
        <f t="shared" si="12"/>
        <v>6.376249073387695E-2</v>
      </c>
      <c r="AZ5" s="40">
        <f t="shared" si="13"/>
        <v>9.9805379509955596</v>
      </c>
      <c r="BA5" s="36">
        <f t="shared" si="14"/>
        <v>8.1464719193581558</v>
      </c>
      <c r="BB5" s="36">
        <f t="shared" si="15"/>
        <v>0.52196607220530666</v>
      </c>
      <c r="BC5" s="36">
        <f t="shared" si="16"/>
        <v>7.2637986597779935</v>
      </c>
      <c r="BD5" s="36">
        <f t="shared" si="17"/>
        <v>0</v>
      </c>
      <c r="BE5" s="36">
        <f t="shared" si="18"/>
        <v>2.5483870967741939</v>
      </c>
      <c r="BF5" s="36">
        <f t="shared" si="19"/>
        <v>1.3894736842105262</v>
      </c>
      <c r="BG5" s="36">
        <f t="shared" si="20"/>
        <v>2.6041666666666665</v>
      </c>
      <c r="BH5" s="36">
        <f t="shared" si="21"/>
        <v>0.50775740479548659</v>
      </c>
      <c r="BN5" s="18"/>
      <c r="BO5" s="13"/>
    </row>
    <row r="6" spans="1:67" s="6" customFormat="1" x14ac:dyDescent="0.2">
      <c r="A6" s="6" t="s">
        <v>4</v>
      </c>
      <c r="B6" s="23"/>
      <c r="C6" s="13">
        <v>292</v>
      </c>
      <c r="D6" s="6">
        <v>172</v>
      </c>
      <c r="F6" s="6">
        <v>102</v>
      </c>
      <c r="G6" s="6">
        <v>39</v>
      </c>
      <c r="H6" s="6">
        <v>204</v>
      </c>
      <c r="I6" s="6">
        <v>65</v>
      </c>
      <c r="J6" s="6">
        <v>227</v>
      </c>
      <c r="L6" s="6">
        <v>0.8</v>
      </c>
      <c r="Q6" s="18"/>
      <c r="R6" s="13">
        <v>40.078000000000003</v>
      </c>
      <c r="S6" s="6">
        <v>24.305</v>
      </c>
      <c r="T6" s="6">
        <v>22.99</v>
      </c>
      <c r="U6" s="6">
        <v>39.097999999999999</v>
      </c>
      <c r="V6" s="6">
        <f t="shared" si="22"/>
        <v>18</v>
      </c>
      <c r="W6" s="6">
        <f t="shared" si="23"/>
        <v>62</v>
      </c>
      <c r="X6" s="6">
        <f t="shared" si="24"/>
        <v>95</v>
      </c>
      <c r="Y6" s="6">
        <f t="shared" si="25"/>
        <v>96</v>
      </c>
      <c r="Z6" s="6">
        <v>35.450000000000003</v>
      </c>
      <c r="AA6" s="6">
        <v>55.844999999999999</v>
      </c>
      <c r="AB6" s="6">
        <v>54.938000000000002</v>
      </c>
      <c r="AC6" s="6">
        <v>36.545999999999999</v>
      </c>
      <c r="AD6" s="6">
        <v>65.38</v>
      </c>
      <c r="AE6" s="6">
        <v>10.81</v>
      </c>
      <c r="AF6" s="6">
        <v>95.962000000000003</v>
      </c>
      <c r="AG6" s="7">
        <f t="shared" si="3"/>
        <v>7.2857927042267576</v>
      </c>
      <c r="AH6" s="7">
        <f t="shared" si="4"/>
        <v>7.0767331824727426</v>
      </c>
      <c r="AI6" s="7"/>
      <c r="AJ6" s="7">
        <f t="shared" si="5"/>
        <v>2.6088290961174487</v>
      </c>
      <c r="AK6" s="7">
        <f t="shared" ref="AK6:AK50" si="27">G6/(V6*1000)*1000</f>
        <v>2.1666666666666665</v>
      </c>
      <c r="AL6" s="7">
        <f t="shared" si="6"/>
        <v>3.2903225806451615</v>
      </c>
      <c r="AM6" s="7">
        <f t="shared" si="7"/>
        <v>5.456989247311828</v>
      </c>
      <c r="AN6" s="7">
        <f t="shared" si="8"/>
        <v>0.68421052631578949</v>
      </c>
      <c r="AO6" s="7">
        <f t="shared" si="9"/>
        <v>2.364583333333333</v>
      </c>
      <c r="AP6" s="7">
        <f>K6/(Z6*1000)*1000</f>
        <v>0</v>
      </c>
      <c r="AQ6" s="7">
        <f>L6/(AA6*1000)*1000000</f>
        <v>14.325364849136003</v>
      </c>
      <c r="AR6" s="7"/>
      <c r="AS6" s="7"/>
      <c r="AT6" s="7"/>
      <c r="AU6" s="7"/>
      <c r="AV6" s="34"/>
      <c r="AW6" s="37">
        <f t="shared" si="10"/>
        <v>7.975599669148056</v>
      </c>
      <c r="AX6" s="37">
        <f t="shared" si="11"/>
        <v>2.0917388783470376</v>
      </c>
      <c r="AY6" s="37">
        <f t="shared" si="12"/>
        <v>0.26226728586171311</v>
      </c>
      <c r="AZ6" s="40">
        <f t="shared" si="13"/>
        <v>14.571585408453515</v>
      </c>
      <c r="BA6" s="36">
        <f t="shared" si="14"/>
        <v>14.153466364945485</v>
      </c>
      <c r="BB6" s="36">
        <f t="shared" si="15"/>
        <v>0</v>
      </c>
      <c r="BC6" s="36">
        <f t="shared" si="16"/>
        <v>2.6088290961174487</v>
      </c>
      <c r="BD6" s="36">
        <f t="shared" si="17"/>
        <v>4.333333333333333</v>
      </c>
      <c r="BE6" s="36">
        <f t="shared" si="18"/>
        <v>3.2903225806451615</v>
      </c>
      <c r="BF6" s="36">
        <f t="shared" si="19"/>
        <v>2.0526315789473686</v>
      </c>
      <c r="BG6" s="36">
        <f t="shared" si="20"/>
        <v>4.7291666666666661</v>
      </c>
      <c r="BH6" s="36">
        <f t="shared" si="21"/>
        <v>0</v>
      </c>
      <c r="BN6" s="18"/>
      <c r="BO6" s="13"/>
    </row>
    <row r="7" spans="1:67" s="6" customFormat="1" x14ac:dyDescent="0.2">
      <c r="A7" s="6" t="s">
        <v>5</v>
      </c>
      <c r="B7" s="23">
        <v>6.2</v>
      </c>
      <c r="C7" s="13">
        <v>116</v>
      </c>
      <c r="D7" s="6">
        <v>48</v>
      </c>
      <c r="F7" s="6">
        <v>593</v>
      </c>
      <c r="H7" s="6">
        <v>139</v>
      </c>
      <c r="I7" s="6">
        <v>117</v>
      </c>
      <c r="J7" s="6">
        <v>157</v>
      </c>
      <c r="K7" s="6">
        <v>17</v>
      </c>
      <c r="L7" s="6">
        <v>8</v>
      </c>
      <c r="M7" s="6">
        <v>0.25</v>
      </c>
      <c r="P7" s="6">
        <v>0.2</v>
      </c>
      <c r="Q7" s="18"/>
      <c r="R7" s="13">
        <v>40.078000000000003</v>
      </c>
      <c r="S7" s="6">
        <v>24.305</v>
      </c>
      <c r="T7" s="6">
        <v>22.99</v>
      </c>
      <c r="U7" s="6">
        <v>39.097999999999999</v>
      </c>
      <c r="V7" s="6">
        <f t="shared" si="22"/>
        <v>18</v>
      </c>
      <c r="W7" s="6">
        <f t="shared" si="23"/>
        <v>62</v>
      </c>
      <c r="X7" s="6">
        <f t="shared" si="24"/>
        <v>95</v>
      </c>
      <c r="Y7" s="6">
        <f t="shared" si="25"/>
        <v>96</v>
      </c>
      <c r="Z7" s="6">
        <v>35.450000000000003</v>
      </c>
      <c r="AA7" s="6">
        <v>55.844999999999999</v>
      </c>
      <c r="AB7" s="6">
        <v>54.938000000000002</v>
      </c>
      <c r="AC7" s="6">
        <v>36.545999999999999</v>
      </c>
      <c r="AD7" s="6">
        <v>65.38</v>
      </c>
      <c r="AE7" s="6">
        <v>10.81</v>
      </c>
      <c r="AF7" s="6">
        <v>95.962000000000003</v>
      </c>
      <c r="AG7" s="7">
        <f t="shared" si="3"/>
        <v>2.8943560057887119</v>
      </c>
      <c r="AH7" s="7">
        <f t="shared" si="4"/>
        <v>1.974902283480765</v>
      </c>
      <c r="AI7" s="7"/>
      <c r="AJ7" s="7">
        <f t="shared" si="5"/>
        <v>15.167016215663205</v>
      </c>
      <c r="AK7" s="7"/>
      <c r="AL7" s="7">
        <f t="shared" si="6"/>
        <v>2.2419354838709675</v>
      </c>
      <c r="AM7" s="7">
        <f t="shared" si="7"/>
        <v>2.2419354838709675</v>
      </c>
      <c r="AN7" s="7">
        <f t="shared" si="8"/>
        <v>1.2315789473684211</v>
      </c>
      <c r="AO7" s="7">
        <f t="shared" si="9"/>
        <v>1.6354166666666667</v>
      </c>
      <c r="AP7" s="7">
        <f>K7/(Z7*1000)*1000</f>
        <v>0.47954866008462621</v>
      </c>
      <c r="AQ7" s="7">
        <f>L7/(AA7*1000)*1000000</f>
        <v>143.25364849136</v>
      </c>
      <c r="AR7" s="7">
        <f>M7/(AB7*1000)*1000000</f>
        <v>4.5505842950234809</v>
      </c>
      <c r="AS7" s="7"/>
      <c r="AT7" s="7"/>
      <c r="AU7" s="7">
        <f t="shared" ref="AU7:AU15" si="28">P7/(AE7*1000)*1000000</f>
        <v>18.50138760407031</v>
      </c>
      <c r="AV7" s="34"/>
      <c r="AW7" s="37">
        <f t="shared" si="10"/>
        <v>1.8203749655362556</v>
      </c>
      <c r="AX7" s="37">
        <f t="shared" si="11"/>
        <v>0.14781651525866288</v>
      </c>
      <c r="AY7" s="37">
        <f t="shared" si="12"/>
        <v>8.1201136061063287E-2</v>
      </c>
      <c r="AZ7" s="40">
        <f t="shared" si="13"/>
        <v>5.7887120115774238</v>
      </c>
      <c r="BA7" s="36">
        <f t="shared" si="14"/>
        <v>3.94980456696153</v>
      </c>
      <c r="BB7" s="36">
        <f t="shared" si="15"/>
        <v>0</v>
      </c>
      <c r="BC7" s="36">
        <f t="shared" si="16"/>
        <v>15.167016215663205</v>
      </c>
      <c r="BD7" s="36">
        <f t="shared" si="17"/>
        <v>0</v>
      </c>
      <c r="BE7" s="36">
        <f t="shared" si="18"/>
        <v>2.2419354838709675</v>
      </c>
      <c r="BF7" s="36">
        <f t="shared" si="19"/>
        <v>3.6947368421052635</v>
      </c>
      <c r="BG7" s="36">
        <f t="shared" si="20"/>
        <v>3.2708333333333335</v>
      </c>
      <c r="BH7" s="36">
        <f t="shared" si="21"/>
        <v>0.47954866008462621</v>
      </c>
      <c r="BN7" s="18"/>
      <c r="BO7" s="13"/>
    </row>
    <row r="8" spans="1:67" s="6" customFormat="1" x14ac:dyDescent="0.2">
      <c r="A8" s="6" t="s">
        <v>6</v>
      </c>
      <c r="B8" s="23"/>
      <c r="C8" s="13">
        <v>200</v>
      </c>
      <c r="D8" s="6">
        <v>48</v>
      </c>
      <c r="F8" s="6">
        <v>234</v>
      </c>
      <c r="H8" s="6">
        <v>210</v>
      </c>
      <c r="I8" s="6">
        <v>31</v>
      </c>
      <c r="J8" s="6">
        <v>64</v>
      </c>
      <c r="M8" s="6">
        <v>0.1</v>
      </c>
      <c r="N8" s="6">
        <v>1.4E-2</v>
      </c>
      <c r="O8" s="6">
        <v>0.01</v>
      </c>
      <c r="P8" s="6">
        <v>0.1</v>
      </c>
      <c r="Q8" s="18">
        <v>1.6E-2</v>
      </c>
      <c r="R8" s="13">
        <v>40.078000000000003</v>
      </c>
      <c r="S8" s="6">
        <v>24.305</v>
      </c>
      <c r="T8" s="6">
        <v>22.99</v>
      </c>
      <c r="U8" s="6">
        <v>39.097999999999999</v>
      </c>
      <c r="V8" s="6">
        <f t="shared" si="22"/>
        <v>18</v>
      </c>
      <c r="W8" s="6">
        <f t="shared" si="23"/>
        <v>62</v>
      </c>
      <c r="X8" s="6">
        <f t="shared" si="24"/>
        <v>95</v>
      </c>
      <c r="Y8" s="6">
        <f t="shared" si="25"/>
        <v>96</v>
      </c>
      <c r="Z8" s="6">
        <v>35.450000000000003</v>
      </c>
      <c r="AA8" s="6">
        <v>55.844999999999999</v>
      </c>
      <c r="AB8" s="6">
        <v>54.938000000000002</v>
      </c>
      <c r="AC8" s="6">
        <v>36.545999999999999</v>
      </c>
      <c r="AD8" s="6">
        <v>65.38</v>
      </c>
      <c r="AE8" s="6">
        <v>10.81</v>
      </c>
      <c r="AF8" s="6">
        <v>95.962000000000003</v>
      </c>
      <c r="AG8" s="7">
        <f t="shared" si="3"/>
        <v>4.9902689754977798</v>
      </c>
      <c r="AH8" s="7">
        <f t="shared" si="4"/>
        <v>1.974902283480765</v>
      </c>
      <c r="AI8" s="7"/>
      <c r="AJ8" s="7">
        <f t="shared" si="5"/>
        <v>5.9849608675635588</v>
      </c>
      <c r="AK8" s="7"/>
      <c r="AL8" s="7">
        <f t="shared" si="6"/>
        <v>3.3870967741935485</v>
      </c>
      <c r="AM8" s="7">
        <f t="shared" si="7"/>
        <v>3.3870967741935485</v>
      </c>
      <c r="AN8" s="7">
        <f t="shared" si="8"/>
        <v>0.32631578947368423</v>
      </c>
      <c r="AO8" s="7">
        <f t="shared" si="9"/>
        <v>0.66666666666666663</v>
      </c>
      <c r="AP8" s="7"/>
      <c r="AQ8" s="7"/>
      <c r="AR8" s="7">
        <f t="shared" ref="AQ8:AR21" si="29">M8/(AB8*1000)*1000000</f>
        <v>1.8202337180093924</v>
      </c>
      <c r="AS8" s="7">
        <f t="shared" ref="AS8:AS10" si="30">N8/(AC8*1000)*1000000</f>
        <v>0.38307885951950965</v>
      </c>
      <c r="AT8" s="7">
        <f t="shared" ref="AT8:AT10" si="31">O8/(AD8*1000)*1000000</f>
        <v>0.15295197308045277</v>
      </c>
      <c r="AU8" s="7">
        <f t="shared" si="28"/>
        <v>9.2506938020351548</v>
      </c>
      <c r="AV8" s="34">
        <f t="shared" ref="AV8:AV10" si="32">Q8/(AF8*1000)*1000000</f>
        <v>0.16673266501323442</v>
      </c>
      <c r="AW8" s="37">
        <f t="shared" si="10"/>
        <v>10.37981269510926</v>
      </c>
      <c r="AX8" s="37">
        <f t="shared" si="11"/>
        <v>0.56593465674110832</v>
      </c>
      <c r="AY8" s="37">
        <f t="shared" si="12"/>
        <v>5.4522627080521816E-2</v>
      </c>
      <c r="AZ8" s="40">
        <f t="shared" si="13"/>
        <v>9.9805379509955596</v>
      </c>
      <c r="BA8" s="36">
        <f t="shared" si="14"/>
        <v>3.94980456696153</v>
      </c>
      <c r="BB8" s="36">
        <f t="shared" si="15"/>
        <v>0</v>
      </c>
      <c r="BC8" s="36">
        <f t="shared" si="16"/>
        <v>5.9849608675635588</v>
      </c>
      <c r="BD8" s="36">
        <f t="shared" si="17"/>
        <v>0</v>
      </c>
      <c r="BE8" s="36">
        <f t="shared" si="18"/>
        <v>3.3870967741935485</v>
      </c>
      <c r="BF8" s="36">
        <f t="shared" si="19"/>
        <v>0.97894736842105268</v>
      </c>
      <c r="BG8" s="36">
        <f t="shared" si="20"/>
        <v>1.3333333333333333</v>
      </c>
      <c r="BH8" s="36">
        <f t="shared" si="21"/>
        <v>0</v>
      </c>
      <c r="BN8" s="18"/>
      <c r="BO8" s="13"/>
    </row>
    <row r="9" spans="1:67" s="54" customFormat="1" x14ac:dyDescent="0.2">
      <c r="A9" s="54" t="s">
        <v>7</v>
      </c>
      <c r="B9" s="56"/>
      <c r="C9" s="57">
        <v>160</v>
      </c>
      <c r="D9" s="54">
        <v>48</v>
      </c>
      <c r="F9" s="54">
        <v>234</v>
      </c>
      <c r="G9" s="54">
        <v>14</v>
      </c>
      <c r="H9" s="54">
        <v>196</v>
      </c>
      <c r="I9" s="54">
        <v>31</v>
      </c>
      <c r="J9" s="54">
        <v>64</v>
      </c>
      <c r="L9" s="54">
        <v>0.6</v>
      </c>
      <c r="M9" s="54">
        <v>0.5</v>
      </c>
      <c r="N9" s="54">
        <v>0.02</v>
      </c>
      <c r="O9" s="54">
        <v>0.05</v>
      </c>
      <c r="P9" s="54">
        <v>0.5</v>
      </c>
      <c r="Q9" s="55">
        <v>0.01</v>
      </c>
      <c r="R9" s="57">
        <v>40.078000000000003</v>
      </c>
      <c r="S9" s="54">
        <v>24.305</v>
      </c>
      <c r="T9" s="54">
        <v>22.99</v>
      </c>
      <c r="U9" s="54">
        <v>39.097999999999999</v>
      </c>
      <c r="V9" s="54">
        <f t="shared" si="22"/>
        <v>18</v>
      </c>
      <c r="W9" s="54">
        <f t="shared" si="23"/>
        <v>62</v>
      </c>
      <c r="X9" s="54">
        <f t="shared" si="24"/>
        <v>95</v>
      </c>
      <c r="Y9" s="54">
        <f t="shared" si="25"/>
        <v>96</v>
      </c>
      <c r="Z9" s="54">
        <v>35.450000000000003</v>
      </c>
      <c r="AA9" s="54">
        <v>55.844999999999999</v>
      </c>
      <c r="AB9" s="54">
        <v>54.938000000000002</v>
      </c>
      <c r="AC9" s="54">
        <v>36.545999999999999</v>
      </c>
      <c r="AD9" s="54">
        <v>65.38</v>
      </c>
      <c r="AE9" s="54">
        <v>10.81</v>
      </c>
      <c r="AF9" s="54">
        <v>95.962000000000003</v>
      </c>
      <c r="AG9" s="58">
        <f t="shared" si="3"/>
        <v>3.9922151803982238</v>
      </c>
      <c r="AH9" s="58">
        <f t="shared" si="4"/>
        <v>1.974902283480765</v>
      </c>
      <c r="AI9" s="58"/>
      <c r="AJ9" s="58">
        <f t="shared" si="5"/>
        <v>5.9849608675635588</v>
      </c>
      <c r="AK9" s="58">
        <f t="shared" si="27"/>
        <v>0.77777777777777768</v>
      </c>
      <c r="AL9" s="58">
        <f t="shared" si="6"/>
        <v>3.161290322580645</v>
      </c>
      <c r="AM9" s="58">
        <f t="shared" si="7"/>
        <v>3.9390681003584227</v>
      </c>
      <c r="AN9" s="58">
        <f t="shared" si="8"/>
        <v>0.32631578947368423</v>
      </c>
      <c r="AO9" s="58">
        <f t="shared" si="9"/>
        <v>0.66666666666666663</v>
      </c>
      <c r="AP9" s="58"/>
      <c r="AQ9" s="58">
        <f t="shared" si="29"/>
        <v>10.744023636852001</v>
      </c>
      <c r="AR9" s="58">
        <f t="shared" si="29"/>
        <v>9.1011685900469619</v>
      </c>
      <c r="AS9" s="58">
        <f t="shared" si="30"/>
        <v>0.54725551359929958</v>
      </c>
      <c r="AT9" s="58">
        <f t="shared" si="31"/>
        <v>0.76475986540226382</v>
      </c>
      <c r="AU9" s="58">
        <f t="shared" si="28"/>
        <v>46.253469010175763</v>
      </c>
      <c r="AV9" s="59">
        <f t="shared" si="32"/>
        <v>0.1042079156332715</v>
      </c>
      <c r="AW9" s="51">
        <f t="shared" si="10"/>
        <v>12.071337726904844</v>
      </c>
      <c r="AX9" s="51">
        <f t="shared" si="11"/>
        <v>0.65816104524706665</v>
      </c>
      <c r="AY9" s="51">
        <f t="shared" si="12"/>
        <v>5.4522627080521816E-2</v>
      </c>
      <c r="AZ9" s="52">
        <f t="shared" si="13"/>
        <v>7.9844303607964475</v>
      </c>
      <c r="BA9" s="53">
        <f t="shared" si="14"/>
        <v>3.94980456696153</v>
      </c>
      <c r="BB9" s="53">
        <f t="shared" si="15"/>
        <v>0</v>
      </c>
      <c r="BC9" s="53">
        <f t="shared" si="16"/>
        <v>5.9849608675635588</v>
      </c>
      <c r="BD9" s="53">
        <f t="shared" si="17"/>
        <v>1.5555555555555554</v>
      </c>
      <c r="BE9" s="53">
        <f t="shared" si="18"/>
        <v>3.161290322580645</v>
      </c>
      <c r="BF9" s="53">
        <f t="shared" si="19"/>
        <v>0.97894736842105268</v>
      </c>
      <c r="BG9" s="53">
        <f t="shared" si="20"/>
        <v>1.3333333333333333</v>
      </c>
      <c r="BH9" s="53">
        <f t="shared" si="21"/>
        <v>0</v>
      </c>
      <c r="BN9" s="55"/>
      <c r="BO9" s="57"/>
    </row>
    <row r="10" spans="1:67" s="6" customFormat="1" x14ac:dyDescent="0.2">
      <c r="A10" s="6" t="s">
        <v>8</v>
      </c>
      <c r="B10" s="23">
        <f>AVERAGE(5.5,6)</f>
        <v>5.75</v>
      </c>
      <c r="C10" s="13">
        <f>AVERAGE(134,300)</f>
        <v>217</v>
      </c>
      <c r="D10" s="6">
        <v>36</v>
      </c>
      <c r="E10" s="6">
        <v>30</v>
      </c>
      <c r="F10" s="6">
        <f>AVERAGE(130,295)</f>
        <v>212.5</v>
      </c>
      <c r="H10" s="6">
        <f>AVERAGE(140,284)</f>
        <v>212</v>
      </c>
      <c r="I10" s="6">
        <v>41</v>
      </c>
      <c r="J10" s="6">
        <v>48</v>
      </c>
      <c r="K10" s="6">
        <v>3.5</v>
      </c>
      <c r="L10" s="6">
        <f>AVERAGE(5.6,2.8)</f>
        <v>4.1999999999999993</v>
      </c>
      <c r="M10" s="6">
        <v>0.55000000000000004</v>
      </c>
      <c r="N10" s="6">
        <v>6.4000000000000001E-2</v>
      </c>
      <c r="O10" s="6">
        <v>6.5000000000000002E-2</v>
      </c>
      <c r="P10" s="6">
        <v>0.5</v>
      </c>
      <c r="Q10" s="18">
        <v>0.05</v>
      </c>
      <c r="R10" s="13">
        <v>40.078000000000003</v>
      </c>
      <c r="S10" s="6">
        <v>24.305</v>
      </c>
      <c r="T10" s="6">
        <v>22.99</v>
      </c>
      <c r="U10" s="6">
        <v>39.097999999999999</v>
      </c>
      <c r="V10" s="6">
        <f t="shared" si="22"/>
        <v>18</v>
      </c>
      <c r="W10" s="6">
        <f t="shared" si="23"/>
        <v>62</v>
      </c>
      <c r="X10" s="6">
        <f t="shared" si="24"/>
        <v>95</v>
      </c>
      <c r="Y10" s="6">
        <f t="shared" si="25"/>
        <v>96</v>
      </c>
      <c r="Z10" s="6">
        <v>35.450000000000003</v>
      </c>
      <c r="AA10" s="6">
        <v>55.844999999999999</v>
      </c>
      <c r="AB10" s="6">
        <v>54.938000000000002</v>
      </c>
      <c r="AC10" s="6">
        <v>36.545999999999999</v>
      </c>
      <c r="AD10" s="6">
        <v>65.38</v>
      </c>
      <c r="AE10" s="6">
        <v>10.81</v>
      </c>
      <c r="AF10" s="6">
        <v>95.962000000000003</v>
      </c>
      <c r="AG10" s="7">
        <f t="shared" si="3"/>
        <v>5.4144418384150903</v>
      </c>
      <c r="AH10" s="7">
        <f t="shared" si="4"/>
        <v>1.4811767126105739</v>
      </c>
      <c r="AI10" s="7">
        <f t="shared" si="26"/>
        <v>1.3049151805132666</v>
      </c>
      <c r="AJ10" s="7">
        <f t="shared" si="5"/>
        <v>5.4350606169113513</v>
      </c>
      <c r="AK10" s="7"/>
      <c r="AL10" s="7">
        <f t="shared" si="6"/>
        <v>3.4193548387096775</v>
      </c>
      <c r="AM10" s="7">
        <f t="shared" si="7"/>
        <v>3.4193548387096775</v>
      </c>
      <c r="AN10" s="7">
        <f t="shared" si="8"/>
        <v>0.43157894736842106</v>
      </c>
      <c r="AO10" s="7">
        <f t="shared" si="9"/>
        <v>0.5</v>
      </c>
      <c r="AP10" s="7">
        <f>K10/(Z10*1000)*1000</f>
        <v>9.8730606488011283E-2</v>
      </c>
      <c r="AQ10" s="7">
        <f t="shared" si="29"/>
        <v>75.208165457964</v>
      </c>
      <c r="AR10" s="7">
        <f t="shared" si="29"/>
        <v>10.011285449051659</v>
      </c>
      <c r="AS10" s="7">
        <f t="shared" si="30"/>
        <v>1.7512176435177584</v>
      </c>
      <c r="AT10" s="7">
        <f t="shared" si="31"/>
        <v>0.99418782502294289</v>
      </c>
      <c r="AU10" s="7">
        <f t="shared" si="28"/>
        <v>46.253469010175763</v>
      </c>
      <c r="AV10" s="34">
        <f t="shared" si="32"/>
        <v>0.5210395781663576</v>
      </c>
      <c r="AW10" s="37">
        <f t="shared" si="10"/>
        <v>7.9228953579858379</v>
      </c>
      <c r="AX10" s="37">
        <f t="shared" si="11"/>
        <v>0.62912910815939271</v>
      </c>
      <c r="AY10" s="37">
        <f t="shared" si="12"/>
        <v>7.940646439628482E-2</v>
      </c>
      <c r="AZ10" s="40">
        <f t="shared" si="13"/>
        <v>10.828883676830181</v>
      </c>
      <c r="BA10" s="36">
        <f t="shared" si="14"/>
        <v>2.9623534252211479</v>
      </c>
      <c r="BB10" s="36">
        <f t="shared" si="15"/>
        <v>1.3049151805132666</v>
      </c>
      <c r="BC10" s="36">
        <f t="shared" si="16"/>
        <v>5.4350606169113513</v>
      </c>
      <c r="BD10" s="36">
        <f t="shared" si="17"/>
        <v>0</v>
      </c>
      <c r="BE10" s="36">
        <f t="shared" si="18"/>
        <v>3.4193548387096775</v>
      </c>
      <c r="BF10" s="36">
        <f t="shared" si="19"/>
        <v>1.2947368421052632</v>
      </c>
      <c r="BG10" s="36">
        <f t="shared" si="20"/>
        <v>1</v>
      </c>
      <c r="BH10" s="36">
        <f t="shared" si="21"/>
        <v>9.8730606488011283E-2</v>
      </c>
      <c r="BN10" s="18"/>
      <c r="BO10" s="13"/>
    </row>
    <row r="11" spans="1:67" s="6" customFormat="1" x14ac:dyDescent="0.2">
      <c r="A11" s="6" t="s">
        <v>9</v>
      </c>
      <c r="B11" s="23"/>
      <c r="C11" s="13">
        <v>240</v>
      </c>
      <c r="D11" s="6">
        <v>72</v>
      </c>
      <c r="F11" s="6">
        <v>117</v>
      </c>
      <c r="H11" s="6">
        <v>168</v>
      </c>
      <c r="I11" s="6">
        <v>93</v>
      </c>
      <c r="J11" s="6">
        <v>96</v>
      </c>
      <c r="L11" s="6">
        <v>0.8</v>
      </c>
      <c r="M11" s="6">
        <v>0.5</v>
      </c>
      <c r="P11" s="6">
        <v>1</v>
      </c>
      <c r="Q11" s="18"/>
      <c r="R11" s="13">
        <v>40.078000000000003</v>
      </c>
      <c r="S11" s="6">
        <v>24.305</v>
      </c>
      <c r="T11" s="6">
        <v>22.99</v>
      </c>
      <c r="U11" s="6">
        <v>39.097999999999999</v>
      </c>
      <c r="V11" s="6">
        <f t="shared" si="22"/>
        <v>18</v>
      </c>
      <c r="W11" s="6">
        <f t="shared" si="23"/>
        <v>62</v>
      </c>
      <c r="X11" s="6">
        <f t="shared" si="24"/>
        <v>95</v>
      </c>
      <c r="Y11" s="6">
        <f t="shared" si="25"/>
        <v>96</v>
      </c>
      <c r="Z11" s="6">
        <v>35.450000000000003</v>
      </c>
      <c r="AA11" s="6">
        <v>55.844999999999999</v>
      </c>
      <c r="AB11" s="6">
        <v>54.938000000000002</v>
      </c>
      <c r="AC11" s="6">
        <v>36.545999999999999</v>
      </c>
      <c r="AD11" s="6">
        <v>65.38</v>
      </c>
      <c r="AE11" s="6">
        <v>10.81</v>
      </c>
      <c r="AF11" s="6">
        <v>95.962000000000003</v>
      </c>
      <c r="AG11" s="7">
        <f t="shared" si="3"/>
        <v>5.9883227705973354</v>
      </c>
      <c r="AH11" s="7">
        <f t="shared" si="4"/>
        <v>2.9623534252211479</v>
      </c>
      <c r="AI11" s="7"/>
      <c r="AJ11" s="7">
        <f t="shared" si="5"/>
        <v>2.9924804337817794</v>
      </c>
      <c r="AK11" s="7"/>
      <c r="AL11" s="7">
        <f t="shared" si="6"/>
        <v>2.709677419354839</v>
      </c>
      <c r="AM11" s="7">
        <f t="shared" si="7"/>
        <v>2.709677419354839</v>
      </c>
      <c r="AN11" s="7">
        <f t="shared" si="8"/>
        <v>0.97894736842105257</v>
      </c>
      <c r="AO11" s="7">
        <f t="shared" si="9"/>
        <v>1</v>
      </c>
      <c r="AP11" s="7"/>
      <c r="AQ11" s="7">
        <f t="shared" si="29"/>
        <v>14.325364849136003</v>
      </c>
      <c r="AR11" s="7">
        <f t="shared" si="29"/>
        <v>9.1011685900469619</v>
      </c>
      <c r="AS11" s="7"/>
      <c r="AT11" s="7"/>
      <c r="AU11" s="7">
        <f t="shared" si="28"/>
        <v>92.506938020351527</v>
      </c>
      <c r="AV11" s="34"/>
      <c r="AW11" s="37">
        <f t="shared" si="10"/>
        <v>2.7679500520291369</v>
      </c>
      <c r="AX11" s="37">
        <f t="shared" si="11"/>
        <v>0.90549545078577331</v>
      </c>
      <c r="AY11" s="37">
        <f t="shared" si="12"/>
        <v>0.32713576248313087</v>
      </c>
      <c r="AZ11" s="40">
        <f t="shared" si="13"/>
        <v>11.976645541194671</v>
      </c>
      <c r="BA11" s="36">
        <f t="shared" si="14"/>
        <v>5.9247068504422957</v>
      </c>
      <c r="BB11" s="36">
        <f t="shared" si="15"/>
        <v>0</v>
      </c>
      <c r="BC11" s="36">
        <f t="shared" si="16"/>
        <v>2.9924804337817794</v>
      </c>
      <c r="BD11" s="36">
        <f t="shared" si="17"/>
        <v>0</v>
      </c>
      <c r="BE11" s="36">
        <f t="shared" si="18"/>
        <v>2.709677419354839</v>
      </c>
      <c r="BF11" s="36">
        <f t="shared" si="19"/>
        <v>2.9368421052631577</v>
      </c>
      <c r="BG11" s="36">
        <f t="shared" si="20"/>
        <v>2</v>
      </c>
      <c r="BH11" s="36">
        <f t="shared" si="21"/>
        <v>0</v>
      </c>
      <c r="BN11" s="18"/>
      <c r="BO11" s="13"/>
    </row>
    <row r="12" spans="1:67" s="54" customFormat="1" x14ac:dyDescent="0.2">
      <c r="A12" s="54" t="s">
        <v>10</v>
      </c>
      <c r="B12" s="56"/>
      <c r="C12" s="57">
        <v>60</v>
      </c>
      <c r="D12" s="54">
        <v>53</v>
      </c>
      <c r="E12" s="54">
        <v>92</v>
      </c>
      <c r="F12" s="54">
        <v>117</v>
      </c>
      <c r="H12" s="54">
        <v>56</v>
      </c>
      <c r="I12" s="54">
        <v>46</v>
      </c>
      <c r="J12" s="54">
        <v>70</v>
      </c>
      <c r="K12" s="54">
        <v>107</v>
      </c>
      <c r="M12" s="54">
        <v>0.15</v>
      </c>
      <c r="O12" s="54">
        <v>0.15</v>
      </c>
      <c r="P12" s="54">
        <v>0.1</v>
      </c>
      <c r="Q12" s="55"/>
      <c r="R12" s="57">
        <v>40.078000000000003</v>
      </c>
      <c r="S12" s="54">
        <v>24.305</v>
      </c>
      <c r="T12" s="54">
        <v>22.99</v>
      </c>
      <c r="U12" s="54">
        <v>39.097999999999999</v>
      </c>
      <c r="V12" s="54">
        <f t="shared" si="22"/>
        <v>18</v>
      </c>
      <c r="W12" s="54">
        <f t="shared" si="23"/>
        <v>62</v>
      </c>
      <c r="X12" s="54">
        <f t="shared" si="24"/>
        <v>95</v>
      </c>
      <c r="Y12" s="54">
        <f t="shared" si="25"/>
        <v>96</v>
      </c>
      <c r="Z12" s="54">
        <v>35.450000000000003</v>
      </c>
      <c r="AA12" s="54">
        <v>55.844999999999999</v>
      </c>
      <c r="AB12" s="54">
        <v>54.938000000000002</v>
      </c>
      <c r="AC12" s="54">
        <v>36.545999999999999</v>
      </c>
      <c r="AD12" s="54">
        <v>65.38</v>
      </c>
      <c r="AE12" s="54">
        <v>10.81</v>
      </c>
      <c r="AF12" s="54">
        <v>95.962000000000003</v>
      </c>
      <c r="AG12" s="58">
        <f t="shared" si="3"/>
        <v>1.4970806926493339</v>
      </c>
      <c r="AH12" s="58">
        <f t="shared" si="4"/>
        <v>2.180621271343345</v>
      </c>
      <c r="AI12" s="58">
        <f t="shared" si="26"/>
        <v>4.0017398869073508</v>
      </c>
      <c r="AJ12" s="58">
        <f t="shared" si="5"/>
        <v>2.9924804337817794</v>
      </c>
      <c r="AK12" s="58"/>
      <c r="AL12" s="58">
        <f t="shared" si="6"/>
        <v>0.90322580645161288</v>
      </c>
      <c r="AM12" s="58">
        <f t="shared" si="7"/>
        <v>0.90322580645161288</v>
      </c>
      <c r="AN12" s="58">
        <f t="shared" si="8"/>
        <v>0.48421052631578948</v>
      </c>
      <c r="AO12" s="58">
        <f t="shared" si="9"/>
        <v>0.72916666666666674</v>
      </c>
      <c r="AP12" s="58">
        <f>K12/(Z12*1000)*1000</f>
        <v>3.018335684062059</v>
      </c>
      <c r="AQ12" s="58"/>
      <c r="AR12" s="58">
        <f t="shared" si="29"/>
        <v>2.7303505770140886</v>
      </c>
      <c r="AS12" s="58"/>
      <c r="AT12" s="58">
        <f t="shared" ref="AT12:AT21" si="33">O12/(AD12*1000)*1000000</f>
        <v>2.294279596206791</v>
      </c>
      <c r="AU12" s="58">
        <f t="shared" si="28"/>
        <v>9.2506938020351548</v>
      </c>
      <c r="AV12" s="59"/>
      <c r="AW12" s="51">
        <f t="shared" si="10"/>
        <v>1.8653576437587658</v>
      </c>
      <c r="AX12" s="51">
        <f t="shared" si="11"/>
        <v>0.30183181692859107</v>
      </c>
      <c r="AY12" s="51">
        <f t="shared" si="12"/>
        <v>0.16180908681961312</v>
      </c>
      <c r="AZ12" s="52">
        <f t="shared" si="13"/>
        <v>2.9941613852986677</v>
      </c>
      <c r="BA12" s="53">
        <f t="shared" si="14"/>
        <v>4.3612425426866901</v>
      </c>
      <c r="BB12" s="53">
        <f t="shared" si="15"/>
        <v>4.0017398869073508</v>
      </c>
      <c r="BC12" s="53">
        <f t="shared" si="16"/>
        <v>2.9924804337817794</v>
      </c>
      <c r="BD12" s="53">
        <f t="shared" si="17"/>
        <v>0</v>
      </c>
      <c r="BE12" s="53">
        <f t="shared" si="18"/>
        <v>0.90322580645161288</v>
      </c>
      <c r="BF12" s="53">
        <f t="shared" si="19"/>
        <v>1.4526315789473685</v>
      </c>
      <c r="BG12" s="53">
        <f t="shared" si="20"/>
        <v>1.4583333333333335</v>
      </c>
      <c r="BH12" s="53">
        <f t="shared" si="21"/>
        <v>3.018335684062059</v>
      </c>
      <c r="BN12" s="55"/>
      <c r="BO12" s="57"/>
    </row>
    <row r="13" spans="1:67" s="6" customFormat="1" x14ac:dyDescent="0.2">
      <c r="A13" s="6" t="s">
        <v>11</v>
      </c>
      <c r="B13" s="23"/>
      <c r="C13" s="13">
        <v>200</v>
      </c>
      <c r="D13" s="6">
        <v>48</v>
      </c>
      <c r="F13" s="6">
        <v>195</v>
      </c>
      <c r="H13" s="6">
        <v>196</v>
      </c>
      <c r="I13" s="6">
        <v>31</v>
      </c>
      <c r="J13" s="6">
        <v>64</v>
      </c>
      <c r="L13" s="6">
        <v>0.5</v>
      </c>
      <c r="M13" s="6">
        <v>0.25</v>
      </c>
      <c r="N13" s="6">
        <v>0.02</v>
      </c>
      <c r="O13" s="6">
        <v>0.25</v>
      </c>
      <c r="P13" s="6">
        <v>0.25</v>
      </c>
      <c r="Q13" s="18">
        <v>0.01</v>
      </c>
      <c r="R13" s="13">
        <v>40.078000000000003</v>
      </c>
      <c r="S13" s="6">
        <v>24.305</v>
      </c>
      <c r="T13" s="6">
        <v>22.99</v>
      </c>
      <c r="U13" s="6">
        <v>39.097999999999999</v>
      </c>
      <c r="V13" s="6">
        <f t="shared" si="22"/>
        <v>18</v>
      </c>
      <c r="W13" s="6">
        <f t="shared" si="23"/>
        <v>62</v>
      </c>
      <c r="X13" s="6">
        <f t="shared" si="24"/>
        <v>95</v>
      </c>
      <c r="Y13" s="6">
        <f t="shared" si="25"/>
        <v>96</v>
      </c>
      <c r="Z13" s="6">
        <v>35.450000000000003</v>
      </c>
      <c r="AA13" s="6">
        <v>55.844999999999999</v>
      </c>
      <c r="AB13" s="6">
        <v>54.938000000000002</v>
      </c>
      <c r="AC13" s="6">
        <v>36.545999999999999</v>
      </c>
      <c r="AD13" s="6">
        <v>65.38</v>
      </c>
      <c r="AE13" s="6">
        <v>10.81</v>
      </c>
      <c r="AF13" s="6">
        <v>95.962000000000003</v>
      </c>
      <c r="AG13" s="7">
        <f t="shared" si="3"/>
        <v>4.9902689754977798</v>
      </c>
      <c r="AH13" s="7">
        <f t="shared" si="4"/>
        <v>1.974902283480765</v>
      </c>
      <c r="AI13" s="7"/>
      <c r="AJ13" s="7">
        <f t="shared" si="5"/>
        <v>4.9874673896362989</v>
      </c>
      <c r="AK13" s="7"/>
      <c r="AL13" s="7">
        <f t="shared" si="6"/>
        <v>3.161290322580645</v>
      </c>
      <c r="AM13" s="7">
        <f t="shared" si="7"/>
        <v>3.161290322580645</v>
      </c>
      <c r="AN13" s="7">
        <f t="shared" si="8"/>
        <v>0.32631578947368423</v>
      </c>
      <c r="AO13" s="7">
        <f t="shared" si="9"/>
        <v>0.66666666666666663</v>
      </c>
      <c r="AP13" s="7"/>
      <c r="AQ13" s="7">
        <f t="shared" si="29"/>
        <v>8.9533530307099998</v>
      </c>
      <c r="AR13" s="7">
        <f t="shared" si="29"/>
        <v>4.5505842950234809</v>
      </c>
      <c r="AS13" s="7">
        <f t="shared" ref="AS13:AS21" si="34">N13/(AC13*1000)*1000000</f>
        <v>0.54725551359929958</v>
      </c>
      <c r="AT13" s="7">
        <f t="shared" si="33"/>
        <v>3.8237993270113191</v>
      </c>
      <c r="AU13" s="7">
        <f t="shared" si="28"/>
        <v>23.126734505087882</v>
      </c>
      <c r="AV13" s="34">
        <f t="shared" ref="AV13:AV18" si="35">Q13/(AF13*1000)*1000000</f>
        <v>0.1042079156332715</v>
      </c>
      <c r="AW13" s="37">
        <f>AN13/AM13</f>
        <v>0.10322234156820624</v>
      </c>
      <c r="AX13" s="37">
        <f>AJ13/AM13</f>
        <v>1.5776682559053599</v>
      </c>
      <c r="AY13" s="37">
        <f>AJ13/AN13</f>
        <v>15.284174258562851</v>
      </c>
      <c r="AZ13" s="40">
        <f t="shared" si="13"/>
        <v>9.9805379509955596</v>
      </c>
      <c r="BA13" s="36">
        <f t="shared" si="14"/>
        <v>3.94980456696153</v>
      </c>
      <c r="BB13" s="36">
        <f t="shared" si="15"/>
        <v>0</v>
      </c>
      <c r="BC13" s="36">
        <f t="shared" si="16"/>
        <v>4.9874673896362989</v>
      </c>
      <c r="BD13" s="36">
        <f t="shared" si="17"/>
        <v>0</v>
      </c>
      <c r="BE13" s="36">
        <f t="shared" si="18"/>
        <v>3.161290322580645</v>
      </c>
      <c r="BF13" s="36">
        <f t="shared" si="19"/>
        <v>0.97894736842105268</v>
      </c>
      <c r="BG13" s="36">
        <f t="shared" si="20"/>
        <v>1.3333333333333333</v>
      </c>
      <c r="BH13" s="36">
        <f t="shared" si="21"/>
        <v>0</v>
      </c>
      <c r="BN13" s="18"/>
      <c r="BO13" s="13"/>
    </row>
    <row r="14" spans="1:67" s="6" customFormat="1" x14ac:dyDescent="0.2">
      <c r="A14" s="6" t="s">
        <v>12</v>
      </c>
      <c r="B14" s="23">
        <v>4.8</v>
      </c>
      <c r="C14" s="13">
        <v>50</v>
      </c>
      <c r="D14" s="6">
        <v>72</v>
      </c>
      <c r="E14" s="6">
        <v>70</v>
      </c>
      <c r="F14" s="6">
        <v>65</v>
      </c>
      <c r="H14" s="6">
        <v>47</v>
      </c>
      <c r="I14" s="6">
        <v>4</v>
      </c>
      <c r="J14" s="6">
        <v>140</v>
      </c>
      <c r="K14" s="6">
        <v>31</v>
      </c>
      <c r="L14" s="6">
        <v>1</v>
      </c>
      <c r="M14" s="6">
        <v>1.67</v>
      </c>
      <c r="N14" s="6">
        <v>5.0000000000000001E-3</v>
      </c>
      <c r="O14" s="6">
        <v>0.59</v>
      </c>
      <c r="P14" s="6">
        <v>0.26</v>
      </c>
      <c r="Q14" s="18">
        <v>1E-3</v>
      </c>
      <c r="R14" s="13">
        <v>40.078000000000003</v>
      </c>
      <c r="S14" s="6">
        <v>24.305</v>
      </c>
      <c r="T14" s="6">
        <v>22.99</v>
      </c>
      <c r="U14" s="6">
        <v>39.097999999999999</v>
      </c>
      <c r="V14" s="6">
        <f t="shared" si="22"/>
        <v>18</v>
      </c>
      <c r="W14" s="6">
        <f t="shared" si="23"/>
        <v>62</v>
      </c>
      <c r="X14" s="6">
        <f t="shared" si="24"/>
        <v>95</v>
      </c>
      <c r="Y14" s="6">
        <f t="shared" si="25"/>
        <v>96</v>
      </c>
      <c r="Z14" s="6">
        <v>35.450000000000003</v>
      </c>
      <c r="AA14" s="6">
        <v>55.844999999999999</v>
      </c>
      <c r="AB14" s="6">
        <v>54.938000000000002</v>
      </c>
      <c r="AC14" s="6">
        <v>36.545999999999999</v>
      </c>
      <c r="AD14" s="6">
        <v>65.38</v>
      </c>
      <c r="AE14" s="6">
        <v>10.81</v>
      </c>
      <c r="AF14" s="6">
        <v>95.962000000000003</v>
      </c>
      <c r="AG14" s="7">
        <f t="shared" si="3"/>
        <v>1.247567243874445</v>
      </c>
      <c r="AH14" s="7">
        <f t="shared" si="4"/>
        <v>2.9623534252211479</v>
      </c>
      <c r="AI14" s="7">
        <f t="shared" si="26"/>
        <v>3.044802087864289</v>
      </c>
      <c r="AJ14" s="7">
        <f t="shared" si="5"/>
        <v>1.6624891298787663</v>
      </c>
      <c r="AK14" s="7"/>
      <c r="AL14" s="7">
        <f t="shared" si="6"/>
        <v>0.75806451612903225</v>
      </c>
      <c r="AM14" s="7">
        <f t="shared" si="7"/>
        <v>0.75806451612903225</v>
      </c>
      <c r="AN14" s="7">
        <f t="shared" si="8"/>
        <v>4.2105263157894736E-2</v>
      </c>
      <c r="AO14" s="7">
        <f t="shared" si="9"/>
        <v>1.4583333333333335</v>
      </c>
      <c r="AP14" s="7">
        <f>K14/(Z14*1000)*1000</f>
        <v>0.87447108603667134</v>
      </c>
      <c r="AQ14" s="7">
        <f t="shared" si="29"/>
        <v>17.90670606142</v>
      </c>
      <c r="AR14" s="7">
        <f t="shared" si="29"/>
        <v>30.397903090756852</v>
      </c>
      <c r="AS14" s="7">
        <f t="shared" si="34"/>
        <v>0.1368138783998249</v>
      </c>
      <c r="AT14" s="7">
        <f t="shared" si="33"/>
        <v>9.0241664117467106</v>
      </c>
      <c r="AU14" s="7">
        <f t="shared" si="28"/>
        <v>24.051803885291395</v>
      </c>
      <c r="AV14" s="34">
        <f t="shared" si="35"/>
        <v>1.0420791563327151E-2</v>
      </c>
      <c r="AW14" s="37">
        <f t="shared" ref="AW14:AW50" si="36">AN14/AM14</f>
        <v>5.5543113101903692E-2</v>
      </c>
      <c r="AX14" s="37">
        <f t="shared" ref="AX14:AX50" si="37">AJ14/AM14</f>
        <v>2.1930707670741172</v>
      </c>
      <c r="AY14" s="37">
        <f t="shared" ref="AY14:AY50" si="38">AJ14/AN14</f>
        <v>39.4841168346207</v>
      </c>
      <c r="AZ14" s="40">
        <f t="shared" si="13"/>
        <v>2.4951344877488899</v>
      </c>
      <c r="BA14" s="36">
        <f t="shared" si="14"/>
        <v>5.9247068504422957</v>
      </c>
      <c r="BB14" s="36">
        <f t="shared" si="15"/>
        <v>3.044802087864289</v>
      </c>
      <c r="BC14" s="36">
        <f t="shared" si="16"/>
        <v>1.6624891298787663</v>
      </c>
      <c r="BD14" s="36">
        <f t="shared" si="17"/>
        <v>0</v>
      </c>
      <c r="BE14" s="36">
        <f t="shared" si="18"/>
        <v>0.75806451612903225</v>
      </c>
      <c r="BF14" s="36">
        <f t="shared" si="19"/>
        <v>0.12631578947368421</v>
      </c>
      <c r="BG14" s="36">
        <f t="shared" si="20"/>
        <v>2.916666666666667</v>
      </c>
      <c r="BH14" s="36">
        <f t="shared" si="21"/>
        <v>0.87447108603667134</v>
      </c>
      <c r="BN14" s="18"/>
      <c r="BO14" s="13"/>
    </row>
    <row r="15" spans="1:67" s="6" customFormat="1" x14ac:dyDescent="0.2">
      <c r="A15" s="6" t="s">
        <v>13</v>
      </c>
      <c r="B15" s="23">
        <f>AVERAGE(5,6)</f>
        <v>5.5</v>
      </c>
      <c r="C15" s="13">
        <v>136</v>
      </c>
      <c r="D15" s="6">
        <v>72</v>
      </c>
      <c r="F15" s="6">
        <v>234</v>
      </c>
      <c r="H15" s="6">
        <v>210</v>
      </c>
      <c r="I15" s="6">
        <v>27</v>
      </c>
      <c r="J15" s="6">
        <v>32</v>
      </c>
      <c r="L15" s="6">
        <v>3</v>
      </c>
      <c r="M15" s="6">
        <v>0.25</v>
      </c>
      <c r="N15" s="6">
        <v>0.15</v>
      </c>
      <c r="O15" s="6">
        <v>0.25</v>
      </c>
      <c r="P15" s="6">
        <v>0.4</v>
      </c>
      <c r="Q15" s="18">
        <v>2.5</v>
      </c>
      <c r="R15" s="13">
        <v>40.078000000000003</v>
      </c>
      <c r="S15" s="6">
        <v>24.305</v>
      </c>
      <c r="T15" s="6">
        <v>22.99</v>
      </c>
      <c r="U15" s="6">
        <v>39.097999999999999</v>
      </c>
      <c r="V15" s="6">
        <f t="shared" si="22"/>
        <v>18</v>
      </c>
      <c r="W15" s="6">
        <f t="shared" si="23"/>
        <v>62</v>
      </c>
      <c r="X15" s="6">
        <f t="shared" si="24"/>
        <v>95</v>
      </c>
      <c r="Y15" s="6">
        <f t="shared" si="25"/>
        <v>96</v>
      </c>
      <c r="Z15" s="6">
        <v>35.450000000000003</v>
      </c>
      <c r="AA15" s="6">
        <v>55.844999999999999</v>
      </c>
      <c r="AB15" s="6">
        <v>54.938000000000002</v>
      </c>
      <c r="AC15" s="6">
        <v>36.545999999999999</v>
      </c>
      <c r="AD15" s="6">
        <v>65.38</v>
      </c>
      <c r="AE15" s="6">
        <v>10.81</v>
      </c>
      <c r="AF15" s="6">
        <v>95.962000000000003</v>
      </c>
      <c r="AG15" s="7">
        <f t="shared" si="3"/>
        <v>3.3933829033384897</v>
      </c>
      <c r="AH15" s="7">
        <f t="shared" si="4"/>
        <v>2.9623534252211479</v>
      </c>
      <c r="AI15" s="7"/>
      <c r="AJ15" s="7">
        <f t="shared" si="5"/>
        <v>5.9849608675635588</v>
      </c>
      <c r="AK15" s="7"/>
      <c r="AL15" s="7">
        <f t="shared" si="6"/>
        <v>3.3870967741935485</v>
      </c>
      <c r="AM15" s="7">
        <f t="shared" si="7"/>
        <v>3.3870967741935485</v>
      </c>
      <c r="AN15" s="7">
        <f t="shared" si="8"/>
        <v>0.28421052631578947</v>
      </c>
      <c r="AO15" s="7">
        <f t="shared" si="9"/>
        <v>0.33333333333333331</v>
      </c>
      <c r="AP15" s="7"/>
      <c r="AQ15" s="7">
        <f t="shared" si="29"/>
        <v>53.720118184260009</v>
      </c>
      <c r="AR15" s="7">
        <f t="shared" si="29"/>
        <v>4.5505842950234809</v>
      </c>
      <c r="AS15" s="7">
        <f t="shared" si="34"/>
        <v>4.1044163519947459</v>
      </c>
      <c r="AT15" s="7">
        <f t="shared" si="33"/>
        <v>3.8237993270113191</v>
      </c>
      <c r="AU15" s="7">
        <f t="shared" si="28"/>
        <v>37.002775208140619</v>
      </c>
      <c r="AV15" s="34">
        <f t="shared" si="35"/>
        <v>26.051978908317874</v>
      </c>
      <c r="AW15" s="37">
        <f t="shared" si="36"/>
        <v>8.3909774436090226E-2</v>
      </c>
      <c r="AX15" s="37">
        <f t="shared" si="37"/>
        <v>1.7669884466140031</v>
      </c>
      <c r="AY15" s="37">
        <f t="shared" si="38"/>
        <v>21.05819564513104</v>
      </c>
      <c r="AZ15" s="40">
        <f t="shared" si="13"/>
        <v>6.7867658066769794</v>
      </c>
      <c r="BA15" s="36">
        <f t="shared" si="14"/>
        <v>5.9247068504422957</v>
      </c>
      <c r="BB15" s="36">
        <f t="shared" si="15"/>
        <v>0</v>
      </c>
      <c r="BC15" s="36">
        <f t="shared" si="16"/>
        <v>5.9849608675635588</v>
      </c>
      <c r="BD15" s="36">
        <f t="shared" si="17"/>
        <v>0</v>
      </c>
      <c r="BE15" s="36">
        <f t="shared" si="18"/>
        <v>3.3870967741935485</v>
      </c>
      <c r="BF15" s="36">
        <f t="shared" si="19"/>
        <v>0.85263157894736841</v>
      </c>
      <c r="BG15" s="36">
        <f t="shared" si="20"/>
        <v>0.66666666666666663</v>
      </c>
      <c r="BH15" s="36">
        <f t="shared" si="21"/>
        <v>0</v>
      </c>
      <c r="BN15" s="18"/>
      <c r="BO15" s="13"/>
    </row>
    <row r="16" spans="1:67" s="6" customFormat="1" x14ac:dyDescent="0.2">
      <c r="A16" s="6" t="s">
        <v>14</v>
      </c>
      <c r="B16" s="23">
        <f>AVERAGE(6,7)</f>
        <v>6.5</v>
      </c>
      <c r="C16" s="13">
        <f>AVERAGE(300,500)</f>
        <v>400</v>
      </c>
      <c r="D16" s="6">
        <v>50</v>
      </c>
      <c r="F16" s="6">
        <v>150</v>
      </c>
      <c r="H16" s="6">
        <f>AVERAGE(100,150)</f>
        <v>125</v>
      </c>
      <c r="I16" s="6">
        <f>AVERAGE(80,100)</f>
        <v>90</v>
      </c>
      <c r="J16" s="6">
        <v>64</v>
      </c>
      <c r="K16" s="6">
        <v>4</v>
      </c>
      <c r="L16" s="6">
        <v>2</v>
      </c>
      <c r="M16" s="6">
        <v>0.5</v>
      </c>
      <c r="N16" s="6">
        <v>0.05</v>
      </c>
      <c r="O16" s="6">
        <v>0.1</v>
      </c>
      <c r="P16" s="6">
        <v>0.5</v>
      </c>
      <c r="Q16" s="18">
        <v>0.02</v>
      </c>
      <c r="R16" s="13">
        <v>40.078000000000003</v>
      </c>
      <c r="S16" s="6">
        <v>24.305</v>
      </c>
      <c r="T16" s="6">
        <v>22.99</v>
      </c>
      <c r="U16" s="6">
        <v>39.097999999999999</v>
      </c>
      <c r="V16" s="6">
        <f t="shared" si="22"/>
        <v>18</v>
      </c>
      <c r="W16" s="6">
        <f t="shared" si="23"/>
        <v>62</v>
      </c>
      <c r="X16" s="6">
        <f t="shared" si="24"/>
        <v>95</v>
      </c>
      <c r="Y16" s="6">
        <f t="shared" si="25"/>
        <v>96</v>
      </c>
      <c r="Z16" s="6">
        <v>35.450000000000003</v>
      </c>
      <c r="AA16" s="6">
        <v>55.844999999999999</v>
      </c>
      <c r="AB16" s="6">
        <v>54.938000000000002</v>
      </c>
      <c r="AC16" s="6">
        <v>36.545999999999999</v>
      </c>
      <c r="AD16" s="6">
        <v>65.38</v>
      </c>
      <c r="AE16" s="6">
        <v>10.81</v>
      </c>
      <c r="AF16" s="6">
        <v>95.962000000000003</v>
      </c>
      <c r="AG16" s="7">
        <f t="shared" si="3"/>
        <v>9.9805379509955596</v>
      </c>
      <c r="AH16" s="7">
        <f t="shared" si="4"/>
        <v>2.0571898786257972</v>
      </c>
      <c r="AI16" s="7"/>
      <c r="AJ16" s="7">
        <f t="shared" si="5"/>
        <v>3.8365133766433064</v>
      </c>
      <c r="AK16" s="7"/>
      <c r="AL16" s="7">
        <f t="shared" si="6"/>
        <v>2.0161290322580645</v>
      </c>
      <c r="AM16" s="7">
        <f t="shared" si="7"/>
        <v>2.0161290322580645</v>
      </c>
      <c r="AN16" s="7">
        <f t="shared" si="8"/>
        <v>0.94736842105263153</v>
      </c>
      <c r="AO16" s="7">
        <f t="shared" si="9"/>
        <v>0.66666666666666663</v>
      </c>
      <c r="AP16" s="7">
        <f>K16/(Z16*1000)*1000</f>
        <v>0.11283497884344147</v>
      </c>
      <c r="AQ16" s="7">
        <f t="shared" si="29"/>
        <v>35.813412122839999</v>
      </c>
      <c r="AR16" s="7">
        <f t="shared" si="29"/>
        <v>9.1011685900469619</v>
      </c>
      <c r="AS16" s="7">
        <f t="shared" si="34"/>
        <v>1.3681387839982488</v>
      </c>
      <c r="AT16" s="7">
        <f t="shared" si="33"/>
        <v>1.5295197308045276</v>
      </c>
      <c r="AU16" s="7">
        <f t="shared" ref="AU16:AU21" si="39">P16/(AE16*1000)*1000000</f>
        <v>46.253469010175763</v>
      </c>
      <c r="AV16" s="34">
        <f t="shared" si="35"/>
        <v>0.20841583126654301</v>
      </c>
      <c r="AW16" s="37">
        <f t="shared" si="36"/>
        <v>0.46989473684210525</v>
      </c>
      <c r="AX16" s="37">
        <f t="shared" si="37"/>
        <v>1.9029106348150799</v>
      </c>
      <c r="AY16" s="37">
        <f t="shared" si="38"/>
        <v>4.0496530086790461</v>
      </c>
      <c r="AZ16" s="40">
        <f t="shared" si="13"/>
        <v>19.961075901991119</v>
      </c>
      <c r="BA16" s="36">
        <f t="shared" si="14"/>
        <v>4.1143797572515943</v>
      </c>
      <c r="BB16" s="36">
        <f t="shared" si="15"/>
        <v>0</v>
      </c>
      <c r="BC16" s="36">
        <f t="shared" si="16"/>
        <v>3.8365133766433064</v>
      </c>
      <c r="BD16" s="36">
        <f t="shared" si="17"/>
        <v>0</v>
      </c>
      <c r="BE16" s="36">
        <f t="shared" si="18"/>
        <v>2.0161290322580645</v>
      </c>
      <c r="BF16" s="36">
        <f t="shared" si="19"/>
        <v>2.8421052631578947</v>
      </c>
      <c r="BG16" s="36">
        <f t="shared" si="20"/>
        <v>1.3333333333333333</v>
      </c>
      <c r="BH16" s="36">
        <f t="shared" si="21"/>
        <v>0.11283497884344147</v>
      </c>
      <c r="BN16" s="18"/>
      <c r="BO16" s="13"/>
    </row>
    <row r="17" spans="1:67" s="6" customFormat="1" x14ac:dyDescent="0.2">
      <c r="A17" s="6" t="s">
        <v>15</v>
      </c>
      <c r="B17" s="23">
        <v>6.5</v>
      </c>
      <c r="C17" s="13">
        <v>210</v>
      </c>
      <c r="D17" s="6">
        <v>50</v>
      </c>
      <c r="F17" s="6">
        <v>200</v>
      </c>
      <c r="H17" s="6">
        <v>150</v>
      </c>
      <c r="I17" s="6">
        <v>60</v>
      </c>
      <c r="J17" s="6">
        <v>147</v>
      </c>
      <c r="L17" s="6">
        <v>5.6</v>
      </c>
      <c r="M17" s="6">
        <v>0.55000000000000004</v>
      </c>
      <c r="N17" s="6">
        <v>6.4000000000000001E-2</v>
      </c>
      <c r="O17" s="6">
        <v>6.5000000000000002E-2</v>
      </c>
      <c r="P17" s="6">
        <v>0.5</v>
      </c>
      <c r="Q17" s="18">
        <v>0.05</v>
      </c>
      <c r="R17" s="13">
        <v>40.078000000000003</v>
      </c>
      <c r="S17" s="6">
        <v>24.305</v>
      </c>
      <c r="T17" s="6">
        <v>22.99</v>
      </c>
      <c r="U17" s="6">
        <v>39.097999999999999</v>
      </c>
      <c r="V17" s="6">
        <f t="shared" si="22"/>
        <v>18</v>
      </c>
      <c r="W17" s="6">
        <f t="shared" si="23"/>
        <v>62</v>
      </c>
      <c r="X17" s="6">
        <f t="shared" si="24"/>
        <v>95</v>
      </c>
      <c r="Y17" s="6">
        <f t="shared" si="25"/>
        <v>96</v>
      </c>
      <c r="Z17" s="6">
        <v>35.450000000000003</v>
      </c>
      <c r="AA17" s="6">
        <v>55.844999999999999</v>
      </c>
      <c r="AB17" s="6">
        <v>54.938000000000002</v>
      </c>
      <c r="AC17" s="6">
        <v>36.545999999999999</v>
      </c>
      <c r="AD17" s="6">
        <v>65.38</v>
      </c>
      <c r="AE17" s="6">
        <v>10.81</v>
      </c>
      <c r="AF17" s="6">
        <v>95.962000000000003</v>
      </c>
      <c r="AG17" s="7">
        <f t="shared" si="3"/>
        <v>5.2397824242726685</v>
      </c>
      <c r="AH17" s="7">
        <f t="shared" si="4"/>
        <v>2.0571898786257972</v>
      </c>
      <c r="AI17" s="7"/>
      <c r="AJ17" s="7">
        <f t="shared" si="5"/>
        <v>5.1153511688577415</v>
      </c>
      <c r="AK17" s="7"/>
      <c r="AL17" s="7">
        <f t="shared" si="6"/>
        <v>2.4193548387096775</v>
      </c>
      <c r="AM17" s="7">
        <f t="shared" si="7"/>
        <v>2.4193548387096775</v>
      </c>
      <c r="AN17" s="7">
        <f t="shared" si="8"/>
        <v>0.63157894736842102</v>
      </c>
      <c r="AO17" s="7">
        <f t="shared" si="9"/>
        <v>1.53125</v>
      </c>
      <c r="AP17" s="7"/>
      <c r="AQ17" s="7">
        <f t="shared" si="29"/>
        <v>100.277553943952</v>
      </c>
      <c r="AR17" s="7">
        <f t="shared" si="29"/>
        <v>10.011285449051659</v>
      </c>
      <c r="AS17" s="7">
        <f t="shared" si="34"/>
        <v>1.7512176435177584</v>
      </c>
      <c r="AT17" s="7">
        <f t="shared" si="33"/>
        <v>0.99418782502294289</v>
      </c>
      <c r="AU17" s="7">
        <f t="shared" si="39"/>
        <v>46.253469010175763</v>
      </c>
      <c r="AV17" s="34">
        <f t="shared" si="35"/>
        <v>0.5210395781663576</v>
      </c>
      <c r="AW17" s="37">
        <f t="shared" si="36"/>
        <v>0.26105263157894737</v>
      </c>
      <c r="AX17" s="37">
        <f t="shared" si="37"/>
        <v>2.1143451497945329</v>
      </c>
      <c r="AY17" s="37">
        <f t="shared" si="38"/>
        <v>8.0993060173580904</v>
      </c>
      <c r="AZ17" s="40">
        <f t="shared" si="13"/>
        <v>10.479564848545337</v>
      </c>
      <c r="BA17" s="36">
        <f t="shared" si="14"/>
        <v>4.1143797572515943</v>
      </c>
      <c r="BB17" s="36">
        <f t="shared" si="15"/>
        <v>0</v>
      </c>
      <c r="BC17" s="36">
        <f t="shared" si="16"/>
        <v>5.1153511688577415</v>
      </c>
      <c r="BD17" s="36">
        <f t="shared" si="17"/>
        <v>0</v>
      </c>
      <c r="BE17" s="36">
        <f t="shared" si="18"/>
        <v>2.4193548387096775</v>
      </c>
      <c r="BF17" s="36">
        <f t="shared" si="19"/>
        <v>1.8947368421052631</v>
      </c>
      <c r="BG17" s="36">
        <f t="shared" si="20"/>
        <v>3.0625</v>
      </c>
      <c r="BH17" s="36">
        <f t="shared" si="21"/>
        <v>0</v>
      </c>
      <c r="BN17" s="18"/>
      <c r="BO17" s="13"/>
    </row>
    <row r="18" spans="1:67" s="6" customFormat="1" x14ac:dyDescent="0.2">
      <c r="A18" s="6" t="s">
        <v>16</v>
      </c>
      <c r="B18" s="23">
        <v>5.5</v>
      </c>
      <c r="C18" s="13">
        <v>340</v>
      </c>
      <c r="D18" s="6">
        <v>54</v>
      </c>
      <c r="E18" s="6">
        <v>35</v>
      </c>
      <c r="F18" s="6">
        <v>234</v>
      </c>
      <c r="H18" s="6">
        <v>208</v>
      </c>
      <c r="I18" s="6">
        <v>57</v>
      </c>
      <c r="J18" s="6">
        <v>114</v>
      </c>
      <c r="K18" s="6">
        <v>75</v>
      </c>
      <c r="L18" s="6">
        <v>2</v>
      </c>
      <c r="M18" s="6">
        <v>0.25</v>
      </c>
      <c r="N18" s="6">
        <v>0.05</v>
      </c>
      <c r="O18" s="6">
        <v>0.05</v>
      </c>
      <c r="P18" s="6">
        <v>0.5</v>
      </c>
      <c r="Q18" s="18">
        <v>0.1</v>
      </c>
      <c r="R18" s="13">
        <v>40.078000000000003</v>
      </c>
      <c r="S18" s="6">
        <v>24.305</v>
      </c>
      <c r="T18" s="6">
        <v>22.99</v>
      </c>
      <c r="U18" s="6">
        <v>39.097999999999999</v>
      </c>
      <c r="V18" s="6">
        <f t="shared" si="22"/>
        <v>18</v>
      </c>
      <c r="W18" s="6">
        <f t="shared" si="23"/>
        <v>62</v>
      </c>
      <c r="X18" s="6">
        <f t="shared" si="24"/>
        <v>95</v>
      </c>
      <c r="Y18" s="6">
        <f t="shared" si="25"/>
        <v>96</v>
      </c>
      <c r="Z18" s="6">
        <v>35.450000000000003</v>
      </c>
      <c r="AA18" s="6">
        <v>55.844999999999999</v>
      </c>
      <c r="AB18" s="6">
        <v>54.938000000000002</v>
      </c>
      <c r="AC18" s="6">
        <v>36.545999999999999</v>
      </c>
      <c r="AD18" s="6">
        <v>65.38</v>
      </c>
      <c r="AE18" s="6">
        <v>10.81</v>
      </c>
      <c r="AF18" s="6">
        <v>95.962000000000003</v>
      </c>
      <c r="AG18" s="7">
        <f t="shared" si="3"/>
        <v>8.483457258346224</v>
      </c>
      <c r="AH18" s="7">
        <f t="shared" si="4"/>
        <v>2.221765068915861</v>
      </c>
      <c r="AI18" s="7">
        <f t="shared" si="26"/>
        <v>1.5224010439321445</v>
      </c>
      <c r="AJ18" s="7">
        <f t="shared" si="5"/>
        <v>5.9849608675635588</v>
      </c>
      <c r="AK18" s="7"/>
      <c r="AL18" s="7">
        <f t="shared" si="6"/>
        <v>3.3548387096774195</v>
      </c>
      <c r="AM18" s="7">
        <f t="shared" si="7"/>
        <v>3.3548387096774195</v>
      </c>
      <c r="AN18" s="7">
        <f t="shared" si="8"/>
        <v>0.6</v>
      </c>
      <c r="AO18" s="7">
        <f t="shared" si="9"/>
        <v>1.1875</v>
      </c>
      <c r="AP18" s="7">
        <f>K18/(Z18*1000)*1000</f>
        <v>2.1156558533145278</v>
      </c>
      <c r="AQ18" s="7">
        <f t="shared" si="29"/>
        <v>35.813412122839999</v>
      </c>
      <c r="AR18" s="7">
        <f t="shared" si="29"/>
        <v>4.5505842950234809</v>
      </c>
      <c r="AS18" s="7">
        <f t="shared" si="34"/>
        <v>1.3681387839982488</v>
      </c>
      <c r="AT18" s="7">
        <f t="shared" si="33"/>
        <v>0.76475986540226382</v>
      </c>
      <c r="AU18" s="7">
        <f t="shared" si="39"/>
        <v>46.253469010175763</v>
      </c>
      <c r="AV18" s="34">
        <f t="shared" si="35"/>
        <v>1.0420791563327152</v>
      </c>
      <c r="AW18" s="37">
        <f t="shared" si="36"/>
        <v>0.17884615384615382</v>
      </c>
      <c r="AX18" s="37">
        <f t="shared" si="37"/>
        <v>1.7839787201391377</v>
      </c>
      <c r="AY18" s="37">
        <f t="shared" si="38"/>
        <v>9.9749347792725978</v>
      </c>
      <c r="AZ18" s="40">
        <f t="shared" si="13"/>
        <v>16.966914516692448</v>
      </c>
      <c r="BA18" s="36">
        <f t="shared" si="14"/>
        <v>4.443530137831722</v>
      </c>
      <c r="BB18" s="36">
        <f t="shared" si="15"/>
        <v>1.5224010439321445</v>
      </c>
      <c r="BC18" s="36">
        <f t="shared" si="16"/>
        <v>5.9849608675635588</v>
      </c>
      <c r="BD18" s="36">
        <f t="shared" si="17"/>
        <v>0</v>
      </c>
      <c r="BE18" s="36">
        <f t="shared" si="18"/>
        <v>3.3548387096774195</v>
      </c>
      <c r="BF18" s="36">
        <f t="shared" si="19"/>
        <v>1.7999999999999998</v>
      </c>
      <c r="BG18" s="36">
        <f t="shared" si="20"/>
        <v>2.375</v>
      </c>
      <c r="BH18" s="36">
        <f t="shared" si="21"/>
        <v>2.1156558533145278</v>
      </c>
      <c r="BN18" s="18"/>
      <c r="BO18" s="13"/>
    </row>
    <row r="19" spans="1:67" s="6" customFormat="1" x14ac:dyDescent="0.2">
      <c r="A19" s="6" t="s">
        <v>84</v>
      </c>
      <c r="B19" s="23"/>
      <c r="C19" s="13">
        <v>200</v>
      </c>
      <c r="D19" s="6">
        <v>96</v>
      </c>
      <c r="F19" s="6">
        <v>390</v>
      </c>
      <c r="G19" s="6">
        <v>28</v>
      </c>
      <c r="H19" s="6">
        <v>70</v>
      </c>
      <c r="I19" s="6">
        <v>63</v>
      </c>
      <c r="J19" s="6">
        <v>607</v>
      </c>
      <c r="L19" s="6">
        <v>2</v>
      </c>
      <c r="M19" s="6">
        <v>0.3</v>
      </c>
      <c r="N19" s="6">
        <v>0.02</v>
      </c>
      <c r="O19" s="6">
        <v>0.05</v>
      </c>
      <c r="P19" s="6">
        <v>0.5</v>
      </c>
      <c r="Q19" s="18"/>
      <c r="R19" s="13">
        <v>40.078000000000003</v>
      </c>
      <c r="S19" s="6">
        <v>24.305</v>
      </c>
      <c r="T19" s="6">
        <v>22.99</v>
      </c>
      <c r="U19" s="6">
        <v>39.097999999999999</v>
      </c>
      <c r="V19" s="6">
        <f t="shared" si="22"/>
        <v>18</v>
      </c>
      <c r="W19" s="6">
        <f t="shared" si="23"/>
        <v>62</v>
      </c>
      <c r="X19" s="6">
        <f t="shared" si="24"/>
        <v>95</v>
      </c>
      <c r="Y19" s="6">
        <f t="shared" si="25"/>
        <v>96</v>
      </c>
      <c r="Z19" s="6">
        <v>35.450000000000003</v>
      </c>
      <c r="AA19" s="6">
        <v>55.844999999999999</v>
      </c>
      <c r="AB19" s="6">
        <v>54.938000000000002</v>
      </c>
      <c r="AC19" s="6">
        <v>36.545999999999999</v>
      </c>
      <c r="AD19" s="6">
        <v>65.38</v>
      </c>
      <c r="AE19" s="6">
        <v>10.81</v>
      </c>
      <c r="AF19" s="6">
        <v>95.962000000000003</v>
      </c>
      <c r="AG19" s="7">
        <f t="shared" si="3"/>
        <v>4.9902689754977798</v>
      </c>
      <c r="AH19" s="7">
        <f t="shared" si="4"/>
        <v>3.94980456696153</v>
      </c>
      <c r="AI19" s="7"/>
      <c r="AJ19" s="7">
        <f t="shared" si="5"/>
        <v>9.9749347792725978</v>
      </c>
      <c r="AK19" s="7">
        <f t="shared" si="27"/>
        <v>1.5555555555555554</v>
      </c>
      <c r="AL19" s="7">
        <f t="shared" si="6"/>
        <v>1.1290322580645162</v>
      </c>
      <c r="AM19" s="7">
        <f t="shared" si="7"/>
        <v>2.6845878136200714</v>
      </c>
      <c r="AN19" s="7">
        <f t="shared" si="8"/>
        <v>0.66315789473684206</v>
      </c>
      <c r="AO19" s="7">
        <f t="shared" si="9"/>
        <v>6.322916666666667</v>
      </c>
      <c r="AP19" s="7"/>
      <c r="AQ19" s="7">
        <f t="shared" si="29"/>
        <v>35.813412122839999</v>
      </c>
      <c r="AR19" s="7">
        <f t="shared" si="29"/>
        <v>5.4607011540281771</v>
      </c>
      <c r="AS19" s="7">
        <f t="shared" si="34"/>
        <v>0.54725551359929958</v>
      </c>
      <c r="AT19" s="7">
        <f t="shared" si="33"/>
        <v>0.76475986540226382</v>
      </c>
      <c r="AU19" s="7">
        <f t="shared" si="39"/>
        <v>46.253469010175763</v>
      </c>
      <c r="AV19" s="34"/>
      <c r="AW19" s="37">
        <f t="shared" si="36"/>
        <v>0.24702410231185443</v>
      </c>
      <c r="AX19" s="37">
        <f t="shared" si="37"/>
        <v>3.7156299111042124</v>
      </c>
      <c r="AY19" s="37">
        <f t="shared" si="38"/>
        <v>15.041568317950743</v>
      </c>
      <c r="AZ19" s="40">
        <f t="shared" si="13"/>
        <v>9.9805379509955596</v>
      </c>
      <c r="BA19" s="36">
        <f t="shared" si="14"/>
        <v>7.8996091339230601</v>
      </c>
      <c r="BB19" s="36">
        <f t="shared" si="15"/>
        <v>0</v>
      </c>
      <c r="BC19" s="36">
        <f t="shared" si="16"/>
        <v>9.9749347792725978</v>
      </c>
      <c r="BD19" s="36">
        <f t="shared" si="17"/>
        <v>3.1111111111111107</v>
      </c>
      <c r="BE19" s="36">
        <f t="shared" si="18"/>
        <v>1.1290322580645162</v>
      </c>
      <c r="BF19" s="36">
        <f t="shared" si="19"/>
        <v>1.9894736842105263</v>
      </c>
      <c r="BG19" s="36">
        <f t="shared" si="20"/>
        <v>12.645833333333334</v>
      </c>
      <c r="BH19" s="36">
        <f t="shared" si="21"/>
        <v>0</v>
      </c>
      <c r="BN19" s="18"/>
      <c r="BO19" s="13"/>
    </row>
    <row r="20" spans="1:67" s="6" customFormat="1" x14ac:dyDescent="0.2">
      <c r="A20" s="6" t="s">
        <v>85</v>
      </c>
      <c r="B20" s="23"/>
      <c r="C20" s="13">
        <v>200</v>
      </c>
      <c r="D20" s="6">
        <v>96</v>
      </c>
      <c r="F20" s="6">
        <v>390</v>
      </c>
      <c r="G20" s="6">
        <v>28</v>
      </c>
      <c r="H20" s="6">
        <v>140</v>
      </c>
      <c r="I20" s="6">
        <v>63</v>
      </c>
      <c r="J20" s="6">
        <v>447</v>
      </c>
      <c r="L20" s="6">
        <v>1</v>
      </c>
      <c r="M20" s="6">
        <v>0.3</v>
      </c>
      <c r="N20" s="6">
        <v>0.02</v>
      </c>
      <c r="O20" s="6">
        <v>0.05</v>
      </c>
      <c r="P20" s="6">
        <v>0.5</v>
      </c>
      <c r="Q20" s="18"/>
      <c r="R20" s="13">
        <v>40.078000000000003</v>
      </c>
      <c r="S20" s="6">
        <v>24.305</v>
      </c>
      <c r="T20" s="6">
        <v>22.99</v>
      </c>
      <c r="U20" s="6">
        <v>39.097999999999999</v>
      </c>
      <c r="V20" s="6">
        <f t="shared" si="22"/>
        <v>18</v>
      </c>
      <c r="W20" s="6">
        <f t="shared" si="23"/>
        <v>62</v>
      </c>
      <c r="X20" s="6">
        <f t="shared" si="24"/>
        <v>95</v>
      </c>
      <c r="Y20" s="6">
        <f t="shared" si="25"/>
        <v>96</v>
      </c>
      <c r="Z20" s="6">
        <v>35.450000000000003</v>
      </c>
      <c r="AA20" s="6">
        <v>55.844999999999999</v>
      </c>
      <c r="AB20" s="6">
        <v>54.938000000000002</v>
      </c>
      <c r="AC20" s="6">
        <v>36.545999999999999</v>
      </c>
      <c r="AD20" s="6">
        <v>65.38</v>
      </c>
      <c r="AE20" s="6">
        <v>10.81</v>
      </c>
      <c r="AF20" s="6">
        <v>95.962000000000003</v>
      </c>
      <c r="AG20" s="7">
        <f t="shared" si="3"/>
        <v>4.9902689754977798</v>
      </c>
      <c r="AH20" s="7">
        <f t="shared" si="4"/>
        <v>3.94980456696153</v>
      </c>
      <c r="AI20" s="7"/>
      <c r="AJ20" s="7">
        <f t="shared" si="5"/>
        <v>9.9749347792725978</v>
      </c>
      <c r="AK20" s="7">
        <f t="shared" si="27"/>
        <v>1.5555555555555554</v>
      </c>
      <c r="AL20" s="7">
        <f t="shared" si="6"/>
        <v>2.2580645161290325</v>
      </c>
      <c r="AM20" s="7">
        <f t="shared" si="7"/>
        <v>3.8136200716845878</v>
      </c>
      <c r="AN20" s="7">
        <f t="shared" si="8"/>
        <v>0.66315789473684206</v>
      </c>
      <c r="AO20" s="7">
        <f t="shared" si="9"/>
        <v>4.65625</v>
      </c>
      <c r="AP20" s="7"/>
      <c r="AQ20" s="7">
        <f t="shared" si="29"/>
        <v>17.90670606142</v>
      </c>
      <c r="AR20" s="7">
        <f t="shared" si="29"/>
        <v>5.4607011540281771</v>
      </c>
      <c r="AS20" s="7">
        <f t="shared" si="34"/>
        <v>0.54725551359929958</v>
      </c>
      <c r="AT20" s="7">
        <f t="shared" si="33"/>
        <v>0.76475986540226382</v>
      </c>
      <c r="AU20" s="7">
        <f t="shared" si="39"/>
        <v>46.253469010175763</v>
      </c>
      <c r="AV20" s="34"/>
      <c r="AW20" s="37">
        <f t="shared" si="36"/>
        <v>0.17389196675900276</v>
      </c>
      <c r="AX20" s="37">
        <f t="shared" si="37"/>
        <v>2.6156078979483599</v>
      </c>
      <c r="AY20" s="37">
        <f t="shared" si="38"/>
        <v>15.041568317950743</v>
      </c>
      <c r="AZ20" s="40">
        <f t="shared" si="13"/>
        <v>9.9805379509955596</v>
      </c>
      <c r="BA20" s="36">
        <f t="shared" si="14"/>
        <v>7.8996091339230601</v>
      </c>
      <c r="BB20" s="36">
        <f t="shared" si="15"/>
        <v>0</v>
      </c>
      <c r="BC20" s="36">
        <f t="shared" si="16"/>
        <v>9.9749347792725978</v>
      </c>
      <c r="BD20" s="36">
        <f t="shared" si="17"/>
        <v>3.1111111111111107</v>
      </c>
      <c r="BE20" s="36">
        <f t="shared" si="18"/>
        <v>2.2580645161290325</v>
      </c>
      <c r="BF20" s="36">
        <f t="shared" si="19"/>
        <v>1.9894736842105263</v>
      </c>
      <c r="BG20" s="36">
        <f t="shared" si="20"/>
        <v>9.3125</v>
      </c>
      <c r="BH20" s="36">
        <f t="shared" si="21"/>
        <v>0</v>
      </c>
      <c r="BN20" s="18"/>
      <c r="BO20" s="13"/>
    </row>
    <row r="21" spans="1:67" s="6" customFormat="1" x14ac:dyDescent="0.2">
      <c r="A21" s="6" t="s">
        <v>86</v>
      </c>
      <c r="B21" s="23"/>
      <c r="C21" s="13">
        <v>120</v>
      </c>
      <c r="D21" s="6">
        <v>96</v>
      </c>
      <c r="F21" s="6">
        <v>390</v>
      </c>
      <c r="G21" s="6">
        <v>14</v>
      </c>
      <c r="H21" s="6">
        <v>224</v>
      </c>
      <c r="I21" s="6">
        <v>63</v>
      </c>
      <c r="J21" s="6">
        <v>64</v>
      </c>
      <c r="L21" s="6">
        <v>1</v>
      </c>
      <c r="M21" s="6">
        <v>0.3</v>
      </c>
      <c r="N21" s="6">
        <v>0.02</v>
      </c>
      <c r="O21" s="6">
        <v>0.05</v>
      </c>
      <c r="P21" s="6">
        <v>0.5</v>
      </c>
      <c r="Q21" s="18"/>
      <c r="R21" s="13">
        <v>40.078000000000003</v>
      </c>
      <c r="S21" s="6">
        <v>24.305</v>
      </c>
      <c r="T21" s="6">
        <v>22.99</v>
      </c>
      <c r="U21" s="6">
        <v>39.097999999999999</v>
      </c>
      <c r="V21" s="6">
        <f t="shared" si="22"/>
        <v>18</v>
      </c>
      <c r="W21" s="6">
        <f t="shared" si="23"/>
        <v>62</v>
      </c>
      <c r="X21" s="6">
        <f t="shared" si="24"/>
        <v>95</v>
      </c>
      <c r="Y21" s="6">
        <f t="shared" si="25"/>
        <v>96</v>
      </c>
      <c r="Z21" s="6">
        <v>35.450000000000003</v>
      </c>
      <c r="AA21" s="6">
        <v>55.844999999999999</v>
      </c>
      <c r="AB21" s="6">
        <v>54.938000000000002</v>
      </c>
      <c r="AC21" s="6">
        <v>36.545999999999999</v>
      </c>
      <c r="AD21" s="6">
        <v>65.38</v>
      </c>
      <c r="AE21" s="6">
        <v>10.81</v>
      </c>
      <c r="AF21" s="6">
        <v>95.962000000000003</v>
      </c>
      <c r="AG21" s="7">
        <f t="shared" si="3"/>
        <v>2.9941613852986677</v>
      </c>
      <c r="AH21" s="7">
        <f t="shared" si="4"/>
        <v>3.94980456696153</v>
      </c>
      <c r="AI21" s="7"/>
      <c r="AJ21" s="7">
        <f t="shared" si="5"/>
        <v>9.9749347792725978</v>
      </c>
      <c r="AK21" s="7">
        <f t="shared" si="27"/>
        <v>0.77777777777777768</v>
      </c>
      <c r="AL21" s="7">
        <f t="shared" si="6"/>
        <v>3.6129032258064515</v>
      </c>
      <c r="AM21" s="7">
        <f t="shared" si="7"/>
        <v>4.3906810035842287</v>
      </c>
      <c r="AN21" s="7">
        <f t="shared" si="8"/>
        <v>0.66315789473684206</v>
      </c>
      <c r="AO21" s="7">
        <f t="shared" si="9"/>
        <v>0.66666666666666663</v>
      </c>
      <c r="AP21" s="7"/>
      <c r="AQ21" s="7">
        <f t="shared" si="29"/>
        <v>17.90670606142</v>
      </c>
      <c r="AR21" s="7">
        <f t="shared" si="29"/>
        <v>5.4607011540281771</v>
      </c>
      <c r="AS21" s="7">
        <f t="shared" si="34"/>
        <v>0.54725551359929958</v>
      </c>
      <c r="AT21" s="7">
        <f t="shared" si="33"/>
        <v>0.76475986540226382</v>
      </c>
      <c r="AU21" s="7">
        <f t="shared" si="39"/>
        <v>46.253469010175763</v>
      </c>
      <c r="AV21" s="34"/>
      <c r="AW21" s="37">
        <f t="shared" si="36"/>
        <v>0.15103759398496241</v>
      </c>
      <c r="AX21" s="37">
        <f t="shared" si="37"/>
        <v>2.2718422885037186</v>
      </c>
      <c r="AY21" s="37">
        <f t="shared" si="38"/>
        <v>15.041568317950743</v>
      </c>
      <c r="AZ21" s="40">
        <f t="shared" si="13"/>
        <v>5.9883227705973354</v>
      </c>
      <c r="BA21" s="36">
        <f t="shared" si="14"/>
        <v>7.8996091339230601</v>
      </c>
      <c r="BB21" s="36">
        <f t="shared" si="15"/>
        <v>0</v>
      </c>
      <c r="BC21" s="36">
        <f t="shared" si="16"/>
        <v>9.9749347792725978</v>
      </c>
      <c r="BD21" s="36">
        <f t="shared" si="17"/>
        <v>1.5555555555555554</v>
      </c>
      <c r="BE21" s="36">
        <f t="shared" si="18"/>
        <v>3.6129032258064515</v>
      </c>
      <c r="BF21" s="36">
        <f t="shared" si="19"/>
        <v>1.9894736842105263</v>
      </c>
      <c r="BG21" s="36">
        <f t="shared" si="20"/>
        <v>1.3333333333333333</v>
      </c>
      <c r="BH21" s="36">
        <f t="shared" si="21"/>
        <v>0</v>
      </c>
      <c r="BN21" s="18"/>
      <c r="BO21" s="13"/>
    </row>
    <row r="22" spans="1:67" s="6" customFormat="1" x14ac:dyDescent="0.2">
      <c r="A22" s="6" t="s">
        <v>17</v>
      </c>
      <c r="B22" s="23"/>
      <c r="C22" s="13">
        <v>124</v>
      </c>
      <c r="D22" s="6">
        <v>43</v>
      </c>
      <c r="F22" s="6">
        <v>312</v>
      </c>
      <c r="H22" s="6">
        <v>98</v>
      </c>
      <c r="I22" s="6">
        <v>93</v>
      </c>
      <c r="J22" s="6">
        <v>160</v>
      </c>
      <c r="Q22" s="18"/>
      <c r="R22" s="13">
        <v>40.078000000000003</v>
      </c>
      <c r="S22" s="6">
        <v>24.305</v>
      </c>
      <c r="T22" s="6">
        <v>22.99</v>
      </c>
      <c r="U22" s="6">
        <v>39.097999999999999</v>
      </c>
      <c r="V22" s="6">
        <f t="shared" si="22"/>
        <v>18</v>
      </c>
      <c r="W22" s="6">
        <f t="shared" si="23"/>
        <v>62</v>
      </c>
      <c r="X22" s="6">
        <f t="shared" si="24"/>
        <v>95</v>
      </c>
      <c r="Y22" s="6">
        <f t="shared" si="25"/>
        <v>96</v>
      </c>
      <c r="Z22" s="6">
        <v>35.450000000000003</v>
      </c>
      <c r="AA22" s="6">
        <v>55.844999999999999</v>
      </c>
      <c r="AB22" s="6">
        <v>54.938000000000002</v>
      </c>
      <c r="AC22" s="6">
        <v>36.545999999999999</v>
      </c>
      <c r="AD22" s="6">
        <v>65.38</v>
      </c>
      <c r="AE22" s="6">
        <v>10.81</v>
      </c>
      <c r="AF22" s="6">
        <v>95.962000000000003</v>
      </c>
      <c r="AG22" s="7">
        <f t="shared" si="3"/>
        <v>3.0939667648086231</v>
      </c>
      <c r="AH22" s="7">
        <f t="shared" si="4"/>
        <v>1.7691832956181857</v>
      </c>
      <c r="AI22" s="7"/>
      <c r="AJ22" s="7">
        <f t="shared" si="5"/>
        <v>7.9799478234180778</v>
      </c>
      <c r="AK22" s="7"/>
      <c r="AL22" s="7">
        <f t="shared" si="6"/>
        <v>1.5806451612903225</v>
      </c>
      <c r="AM22" s="7">
        <f t="shared" si="7"/>
        <v>1.5806451612903225</v>
      </c>
      <c r="AN22" s="7">
        <f t="shared" si="8"/>
        <v>0.97894736842105257</v>
      </c>
      <c r="AO22" s="7">
        <f t="shared" si="9"/>
        <v>1.6666666666666667</v>
      </c>
      <c r="AP22" s="7"/>
      <c r="AQ22" s="7"/>
      <c r="AR22" s="7"/>
      <c r="AS22" s="7"/>
      <c r="AT22" s="7"/>
      <c r="AU22" s="7"/>
      <c r="AV22" s="34"/>
      <c r="AW22" s="37">
        <f t="shared" si="36"/>
        <v>0.61933404940923742</v>
      </c>
      <c r="AX22" s="37">
        <f t="shared" si="37"/>
        <v>5.0485384188971514</v>
      </c>
      <c r="AY22" s="37">
        <f t="shared" si="38"/>
        <v>8.1515596045668541</v>
      </c>
      <c r="AZ22" s="40">
        <f t="shared" si="13"/>
        <v>6.1879335296172462</v>
      </c>
      <c r="BA22" s="36">
        <f t="shared" si="14"/>
        <v>3.5383665912363713</v>
      </c>
      <c r="BB22" s="36">
        <f t="shared" si="15"/>
        <v>0</v>
      </c>
      <c r="BC22" s="36">
        <f t="shared" si="16"/>
        <v>7.9799478234180778</v>
      </c>
      <c r="BD22" s="36">
        <f t="shared" si="17"/>
        <v>0</v>
      </c>
      <c r="BE22" s="36">
        <f t="shared" si="18"/>
        <v>1.5806451612903225</v>
      </c>
      <c r="BF22" s="36">
        <f t="shared" si="19"/>
        <v>2.9368421052631577</v>
      </c>
      <c r="BG22" s="36">
        <f t="shared" si="20"/>
        <v>3.3333333333333335</v>
      </c>
      <c r="BH22" s="36">
        <f t="shared" si="21"/>
        <v>0</v>
      </c>
      <c r="BN22" s="18"/>
      <c r="BO22" s="13"/>
    </row>
    <row r="23" spans="1:67" s="6" customFormat="1" x14ac:dyDescent="0.2">
      <c r="A23" s="6" t="s">
        <v>18</v>
      </c>
      <c r="B23" s="23"/>
      <c r="C23" s="13">
        <v>160</v>
      </c>
      <c r="D23" s="6">
        <v>48</v>
      </c>
      <c r="F23" s="6">
        <v>234</v>
      </c>
      <c r="G23" s="6">
        <v>15</v>
      </c>
      <c r="H23" s="6">
        <v>196</v>
      </c>
      <c r="I23" s="6">
        <v>31</v>
      </c>
      <c r="J23" s="6">
        <v>64</v>
      </c>
      <c r="Q23" s="18"/>
      <c r="R23" s="13">
        <v>40.078000000000003</v>
      </c>
      <c r="S23" s="6">
        <v>24.305</v>
      </c>
      <c r="T23" s="6">
        <v>22.99</v>
      </c>
      <c r="U23" s="6">
        <v>39.097999999999999</v>
      </c>
      <c r="V23" s="6">
        <f t="shared" si="22"/>
        <v>18</v>
      </c>
      <c r="W23" s="6">
        <f t="shared" si="23"/>
        <v>62</v>
      </c>
      <c r="X23" s="6">
        <f t="shared" si="24"/>
        <v>95</v>
      </c>
      <c r="Y23" s="6">
        <f t="shared" si="25"/>
        <v>96</v>
      </c>
      <c r="Z23" s="6">
        <v>35.450000000000003</v>
      </c>
      <c r="AA23" s="6">
        <v>55.844999999999999</v>
      </c>
      <c r="AB23" s="6">
        <v>54.938000000000002</v>
      </c>
      <c r="AC23" s="6">
        <v>36.545999999999999</v>
      </c>
      <c r="AD23" s="6">
        <v>65.38</v>
      </c>
      <c r="AE23" s="6">
        <v>10.81</v>
      </c>
      <c r="AF23" s="6">
        <v>95.962000000000003</v>
      </c>
      <c r="AG23" s="7">
        <f t="shared" si="3"/>
        <v>3.9922151803982238</v>
      </c>
      <c r="AH23" s="7">
        <f t="shared" si="4"/>
        <v>1.974902283480765</v>
      </c>
      <c r="AI23" s="7"/>
      <c r="AJ23" s="7">
        <f t="shared" si="5"/>
        <v>5.9849608675635588</v>
      </c>
      <c r="AK23" s="7">
        <f t="shared" si="27"/>
        <v>0.83333333333333337</v>
      </c>
      <c r="AL23" s="7">
        <f t="shared" si="6"/>
        <v>3.161290322580645</v>
      </c>
      <c r="AM23" s="7">
        <f t="shared" si="7"/>
        <v>3.9946236559139785</v>
      </c>
      <c r="AN23" s="7">
        <f t="shared" si="8"/>
        <v>0.32631578947368423</v>
      </c>
      <c r="AO23" s="7">
        <f t="shared" si="9"/>
        <v>0.66666666666666663</v>
      </c>
      <c r="AP23" s="7"/>
      <c r="AQ23" s="7"/>
      <c r="AR23" s="7"/>
      <c r="AS23" s="7"/>
      <c r="AT23" s="7"/>
      <c r="AU23" s="7"/>
      <c r="AV23" s="34"/>
      <c r="AW23" s="37">
        <f t="shared" si="36"/>
        <v>8.1688744067436425E-2</v>
      </c>
      <c r="AX23" s="37">
        <f t="shared" si="37"/>
        <v>1.4982539991478088</v>
      </c>
      <c r="AY23" s="37">
        <f t="shared" si="38"/>
        <v>18.341009110275422</v>
      </c>
      <c r="AZ23" s="40">
        <f t="shared" si="13"/>
        <v>7.9844303607964475</v>
      </c>
      <c r="BA23" s="36">
        <f t="shared" si="14"/>
        <v>3.94980456696153</v>
      </c>
      <c r="BB23" s="36">
        <f t="shared" si="15"/>
        <v>0</v>
      </c>
      <c r="BC23" s="36">
        <f t="shared" si="16"/>
        <v>5.9849608675635588</v>
      </c>
      <c r="BD23" s="36">
        <f t="shared" si="17"/>
        <v>1.6666666666666667</v>
      </c>
      <c r="BE23" s="36">
        <f t="shared" si="18"/>
        <v>3.161290322580645</v>
      </c>
      <c r="BF23" s="36">
        <f t="shared" si="19"/>
        <v>0.97894736842105268</v>
      </c>
      <c r="BG23" s="36">
        <f t="shared" si="20"/>
        <v>1.3333333333333333</v>
      </c>
      <c r="BH23" s="36">
        <f t="shared" si="21"/>
        <v>0</v>
      </c>
      <c r="BN23" s="18"/>
      <c r="BO23" s="13"/>
    </row>
    <row r="24" spans="1:67" s="6" customFormat="1" x14ac:dyDescent="0.2">
      <c r="A24" s="6" t="s">
        <v>19</v>
      </c>
      <c r="B24" s="23"/>
      <c r="C24" s="13">
        <v>180</v>
      </c>
      <c r="D24" s="6">
        <v>55</v>
      </c>
      <c r="F24" s="6">
        <v>90</v>
      </c>
      <c r="G24" s="6">
        <v>20</v>
      </c>
      <c r="H24" s="6">
        <v>126</v>
      </c>
      <c r="I24" s="6">
        <v>71</v>
      </c>
      <c r="J24" s="6">
        <v>96</v>
      </c>
      <c r="Q24" s="18"/>
      <c r="R24" s="13">
        <v>40.078000000000003</v>
      </c>
      <c r="S24" s="6">
        <v>24.305</v>
      </c>
      <c r="T24" s="6">
        <v>22.99</v>
      </c>
      <c r="U24" s="6">
        <v>39.097999999999999</v>
      </c>
      <c r="V24" s="6">
        <f t="shared" si="22"/>
        <v>18</v>
      </c>
      <c r="W24" s="6">
        <f t="shared" si="23"/>
        <v>62</v>
      </c>
      <c r="X24" s="6">
        <f t="shared" si="24"/>
        <v>95</v>
      </c>
      <c r="Y24" s="6">
        <f t="shared" si="25"/>
        <v>96</v>
      </c>
      <c r="Z24" s="6">
        <v>35.450000000000003</v>
      </c>
      <c r="AA24" s="6">
        <v>55.844999999999999</v>
      </c>
      <c r="AB24" s="6">
        <v>54.938000000000002</v>
      </c>
      <c r="AC24" s="6">
        <v>36.545999999999999</v>
      </c>
      <c r="AD24" s="6">
        <v>65.38</v>
      </c>
      <c r="AE24" s="6">
        <v>10.81</v>
      </c>
      <c r="AF24" s="6">
        <v>95.962000000000003</v>
      </c>
      <c r="AG24" s="7">
        <f t="shared" si="3"/>
        <v>4.4912420779480016</v>
      </c>
      <c r="AH24" s="7">
        <f t="shared" si="4"/>
        <v>2.262908866488377</v>
      </c>
      <c r="AI24" s="7"/>
      <c r="AJ24" s="7">
        <f t="shared" si="5"/>
        <v>2.3019080259859837</v>
      </c>
      <c r="AK24" s="7">
        <f t="shared" si="27"/>
        <v>1.1111111111111112</v>
      </c>
      <c r="AL24" s="7">
        <f t="shared" si="6"/>
        <v>2.032258064516129</v>
      </c>
      <c r="AM24" s="7">
        <f t="shared" si="7"/>
        <v>3.1433691756272402</v>
      </c>
      <c r="AN24" s="7">
        <f t="shared" si="8"/>
        <v>0.74736842105263157</v>
      </c>
      <c r="AO24" s="7">
        <f t="shared" si="9"/>
        <v>1</v>
      </c>
      <c r="AP24" s="7"/>
      <c r="AQ24" s="7"/>
      <c r="AR24" s="7"/>
      <c r="AS24" s="7"/>
      <c r="AT24" s="7"/>
      <c r="AU24" s="7"/>
      <c r="AV24" s="34"/>
      <c r="AW24" s="37">
        <f t="shared" si="36"/>
        <v>0.23776030726759886</v>
      </c>
      <c r="AX24" s="37">
        <f t="shared" si="37"/>
        <v>0.73230597405939502</v>
      </c>
      <c r="AY24" s="37">
        <f t="shared" si="38"/>
        <v>3.0800177812488516</v>
      </c>
      <c r="AZ24" s="40">
        <f t="shared" si="13"/>
        <v>8.9824841558960031</v>
      </c>
      <c r="BA24" s="36">
        <f t="shared" si="14"/>
        <v>4.5258177329767539</v>
      </c>
      <c r="BB24" s="36">
        <f t="shared" si="15"/>
        <v>0</v>
      </c>
      <c r="BC24" s="36">
        <f t="shared" si="16"/>
        <v>2.3019080259859837</v>
      </c>
      <c r="BD24" s="36">
        <f t="shared" si="17"/>
        <v>2.2222222222222223</v>
      </c>
      <c r="BE24" s="36">
        <f t="shared" si="18"/>
        <v>2.032258064516129</v>
      </c>
      <c r="BF24" s="36">
        <f t="shared" si="19"/>
        <v>2.2421052631578946</v>
      </c>
      <c r="BG24" s="36">
        <f t="shared" si="20"/>
        <v>2</v>
      </c>
      <c r="BH24" s="36">
        <f t="shared" si="21"/>
        <v>0</v>
      </c>
      <c r="BN24" s="18"/>
      <c r="BO24" s="13"/>
    </row>
    <row r="25" spans="1:67" s="6" customFormat="1" x14ac:dyDescent="0.2">
      <c r="A25" s="6" t="s">
        <v>20</v>
      </c>
      <c r="B25" s="23"/>
      <c r="C25" s="13">
        <v>320</v>
      </c>
      <c r="D25" s="6">
        <v>50</v>
      </c>
      <c r="F25" s="6">
        <v>300</v>
      </c>
      <c r="H25" s="6">
        <v>200</v>
      </c>
      <c r="I25" s="6">
        <v>65</v>
      </c>
      <c r="Q25" s="18"/>
      <c r="R25" s="13">
        <v>40.078000000000003</v>
      </c>
      <c r="S25" s="6">
        <v>24.305</v>
      </c>
      <c r="T25" s="6">
        <v>22.99</v>
      </c>
      <c r="U25" s="6">
        <v>39.097999999999999</v>
      </c>
      <c r="V25" s="6">
        <f t="shared" si="22"/>
        <v>18</v>
      </c>
      <c r="W25" s="6">
        <f t="shared" si="23"/>
        <v>62</v>
      </c>
      <c r="X25" s="6">
        <f t="shared" si="24"/>
        <v>95</v>
      </c>
      <c r="Y25" s="6">
        <f t="shared" si="25"/>
        <v>96</v>
      </c>
      <c r="Z25" s="6">
        <v>35.450000000000003</v>
      </c>
      <c r="AA25" s="6">
        <v>55.844999999999999</v>
      </c>
      <c r="AB25" s="6">
        <v>54.938000000000002</v>
      </c>
      <c r="AC25" s="6">
        <v>36.545999999999999</v>
      </c>
      <c r="AD25" s="6">
        <v>65.38</v>
      </c>
      <c r="AE25" s="6">
        <v>10.81</v>
      </c>
      <c r="AF25" s="6">
        <v>95.962000000000003</v>
      </c>
      <c r="AG25" s="7">
        <f t="shared" si="3"/>
        <v>7.9844303607964475</v>
      </c>
      <c r="AH25" s="7">
        <f t="shared" si="4"/>
        <v>2.0571898786257972</v>
      </c>
      <c r="AI25" s="7"/>
      <c r="AJ25" s="7">
        <f t="shared" si="5"/>
        <v>7.6730267532866128</v>
      </c>
      <c r="AK25" s="7"/>
      <c r="AL25" s="7">
        <f t="shared" si="6"/>
        <v>3.225806451612903</v>
      </c>
      <c r="AM25" s="7">
        <f t="shared" si="7"/>
        <v>3.225806451612903</v>
      </c>
      <c r="AN25" s="7">
        <f t="shared" si="8"/>
        <v>0.68421052631578949</v>
      </c>
      <c r="AO25" s="7"/>
      <c r="AP25" s="7"/>
      <c r="AQ25" s="7"/>
      <c r="AR25" s="7"/>
      <c r="AS25" s="7"/>
      <c r="AT25" s="7"/>
      <c r="AU25" s="7"/>
      <c r="AV25" s="34"/>
      <c r="AW25" s="37">
        <f t="shared" si="36"/>
        <v>0.21210526315789477</v>
      </c>
      <c r="AX25" s="37">
        <f t="shared" si="37"/>
        <v>2.3786382935188501</v>
      </c>
      <c r="AY25" s="37">
        <f t="shared" si="38"/>
        <v>11.214423716341972</v>
      </c>
      <c r="AZ25" s="40">
        <f t="shared" si="13"/>
        <v>15.968860721592895</v>
      </c>
      <c r="BA25" s="36">
        <f t="shared" si="14"/>
        <v>4.1143797572515943</v>
      </c>
      <c r="BB25" s="36">
        <f t="shared" si="15"/>
        <v>0</v>
      </c>
      <c r="BC25" s="36">
        <f t="shared" si="16"/>
        <v>7.6730267532866128</v>
      </c>
      <c r="BD25" s="36">
        <f t="shared" si="17"/>
        <v>0</v>
      </c>
      <c r="BE25" s="36">
        <f t="shared" si="18"/>
        <v>3.225806451612903</v>
      </c>
      <c r="BF25" s="36">
        <f t="shared" si="19"/>
        <v>2.0526315789473686</v>
      </c>
      <c r="BG25" s="36">
        <f t="shared" si="20"/>
        <v>0</v>
      </c>
      <c r="BH25" s="36">
        <f t="shared" si="21"/>
        <v>0</v>
      </c>
      <c r="BN25" s="18"/>
      <c r="BO25" s="13"/>
    </row>
    <row r="26" spans="1:67" s="6" customFormat="1" x14ac:dyDescent="0.2">
      <c r="A26" s="6" t="s">
        <v>102</v>
      </c>
      <c r="B26" s="23"/>
      <c r="C26" s="13">
        <v>131</v>
      </c>
      <c r="D26" s="6">
        <v>22</v>
      </c>
      <c r="F26" s="6">
        <v>209</v>
      </c>
      <c r="G26" s="6">
        <v>33</v>
      </c>
      <c r="H26" s="6">
        <v>93</v>
      </c>
      <c r="I26" s="6">
        <v>36.700000000000003</v>
      </c>
      <c r="J26" s="6">
        <v>29.5</v>
      </c>
      <c r="K26" s="6">
        <v>188</v>
      </c>
      <c r="L26" s="6">
        <v>1.7</v>
      </c>
      <c r="M26" s="6">
        <v>0.8</v>
      </c>
      <c r="N26" s="6">
        <v>3.5000000000000003E-2</v>
      </c>
      <c r="O26" s="6">
        <v>9.4E-2</v>
      </c>
      <c r="P26" s="6">
        <v>0.46</v>
      </c>
      <c r="Q26" s="18">
        <v>2.7E-2</v>
      </c>
      <c r="R26" s="13">
        <v>40.078000000000003</v>
      </c>
      <c r="S26" s="6">
        <v>24.305</v>
      </c>
      <c r="T26" s="6">
        <v>22.99</v>
      </c>
      <c r="U26" s="6">
        <v>39.097999999999999</v>
      </c>
      <c r="V26" s="6">
        <f t="shared" si="22"/>
        <v>18</v>
      </c>
      <c r="W26" s="6">
        <f t="shared" si="23"/>
        <v>62</v>
      </c>
      <c r="X26" s="6">
        <f t="shared" si="24"/>
        <v>95</v>
      </c>
      <c r="Y26" s="6">
        <f t="shared" si="25"/>
        <v>96</v>
      </c>
      <c r="Z26" s="6">
        <v>35.450000000000003</v>
      </c>
      <c r="AA26" s="6">
        <v>55.844999999999999</v>
      </c>
      <c r="AB26" s="6">
        <v>54.938000000000002</v>
      </c>
      <c r="AC26" s="6">
        <v>36.545999999999999</v>
      </c>
      <c r="AD26" s="6">
        <v>65.38</v>
      </c>
      <c r="AE26" s="6">
        <v>10.81</v>
      </c>
      <c r="AF26" s="6">
        <v>95.962000000000003</v>
      </c>
      <c r="AG26" s="7">
        <f t="shared" si="3"/>
        <v>3.2686261789510453</v>
      </c>
      <c r="AH26" s="7">
        <f t="shared" si="4"/>
        <v>0.9051635465953507</v>
      </c>
      <c r="AI26" s="7"/>
      <c r="AJ26" s="7">
        <f t="shared" si="5"/>
        <v>5.3455419714563401</v>
      </c>
      <c r="AK26" s="7">
        <f t="shared" si="27"/>
        <v>1.8333333333333333</v>
      </c>
      <c r="AL26" s="7">
        <f t="shared" si="6"/>
        <v>1.5</v>
      </c>
      <c r="AM26" s="7">
        <f t="shared" si="7"/>
        <v>3.333333333333333</v>
      </c>
      <c r="AN26" s="7">
        <f t="shared" si="8"/>
        <v>0.38631578947368428</v>
      </c>
      <c r="AO26" s="7">
        <f>J26/(Y26*1000)*1000</f>
        <v>0.30729166666666663</v>
      </c>
      <c r="AP26" s="7">
        <f>K26/(Z26*1000)*1000</f>
        <v>5.3032440056417487</v>
      </c>
      <c r="AQ26" s="7">
        <f t="shared" ref="AQ26:AV28" si="40">L26/(AA26*1000)*1000000</f>
        <v>30.441400304414003</v>
      </c>
      <c r="AR26" s="7">
        <f>M26/(AB26*1000)*1000000</f>
        <v>14.561869744075139</v>
      </c>
      <c r="AS26" s="7">
        <f t="shared" si="40"/>
        <v>0.95769714879877432</v>
      </c>
      <c r="AT26" s="7">
        <f t="shared" si="40"/>
        <v>1.4377485469562559</v>
      </c>
      <c r="AU26" s="7">
        <f t="shared" si="40"/>
        <v>42.553191489361701</v>
      </c>
      <c r="AV26" s="34">
        <f t="shared" si="40"/>
        <v>0.28136137220983304</v>
      </c>
      <c r="AW26" s="37">
        <f t="shared" si="36"/>
        <v>0.1158947368421053</v>
      </c>
      <c r="AX26" s="37">
        <f t="shared" si="37"/>
        <v>1.6036625914369023</v>
      </c>
      <c r="AY26" s="37">
        <f t="shared" si="38"/>
        <v>13.837233986058644</v>
      </c>
      <c r="AZ26" s="40">
        <f t="shared" si="13"/>
        <v>6.5372523579020907</v>
      </c>
      <c r="BA26" s="36">
        <f t="shared" si="14"/>
        <v>1.8103270931907014</v>
      </c>
      <c r="BB26" s="36">
        <f t="shared" si="15"/>
        <v>0</v>
      </c>
      <c r="BC26" s="36">
        <f t="shared" si="16"/>
        <v>5.3455419714563401</v>
      </c>
      <c r="BD26" s="36">
        <f t="shared" si="17"/>
        <v>3.6666666666666665</v>
      </c>
      <c r="BE26" s="36">
        <f t="shared" si="18"/>
        <v>1.5</v>
      </c>
      <c r="BF26" s="36">
        <f t="shared" si="19"/>
        <v>1.1589473684210527</v>
      </c>
      <c r="BG26" s="36">
        <f t="shared" si="20"/>
        <v>0.61458333333333326</v>
      </c>
      <c r="BH26" s="36">
        <f t="shared" si="21"/>
        <v>5.3032440056417487</v>
      </c>
      <c r="BN26" s="18"/>
      <c r="BO26" s="13"/>
    </row>
    <row r="27" spans="1:67" s="6" customFormat="1" x14ac:dyDescent="0.2">
      <c r="A27" s="6" t="s">
        <v>103</v>
      </c>
      <c r="B27" s="23"/>
      <c r="C27" s="13">
        <v>146</v>
      </c>
      <c r="D27" s="6">
        <v>22</v>
      </c>
      <c r="F27" s="6">
        <v>209</v>
      </c>
      <c r="G27" s="6">
        <v>33</v>
      </c>
      <c r="H27" s="6">
        <v>135</v>
      </c>
      <c r="I27" s="6">
        <v>36.700000000000003</v>
      </c>
      <c r="J27" s="6">
        <v>29.5</v>
      </c>
      <c r="K27" s="6">
        <v>108</v>
      </c>
      <c r="L27" s="6">
        <v>1.7</v>
      </c>
      <c r="M27" s="6">
        <v>0.8</v>
      </c>
      <c r="N27" s="6">
        <v>3.5000000000000003E-2</v>
      </c>
      <c r="O27" s="6">
        <v>9.4E-2</v>
      </c>
      <c r="P27" s="6">
        <v>0.46</v>
      </c>
      <c r="Q27" s="18">
        <v>2.7E-2</v>
      </c>
      <c r="R27" s="13">
        <v>40.078000000000003</v>
      </c>
      <c r="S27" s="6">
        <v>24.305</v>
      </c>
      <c r="T27" s="6">
        <v>22.99</v>
      </c>
      <c r="U27" s="6">
        <v>39.097999999999999</v>
      </c>
      <c r="V27" s="6">
        <f t="shared" si="22"/>
        <v>18</v>
      </c>
      <c r="W27" s="6">
        <f t="shared" si="23"/>
        <v>62</v>
      </c>
      <c r="X27" s="6">
        <f t="shared" si="24"/>
        <v>95</v>
      </c>
      <c r="Y27" s="6">
        <f t="shared" si="25"/>
        <v>96</v>
      </c>
      <c r="Z27" s="6">
        <v>35.450000000000003</v>
      </c>
      <c r="AA27" s="6">
        <v>55.844999999999999</v>
      </c>
      <c r="AB27" s="6">
        <v>54.938000000000002</v>
      </c>
      <c r="AC27" s="6">
        <v>36.545999999999999</v>
      </c>
      <c r="AD27" s="6">
        <v>65.38</v>
      </c>
      <c r="AE27" s="6">
        <v>10.81</v>
      </c>
      <c r="AF27" s="6">
        <v>95.962000000000003</v>
      </c>
      <c r="AG27" s="7">
        <f t="shared" si="3"/>
        <v>3.6428963521133788</v>
      </c>
      <c r="AH27" s="7">
        <f t="shared" si="4"/>
        <v>0.9051635465953507</v>
      </c>
      <c r="AI27" s="7"/>
      <c r="AJ27" s="7">
        <f t="shared" si="5"/>
        <v>5.3455419714563401</v>
      </c>
      <c r="AK27" s="7">
        <f t="shared" si="27"/>
        <v>1.8333333333333333</v>
      </c>
      <c r="AL27" s="7">
        <f t="shared" si="6"/>
        <v>2.1774193548387095</v>
      </c>
      <c r="AM27" s="7">
        <f t="shared" si="7"/>
        <v>4.010752688172043</v>
      </c>
      <c r="AN27" s="7">
        <f t="shared" si="8"/>
        <v>0.38631578947368428</v>
      </c>
      <c r="AO27" s="7">
        <f>J27/(Y27*1000)*1000</f>
        <v>0.30729166666666663</v>
      </c>
      <c r="AP27" s="7">
        <f>K27/(Z27*1000)*1000</f>
        <v>3.0465444287729193</v>
      </c>
      <c r="AQ27" s="7">
        <f t="shared" si="40"/>
        <v>30.441400304414003</v>
      </c>
      <c r="AR27" s="7">
        <f t="shared" ref="AR27:AR28" si="41">M27/(AB27*1000)*1000000</f>
        <v>14.561869744075139</v>
      </c>
      <c r="AS27" s="7">
        <f t="shared" si="40"/>
        <v>0.95769714879877432</v>
      </c>
      <c r="AT27" s="7">
        <f t="shared" si="40"/>
        <v>1.4377485469562559</v>
      </c>
      <c r="AU27" s="7">
        <f t="shared" si="40"/>
        <v>42.553191489361701</v>
      </c>
      <c r="AV27" s="34">
        <f t="shared" si="40"/>
        <v>0.28136137220983304</v>
      </c>
      <c r="AW27" s="37">
        <f t="shared" si="36"/>
        <v>9.6320022576548633E-2</v>
      </c>
      <c r="AX27" s="37">
        <f t="shared" si="37"/>
        <v>1.3328026899341545</v>
      </c>
      <c r="AY27" s="37">
        <f t="shared" si="38"/>
        <v>13.837233986058644</v>
      </c>
      <c r="AZ27" s="40">
        <f t="shared" si="13"/>
        <v>7.2857927042267576</v>
      </c>
      <c r="BA27" s="36">
        <f t="shared" si="14"/>
        <v>1.8103270931907014</v>
      </c>
      <c r="BB27" s="36">
        <f t="shared" si="15"/>
        <v>0</v>
      </c>
      <c r="BC27" s="36">
        <f t="shared" si="16"/>
        <v>5.3455419714563401</v>
      </c>
      <c r="BD27" s="36">
        <f t="shared" si="17"/>
        <v>3.6666666666666665</v>
      </c>
      <c r="BE27" s="36">
        <f t="shared" si="18"/>
        <v>2.1774193548387095</v>
      </c>
      <c r="BF27" s="36">
        <f t="shared" si="19"/>
        <v>1.1589473684210527</v>
      </c>
      <c r="BG27" s="36">
        <f t="shared" si="20"/>
        <v>0.61458333333333326</v>
      </c>
      <c r="BH27" s="36">
        <f t="shared" si="21"/>
        <v>3.0465444287729193</v>
      </c>
      <c r="BN27" s="18"/>
      <c r="BO27" s="13"/>
    </row>
    <row r="28" spans="1:67" s="6" customFormat="1" x14ac:dyDescent="0.2">
      <c r="A28" s="6" t="s">
        <v>104</v>
      </c>
      <c r="B28" s="23"/>
      <c r="C28" s="13">
        <v>146</v>
      </c>
      <c r="D28" s="6">
        <v>22</v>
      </c>
      <c r="F28" s="6">
        <v>209</v>
      </c>
      <c r="G28" s="6">
        <v>33</v>
      </c>
      <c r="H28" s="6">
        <v>177</v>
      </c>
      <c r="I28" s="6">
        <v>36.700000000000003</v>
      </c>
      <c r="J28" s="6">
        <v>29.5</v>
      </c>
      <c r="L28" s="6">
        <v>1.7</v>
      </c>
      <c r="M28" s="6">
        <v>0.8</v>
      </c>
      <c r="N28" s="6">
        <v>3.5000000000000003E-2</v>
      </c>
      <c r="O28" s="6">
        <v>9.4E-2</v>
      </c>
      <c r="P28" s="6">
        <v>0.46</v>
      </c>
      <c r="Q28" s="18">
        <v>2.7E-2</v>
      </c>
      <c r="R28" s="13">
        <v>40.078000000000003</v>
      </c>
      <c r="S28" s="6">
        <v>24.305</v>
      </c>
      <c r="T28" s="6">
        <v>22.99</v>
      </c>
      <c r="U28" s="6">
        <v>39.097999999999999</v>
      </c>
      <c r="V28" s="6">
        <f t="shared" si="22"/>
        <v>18</v>
      </c>
      <c r="W28" s="6">
        <f t="shared" si="23"/>
        <v>62</v>
      </c>
      <c r="X28" s="6">
        <f t="shared" si="24"/>
        <v>95</v>
      </c>
      <c r="Y28" s="6">
        <f t="shared" si="25"/>
        <v>96</v>
      </c>
      <c r="Z28" s="6">
        <v>35.450000000000003</v>
      </c>
      <c r="AA28" s="6">
        <v>55.844999999999999</v>
      </c>
      <c r="AB28" s="6">
        <v>54.938000000000002</v>
      </c>
      <c r="AC28" s="6">
        <v>36.545999999999999</v>
      </c>
      <c r="AD28" s="6">
        <v>65.38</v>
      </c>
      <c r="AE28" s="6">
        <v>10.81</v>
      </c>
      <c r="AF28" s="6">
        <v>95.962000000000003</v>
      </c>
      <c r="AG28" s="7">
        <f t="shared" si="3"/>
        <v>3.6428963521133788</v>
      </c>
      <c r="AH28" s="7">
        <f t="shared" si="4"/>
        <v>0.9051635465953507</v>
      </c>
      <c r="AI28" s="7"/>
      <c r="AJ28" s="7">
        <f t="shared" si="5"/>
        <v>5.3455419714563401</v>
      </c>
      <c r="AK28" s="7">
        <f t="shared" si="27"/>
        <v>1.8333333333333333</v>
      </c>
      <c r="AL28" s="7">
        <f t="shared" si="6"/>
        <v>2.8548387096774195</v>
      </c>
      <c r="AM28" s="7">
        <f t="shared" si="7"/>
        <v>4.688172043010753</v>
      </c>
      <c r="AN28" s="7">
        <f t="shared" si="8"/>
        <v>0.38631578947368428</v>
      </c>
      <c r="AO28" s="7">
        <f t="shared" ref="AO28:AO50" si="42">J28/(Y28*1000)*1000</f>
        <v>0.30729166666666663</v>
      </c>
      <c r="AP28" s="7"/>
      <c r="AQ28" s="7">
        <f t="shared" si="40"/>
        <v>30.441400304414003</v>
      </c>
      <c r="AR28" s="7">
        <f t="shared" si="41"/>
        <v>14.561869744075139</v>
      </c>
      <c r="AS28" s="7">
        <f t="shared" si="40"/>
        <v>0.95769714879877432</v>
      </c>
      <c r="AT28" s="7">
        <f t="shared" si="40"/>
        <v>1.4377485469562559</v>
      </c>
      <c r="AU28" s="7">
        <f t="shared" si="40"/>
        <v>42.553191489361701</v>
      </c>
      <c r="AV28" s="34">
        <f t="shared" si="40"/>
        <v>0.28136137220983304</v>
      </c>
      <c r="AW28" s="37">
        <f t="shared" si="36"/>
        <v>8.2402221149203286E-2</v>
      </c>
      <c r="AX28" s="37">
        <f t="shared" si="37"/>
        <v>1.1402188150124761</v>
      </c>
      <c r="AY28" s="37">
        <f t="shared" si="38"/>
        <v>13.837233986058644</v>
      </c>
      <c r="AZ28" s="40">
        <f t="shared" si="13"/>
        <v>7.2857927042267576</v>
      </c>
      <c r="BA28" s="36">
        <f t="shared" si="14"/>
        <v>1.8103270931907014</v>
      </c>
      <c r="BB28" s="36">
        <f t="shared" si="15"/>
        <v>0</v>
      </c>
      <c r="BC28" s="36">
        <f t="shared" si="16"/>
        <v>5.3455419714563401</v>
      </c>
      <c r="BD28" s="36">
        <f t="shared" si="17"/>
        <v>3.6666666666666665</v>
      </c>
      <c r="BE28" s="36">
        <f t="shared" si="18"/>
        <v>2.8548387096774195</v>
      </c>
      <c r="BF28" s="36">
        <f t="shared" si="19"/>
        <v>1.1589473684210527</v>
      </c>
      <c r="BG28" s="36">
        <f t="shared" si="20"/>
        <v>0.61458333333333326</v>
      </c>
      <c r="BH28" s="36">
        <f t="shared" si="21"/>
        <v>0</v>
      </c>
      <c r="BN28" s="18"/>
      <c r="BO28" s="13"/>
    </row>
    <row r="29" spans="1:67" s="6" customFormat="1" x14ac:dyDescent="0.2">
      <c r="A29" s="6" t="s">
        <v>105</v>
      </c>
      <c r="B29" s="23"/>
      <c r="C29" s="13">
        <v>272</v>
      </c>
      <c r="D29" s="6">
        <v>54</v>
      </c>
      <c r="F29" s="6">
        <v>400</v>
      </c>
      <c r="H29" s="6">
        <v>143.4</v>
      </c>
      <c r="I29" s="6">
        <v>93</v>
      </c>
      <c r="J29" s="6">
        <v>237.5</v>
      </c>
      <c r="Q29" s="18"/>
      <c r="R29" s="13">
        <v>40.078000000000003</v>
      </c>
      <c r="S29" s="6">
        <v>24.305</v>
      </c>
      <c r="T29" s="6">
        <v>22.99</v>
      </c>
      <c r="U29" s="6">
        <v>39.097999999999999</v>
      </c>
      <c r="V29" s="6">
        <f t="shared" si="22"/>
        <v>18</v>
      </c>
      <c r="W29" s="6">
        <f t="shared" si="23"/>
        <v>62</v>
      </c>
      <c r="X29" s="6">
        <f t="shared" si="24"/>
        <v>95</v>
      </c>
      <c r="Y29" s="6">
        <f t="shared" si="25"/>
        <v>96</v>
      </c>
      <c r="Z29" s="6">
        <v>35.450000000000003</v>
      </c>
      <c r="AA29" s="6">
        <v>55.844999999999999</v>
      </c>
      <c r="AB29" s="6">
        <v>54.938000000000002</v>
      </c>
      <c r="AC29" s="6">
        <v>36.545999999999999</v>
      </c>
      <c r="AD29" s="6">
        <v>65.38</v>
      </c>
      <c r="AE29" s="6">
        <v>10.81</v>
      </c>
      <c r="AF29" s="6">
        <v>95.962000000000003</v>
      </c>
      <c r="AG29" s="7">
        <f t="shared" si="3"/>
        <v>6.7867658066769794</v>
      </c>
      <c r="AH29" s="7">
        <f t="shared" si="4"/>
        <v>2.221765068915861</v>
      </c>
      <c r="AI29" s="7"/>
      <c r="AJ29" s="7">
        <f t="shared" si="5"/>
        <v>10.230702337715483</v>
      </c>
      <c r="AK29" s="7"/>
      <c r="AL29" s="7">
        <f t="shared" si="6"/>
        <v>2.3129032258064517</v>
      </c>
      <c r="AM29" s="7">
        <f t="shared" si="7"/>
        <v>2.3129032258064517</v>
      </c>
      <c r="AN29" s="7">
        <f t="shared" si="8"/>
        <v>0.97894736842105257</v>
      </c>
      <c r="AO29" s="7">
        <f t="shared" si="42"/>
        <v>2.473958333333333</v>
      </c>
      <c r="AP29" s="7"/>
      <c r="AQ29" s="7"/>
      <c r="AR29" s="7"/>
      <c r="AS29" s="7"/>
      <c r="AT29" s="7"/>
      <c r="AU29" s="7"/>
      <c r="AV29" s="34"/>
      <c r="AW29" s="37">
        <f t="shared" si="36"/>
        <v>0.42325478969389996</v>
      </c>
      <c r="AX29" s="37">
        <f t="shared" si="37"/>
        <v>4.423316212959274</v>
      </c>
      <c r="AY29" s="37">
        <f t="shared" si="38"/>
        <v>10.450717441752376</v>
      </c>
      <c r="AZ29" s="40">
        <f t="shared" si="13"/>
        <v>13.573531613353959</v>
      </c>
      <c r="BA29" s="36">
        <f t="shared" si="14"/>
        <v>4.443530137831722</v>
      </c>
      <c r="BB29" s="36">
        <f t="shared" si="15"/>
        <v>0</v>
      </c>
      <c r="BC29" s="36">
        <f t="shared" si="16"/>
        <v>10.230702337715483</v>
      </c>
      <c r="BD29" s="36">
        <f t="shared" si="17"/>
        <v>0</v>
      </c>
      <c r="BE29" s="36">
        <f t="shared" si="18"/>
        <v>2.3129032258064517</v>
      </c>
      <c r="BF29" s="36">
        <f t="shared" si="19"/>
        <v>2.9368421052631577</v>
      </c>
      <c r="BG29" s="36">
        <f t="shared" si="20"/>
        <v>4.9479166666666661</v>
      </c>
      <c r="BH29" s="36">
        <f t="shared" si="21"/>
        <v>0</v>
      </c>
      <c r="BN29" s="18"/>
      <c r="BO29" s="13"/>
    </row>
    <row r="30" spans="1:67" s="6" customFormat="1" x14ac:dyDescent="0.2">
      <c r="A30" s="6" t="s">
        <v>106</v>
      </c>
      <c r="B30" s="23"/>
      <c r="C30" s="13">
        <v>204</v>
      </c>
      <c r="D30" s="6">
        <v>41</v>
      </c>
      <c r="F30" s="6">
        <v>300</v>
      </c>
      <c r="H30" s="6">
        <v>107.6</v>
      </c>
      <c r="I30" s="6">
        <v>70</v>
      </c>
      <c r="J30" s="6">
        <v>178</v>
      </c>
      <c r="Q30" s="18"/>
      <c r="R30" s="13">
        <v>40.078000000000003</v>
      </c>
      <c r="S30" s="6">
        <v>24.305</v>
      </c>
      <c r="T30" s="6">
        <v>22.99</v>
      </c>
      <c r="U30" s="6">
        <v>39.097999999999999</v>
      </c>
      <c r="V30" s="6">
        <f t="shared" si="22"/>
        <v>18</v>
      </c>
      <c r="W30" s="6">
        <f t="shared" si="23"/>
        <v>62</v>
      </c>
      <c r="X30" s="6">
        <f t="shared" si="24"/>
        <v>95</v>
      </c>
      <c r="Y30" s="6">
        <f t="shared" si="25"/>
        <v>96</v>
      </c>
      <c r="Z30" s="6">
        <v>35.450000000000003</v>
      </c>
      <c r="AA30" s="6">
        <v>55.844999999999999</v>
      </c>
      <c r="AB30" s="6">
        <v>54.938000000000002</v>
      </c>
      <c r="AC30" s="6">
        <v>36.545999999999999</v>
      </c>
      <c r="AD30" s="6">
        <v>65.38</v>
      </c>
      <c r="AE30" s="6">
        <v>10.81</v>
      </c>
      <c r="AF30" s="6">
        <v>95.962000000000003</v>
      </c>
      <c r="AG30" s="7">
        <f t="shared" si="3"/>
        <v>5.0900743550077348</v>
      </c>
      <c r="AH30" s="7">
        <f t="shared" si="4"/>
        <v>1.6868957004731537</v>
      </c>
      <c r="AI30" s="7"/>
      <c r="AJ30" s="7">
        <f t="shared" si="5"/>
        <v>7.6730267532866128</v>
      </c>
      <c r="AK30" s="7"/>
      <c r="AL30" s="7">
        <f t="shared" si="6"/>
        <v>1.7354838709677418</v>
      </c>
      <c r="AM30" s="7">
        <f t="shared" si="7"/>
        <v>1.7354838709677418</v>
      </c>
      <c r="AN30" s="7">
        <f t="shared" si="8"/>
        <v>0.73684210526315796</v>
      </c>
      <c r="AO30" s="7">
        <f t="shared" si="42"/>
        <v>1.8541666666666667</v>
      </c>
      <c r="AP30" s="7"/>
      <c r="AQ30" s="7"/>
      <c r="AR30" s="7"/>
      <c r="AS30" s="7"/>
      <c r="AT30" s="7"/>
      <c r="AU30" s="7"/>
      <c r="AV30" s="34"/>
      <c r="AW30" s="37">
        <f t="shared" si="36"/>
        <v>0.4245744472705929</v>
      </c>
      <c r="AX30" s="37">
        <f t="shared" si="37"/>
        <v>4.4212607686223979</v>
      </c>
      <c r="AY30" s="37">
        <f t="shared" si="38"/>
        <v>10.413393450888973</v>
      </c>
      <c r="AZ30" s="40">
        <f t="shared" si="13"/>
        <v>10.18014871001547</v>
      </c>
      <c r="BA30" s="36">
        <f t="shared" si="14"/>
        <v>3.3737914009463075</v>
      </c>
      <c r="BB30" s="36">
        <f t="shared" si="15"/>
        <v>0</v>
      </c>
      <c r="BC30" s="36">
        <f t="shared" si="16"/>
        <v>7.6730267532866128</v>
      </c>
      <c r="BD30" s="36">
        <f t="shared" si="17"/>
        <v>0</v>
      </c>
      <c r="BE30" s="36">
        <f t="shared" si="18"/>
        <v>1.7354838709677418</v>
      </c>
      <c r="BF30" s="36">
        <f t="shared" si="19"/>
        <v>2.2105263157894739</v>
      </c>
      <c r="BG30" s="36">
        <f t="shared" si="20"/>
        <v>3.7083333333333335</v>
      </c>
      <c r="BH30" s="36">
        <f t="shared" si="21"/>
        <v>0</v>
      </c>
      <c r="BN30" s="18"/>
      <c r="BO30" s="13"/>
    </row>
    <row r="31" spans="1:67" s="6" customFormat="1" x14ac:dyDescent="0.2">
      <c r="A31" s="6" t="s">
        <v>107</v>
      </c>
      <c r="B31" s="23"/>
      <c r="C31" s="13">
        <v>136</v>
      </c>
      <c r="D31" s="6">
        <v>27</v>
      </c>
      <c r="F31" s="6">
        <v>200</v>
      </c>
      <c r="H31" s="6">
        <v>71.7</v>
      </c>
      <c r="I31" s="6">
        <v>46.5</v>
      </c>
      <c r="J31" s="6">
        <v>119</v>
      </c>
      <c r="Q31" s="18"/>
      <c r="R31" s="13">
        <v>40.078000000000003</v>
      </c>
      <c r="S31" s="6">
        <v>24.305</v>
      </c>
      <c r="T31" s="6">
        <v>22.99</v>
      </c>
      <c r="U31" s="6">
        <v>39.097999999999999</v>
      </c>
      <c r="V31" s="6">
        <f t="shared" si="22"/>
        <v>18</v>
      </c>
      <c r="W31" s="6">
        <f t="shared" si="23"/>
        <v>62</v>
      </c>
      <c r="X31" s="6">
        <f t="shared" si="24"/>
        <v>95</v>
      </c>
      <c r="Y31" s="6">
        <f t="shared" si="25"/>
        <v>96</v>
      </c>
      <c r="Z31" s="6">
        <v>35.450000000000003</v>
      </c>
      <c r="AA31" s="6">
        <v>55.844999999999999</v>
      </c>
      <c r="AB31" s="6">
        <v>54.938000000000002</v>
      </c>
      <c r="AC31" s="6">
        <v>36.545999999999999</v>
      </c>
      <c r="AD31" s="6">
        <v>65.38</v>
      </c>
      <c r="AE31" s="6">
        <v>10.81</v>
      </c>
      <c r="AF31" s="6">
        <v>95.962000000000003</v>
      </c>
      <c r="AG31" s="7">
        <f t="shared" si="3"/>
        <v>3.3933829033384897</v>
      </c>
      <c r="AH31" s="7">
        <f t="shared" si="4"/>
        <v>1.1108825344579305</v>
      </c>
      <c r="AI31" s="7"/>
      <c r="AJ31" s="7">
        <f t="shared" si="5"/>
        <v>5.1153511688577415</v>
      </c>
      <c r="AK31" s="7"/>
      <c r="AL31" s="7">
        <f t="shared" si="6"/>
        <v>1.1564516129032258</v>
      </c>
      <c r="AM31" s="7">
        <f t="shared" si="7"/>
        <v>1.1564516129032258</v>
      </c>
      <c r="AN31" s="7">
        <f t="shared" si="8"/>
        <v>0.48947368421052628</v>
      </c>
      <c r="AO31" s="7">
        <f t="shared" si="42"/>
        <v>1.2395833333333335</v>
      </c>
      <c r="AP31" s="7"/>
      <c r="AQ31" s="7"/>
      <c r="AR31" s="7"/>
      <c r="AS31" s="7"/>
      <c r="AT31" s="7"/>
      <c r="AU31" s="7"/>
      <c r="AV31" s="34"/>
      <c r="AW31" s="37">
        <f t="shared" si="36"/>
        <v>0.42325478969389996</v>
      </c>
      <c r="AX31" s="37">
        <f t="shared" si="37"/>
        <v>4.423316212959274</v>
      </c>
      <c r="AY31" s="37">
        <f t="shared" si="38"/>
        <v>10.450717441752376</v>
      </c>
      <c r="AZ31" s="40">
        <f t="shared" si="13"/>
        <v>6.7867658066769794</v>
      </c>
      <c r="BA31" s="36">
        <f t="shared" si="14"/>
        <v>2.221765068915861</v>
      </c>
      <c r="BB31" s="36">
        <f t="shared" si="15"/>
        <v>0</v>
      </c>
      <c r="BC31" s="36">
        <f t="shared" si="16"/>
        <v>5.1153511688577415</v>
      </c>
      <c r="BD31" s="36">
        <f t="shared" si="17"/>
        <v>0</v>
      </c>
      <c r="BE31" s="36">
        <f t="shared" si="18"/>
        <v>1.1564516129032258</v>
      </c>
      <c r="BF31" s="36">
        <f t="shared" si="19"/>
        <v>1.4684210526315788</v>
      </c>
      <c r="BG31" s="36">
        <f t="shared" si="20"/>
        <v>2.479166666666667</v>
      </c>
      <c r="BH31" s="36">
        <f t="shared" si="21"/>
        <v>0</v>
      </c>
      <c r="BN31" s="18"/>
      <c r="BO31" s="13"/>
    </row>
    <row r="32" spans="1:67" s="6" customFormat="1" x14ac:dyDescent="0.2">
      <c r="A32" s="6" t="s">
        <v>21</v>
      </c>
      <c r="B32" s="23"/>
      <c r="C32" s="13">
        <v>197</v>
      </c>
      <c r="D32" s="6">
        <v>44</v>
      </c>
      <c r="F32" s="6">
        <v>400</v>
      </c>
      <c r="G32" s="6">
        <v>30</v>
      </c>
      <c r="H32" s="6">
        <v>145</v>
      </c>
      <c r="I32" s="6">
        <v>65</v>
      </c>
      <c r="J32" s="6">
        <v>197.5</v>
      </c>
      <c r="L32" s="6">
        <v>2</v>
      </c>
      <c r="M32" s="6">
        <v>0.5</v>
      </c>
      <c r="N32" s="6">
        <v>0.03</v>
      </c>
      <c r="O32" s="6">
        <v>0.05</v>
      </c>
      <c r="P32" s="6">
        <v>0.5</v>
      </c>
      <c r="Q32" s="18">
        <v>0.02</v>
      </c>
      <c r="R32" s="13">
        <v>40.078000000000003</v>
      </c>
      <c r="S32" s="6">
        <v>24.305</v>
      </c>
      <c r="T32" s="6">
        <v>22.99</v>
      </c>
      <c r="U32" s="6">
        <v>39.097999999999999</v>
      </c>
      <c r="V32" s="6">
        <f t="shared" si="22"/>
        <v>18</v>
      </c>
      <c r="W32" s="6">
        <f t="shared" si="23"/>
        <v>62</v>
      </c>
      <c r="X32" s="6">
        <f t="shared" si="24"/>
        <v>95</v>
      </c>
      <c r="Y32" s="6">
        <f t="shared" si="25"/>
        <v>96</v>
      </c>
      <c r="Z32" s="6">
        <v>35.450000000000003</v>
      </c>
      <c r="AA32" s="6">
        <v>55.844999999999999</v>
      </c>
      <c r="AB32" s="6">
        <v>54.938000000000002</v>
      </c>
      <c r="AC32" s="6">
        <v>36.545999999999999</v>
      </c>
      <c r="AD32" s="6">
        <v>65.38</v>
      </c>
      <c r="AE32" s="6">
        <v>10.81</v>
      </c>
      <c r="AF32" s="6">
        <v>95.962000000000003</v>
      </c>
      <c r="AG32" s="7">
        <f t="shared" si="3"/>
        <v>4.9154149408653129</v>
      </c>
      <c r="AH32" s="7">
        <f t="shared" si="4"/>
        <v>1.8103270931907014</v>
      </c>
      <c r="AI32" s="7"/>
      <c r="AJ32" s="7">
        <f t="shared" si="5"/>
        <v>10.230702337715483</v>
      </c>
      <c r="AK32" s="7">
        <f t="shared" si="27"/>
        <v>1.6666666666666667</v>
      </c>
      <c r="AL32" s="7">
        <f t="shared" si="6"/>
        <v>2.338709677419355</v>
      </c>
      <c r="AM32" s="7">
        <f t="shared" si="7"/>
        <v>4.0053763440860219</v>
      </c>
      <c r="AN32" s="7">
        <f t="shared" si="8"/>
        <v>0.68421052631578949</v>
      </c>
      <c r="AO32" s="7">
        <f t="shared" si="42"/>
        <v>2.0572916666666665</v>
      </c>
      <c r="AP32" s="7"/>
      <c r="AQ32" s="7">
        <f t="shared" ref="AQ32:AV47" si="43">L32/(AA32*1000)*1000000</f>
        <v>35.813412122839999</v>
      </c>
      <c r="AR32" s="7">
        <f>M32/(AB32*1000)*1000000</f>
        <v>9.1011685900469619</v>
      </c>
      <c r="AS32" s="7">
        <f t="shared" si="43"/>
        <v>0.82088327039894926</v>
      </c>
      <c r="AT32" s="7">
        <f t="shared" si="43"/>
        <v>0.76475986540226382</v>
      </c>
      <c r="AU32" s="7">
        <f t="shared" si="43"/>
        <v>46.253469010175763</v>
      </c>
      <c r="AV32" s="34">
        <f t="shared" si="43"/>
        <v>0.20841583126654301</v>
      </c>
      <c r="AW32" s="37">
        <f t="shared" si="36"/>
        <v>0.17082303073119037</v>
      </c>
      <c r="AX32" s="37">
        <f t="shared" si="37"/>
        <v>2.5542424628390332</v>
      </c>
      <c r="AY32" s="37">
        <f t="shared" si="38"/>
        <v>14.952564955122629</v>
      </c>
      <c r="AZ32" s="40">
        <f t="shared" si="13"/>
        <v>9.8308298817306259</v>
      </c>
      <c r="BA32" s="36">
        <f t="shared" si="14"/>
        <v>3.6206541863814028</v>
      </c>
      <c r="BB32" s="36">
        <f t="shared" si="15"/>
        <v>0</v>
      </c>
      <c r="BC32" s="36">
        <f t="shared" si="16"/>
        <v>10.230702337715483</v>
      </c>
      <c r="BD32" s="36">
        <f t="shared" si="17"/>
        <v>3.3333333333333335</v>
      </c>
      <c r="BE32" s="36">
        <f t="shared" si="18"/>
        <v>2.338709677419355</v>
      </c>
      <c r="BF32" s="36">
        <f t="shared" si="19"/>
        <v>2.0526315789473686</v>
      </c>
      <c r="BG32" s="36">
        <f t="shared" si="20"/>
        <v>4.114583333333333</v>
      </c>
      <c r="BH32" s="36">
        <f t="shared" si="21"/>
        <v>0</v>
      </c>
      <c r="BN32" s="18"/>
      <c r="BO32" s="13"/>
    </row>
    <row r="33" spans="1:67" s="6" customFormat="1" x14ac:dyDescent="0.2">
      <c r="A33" s="6" t="s">
        <v>22</v>
      </c>
      <c r="B33" s="23"/>
      <c r="C33" s="13">
        <v>148</v>
      </c>
      <c r="D33" s="6">
        <v>33</v>
      </c>
      <c r="F33" s="6">
        <v>300</v>
      </c>
      <c r="G33" s="6">
        <v>20</v>
      </c>
      <c r="H33" s="6">
        <v>110</v>
      </c>
      <c r="I33" s="6">
        <v>55</v>
      </c>
      <c r="J33" s="6">
        <v>144.30000000000001</v>
      </c>
      <c r="L33" s="6">
        <v>2</v>
      </c>
      <c r="M33" s="6">
        <v>0.5</v>
      </c>
      <c r="N33" s="6">
        <v>0.03</v>
      </c>
      <c r="O33" s="6">
        <v>0.05</v>
      </c>
      <c r="P33" s="6">
        <v>0.5</v>
      </c>
      <c r="Q33" s="18">
        <v>0.02</v>
      </c>
      <c r="R33" s="13">
        <v>40.078000000000003</v>
      </c>
      <c r="S33" s="6">
        <v>24.305</v>
      </c>
      <c r="T33" s="6">
        <v>22.99</v>
      </c>
      <c r="U33" s="6">
        <v>39.097999999999999</v>
      </c>
      <c r="V33" s="6">
        <f t="shared" si="22"/>
        <v>18</v>
      </c>
      <c r="W33" s="6">
        <f t="shared" si="23"/>
        <v>62</v>
      </c>
      <c r="X33" s="6">
        <f t="shared" si="24"/>
        <v>95</v>
      </c>
      <c r="Y33" s="6">
        <f t="shared" si="25"/>
        <v>96</v>
      </c>
      <c r="Z33" s="6">
        <v>35.450000000000003</v>
      </c>
      <c r="AA33" s="6">
        <v>55.844999999999999</v>
      </c>
      <c r="AB33" s="6">
        <v>54.938000000000002</v>
      </c>
      <c r="AC33" s="6">
        <v>36.545999999999999</v>
      </c>
      <c r="AD33" s="6">
        <v>65.38</v>
      </c>
      <c r="AE33" s="6">
        <v>10.81</v>
      </c>
      <c r="AF33" s="6">
        <v>95.962000000000003</v>
      </c>
      <c r="AG33" s="7">
        <f t="shared" si="3"/>
        <v>3.6927990418683567</v>
      </c>
      <c r="AH33" s="7">
        <f t="shared" si="4"/>
        <v>1.3577453198930263</v>
      </c>
      <c r="AI33" s="7"/>
      <c r="AJ33" s="7">
        <f t="shared" si="5"/>
        <v>7.6730267532866128</v>
      </c>
      <c r="AK33" s="7">
        <f t="shared" si="27"/>
        <v>1.1111111111111112</v>
      </c>
      <c r="AL33" s="7">
        <f t="shared" si="6"/>
        <v>1.774193548387097</v>
      </c>
      <c r="AM33" s="7">
        <f t="shared" si="7"/>
        <v>2.8853046594982081</v>
      </c>
      <c r="AN33" s="7">
        <f t="shared" si="8"/>
        <v>0.57894736842105265</v>
      </c>
      <c r="AO33" s="7">
        <f t="shared" si="42"/>
        <v>1.503125</v>
      </c>
      <c r="AP33" s="7"/>
      <c r="AQ33" s="7">
        <f t="shared" si="43"/>
        <v>35.813412122839999</v>
      </c>
      <c r="AR33" s="7">
        <f t="shared" ref="AR33:AR50" si="44">M33/(AB33*1000)*1000000</f>
        <v>9.1011685900469619</v>
      </c>
      <c r="AS33" s="7">
        <f t="shared" si="43"/>
        <v>0.82088327039894926</v>
      </c>
      <c r="AT33" s="7">
        <f t="shared" si="43"/>
        <v>0.76475986540226382</v>
      </c>
      <c r="AU33" s="7">
        <f t="shared" si="43"/>
        <v>46.253469010175763</v>
      </c>
      <c r="AV33" s="34">
        <f t="shared" si="43"/>
        <v>0.20841583126654301</v>
      </c>
      <c r="AW33" s="37">
        <f t="shared" si="36"/>
        <v>0.20065380843412878</v>
      </c>
      <c r="AX33" s="37">
        <f t="shared" si="37"/>
        <v>2.659347160455857</v>
      </c>
      <c r="AY33" s="37">
        <f t="shared" si="38"/>
        <v>13.253409846585967</v>
      </c>
      <c r="AZ33" s="40">
        <f t="shared" si="13"/>
        <v>7.3855980837367134</v>
      </c>
      <c r="BA33" s="36">
        <f t="shared" si="14"/>
        <v>2.7154906397860525</v>
      </c>
      <c r="BB33" s="36">
        <f t="shared" si="15"/>
        <v>0</v>
      </c>
      <c r="BC33" s="36">
        <f t="shared" si="16"/>
        <v>7.6730267532866128</v>
      </c>
      <c r="BD33" s="36">
        <f t="shared" si="17"/>
        <v>2.2222222222222223</v>
      </c>
      <c r="BE33" s="36">
        <f t="shared" si="18"/>
        <v>1.774193548387097</v>
      </c>
      <c r="BF33" s="36">
        <f t="shared" si="19"/>
        <v>1.736842105263158</v>
      </c>
      <c r="BG33" s="36">
        <f t="shared" si="20"/>
        <v>3.0062500000000001</v>
      </c>
      <c r="BH33" s="36">
        <f t="shared" si="21"/>
        <v>0</v>
      </c>
      <c r="BN33" s="18"/>
      <c r="BO33" s="13"/>
    </row>
    <row r="34" spans="1:67" s="6" customFormat="1" x14ac:dyDescent="0.2">
      <c r="A34" s="6" t="s">
        <v>23</v>
      </c>
      <c r="B34" s="23"/>
      <c r="C34" s="13">
        <v>98</v>
      </c>
      <c r="D34" s="6">
        <v>22</v>
      </c>
      <c r="F34" s="6">
        <v>200</v>
      </c>
      <c r="G34" s="6">
        <v>10</v>
      </c>
      <c r="H34" s="6">
        <v>80</v>
      </c>
      <c r="I34" s="6">
        <v>40</v>
      </c>
      <c r="J34" s="6">
        <v>83.2</v>
      </c>
      <c r="L34" s="6">
        <v>2</v>
      </c>
      <c r="M34" s="6">
        <v>0.5</v>
      </c>
      <c r="N34" s="6">
        <v>0.03</v>
      </c>
      <c r="O34" s="6">
        <v>0.05</v>
      </c>
      <c r="P34" s="6">
        <v>0.5</v>
      </c>
      <c r="Q34" s="18">
        <v>0.02</v>
      </c>
      <c r="R34" s="13">
        <v>40.078000000000003</v>
      </c>
      <c r="S34" s="6">
        <v>24.305</v>
      </c>
      <c r="T34" s="6">
        <v>22.99</v>
      </c>
      <c r="U34" s="6">
        <v>39.097999999999999</v>
      </c>
      <c r="V34" s="6">
        <f t="shared" si="22"/>
        <v>18</v>
      </c>
      <c r="W34" s="6">
        <f t="shared" si="23"/>
        <v>62</v>
      </c>
      <c r="X34" s="6">
        <f t="shared" si="24"/>
        <v>95</v>
      </c>
      <c r="Y34" s="6">
        <f t="shared" si="25"/>
        <v>96</v>
      </c>
      <c r="Z34" s="6">
        <v>35.450000000000003</v>
      </c>
      <c r="AA34" s="6">
        <v>55.844999999999999</v>
      </c>
      <c r="AB34" s="6">
        <v>54.938000000000002</v>
      </c>
      <c r="AC34" s="6">
        <v>36.545999999999999</v>
      </c>
      <c r="AD34" s="6">
        <v>65.38</v>
      </c>
      <c r="AE34" s="6">
        <v>10.81</v>
      </c>
      <c r="AF34" s="6">
        <v>95.962000000000003</v>
      </c>
      <c r="AG34" s="7">
        <f t="shared" si="3"/>
        <v>2.445231797993912</v>
      </c>
      <c r="AH34" s="7">
        <f t="shared" si="4"/>
        <v>0.9051635465953507</v>
      </c>
      <c r="AI34" s="7"/>
      <c r="AJ34" s="7">
        <f t="shared" si="5"/>
        <v>5.1153511688577415</v>
      </c>
      <c r="AK34" s="7">
        <f t="shared" si="27"/>
        <v>0.55555555555555558</v>
      </c>
      <c r="AL34" s="7">
        <f t="shared" si="6"/>
        <v>1.2903225806451613</v>
      </c>
      <c r="AM34" s="7">
        <f t="shared" si="7"/>
        <v>1.8458781362007168</v>
      </c>
      <c r="AN34" s="7">
        <f t="shared" si="8"/>
        <v>0.4210526315789474</v>
      </c>
      <c r="AO34" s="7">
        <f t="shared" si="42"/>
        <v>0.8666666666666667</v>
      </c>
      <c r="AP34" s="7"/>
      <c r="AQ34" s="7">
        <f t="shared" si="43"/>
        <v>35.813412122839999</v>
      </c>
      <c r="AR34" s="7">
        <f t="shared" si="44"/>
        <v>9.1011685900469619</v>
      </c>
      <c r="AS34" s="7">
        <f t="shared" si="43"/>
        <v>0.82088327039894926</v>
      </c>
      <c r="AT34" s="7">
        <f t="shared" si="43"/>
        <v>0.76475986540226382</v>
      </c>
      <c r="AU34" s="7">
        <f t="shared" si="43"/>
        <v>46.253469010175763</v>
      </c>
      <c r="AV34" s="34">
        <f t="shared" si="43"/>
        <v>0.20841583126654301</v>
      </c>
      <c r="AW34" s="37">
        <f t="shared" si="36"/>
        <v>0.228104241185488</v>
      </c>
      <c r="AX34" s="37">
        <f t="shared" si="37"/>
        <v>2.7712290798277861</v>
      </c>
      <c r="AY34" s="37">
        <f t="shared" si="38"/>
        <v>12.148959026037135</v>
      </c>
      <c r="AZ34" s="40">
        <f t="shared" si="13"/>
        <v>4.890463595987824</v>
      </c>
      <c r="BA34" s="36">
        <f t="shared" si="14"/>
        <v>1.8103270931907014</v>
      </c>
      <c r="BB34" s="36">
        <f t="shared" si="15"/>
        <v>0</v>
      </c>
      <c r="BC34" s="36">
        <f t="shared" si="16"/>
        <v>5.1153511688577415</v>
      </c>
      <c r="BD34" s="36">
        <f t="shared" si="17"/>
        <v>1.1111111111111112</v>
      </c>
      <c r="BE34" s="36">
        <f t="shared" si="18"/>
        <v>1.2903225806451613</v>
      </c>
      <c r="BF34" s="36">
        <f t="shared" si="19"/>
        <v>1.2631578947368423</v>
      </c>
      <c r="BG34" s="36">
        <f t="shared" si="20"/>
        <v>1.7333333333333334</v>
      </c>
      <c r="BH34" s="36">
        <f t="shared" si="21"/>
        <v>0</v>
      </c>
      <c r="BN34" s="18"/>
      <c r="BO34" s="13"/>
    </row>
    <row r="35" spans="1:67" s="6" customFormat="1" x14ac:dyDescent="0.2">
      <c r="A35" s="6" t="s">
        <v>99</v>
      </c>
      <c r="B35" s="23"/>
      <c r="C35" s="13">
        <v>250</v>
      </c>
      <c r="D35" s="6">
        <v>36</v>
      </c>
      <c r="F35" s="6">
        <v>200</v>
      </c>
      <c r="G35" s="6">
        <v>53</v>
      </c>
      <c r="H35" s="6">
        <v>177</v>
      </c>
      <c r="I35" s="6">
        <v>60</v>
      </c>
      <c r="J35" s="6">
        <v>129</v>
      </c>
      <c r="L35" s="6">
        <v>5</v>
      </c>
      <c r="M35" s="6">
        <v>0.5</v>
      </c>
      <c r="N35" s="6">
        <v>0.03</v>
      </c>
      <c r="O35" s="6">
        <v>0.05</v>
      </c>
      <c r="P35" s="6">
        <v>0.5</v>
      </c>
      <c r="Q35" s="18">
        <v>0.02</v>
      </c>
      <c r="R35" s="13">
        <v>40.078000000000003</v>
      </c>
      <c r="S35" s="6">
        <v>24.305</v>
      </c>
      <c r="T35" s="6">
        <v>22.99</v>
      </c>
      <c r="U35" s="6">
        <v>39.097999999999999</v>
      </c>
      <c r="V35" s="6">
        <f t="shared" si="22"/>
        <v>18</v>
      </c>
      <c r="W35" s="6">
        <f t="shared" si="23"/>
        <v>62</v>
      </c>
      <c r="X35" s="6">
        <f t="shared" si="24"/>
        <v>95</v>
      </c>
      <c r="Y35" s="6">
        <f t="shared" si="25"/>
        <v>96</v>
      </c>
      <c r="Z35" s="6">
        <v>35.450000000000003</v>
      </c>
      <c r="AA35" s="6">
        <v>55.844999999999999</v>
      </c>
      <c r="AB35" s="6">
        <v>54.938000000000002</v>
      </c>
      <c r="AC35" s="6">
        <v>36.545999999999999</v>
      </c>
      <c r="AD35" s="6">
        <v>65.38</v>
      </c>
      <c r="AE35" s="6">
        <v>10.81</v>
      </c>
      <c r="AF35" s="6">
        <v>95.962000000000003</v>
      </c>
      <c r="AG35" s="7">
        <f t="shared" si="3"/>
        <v>6.2378362193722241</v>
      </c>
      <c r="AH35" s="7">
        <f t="shared" si="4"/>
        <v>1.4811767126105739</v>
      </c>
      <c r="AI35" s="7"/>
      <c r="AJ35" s="7">
        <f t="shared" si="5"/>
        <v>5.1153511688577415</v>
      </c>
      <c r="AK35" s="7">
        <f t="shared" si="27"/>
        <v>2.9444444444444442</v>
      </c>
      <c r="AL35" s="7">
        <f t="shared" si="6"/>
        <v>2.8548387096774195</v>
      </c>
      <c r="AM35" s="7">
        <f t="shared" si="7"/>
        <v>5.7992831541218637</v>
      </c>
      <c r="AN35" s="7">
        <f t="shared" si="8"/>
        <v>0.63157894736842102</v>
      </c>
      <c r="AO35" s="7">
        <f t="shared" si="42"/>
        <v>1.34375</v>
      </c>
      <c r="AP35" s="7"/>
      <c r="AQ35" s="7">
        <f t="shared" si="43"/>
        <v>89.533530307100008</v>
      </c>
      <c r="AR35" s="7">
        <f t="shared" si="44"/>
        <v>9.1011685900469619</v>
      </c>
      <c r="AS35" s="7">
        <f t="shared" si="43"/>
        <v>0.82088327039894926</v>
      </c>
      <c r="AT35" s="7">
        <f t="shared" si="43"/>
        <v>0.76475986540226382</v>
      </c>
      <c r="AU35" s="7">
        <f t="shared" si="43"/>
        <v>46.253469010175763</v>
      </c>
      <c r="AV35" s="34">
        <f t="shared" si="43"/>
        <v>0.20841583126654301</v>
      </c>
      <c r="AW35" s="37">
        <f t="shared" si="36"/>
        <v>0.10890638214820116</v>
      </c>
      <c r="AX35" s="37">
        <f t="shared" si="37"/>
        <v>0.88206611626162545</v>
      </c>
      <c r="AY35" s="37">
        <f t="shared" si="38"/>
        <v>8.0993060173580904</v>
      </c>
      <c r="AZ35" s="40">
        <f t="shared" si="13"/>
        <v>12.475672438744448</v>
      </c>
      <c r="BA35" s="36">
        <f t="shared" si="14"/>
        <v>2.9623534252211479</v>
      </c>
      <c r="BB35" s="36">
        <f t="shared" si="15"/>
        <v>0</v>
      </c>
      <c r="BC35" s="36">
        <f t="shared" si="16"/>
        <v>5.1153511688577415</v>
      </c>
      <c r="BD35" s="36">
        <f t="shared" si="17"/>
        <v>5.8888888888888884</v>
      </c>
      <c r="BE35" s="36">
        <f t="shared" si="18"/>
        <v>2.8548387096774195</v>
      </c>
      <c r="BF35" s="36">
        <f t="shared" si="19"/>
        <v>1.8947368421052631</v>
      </c>
      <c r="BG35" s="36">
        <f t="shared" si="20"/>
        <v>2.6875</v>
      </c>
      <c r="BH35" s="36">
        <f t="shared" si="21"/>
        <v>0</v>
      </c>
      <c r="BN35" s="18"/>
      <c r="BO35" s="13"/>
    </row>
    <row r="36" spans="1:67" s="6" customFormat="1" x14ac:dyDescent="0.2">
      <c r="A36" s="6" t="s">
        <v>100</v>
      </c>
      <c r="B36" s="23"/>
      <c r="C36" s="13">
        <v>150</v>
      </c>
      <c r="D36" s="6">
        <v>50</v>
      </c>
      <c r="F36" s="6">
        <v>150</v>
      </c>
      <c r="G36" s="6">
        <v>32</v>
      </c>
      <c r="H36" s="6">
        <v>115</v>
      </c>
      <c r="I36" s="6">
        <v>50</v>
      </c>
      <c r="J36" s="6">
        <v>52</v>
      </c>
      <c r="L36" s="6">
        <v>5</v>
      </c>
      <c r="M36" s="6">
        <v>0.5</v>
      </c>
      <c r="N36" s="6">
        <v>0.03</v>
      </c>
      <c r="O36" s="6">
        <v>0.05</v>
      </c>
      <c r="P36" s="6">
        <v>0.5</v>
      </c>
      <c r="Q36" s="18">
        <v>0.02</v>
      </c>
      <c r="R36" s="13">
        <v>40.078000000000003</v>
      </c>
      <c r="S36" s="6">
        <v>24.305</v>
      </c>
      <c r="T36" s="6">
        <v>22.99</v>
      </c>
      <c r="U36" s="6">
        <v>39.097999999999999</v>
      </c>
      <c r="V36" s="6">
        <f t="shared" si="22"/>
        <v>18</v>
      </c>
      <c r="W36" s="6">
        <f t="shared" si="23"/>
        <v>62</v>
      </c>
      <c r="X36" s="6">
        <f t="shared" si="24"/>
        <v>95</v>
      </c>
      <c r="Y36" s="6">
        <f t="shared" si="25"/>
        <v>96</v>
      </c>
      <c r="Z36" s="6">
        <v>35.450000000000003</v>
      </c>
      <c r="AA36" s="6">
        <v>55.844999999999999</v>
      </c>
      <c r="AB36" s="6">
        <v>54.938000000000002</v>
      </c>
      <c r="AC36" s="6">
        <v>36.545999999999999</v>
      </c>
      <c r="AD36" s="6">
        <v>65.38</v>
      </c>
      <c r="AE36" s="6">
        <v>10.81</v>
      </c>
      <c r="AF36" s="6">
        <v>95.962000000000003</v>
      </c>
      <c r="AG36" s="7">
        <f t="shared" si="3"/>
        <v>3.7427017316233346</v>
      </c>
      <c r="AH36" s="7">
        <f t="shared" si="4"/>
        <v>2.0571898786257972</v>
      </c>
      <c r="AI36" s="7"/>
      <c r="AJ36" s="7">
        <f t="shared" si="5"/>
        <v>3.8365133766433064</v>
      </c>
      <c r="AK36" s="7">
        <f t="shared" si="27"/>
        <v>1.7777777777777779</v>
      </c>
      <c r="AL36" s="7">
        <f t="shared" si="6"/>
        <v>1.8548387096774195</v>
      </c>
      <c r="AM36" s="7">
        <f t="shared" si="7"/>
        <v>3.6326164874551976</v>
      </c>
      <c r="AN36" s="7">
        <f t="shared" si="8"/>
        <v>0.52631578947368418</v>
      </c>
      <c r="AO36" s="7">
        <f t="shared" si="42"/>
        <v>0.54166666666666663</v>
      </c>
      <c r="AP36" s="7"/>
      <c r="AQ36" s="7">
        <f t="shared" si="43"/>
        <v>89.533530307100008</v>
      </c>
      <c r="AR36" s="7">
        <f t="shared" si="44"/>
        <v>9.1011685900469619</v>
      </c>
      <c r="AS36" s="7">
        <f t="shared" si="43"/>
        <v>0.82088327039894926</v>
      </c>
      <c r="AT36" s="7">
        <f t="shared" si="43"/>
        <v>0.76475986540226382</v>
      </c>
      <c r="AU36" s="7">
        <f t="shared" si="43"/>
        <v>46.253469010175763</v>
      </c>
      <c r="AV36" s="34">
        <f t="shared" si="43"/>
        <v>0.20841583126654301</v>
      </c>
      <c r="AW36" s="37">
        <f t="shared" si="36"/>
        <v>0.14488614234154698</v>
      </c>
      <c r="AX36" s="37">
        <f t="shared" si="37"/>
        <v>1.0561294840488231</v>
      </c>
      <c r="AY36" s="37">
        <f t="shared" si="38"/>
        <v>7.289375415622283</v>
      </c>
      <c r="AZ36" s="40">
        <f t="shared" si="13"/>
        <v>7.4854034632466693</v>
      </c>
      <c r="BA36" s="36">
        <f t="shared" si="14"/>
        <v>4.1143797572515943</v>
      </c>
      <c r="BB36" s="36">
        <f t="shared" si="15"/>
        <v>0</v>
      </c>
      <c r="BC36" s="36">
        <f t="shared" si="16"/>
        <v>3.8365133766433064</v>
      </c>
      <c r="BD36" s="36">
        <f t="shared" si="17"/>
        <v>3.5555555555555558</v>
      </c>
      <c r="BE36" s="36">
        <f t="shared" si="18"/>
        <v>1.8548387096774195</v>
      </c>
      <c r="BF36" s="36">
        <f t="shared" si="19"/>
        <v>1.5789473684210527</v>
      </c>
      <c r="BG36" s="36">
        <f t="shared" si="20"/>
        <v>1.0833333333333333</v>
      </c>
      <c r="BH36" s="36">
        <f t="shared" si="21"/>
        <v>0</v>
      </c>
      <c r="BN36" s="18"/>
      <c r="BO36" s="13"/>
    </row>
    <row r="37" spans="1:67" s="6" customFormat="1" x14ac:dyDescent="0.2">
      <c r="A37" s="6" t="s">
        <v>101</v>
      </c>
      <c r="B37" s="23"/>
      <c r="C37" s="13">
        <v>200</v>
      </c>
      <c r="D37" s="6">
        <v>40</v>
      </c>
      <c r="F37" s="6">
        <v>210</v>
      </c>
      <c r="G37" s="6">
        <v>25</v>
      </c>
      <c r="H37" s="6">
        <v>165</v>
      </c>
      <c r="I37" s="6">
        <v>50</v>
      </c>
      <c r="J37" s="6">
        <v>113</v>
      </c>
      <c r="L37" s="6">
        <v>5</v>
      </c>
      <c r="M37" s="6">
        <v>0.5</v>
      </c>
      <c r="N37" s="6">
        <v>0.1</v>
      </c>
      <c r="O37" s="6">
        <v>0.1</v>
      </c>
      <c r="P37" s="6">
        <v>0.5</v>
      </c>
      <c r="Q37" s="18">
        <v>0.05</v>
      </c>
      <c r="R37" s="13">
        <v>40.078000000000003</v>
      </c>
      <c r="S37" s="6">
        <v>24.305</v>
      </c>
      <c r="T37" s="6">
        <v>22.99</v>
      </c>
      <c r="U37" s="6">
        <v>39.097999999999999</v>
      </c>
      <c r="V37" s="6">
        <f t="shared" si="22"/>
        <v>18</v>
      </c>
      <c r="W37" s="6">
        <f t="shared" si="23"/>
        <v>62</v>
      </c>
      <c r="X37" s="6">
        <f t="shared" si="24"/>
        <v>95</v>
      </c>
      <c r="Y37" s="6">
        <f t="shared" si="25"/>
        <v>96</v>
      </c>
      <c r="Z37" s="6">
        <v>35.450000000000003</v>
      </c>
      <c r="AA37" s="6">
        <v>55.844999999999999</v>
      </c>
      <c r="AB37" s="6">
        <v>54.938000000000002</v>
      </c>
      <c r="AC37" s="6">
        <v>36.545999999999999</v>
      </c>
      <c r="AD37" s="6">
        <v>65.38</v>
      </c>
      <c r="AE37" s="6">
        <v>10.81</v>
      </c>
      <c r="AF37" s="6">
        <v>95.962000000000003</v>
      </c>
      <c r="AG37" s="7">
        <f t="shared" si="3"/>
        <v>4.9902689754977798</v>
      </c>
      <c r="AH37" s="7">
        <f t="shared" si="4"/>
        <v>1.6457519029006378</v>
      </c>
      <c r="AI37" s="7"/>
      <c r="AJ37" s="7">
        <f t="shared" si="5"/>
        <v>5.3711187273006287</v>
      </c>
      <c r="AK37" s="7">
        <f t="shared" si="27"/>
        <v>1.3888888888888888</v>
      </c>
      <c r="AL37" s="7">
        <f t="shared" si="6"/>
        <v>2.661290322580645</v>
      </c>
      <c r="AM37" s="7">
        <f t="shared" si="7"/>
        <v>4.0501792114695334</v>
      </c>
      <c r="AN37" s="7">
        <f t="shared" si="8"/>
        <v>0.52631578947368418</v>
      </c>
      <c r="AO37" s="7">
        <f t="shared" si="42"/>
        <v>1.1770833333333333</v>
      </c>
      <c r="AP37" s="7"/>
      <c r="AQ37" s="7">
        <f t="shared" si="43"/>
        <v>89.533530307100008</v>
      </c>
      <c r="AR37" s="7">
        <f t="shared" si="44"/>
        <v>9.1011685900469619</v>
      </c>
      <c r="AS37" s="7">
        <f t="shared" si="43"/>
        <v>2.7362775679964977</v>
      </c>
      <c r="AT37" s="7">
        <f t="shared" si="43"/>
        <v>1.5295197308045276</v>
      </c>
      <c r="AU37" s="7">
        <f t="shared" si="43"/>
        <v>46.253469010175763</v>
      </c>
      <c r="AV37" s="34">
        <f t="shared" si="43"/>
        <v>0.5210395781663576</v>
      </c>
      <c r="AW37" s="37">
        <f t="shared" si="36"/>
        <v>0.12994876571960878</v>
      </c>
      <c r="AX37" s="37">
        <f t="shared" si="37"/>
        <v>1.3261434733777659</v>
      </c>
      <c r="AY37" s="37">
        <f t="shared" si="38"/>
        <v>10.205125581871195</v>
      </c>
      <c r="AZ37" s="40">
        <f t="shared" si="13"/>
        <v>9.9805379509955596</v>
      </c>
      <c r="BA37" s="36">
        <f t="shared" si="14"/>
        <v>3.2915038058012756</v>
      </c>
      <c r="BB37" s="36">
        <f t="shared" si="15"/>
        <v>0</v>
      </c>
      <c r="BC37" s="36">
        <f t="shared" si="16"/>
        <v>5.3711187273006287</v>
      </c>
      <c r="BD37" s="36">
        <f t="shared" si="17"/>
        <v>2.7777777777777777</v>
      </c>
      <c r="BE37" s="36">
        <f t="shared" si="18"/>
        <v>2.661290322580645</v>
      </c>
      <c r="BF37" s="36">
        <f t="shared" si="19"/>
        <v>1.5789473684210527</v>
      </c>
      <c r="BG37" s="36">
        <f t="shared" si="20"/>
        <v>2.3541666666666665</v>
      </c>
      <c r="BH37" s="36">
        <f t="shared" si="21"/>
        <v>0</v>
      </c>
      <c r="BN37" s="18"/>
      <c r="BO37" s="13"/>
    </row>
    <row r="38" spans="1:67" s="6" customFormat="1" x14ac:dyDescent="0.2">
      <c r="A38" s="6" t="s">
        <v>87</v>
      </c>
      <c r="B38" s="23"/>
      <c r="C38" s="13">
        <v>100</v>
      </c>
      <c r="D38" s="6">
        <v>20</v>
      </c>
      <c r="F38" s="6">
        <v>175</v>
      </c>
      <c r="G38" s="6">
        <v>3</v>
      </c>
      <c r="H38" s="6">
        <v>128</v>
      </c>
      <c r="I38" s="6">
        <v>27</v>
      </c>
      <c r="J38" s="6">
        <v>26</v>
      </c>
      <c r="L38" s="6">
        <v>2</v>
      </c>
      <c r="M38" s="6">
        <v>0.8</v>
      </c>
      <c r="N38" s="6">
        <v>7.0000000000000007E-2</v>
      </c>
      <c r="O38" s="6">
        <v>0.1</v>
      </c>
      <c r="P38" s="6">
        <v>0.3</v>
      </c>
      <c r="Q38" s="18">
        <v>0.03</v>
      </c>
      <c r="R38" s="13">
        <v>40.078000000000003</v>
      </c>
      <c r="S38" s="6">
        <v>24.305</v>
      </c>
      <c r="T38" s="6">
        <v>22.99</v>
      </c>
      <c r="U38" s="6">
        <v>39.097999999999999</v>
      </c>
      <c r="V38" s="6">
        <f t="shared" si="22"/>
        <v>18</v>
      </c>
      <c r="W38" s="6">
        <f t="shared" si="23"/>
        <v>62</v>
      </c>
      <c r="X38" s="6">
        <f t="shared" si="24"/>
        <v>95</v>
      </c>
      <c r="Y38" s="6">
        <f t="shared" si="25"/>
        <v>96</v>
      </c>
      <c r="Z38" s="6">
        <v>35.450000000000003</v>
      </c>
      <c r="AA38" s="6">
        <v>55.844999999999999</v>
      </c>
      <c r="AB38" s="6">
        <v>54.938000000000002</v>
      </c>
      <c r="AC38" s="6">
        <v>36.545999999999999</v>
      </c>
      <c r="AD38" s="6">
        <v>65.38</v>
      </c>
      <c r="AE38" s="6">
        <v>10.81</v>
      </c>
      <c r="AF38" s="6">
        <v>95.962000000000003</v>
      </c>
      <c r="AG38" s="7">
        <f t="shared" si="3"/>
        <v>2.4951344877488899</v>
      </c>
      <c r="AH38" s="7">
        <f t="shared" si="4"/>
        <v>0.82287595145031889</v>
      </c>
      <c r="AI38" s="7"/>
      <c r="AJ38" s="7">
        <f t="shared" si="5"/>
        <v>4.4759322727505246</v>
      </c>
      <c r="AK38" s="7">
        <f t="shared" si="27"/>
        <v>0.16666666666666666</v>
      </c>
      <c r="AL38" s="7">
        <f t="shared" si="6"/>
        <v>2.064516129032258</v>
      </c>
      <c r="AM38" s="7">
        <f t="shared" si="7"/>
        <v>2.2311827956989245</v>
      </c>
      <c r="AN38" s="7">
        <f t="shared" si="8"/>
        <v>0.28421052631578947</v>
      </c>
      <c r="AO38" s="7">
        <f t="shared" si="42"/>
        <v>0.27083333333333331</v>
      </c>
      <c r="AP38" s="7"/>
      <c r="AQ38" s="7">
        <f t="shared" si="43"/>
        <v>35.813412122839999</v>
      </c>
      <c r="AR38" s="7">
        <f t="shared" si="44"/>
        <v>14.561869744075139</v>
      </c>
      <c r="AS38" s="7">
        <f t="shared" si="43"/>
        <v>1.9153942975975486</v>
      </c>
      <c r="AT38" s="7">
        <f t="shared" si="43"/>
        <v>1.5295197308045276</v>
      </c>
      <c r="AU38" s="7">
        <f t="shared" si="43"/>
        <v>27.752081406105457</v>
      </c>
      <c r="AV38" s="34">
        <f t="shared" si="43"/>
        <v>0.31262374689981454</v>
      </c>
      <c r="AW38" s="37">
        <f t="shared" si="36"/>
        <v>0.12738110336081168</v>
      </c>
      <c r="AX38" s="37">
        <f t="shared" si="37"/>
        <v>2.0060804885098737</v>
      </c>
      <c r="AY38" s="37">
        <f t="shared" si="38"/>
        <v>15.748650589307402</v>
      </c>
      <c r="AZ38" s="40">
        <f t="shared" si="13"/>
        <v>4.9902689754977798</v>
      </c>
      <c r="BA38" s="36">
        <f t="shared" si="14"/>
        <v>1.6457519029006378</v>
      </c>
      <c r="BB38" s="36">
        <f t="shared" si="15"/>
        <v>0</v>
      </c>
      <c r="BC38" s="36">
        <f t="shared" si="16"/>
        <v>4.4759322727505246</v>
      </c>
      <c r="BD38" s="36">
        <f t="shared" si="17"/>
        <v>0.33333333333333331</v>
      </c>
      <c r="BE38" s="36">
        <f t="shared" si="18"/>
        <v>2.064516129032258</v>
      </c>
      <c r="BF38" s="36">
        <f t="shared" si="19"/>
        <v>0.85263157894736841</v>
      </c>
      <c r="BG38" s="36">
        <f t="shared" si="20"/>
        <v>0.54166666666666663</v>
      </c>
      <c r="BH38" s="36">
        <f t="shared" si="21"/>
        <v>0</v>
      </c>
      <c r="BN38" s="18"/>
      <c r="BO38" s="13"/>
    </row>
    <row r="39" spans="1:67" s="6" customFormat="1" x14ac:dyDescent="0.2">
      <c r="A39" s="6" t="s">
        <v>88</v>
      </c>
      <c r="B39" s="23"/>
      <c r="C39" s="13">
        <v>220</v>
      </c>
      <c r="D39" s="6">
        <v>40</v>
      </c>
      <c r="F39" s="6">
        <v>350</v>
      </c>
      <c r="G39" s="6">
        <v>7</v>
      </c>
      <c r="H39" s="6">
        <v>267</v>
      </c>
      <c r="I39" s="6">
        <v>55</v>
      </c>
      <c r="J39" s="6">
        <v>53</v>
      </c>
      <c r="L39" s="6">
        <v>3</v>
      </c>
      <c r="M39" s="6">
        <v>0.8</v>
      </c>
      <c r="N39" s="6">
        <v>7.0000000000000007E-2</v>
      </c>
      <c r="O39" s="6">
        <v>0.1</v>
      </c>
      <c r="P39" s="6">
        <v>0.3</v>
      </c>
      <c r="Q39" s="18">
        <v>0.03</v>
      </c>
      <c r="R39" s="13">
        <v>40.078000000000003</v>
      </c>
      <c r="S39" s="6">
        <v>24.305</v>
      </c>
      <c r="T39" s="6">
        <v>22.99</v>
      </c>
      <c r="U39" s="6">
        <v>39.097999999999999</v>
      </c>
      <c r="V39" s="6">
        <f t="shared" si="22"/>
        <v>18</v>
      </c>
      <c r="W39" s="6">
        <f t="shared" si="23"/>
        <v>62</v>
      </c>
      <c r="X39" s="6">
        <f t="shared" si="24"/>
        <v>95</v>
      </c>
      <c r="Y39" s="6">
        <f t="shared" si="25"/>
        <v>96</v>
      </c>
      <c r="Z39" s="6">
        <v>35.450000000000003</v>
      </c>
      <c r="AA39" s="6">
        <v>55.844999999999999</v>
      </c>
      <c r="AB39" s="6">
        <v>54.938000000000002</v>
      </c>
      <c r="AC39" s="6">
        <v>36.545999999999999</v>
      </c>
      <c r="AD39" s="6">
        <v>65.38</v>
      </c>
      <c r="AE39" s="6">
        <v>10.81</v>
      </c>
      <c r="AF39" s="6">
        <v>95.962000000000003</v>
      </c>
      <c r="AG39" s="7">
        <f t="shared" si="3"/>
        <v>5.4892958730475572</v>
      </c>
      <c r="AH39" s="7">
        <f t="shared" si="4"/>
        <v>1.6457519029006378</v>
      </c>
      <c r="AI39" s="7"/>
      <c r="AJ39" s="7">
        <f t="shared" si="5"/>
        <v>8.9518645455010493</v>
      </c>
      <c r="AK39" s="7">
        <f t="shared" si="27"/>
        <v>0.38888888888888884</v>
      </c>
      <c r="AL39" s="7">
        <f t="shared" si="6"/>
        <v>4.306451612903226</v>
      </c>
      <c r="AM39" s="7">
        <f t="shared" si="7"/>
        <v>4.6953405017921153</v>
      </c>
      <c r="AN39" s="7">
        <f t="shared" si="8"/>
        <v>0.57894736842105265</v>
      </c>
      <c r="AO39" s="7">
        <f t="shared" si="42"/>
        <v>0.55208333333333337</v>
      </c>
      <c r="AP39" s="7"/>
      <c r="AQ39" s="7">
        <f t="shared" si="43"/>
        <v>53.720118184260009</v>
      </c>
      <c r="AR39" s="7">
        <f t="shared" si="44"/>
        <v>14.561869744075139</v>
      </c>
      <c r="AS39" s="7">
        <f t="shared" si="43"/>
        <v>1.9153942975975486</v>
      </c>
      <c r="AT39" s="7">
        <f t="shared" si="43"/>
        <v>1.5295197308045276</v>
      </c>
      <c r="AU39" s="7">
        <f t="shared" si="43"/>
        <v>27.752081406105457</v>
      </c>
      <c r="AV39" s="34">
        <f t="shared" si="43"/>
        <v>0.31262374689981454</v>
      </c>
      <c r="AW39" s="37">
        <f t="shared" si="36"/>
        <v>0.1233025311370028</v>
      </c>
      <c r="AX39" s="37">
        <f t="shared" si="37"/>
        <v>1.9065421436601468</v>
      </c>
      <c r="AY39" s="37">
        <f t="shared" si="38"/>
        <v>15.46231148768363</v>
      </c>
      <c r="AZ39" s="40">
        <f t="shared" si="13"/>
        <v>10.978591746095114</v>
      </c>
      <c r="BA39" s="36">
        <f t="shared" si="14"/>
        <v>3.2915038058012756</v>
      </c>
      <c r="BB39" s="36">
        <f t="shared" si="15"/>
        <v>0</v>
      </c>
      <c r="BC39" s="36">
        <f t="shared" si="16"/>
        <v>8.9518645455010493</v>
      </c>
      <c r="BD39" s="36">
        <f t="shared" si="17"/>
        <v>0.77777777777777768</v>
      </c>
      <c r="BE39" s="36">
        <f t="shared" si="18"/>
        <v>4.306451612903226</v>
      </c>
      <c r="BF39" s="36">
        <f t="shared" si="19"/>
        <v>1.736842105263158</v>
      </c>
      <c r="BG39" s="36">
        <f t="shared" si="20"/>
        <v>1.1041666666666667</v>
      </c>
      <c r="BH39" s="36">
        <f t="shared" si="21"/>
        <v>0</v>
      </c>
      <c r="BN39" s="18"/>
      <c r="BO39" s="13"/>
    </row>
    <row r="40" spans="1:67" s="6" customFormat="1" x14ac:dyDescent="0.2">
      <c r="A40" s="6" t="s">
        <v>89</v>
      </c>
      <c r="B40" s="23"/>
      <c r="C40" s="13">
        <v>200</v>
      </c>
      <c r="D40" s="6">
        <v>45</v>
      </c>
      <c r="F40" s="6">
        <v>400</v>
      </c>
      <c r="G40" s="6">
        <v>7</v>
      </c>
      <c r="H40" s="6">
        <v>255</v>
      </c>
      <c r="I40" s="6">
        <v>55</v>
      </c>
      <c r="J40" s="6">
        <v>82</v>
      </c>
      <c r="L40" s="6">
        <v>2</v>
      </c>
      <c r="M40" s="6">
        <v>0.8</v>
      </c>
      <c r="N40" s="6">
        <v>0.1</v>
      </c>
      <c r="O40" s="6">
        <v>0.33</v>
      </c>
      <c r="P40" s="6">
        <v>0.4</v>
      </c>
      <c r="Q40" s="18">
        <v>0.05</v>
      </c>
      <c r="R40" s="13">
        <v>40.078000000000003</v>
      </c>
      <c r="S40" s="6">
        <v>24.305</v>
      </c>
      <c r="T40" s="6">
        <v>22.99</v>
      </c>
      <c r="U40" s="6">
        <v>39.097999999999999</v>
      </c>
      <c r="V40" s="6">
        <f t="shared" si="22"/>
        <v>18</v>
      </c>
      <c r="W40" s="6">
        <f t="shared" si="23"/>
        <v>62</v>
      </c>
      <c r="X40" s="6">
        <f t="shared" si="24"/>
        <v>95</v>
      </c>
      <c r="Y40" s="6">
        <f t="shared" si="25"/>
        <v>96</v>
      </c>
      <c r="Z40" s="6">
        <v>35.450000000000003</v>
      </c>
      <c r="AA40" s="6">
        <v>55.844999999999999</v>
      </c>
      <c r="AB40" s="6">
        <v>54.938000000000002</v>
      </c>
      <c r="AC40" s="6">
        <v>36.545999999999999</v>
      </c>
      <c r="AD40" s="6">
        <v>65.38</v>
      </c>
      <c r="AE40" s="6">
        <v>10.81</v>
      </c>
      <c r="AF40" s="6">
        <v>95.962000000000003</v>
      </c>
      <c r="AG40" s="7">
        <f t="shared" si="3"/>
        <v>4.9902689754977798</v>
      </c>
      <c r="AH40" s="7">
        <f t="shared" si="4"/>
        <v>1.8514708907632176</v>
      </c>
      <c r="AI40" s="7"/>
      <c r="AJ40" s="7">
        <f t="shared" si="5"/>
        <v>10.230702337715483</v>
      </c>
      <c r="AK40" s="7">
        <f t="shared" si="27"/>
        <v>0.38888888888888884</v>
      </c>
      <c r="AL40" s="7">
        <f t="shared" si="6"/>
        <v>4.112903225806452</v>
      </c>
      <c r="AM40" s="7">
        <f t="shared" si="7"/>
        <v>4.5017921146953412</v>
      </c>
      <c r="AN40" s="7">
        <f t="shared" si="8"/>
        <v>0.57894736842105265</v>
      </c>
      <c r="AO40" s="7">
        <f t="shared" si="42"/>
        <v>0.85416666666666674</v>
      </c>
      <c r="AP40" s="7"/>
      <c r="AQ40" s="7">
        <f t="shared" si="43"/>
        <v>35.813412122839999</v>
      </c>
      <c r="AR40" s="7">
        <f t="shared" si="44"/>
        <v>14.561869744075139</v>
      </c>
      <c r="AS40" s="7">
        <f t="shared" si="43"/>
        <v>2.7362775679964977</v>
      </c>
      <c r="AT40" s="7">
        <f t="shared" si="43"/>
        <v>5.0474151116549413</v>
      </c>
      <c r="AU40" s="7">
        <f t="shared" si="43"/>
        <v>37.002775208140619</v>
      </c>
      <c r="AV40" s="34">
        <f t="shared" si="43"/>
        <v>0.5210395781663576</v>
      </c>
      <c r="AW40" s="37">
        <f t="shared" si="36"/>
        <v>0.12860375460945356</v>
      </c>
      <c r="AX40" s="37">
        <f t="shared" si="37"/>
        <v>2.2725843568651429</v>
      </c>
      <c r="AY40" s="37">
        <f t="shared" si="38"/>
        <v>17.671213128781289</v>
      </c>
      <c r="AZ40" s="40">
        <f t="shared" si="13"/>
        <v>9.9805379509955596</v>
      </c>
      <c r="BA40" s="36">
        <f t="shared" si="14"/>
        <v>3.7029417815264352</v>
      </c>
      <c r="BB40" s="36">
        <f t="shared" si="15"/>
        <v>0</v>
      </c>
      <c r="BC40" s="36">
        <f t="shared" si="16"/>
        <v>10.230702337715483</v>
      </c>
      <c r="BD40" s="36">
        <f t="shared" si="17"/>
        <v>0.77777777777777768</v>
      </c>
      <c r="BE40" s="36">
        <f t="shared" si="18"/>
        <v>4.112903225806452</v>
      </c>
      <c r="BF40" s="36">
        <f t="shared" si="19"/>
        <v>1.736842105263158</v>
      </c>
      <c r="BG40" s="36">
        <f t="shared" si="20"/>
        <v>1.7083333333333335</v>
      </c>
      <c r="BH40" s="36">
        <f t="shared" si="21"/>
        <v>0</v>
      </c>
      <c r="BN40" s="18"/>
      <c r="BO40" s="13"/>
    </row>
    <row r="41" spans="1:67" s="6" customFormat="1" x14ac:dyDescent="0.2">
      <c r="A41" s="6" t="s">
        <v>25</v>
      </c>
      <c r="B41" s="23"/>
      <c r="C41" s="13">
        <v>200</v>
      </c>
      <c r="D41" s="6">
        <v>50</v>
      </c>
      <c r="E41" s="6">
        <f>AVERAGE(50,90)</f>
        <v>70</v>
      </c>
      <c r="F41" s="6">
        <v>210</v>
      </c>
      <c r="H41" s="6">
        <f>AVERAGE(185,195)</f>
        <v>190</v>
      </c>
      <c r="I41" s="6">
        <v>50</v>
      </c>
      <c r="J41" s="6">
        <v>66</v>
      </c>
      <c r="K41" s="6">
        <f>AVERAGE(65,253)</f>
        <v>159</v>
      </c>
      <c r="L41" s="6">
        <v>5</v>
      </c>
      <c r="M41" s="6">
        <v>0.5</v>
      </c>
      <c r="N41" s="6">
        <v>0.15</v>
      </c>
      <c r="O41" s="6">
        <v>0.15</v>
      </c>
      <c r="P41" s="6">
        <v>0.3</v>
      </c>
      <c r="Q41" s="18">
        <v>0.05</v>
      </c>
      <c r="R41" s="13">
        <v>40.078000000000003</v>
      </c>
      <c r="S41" s="6">
        <v>24.305</v>
      </c>
      <c r="T41" s="6">
        <v>22.99</v>
      </c>
      <c r="U41" s="6">
        <v>39.097999999999999</v>
      </c>
      <c r="V41" s="6">
        <f t="shared" si="22"/>
        <v>18</v>
      </c>
      <c r="W41" s="6">
        <f t="shared" si="23"/>
        <v>62</v>
      </c>
      <c r="X41" s="6">
        <f t="shared" si="24"/>
        <v>95</v>
      </c>
      <c r="Y41" s="6">
        <f t="shared" si="25"/>
        <v>96</v>
      </c>
      <c r="Z41" s="6">
        <v>35.450000000000003</v>
      </c>
      <c r="AA41" s="6">
        <v>55.844999999999999</v>
      </c>
      <c r="AB41" s="6">
        <v>54.938000000000002</v>
      </c>
      <c r="AC41" s="6">
        <v>36.545999999999999</v>
      </c>
      <c r="AD41" s="6">
        <v>65.38</v>
      </c>
      <c r="AE41" s="6">
        <v>10.81</v>
      </c>
      <c r="AF41" s="6">
        <v>95.962000000000003</v>
      </c>
      <c r="AG41" s="7">
        <f t="shared" si="3"/>
        <v>4.9902689754977798</v>
      </c>
      <c r="AH41" s="7">
        <f t="shared" si="4"/>
        <v>2.0571898786257972</v>
      </c>
      <c r="AI41" s="7">
        <f t="shared" si="26"/>
        <v>3.044802087864289</v>
      </c>
      <c r="AJ41" s="7">
        <f t="shared" si="5"/>
        <v>5.3711187273006287</v>
      </c>
      <c r="AK41" s="7"/>
      <c r="AL41" s="7">
        <f t="shared" si="6"/>
        <v>3.064516129032258</v>
      </c>
      <c r="AM41" s="7">
        <f t="shared" si="7"/>
        <v>3.064516129032258</v>
      </c>
      <c r="AN41" s="7">
        <f t="shared" si="8"/>
        <v>0.52631578947368418</v>
      </c>
      <c r="AO41" s="7">
        <f t="shared" si="42"/>
        <v>0.6875</v>
      </c>
      <c r="AP41" s="7">
        <f>K41/(Z41*1000)*1000</f>
        <v>4.4851904090267984</v>
      </c>
      <c r="AQ41" s="7">
        <f t="shared" si="43"/>
        <v>89.533530307100008</v>
      </c>
      <c r="AR41" s="7">
        <f t="shared" si="44"/>
        <v>9.1011685900469619</v>
      </c>
      <c r="AS41" s="7">
        <f t="shared" si="43"/>
        <v>4.1044163519947459</v>
      </c>
      <c r="AT41" s="7">
        <f t="shared" si="43"/>
        <v>2.294279596206791</v>
      </c>
      <c r="AU41" s="7">
        <f t="shared" si="43"/>
        <v>27.752081406105457</v>
      </c>
      <c r="AV41" s="34">
        <f t="shared" si="43"/>
        <v>0.5210395781663576</v>
      </c>
      <c r="AW41" s="37">
        <f t="shared" si="36"/>
        <v>0.17174515235457063</v>
      </c>
      <c r="AX41" s="37">
        <f t="shared" si="37"/>
        <v>1.7526808478559948</v>
      </c>
      <c r="AY41" s="37">
        <f t="shared" si="38"/>
        <v>10.205125581871195</v>
      </c>
      <c r="AZ41" s="40">
        <f t="shared" si="13"/>
        <v>9.9805379509955596</v>
      </c>
      <c r="BA41" s="36">
        <f t="shared" si="14"/>
        <v>4.1143797572515943</v>
      </c>
      <c r="BB41" s="36">
        <f t="shared" si="15"/>
        <v>3.044802087864289</v>
      </c>
      <c r="BC41" s="36">
        <f t="shared" si="16"/>
        <v>5.3711187273006287</v>
      </c>
      <c r="BD41" s="36">
        <f t="shared" si="17"/>
        <v>0</v>
      </c>
      <c r="BE41" s="36">
        <f t="shared" si="18"/>
        <v>3.064516129032258</v>
      </c>
      <c r="BF41" s="36">
        <f t="shared" si="19"/>
        <v>1.5789473684210527</v>
      </c>
      <c r="BG41" s="36">
        <f t="shared" si="20"/>
        <v>1.375</v>
      </c>
      <c r="BH41" s="36">
        <f t="shared" si="21"/>
        <v>4.4851904090267984</v>
      </c>
      <c r="BN41" s="18"/>
      <c r="BO41" s="13"/>
    </row>
    <row r="42" spans="1:67" s="6" customFormat="1" x14ac:dyDescent="0.2">
      <c r="A42" s="6" t="s">
        <v>90</v>
      </c>
      <c r="B42" s="23"/>
      <c r="C42" s="13">
        <v>240</v>
      </c>
      <c r="D42" s="6">
        <v>50</v>
      </c>
      <c r="F42" s="6">
        <v>201</v>
      </c>
      <c r="H42" s="6">
        <v>169</v>
      </c>
      <c r="I42" s="6">
        <v>49</v>
      </c>
      <c r="J42" s="6">
        <v>119</v>
      </c>
      <c r="L42" s="6">
        <v>2.5</v>
      </c>
      <c r="M42" s="6">
        <v>0.57999999999999996</v>
      </c>
      <c r="N42" s="6">
        <v>0.15</v>
      </c>
      <c r="O42" s="6">
        <v>0.4</v>
      </c>
      <c r="P42" s="6">
        <v>0.3</v>
      </c>
      <c r="Q42" s="18">
        <v>0.03</v>
      </c>
      <c r="R42" s="13">
        <v>40.078000000000003</v>
      </c>
      <c r="S42" s="6">
        <v>24.305</v>
      </c>
      <c r="T42" s="6">
        <v>22.99</v>
      </c>
      <c r="U42" s="6">
        <v>39.097999999999999</v>
      </c>
      <c r="V42" s="6">
        <f t="shared" si="22"/>
        <v>18</v>
      </c>
      <c r="W42" s="6">
        <f t="shared" si="23"/>
        <v>62</v>
      </c>
      <c r="X42" s="6">
        <f t="shared" si="24"/>
        <v>95</v>
      </c>
      <c r="Y42" s="6">
        <f t="shared" si="25"/>
        <v>96</v>
      </c>
      <c r="Z42" s="6">
        <v>35.450000000000003</v>
      </c>
      <c r="AA42" s="6">
        <v>55.844999999999999</v>
      </c>
      <c r="AB42" s="6">
        <v>54.938000000000002</v>
      </c>
      <c r="AC42" s="6">
        <v>36.545999999999999</v>
      </c>
      <c r="AD42" s="6">
        <v>65.38</v>
      </c>
      <c r="AE42" s="6">
        <v>10.81</v>
      </c>
      <c r="AF42" s="6">
        <v>95.962000000000003</v>
      </c>
      <c r="AG42" s="7">
        <f t="shared" si="3"/>
        <v>5.9883227705973354</v>
      </c>
      <c r="AH42" s="7">
        <f t="shared" si="4"/>
        <v>2.0571898786257972</v>
      </c>
      <c r="AI42" s="7"/>
      <c r="AJ42" s="7">
        <f t="shared" si="5"/>
        <v>5.140927924702031</v>
      </c>
      <c r="AK42" s="7"/>
      <c r="AL42" s="7">
        <f t="shared" si="6"/>
        <v>2.725806451612903</v>
      </c>
      <c r="AM42" s="7">
        <f t="shared" si="7"/>
        <v>2.725806451612903</v>
      </c>
      <c r="AN42" s="7">
        <f t="shared" si="8"/>
        <v>0.51578947368421058</v>
      </c>
      <c r="AO42" s="7">
        <f t="shared" si="42"/>
        <v>1.2395833333333335</v>
      </c>
      <c r="AP42" s="7"/>
      <c r="AQ42" s="7">
        <f t="shared" si="43"/>
        <v>44.766765153550004</v>
      </c>
      <c r="AR42" s="7">
        <f t="shared" si="44"/>
        <v>10.557355564454475</v>
      </c>
      <c r="AS42" s="7">
        <f t="shared" si="43"/>
        <v>4.1044163519947459</v>
      </c>
      <c r="AT42" s="7">
        <f t="shared" si="43"/>
        <v>6.1180789232181105</v>
      </c>
      <c r="AU42" s="7">
        <f t="shared" si="43"/>
        <v>27.752081406105457</v>
      </c>
      <c r="AV42" s="34">
        <f t="shared" si="43"/>
        <v>0.31262374689981454</v>
      </c>
      <c r="AW42" s="37">
        <f t="shared" si="36"/>
        <v>0.18922454064154473</v>
      </c>
      <c r="AX42" s="37">
        <f t="shared" si="37"/>
        <v>1.8860208954528161</v>
      </c>
      <c r="AY42" s="37">
        <f t="shared" si="38"/>
        <v>9.9671051601365903</v>
      </c>
      <c r="AZ42" s="40">
        <f t="shared" si="13"/>
        <v>11.976645541194671</v>
      </c>
      <c r="BA42" s="36">
        <f t="shared" si="14"/>
        <v>4.1143797572515943</v>
      </c>
      <c r="BB42" s="36">
        <f t="shared" si="15"/>
        <v>0</v>
      </c>
      <c r="BC42" s="36">
        <f t="shared" si="16"/>
        <v>5.140927924702031</v>
      </c>
      <c r="BD42" s="36">
        <f t="shared" si="17"/>
        <v>0</v>
      </c>
      <c r="BE42" s="36">
        <f t="shared" si="18"/>
        <v>2.725806451612903</v>
      </c>
      <c r="BF42" s="36">
        <f t="shared" si="19"/>
        <v>1.5473684210526317</v>
      </c>
      <c r="BG42" s="36">
        <f t="shared" si="20"/>
        <v>2.479166666666667</v>
      </c>
      <c r="BH42" s="36">
        <f t="shared" si="21"/>
        <v>0</v>
      </c>
      <c r="BN42" s="18"/>
      <c r="BO42" s="13"/>
    </row>
    <row r="43" spans="1:67" s="6" customFormat="1" x14ac:dyDescent="0.2">
      <c r="A43" s="6" t="s">
        <v>91</v>
      </c>
      <c r="B43" s="23"/>
      <c r="C43" s="13">
        <v>200</v>
      </c>
      <c r="D43" s="6">
        <v>60</v>
      </c>
      <c r="F43" s="6">
        <v>351</v>
      </c>
      <c r="H43" s="6">
        <v>137</v>
      </c>
      <c r="I43" s="6">
        <v>49</v>
      </c>
      <c r="J43" s="6">
        <v>196</v>
      </c>
      <c r="L43" s="6">
        <v>2.5</v>
      </c>
      <c r="M43" s="6">
        <v>0.57999999999999996</v>
      </c>
      <c r="N43" s="6">
        <v>0.15</v>
      </c>
      <c r="O43" s="6">
        <v>0.4</v>
      </c>
      <c r="P43" s="6">
        <v>0.3</v>
      </c>
      <c r="Q43" s="18">
        <v>0.03</v>
      </c>
      <c r="R43" s="13">
        <v>40.078000000000003</v>
      </c>
      <c r="S43" s="6">
        <v>24.305</v>
      </c>
      <c r="T43" s="6">
        <v>22.99</v>
      </c>
      <c r="U43" s="6">
        <v>39.097999999999999</v>
      </c>
      <c r="V43" s="6">
        <f t="shared" si="22"/>
        <v>18</v>
      </c>
      <c r="W43" s="6">
        <f t="shared" si="23"/>
        <v>62</v>
      </c>
      <c r="X43" s="6">
        <f t="shared" si="24"/>
        <v>95</v>
      </c>
      <c r="Y43" s="6">
        <f t="shared" si="25"/>
        <v>96</v>
      </c>
      <c r="Z43" s="6">
        <v>35.450000000000003</v>
      </c>
      <c r="AA43" s="6">
        <v>55.844999999999999</v>
      </c>
      <c r="AB43" s="6">
        <v>54.938000000000002</v>
      </c>
      <c r="AC43" s="6">
        <v>36.545999999999999</v>
      </c>
      <c r="AD43" s="6">
        <v>65.38</v>
      </c>
      <c r="AE43" s="6">
        <v>10.81</v>
      </c>
      <c r="AF43" s="6">
        <v>95.962000000000003</v>
      </c>
      <c r="AG43" s="7">
        <f t="shared" si="3"/>
        <v>4.9902689754977798</v>
      </c>
      <c r="AH43" s="7">
        <f t="shared" si="4"/>
        <v>2.4686278543509563</v>
      </c>
      <c r="AI43" s="7"/>
      <c r="AJ43" s="7">
        <f t="shared" si="5"/>
        <v>8.9774413013453369</v>
      </c>
      <c r="AK43" s="7"/>
      <c r="AL43" s="7">
        <f t="shared" si="6"/>
        <v>2.209677419354839</v>
      </c>
      <c r="AM43" s="7">
        <f t="shared" si="7"/>
        <v>2.209677419354839</v>
      </c>
      <c r="AN43" s="7">
        <f t="shared" si="8"/>
        <v>0.51578947368421058</v>
      </c>
      <c r="AO43" s="7">
        <f t="shared" si="42"/>
        <v>2.0416666666666665</v>
      </c>
      <c r="AP43" s="7"/>
      <c r="AQ43" s="7">
        <f t="shared" si="43"/>
        <v>44.766765153550004</v>
      </c>
      <c r="AR43" s="7">
        <f t="shared" si="44"/>
        <v>10.557355564454475</v>
      </c>
      <c r="AS43" s="7">
        <f t="shared" si="43"/>
        <v>4.1044163519947459</v>
      </c>
      <c r="AT43" s="7">
        <f t="shared" si="43"/>
        <v>6.1180789232181105</v>
      </c>
      <c r="AU43" s="7">
        <f t="shared" si="43"/>
        <v>27.752081406105457</v>
      </c>
      <c r="AV43" s="34">
        <f t="shared" si="43"/>
        <v>0.31262374689981454</v>
      </c>
      <c r="AW43" s="37">
        <f t="shared" si="36"/>
        <v>0.23342297349212446</v>
      </c>
      <c r="AX43" s="37">
        <f t="shared" si="37"/>
        <v>4.0627836546234368</v>
      </c>
      <c r="AY43" s="37">
        <f t="shared" si="38"/>
        <v>17.405243339342999</v>
      </c>
      <c r="AZ43" s="40">
        <f t="shared" si="13"/>
        <v>9.9805379509955596</v>
      </c>
      <c r="BA43" s="36">
        <f t="shared" si="14"/>
        <v>4.9372557087019127</v>
      </c>
      <c r="BB43" s="36">
        <f t="shared" si="15"/>
        <v>0</v>
      </c>
      <c r="BC43" s="36">
        <f t="shared" si="16"/>
        <v>8.9774413013453369</v>
      </c>
      <c r="BD43" s="36">
        <f t="shared" si="17"/>
        <v>0</v>
      </c>
      <c r="BE43" s="36">
        <f t="shared" si="18"/>
        <v>2.209677419354839</v>
      </c>
      <c r="BF43" s="36">
        <f t="shared" si="19"/>
        <v>1.5473684210526317</v>
      </c>
      <c r="BG43" s="36">
        <f t="shared" si="20"/>
        <v>4.083333333333333</v>
      </c>
      <c r="BH43" s="36">
        <f t="shared" si="21"/>
        <v>0</v>
      </c>
      <c r="BN43" s="18"/>
      <c r="BO43" s="13"/>
    </row>
    <row r="44" spans="1:67" s="6" customFormat="1" x14ac:dyDescent="0.2">
      <c r="A44" s="6" t="s">
        <v>92</v>
      </c>
      <c r="B44" s="23"/>
      <c r="C44" s="13">
        <v>214</v>
      </c>
      <c r="D44" s="6">
        <v>50</v>
      </c>
      <c r="F44" s="6">
        <v>379</v>
      </c>
      <c r="H44" s="6">
        <v>177</v>
      </c>
      <c r="I44" s="6">
        <v>49</v>
      </c>
      <c r="J44" s="6">
        <v>145</v>
      </c>
      <c r="L44" s="6">
        <v>2.5</v>
      </c>
      <c r="M44" s="6">
        <f>AVERAGE(0.58,0.6)</f>
        <v>0.59</v>
      </c>
      <c r="N44" s="6">
        <v>0.15</v>
      </c>
      <c r="O44" s="6">
        <v>0.3</v>
      </c>
      <c r="P44" s="6">
        <v>0.3</v>
      </c>
      <c r="Q44" s="18">
        <v>0.05</v>
      </c>
      <c r="R44" s="13">
        <v>40.078000000000003</v>
      </c>
      <c r="S44" s="6">
        <v>24.305</v>
      </c>
      <c r="T44" s="6">
        <v>22.99</v>
      </c>
      <c r="U44" s="6">
        <v>39.097999999999999</v>
      </c>
      <c r="V44" s="6">
        <f t="shared" si="22"/>
        <v>18</v>
      </c>
      <c r="W44" s="6">
        <f t="shared" si="23"/>
        <v>62</v>
      </c>
      <c r="X44" s="6">
        <f t="shared" si="24"/>
        <v>95</v>
      </c>
      <c r="Y44" s="6">
        <f t="shared" si="25"/>
        <v>96</v>
      </c>
      <c r="Z44" s="6">
        <v>35.450000000000003</v>
      </c>
      <c r="AA44" s="6">
        <v>55.844999999999999</v>
      </c>
      <c r="AB44" s="6">
        <v>54.938000000000002</v>
      </c>
      <c r="AC44" s="6">
        <v>36.545999999999999</v>
      </c>
      <c r="AD44" s="6">
        <v>65.38</v>
      </c>
      <c r="AE44" s="6">
        <v>10.81</v>
      </c>
      <c r="AF44" s="6">
        <v>95.962000000000003</v>
      </c>
      <c r="AG44" s="7">
        <f t="shared" si="3"/>
        <v>5.3395878037826234</v>
      </c>
      <c r="AH44" s="7">
        <f t="shared" si="4"/>
        <v>2.0571898786257972</v>
      </c>
      <c r="AI44" s="7"/>
      <c r="AJ44" s="7">
        <f t="shared" si="5"/>
        <v>9.6935904649854212</v>
      </c>
      <c r="AK44" s="7"/>
      <c r="AL44" s="7">
        <f t="shared" si="6"/>
        <v>2.8548387096774195</v>
      </c>
      <c r="AM44" s="7">
        <f t="shared" si="7"/>
        <v>2.8548387096774195</v>
      </c>
      <c r="AN44" s="7">
        <f t="shared" si="8"/>
        <v>0.51578947368421058</v>
      </c>
      <c r="AO44" s="7">
        <f t="shared" si="42"/>
        <v>1.5104166666666667</v>
      </c>
      <c r="AP44" s="7"/>
      <c r="AQ44" s="7">
        <f t="shared" si="43"/>
        <v>44.766765153550004</v>
      </c>
      <c r="AR44" s="7">
        <f t="shared" si="44"/>
        <v>10.739378936255415</v>
      </c>
      <c r="AS44" s="7">
        <f t="shared" si="43"/>
        <v>4.1044163519947459</v>
      </c>
      <c r="AT44" s="7">
        <f t="shared" si="43"/>
        <v>4.588559192413582</v>
      </c>
      <c r="AU44" s="7">
        <f t="shared" si="43"/>
        <v>27.752081406105457</v>
      </c>
      <c r="AV44" s="34">
        <f t="shared" si="43"/>
        <v>0.5210395781663576</v>
      </c>
      <c r="AW44" s="37">
        <f t="shared" si="36"/>
        <v>0.18067201903062743</v>
      </c>
      <c r="AX44" s="37">
        <f t="shared" si="37"/>
        <v>3.3954949651361361</v>
      </c>
      <c r="AY44" s="37">
        <f t="shared" si="38"/>
        <v>18.793695799461528</v>
      </c>
      <c r="AZ44" s="40">
        <f t="shared" si="13"/>
        <v>10.679175607565247</v>
      </c>
      <c r="BA44" s="36">
        <f t="shared" si="14"/>
        <v>4.1143797572515943</v>
      </c>
      <c r="BB44" s="36">
        <f t="shared" si="15"/>
        <v>0</v>
      </c>
      <c r="BC44" s="36">
        <f t="shared" si="16"/>
        <v>9.6935904649854212</v>
      </c>
      <c r="BD44" s="36">
        <f t="shared" si="17"/>
        <v>0</v>
      </c>
      <c r="BE44" s="36">
        <f t="shared" si="18"/>
        <v>2.8548387096774195</v>
      </c>
      <c r="BF44" s="36">
        <f t="shared" si="19"/>
        <v>1.5473684210526317</v>
      </c>
      <c r="BG44" s="36">
        <f t="shared" si="20"/>
        <v>3.0208333333333335</v>
      </c>
      <c r="BH44" s="36">
        <f t="shared" si="21"/>
        <v>0</v>
      </c>
      <c r="BN44" s="18"/>
      <c r="BO44" s="13"/>
    </row>
    <row r="45" spans="1:67" s="6" customFormat="1" x14ac:dyDescent="0.2">
      <c r="A45" s="6" t="s">
        <v>93</v>
      </c>
      <c r="B45" s="23"/>
      <c r="C45" s="13">
        <v>240</v>
      </c>
      <c r="D45" s="6">
        <v>48</v>
      </c>
      <c r="F45" s="6">
        <v>195</v>
      </c>
      <c r="G45" s="6">
        <v>7</v>
      </c>
      <c r="H45" s="6">
        <v>224</v>
      </c>
      <c r="I45" s="6">
        <v>46.5</v>
      </c>
      <c r="J45" s="6">
        <v>64</v>
      </c>
      <c r="L45" s="6">
        <v>2.2999999999999998</v>
      </c>
      <c r="M45" s="6">
        <v>0.6</v>
      </c>
      <c r="N45" s="6">
        <v>0.05</v>
      </c>
      <c r="O45" s="6">
        <v>0.4</v>
      </c>
      <c r="P45" s="6">
        <v>0.3</v>
      </c>
      <c r="Q45" s="18">
        <v>0.05</v>
      </c>
      <c r="R45" s="13">
        <v>40.078000000000003</v>
      </c>
      <c r="S45" s="6">
        <v>24.305</v>
      </c>
      <c r="T45" s="6">
        <v>22.99</v>
      </c>
      <c r="U45" s="6">
        <v>39.097999999999999</v>
      </c>
      <c r="V45" s="6">
        <f t="shared" si="22"/>
        <v>18</v>
      </c>
      <c r="W45" s="6">
        <f t="shared" si="23"/>
        <v>62</v>
      </c>
      <c r="X45" s="6">
        <f t="shared" si="24"/>
        <v>95</v>
      </c>
      <c r="Y45" s="6">
        <f t="shared" si="25"/>
        <v>96</v>
      </c>
      <c r="Z45" s="6">
        <v>35.450000000000003</v>
      </c>
      <c r="AA45" s="6">
        <v>55.844999999999999</v>
      </c>
      <c r="AB45" s="6">
        <v>54.938000000000002</v>
      </c>
      <c r="AC45" s="6">
        <v>36.545999999999999</v>
      </c>
      <c r="AD45" s="6">
        <v>65.38</v>
      </c>
      <c r="AE45" s="6">
        <v>10.81</v>
      </c>
      <c r="AF45" s="6">
        <v>95.962000000000003</v>
      </c>
      <c r="AG45" s="7">
        <f t="shared" si="3"/>
        <v>5.9883227705973354</v>
      </c>
      <c r="AH45" s="7">
        <f t="shared" si="4"/>
        <v>1.974902283480765</v>
      </c>
      <c r="AI45" s="7"/>
      <c r="AJ45" s="7">
        <f t="shared" si="5"/>
        <v>4.9874673896362989</v>
      </c>
      <c r="AK45" s="7">
        <f t="shared" si="27"/>
        <v>0.38888888888888884</v>
      </c>
      <c r="AL45" s="7">
        <f t="shared" si="6"/>
        <v>3.6129032258064515</v>
      </c>
      <c r="AM45" s="7">
        <f t="shared" si="7"/>
        <v>4.0017921146953404</v>
      </c>
      <c r="AN45" s="7">
        <f t="shared" si="8"/>
        <v>0.48947368421052628</v>
      </c>
      <c r="AO45" s="7">
        <f t="shared" si="42"/>
        <v>0.66666666666666663</v>
      </c>
      <c r="AP45" s="7"/>
      <c r="AQ45" s="7">
        <f t="shared" si="43"/>
        <v>41.185423941266002</v>
      </c>
      <c r="AR45" s="7">
        <f t="shared" si="44"/>
        <v>10.921402308056354</v>
      </c>
      <c r="AS45" s="7">
        <f t="shared" si="43"/>
        <v>1.3681387839982488</v>
      </c>
      <c r="AT45" s="7">
        <f t="shared" si="43"/>
        <v>6.1180789232181105</v>
      </c>
      <c r="AU45" s="7">
        <f t="shared" si="43"/>
        <v>27.752081406105457</v>
      </c>
      <c r="AV45" s="34">
        <f t="shared" si="43"/>
        <v>0.5210395781663576</v>
      </c>
      <c r="AW45" s="37">
        <f t="shared" si="36"/>
        <v>0.12231362104320362</v>
      </c>
      <c r="AX45" s="37">
        <f t="shared" si="37"/>
        <v>1.2463084654800962</v>
      </c>
      <c r="AY45" s="37">
        <f t="shared" si="38"/>
        <v>10.189449505708568</v>
      </c>
      <c r="AZ45" s="40">
        <f t="shared" si="13"/>
        <v>11.976645541194671</v>
      </c>
      <c r="BA45" s="36">
        <f t="shared" si="14"/>
        <v>3.94980456696153</v>
      </c>
      <c r="BB45" s="36">
        <f t="shared" si="15"/>
        <v>0</v>
      </c>
      <c r="BC45" s="36">
        <f t="shared" si="16"/>
        <v>4.9874673896362989</v>
      </c>
      <c r="BD45" s="36">
        <f t="shared" si="17"/>
        <v>0.77777777777777768</v>
      </c>
      <c r="BE45" s="36">
        <f t="shared" si="18"/>
        <v>3.6129032258064515</v>
      </c>
      <c r="BF45" s="36">
        <f t="shared" si="19"/>
        <v>1.4684210526315788</v>
      </c>
      <c r="BG45" s="36">
        <f t="shared" si="20"/>
        <v>1.3333333333333333</v>
      </c>
      <c r="BH45" s="36">
        <f t="shared" si="21"/>
        <v>0</v>
      </c>
      <c r="BN45" s="18"/>
      <c r="BO45" s="13"/>
    </row>
    <row r="46" spans="1:67" s="6" customFormat="1" x14ac:dyDescent="0.2">
      <c r="A46" s="6" t="s">
        <v>94</v>
      </c>
      <c r="B46" s="23"/>
      <c r="C46" s="13">
        <v>190</v>
      </c>
      <c r="D46" s="6">
        <v>60</v>
      </c>
      <c r="F46" s="6">
        <v>351</v>
      </c>
      <c r="H46" s="6">
        <v>189</v>
      </c>
      <c r="I46" s="6">
        <v>46.5</v>
      </c>
      <c r="J46" s="6">
        <v>128</v>
      </c>
      <c r="L46" s="6">
        <v>2.2999999999999998</v>
      </c>
      <c r="M46" s="6">
        <v>0.6</v>
      </c>
      <c r="N46" s="6">
        <v>0.05</v>
      </c>
      <c r="O46" s="6">
        <v>0.7</v>
      </c>
      <c r="P46" s="6">
        <v>0.3</v>
      </c>
      <c r="Q46" s="18">
        <v>0.05</v>
      </c>
      <c r="R46" s="13">
        <v>40.078000000000003</v>
      </c>
      <c r="S46" s="6">
        <v>24.305</v>
      </c>
      <c r="T46" s="6">
        <v>22.99</v>
      </c>
      <c r="U46" s="6">
        <v>39.097999999999999</v>
      </c>
      <c r="V46" s="6">
        <f t="shared" si="22"/>
        <v>18</v>
      </c>
      <c r="W46" s="6">
        <f t="shared" si="23"/>
        <v>62</v>
      </c>
      <c r="X46" s="6">
        <f t="shared" si="24"/>
        <v>95</v>
      </c>
      <c r="Y46" s="6">
        <f t="shared" si="25"/>
        <v>96</v>
      </c>
      <c r="Z46" s="6">
        <v>35.450000000000003</v>
      </c>
      <c r="AA46" s="6">
        <v>55.844999999999999</v>
      </c>
      <c r="AB46" s="6">
        <v>54.938000000000002</v>
      </c>
      <c r="AC46" s="6">
        <v>36.545999999999999</v>
      </c>
      <c r="AD46" s="6">
        <v>65.38</v>
      </c>
      <c r="AE46" s="6">
        <v>10.81</v>
      </c>
      <c r="AF46" s="6">
        <v>95.962000000000003</v>
      </c>
      <c r="AG46" s="7">
        <f t="shared" si="3"/>
        <v>4.7407555267228902</v>
      </c>
      <c r="AH46" s="7">
        <f t="shared" si="4"/>
        <v>2.4686278543509563</v>
      </c>
      <c r="AI46" s="7"/>
      <c r="AJ46" s="7">
        <f t="shared" si="5"/>
        <v>8.9774413013453369</v>
      </c>
      <c r="AK46" s="7"/>
      <c r="AL46" s="7">
        <f t="shared" si="6"/>
        <v>3.0483870967741939</v>
      </c>
      <c r="AM46" s="7">
        <f t="shared" si="7"/>
        <v>3.0483870967741939</v>
      </c>
      <c r="AN46" s="7">
        <f t="shared" si="8"/>
        <v>0.48947368421052628</v>
      </c>
      <c r="AO46" s="7">
        <f t="shared" si="42"/>
        <v>1.3333333333333333</v>
      </c>
      <c r="AP46" s="7"/>
      <c r="AQ46" s="7">
        <f t="shared" si="43"/>
        <v>41.185423941266002</v>
      </c>
      <c r="AR46" s="7">
        <f t="shared" si="44"/>
        <v>10.921402308056354</v>
      </c>
      <c r="AS46" s="7">
        <f t="shared" si="43"/>
        <v>1.3681387839982488</v>
      </c>
      <c r="AT46" s="7">
        <f t="shared" si="43"/>
        <v>10.706638115631693</v>
      </c>
      <c r="AU46" s="7">
        <f t="shared" si="43"/>
        <v>27.752081406105457</v>
      </c>
      <c r="AV46" s="34">
        <f t="shared" si="43"/>
        <v>0.5210395781663576</v>
      </c>
      <c r="AW46" s="37">
        <f t="shared" si="36"/>
        <v>0.16056808688387633</v>
      </c>
      <c r="AX46" s="37">
        <f t="shared" si="37"/>
        <v>2.9449807443566711</v>
      </c>
      <c r="AY46" s="37">
        <f t="shared" si="38"/>
        <v>18.341009110275422</v>
      </c>
      <c r="AZ46" s="40">
        <f t="shared" si="13"/>
        <v>9.4815110534457805</v>
      </c>
      <c r="BA46" s="36">
        <f t="shared" si="14"/>
        <v>4.9372557087019127</v>
      </c>
      <c r="BB46" s="36">
        <f t="shared" si="15"/>
        <v>0</v>
      </c>
      <c r="BC46" s="36">
        <f t="shared" si="16"/>
        <v>8.9774413013453369</v>
      </c>
      <c r="BD46" s="36">
        <f t="shared" si="17"/>
        <v>0</v>
      </c>
      <c r="BE46" s="36">
        <f t="shared" si="18"/>
        <v>3.0483870967741939</v>
      </c>
      <c r="BF46" s="36">
        <f t="shared" si="19"/>
        <v>1.4684210526315788</v>
      </c>
      <c r="BG46" s="36">
        <f t="shared" si="20"/>
        <v>2.6666666666666665</v>
      </c>
      <c r="BH46" s="36">
        <f t="shared" si="21"/>
        <v>0</v>
      </c>
      <c r="BN46" s="18"/>
      <c r="BO46" s="13"/>
    </row>
    <row r="47" spans="1:67" s="6" customFormat="1" x14ac:dyDescent="0.2">
      <c r="A47" s="6" t="s">
        <v>95</v>
      </c>
      <c r="B47" s="23"/>
      <c r="C47" s="13">
        <v>170</v>
      </c>
      <c r="D47" s="6">
        <v>48</v>
      </c>
      <c r="F47" s="6">
        <v>341</v>
      </c>
      <c r="G47" s="6">
        <v>18</v>
      </c>
      <c r="H47" s="6">
        <v>192</v>
      </c>
      <c r="I47" s="6">
        <v>38.700000000000003</v>
      </c>
      <c r="J47" s="6">
        <v>120</v>
      </c>
      <c r="L47" s="6">
        <v>2.2999999999999998</v>
      </c>
      <c r="M47" s="6">
        <v>0.6</v>
      </c>
      <c r="N47" s="6">
        <v>0.05</v>
      </c>
      <c r="O47" s="6">
        <v>0.3</v>
      </c>
      <c r="P47" s="6">
        <v>0.3</v>
      </c>
      <c r="Q47" s="18">
        <v>0.05</v>
      </c>
      <c r="R47" s="13">
        <v>40.078000000000003</v>
      </c>
      <c r="S47" s="6">
        <v>24.305</v>
      </c>
      <c r="T47" s="6">
        <v>22.99</v>
      </c>
      <c r="U47" s="6">
        <v>39.097999999999999</v>
      </c>
      <c r="V47" s="6">
        <f t="shared" si="22"/>
        <v>18</v>
      </c>
      <c r="W47" s="6">
        <f t="shared" si="23"/>
        <v>62</v>
      </c>
      <c r="X47" s="6">
        <f t="shared" si="24"/>
        <v>95</v>
      </c>
      <c r="Y47" s="6">
        <f t="shared" si="25"/>
        <v>96</v>
      </c>
      <c r="Z47" s="6">
        <v>35.450000000000003</v>
      </c>
      <c r="AA47" s="6">
        <v>55.844999999999999</v>
      </c>
      <c r="AB47" s="6">
        <v>54.938000000000002</v>
      </c>
      <c r="AC47" s="6">
        <v>36.545999999999999</v>
      </c>
      <c r="AD47" s="6">
        <v>65.38</v>
      </c>
      <c r="AE47" s="6">
        <v>10.81</v>
      </c>
      <c r="AF47" s="6">
        <v>95.962000000000003</v>
      </c>
      <c r="AG47" s="7">
        <f t="shared" si="3"/>
        <v>4.241728629173112</v>
      </c>
      <c r="AH47" s="7">
        <f t="shared" si="4"/>
        <v>1.974902283480765</v>
      </c>
      <c r="AI47" s="7"/>
      <c r="AJ47" s="7">
        <f t="shared" si="5"/>
        <v>8.7216737429024498</v>
      </c>
      <c r="AK47" s="7">
        <f t="shared" si="27"/>
        <v>1</v>
      </c>
      <c r="AL47" s="7">
        <f t="shared" si="6"/>
        <v>3.096774193548387</v>
      </c>
      <c r="AM47" s="7">
        <f t="shared" si="7"/>
        <v>4.096774193548387</v>
      </c>
      <c r="AN47" s="7">
        <f t="shared" si="8"/>
        <v>0.4073684210526316</v>
      </c>
      <c r="AO47" s="7">
        <f t="shared" si="42"/>
        <v>1.25</v>
      </c>
      <c r="AP47" s="7"/>
      <c r="AQ47" s="7">
        <f t="shared" si="43"/>
        <v>41.185423941266002</v>
      </c>
      <c r="AR47" s="7">
        <f t="shared" si="44"/>
        <v>10.921402308056354</v>
      </c>
      <c r="AS47" s="7">
        <f t="shared" si="43"/>
        <v>1.3681387839982488</v>
      </c>
      <c r="AT47" s="7">
        <f t="shared" si="43"/>
        <v>4.588559192413582</v>
      </c>
      <c r="AU47" s="7">
        <f t="shared" si="43"/>
        <v>27.752081406105457</v>
      </c>
      <c r="AV47" s="34">
        <f t="shared" si="43"/>
        <v>0.5210395781663576</v>
      </c>
      <c r="AW47" s="37">
        <f t="shared" si="36"/>
        <v>9.9436386241193539E-2</v>
      </c>
      <c r="AX47" s="37">
        <f t="shared" si="37"/>
        <v>2.1289124884250077</v>
      </c>
      <c r="AY47" s="37">
        <f t="shared" si="38"/>
        <v>21.409793425729525</v>
      </c>
      <c r="AZ47" s="40">
        <f t="shared" si="13"/>
        <v>8.483457258346224</v>
      </c>
      <c r="BA47" s="36">
        <f t="shared" si="14"/>
        <v>3.94980456696153</v>
      </c>
      <c r="BB47" s="36">
        <f t="shared" si="15"/>
        <v>0</v>
      </c>
      <c r="BC47" s="36">
        <f t="shared" si="16"/>
        <v>8.7216737429024498</v>
      </c>
      <c r="BD47" s="36">
        <f t="shared" si="17"/>
        <v>2</v>
      </c>
      <c r="BE47" s="36">
        <f t="shared" si="18"/>
        <v>3.096774193548387</v>
      </c>
      <c r="BF47" s="36">
        <f t="shared" si="19"/>
        <v>1.2221052631578948</v>
      </c>
      <c r="BG47" s="36">
        <f t="shared" si="20"/>
        <v>2.5</v>
      </c>
      <c r="BH47" s="36">
        <f t="shared" si="21"/>
        <v>0</v>
      </c>
      <c r="BN47" s="18"/>
      <c r="BO47" s="13"/>
    </row>
    <row r="48" spans="1:67" s="6" customFormat="1" x14ac:dyDescent="0.2">
      <c r="A48" s="6" t="s">
        <v>96</v>
      </c>
      <c r="B48" s="23"/>
      <c r="C48" s="13">
        <v>185</v>
      </c>
      <c r="D48" s="6">
        <v>33</v>
      </c>
      <c r="F48" s="6">
        <v>270</v>
      </c>
      <c r="G48" s="6">
        <v>18</v>
      </c>
      <c r="H48" s="6">
        <v>190</v>
      </c>
      <c r="I48" s="6">
        <v>39</v>
      </c>
      <c r="J48" s="6">
        <v>90</v>
      </c>
      <c r="L48" s="6">
        <v>2.2999999999999998</v>
      </c>
      <c r="M48" s="6">
        <v>0.6</v>
      </c>
      <c r="N48" s="6">
        <v>0.05</v>
      </c>
      <c r="O48" s="6">
        <v>0.4</v>
      </c>
      <c r="P48" s="6">
        <v>0.4</v>
      </c>
      <c r="Q48" s="18">
        <v>0.05</v>
      </c>
      <c r="R48" s="13">
        <v>40.078000000000003</v>
      </c>
      <c r="S48" s="6">
        <v>24.305</v>
      </c>
      <c r="T48" s="6">
        <v>22.99</v>
      </c>
      <c r="U48" s="6">
        <v>39.097999999999999</v>
      </c>
      <c r="V48" s="6">
        <f t="shared" si="22"/>
        <v>18</v>
      </c>
      <c r="W48" s="6">
        <f t="shared" si="23"/>
        <v>62</v>
      </c>
      <c r="X48" s="6">
        <f t="shared" si="24"/>
        <v>95</v>
      </c>
      <c r="Y48" s="6">
        <f t="shared" si="25"/>
        <v>96</v>
      </c>
      <c r="Z48" s="6">
        <v>35.450000000000003</v>
      </c>
      <c r="AA48" s="6">
        <v>55.844999999999999</v>
      </c>
      <c r="AB48" s="6">
        <v>54.938000000000002</v>
      </c>
      <c r="AC48" s="6">
        <v>36.545999999999999</v>
      </c>
      <c r="AD48" s="6">
        <v>65.38</v>
      </c>
      <c r="AE48" s="6">
        <v>10.81</v>
      </c>
      <c r="AF48" s="6">
        <v>95.962000000000003</v>
      </c>
      <c r="AG48" s="7">
        <f t="shared" si="3"/>
        <v>4.6159988023354463</v>
      </c>
      <c r="AH48" s="7">
        <f t="shared" si="4"/>
        <v>1.3577453198930263</v>
      </c>
      <c r="AI48" s="7"/>
      <c r="AJ48" s="7">
        <f t="shared" si="5"/>
        <v>6.9057240779579523</v>
      </c>
      <c r="AK48" s="7">
        <f t="shared" si="27"/>
        <v>1</v>
      </c>
      <c r="AL48" s="7">
        <f t="shared" si="6"/>
        <v>3.064516129032258</v>
      </c>
      <c r="AM48" s="7">
        <f t="shared" si="7"/>
        <v>4.064516129032258</v>
      </c>
      <c r="AN48" s="7">
        <f t="shared" si="8"/>
        <v>0.41052631578947368</v>
      </c>
      <c r="AO48" s="7">
        <f t="shared" si="42"/>
        <v>0.9375</v>
      </c>
      <c r="AP48" s="7"/>
      <c r="AQ48" s="7">
        <f t="shared" ref="AQ48:AQ50" si="45">L48/(AA48*1000)*1000000</f>
        <v>41.185423941266002</v>
      </c>
      <c r="AR48" s="7">
        <f t="shared" si="44"/>
        <v>10.921402308056354</v>
      </c>
      <c r="AS48" s="7">
        <f t="shared" ref="AS48:AS50" si="46">N48/(AC48*1000)*1000000</f>
        <v>1.3681387839982488</v>
      </c>
      <c r="AT48" s="7">
        <f t="shared" ref="AT48:AT50" si="47">O48/(AD48*1000)*1000000</f>
        <v>6.1180789232181105</v>
      </c>
      <c r="AU48" s="7">
        <f t="shared" ref="AU48:AU50" si="48">P48/(AE48*1000)*1000000</f>
        <v>37.002775208140619</v>
      </c>
      <c r="AV48" s="34">
        <f t="shared" ref="AV48:AV50" si="49">Q48/(AF48*1000)*1000000</f>
        <v>0.5210395781663576</v>
      </c>
      <c r="AW48" s="37">
        <f t="shared" si="36"/>
        <v>0.10100250626566416</v>
      </c>
      <c r="AX48" s="37">
        <f t="shared" si="37"/>
        <v>1.6990273525134645</v>
      </c>
      <c r="AY48" s="37">
        <f t="shared" si="38"/>
        <v>16.82163557451296</v>
      </c>
      <c r="AZ48" s="40">
        <f t="shared" si="13"/>
        <v>9.2319976046708927</v>
      </c>
      <c r="BA48" s="36">
        <f t="shared" si="14"/>
        <v>2.7154906397860525</v>
      </c>
      <c r="BB48" s="36">
        <f t="shared" si="15"/>
        <v>0</v>
      </c>
      <c r="BC48" s="36">
        <f t="shared" si="16"/>
        <v>6.9057240779579523</v>
      </c>
      <c r="BD48" s="36">
        <f t="shared" si="17"/>
        <v>2</v>
      </c>
      <c r="BE48" s="36">
        <f t="shared" si="18"/>
        <v>3.064516129032258</v>
      </c>
      <c r="BF48" s="36">
        <f t="shared" si="19"/>
        <v>1.2315789473684211</v>
      </c>
      <c r="BG48" s="36">
        <f t="shared" si="20"/>
        <v>1.875</v>
      </c>
      <c r="BH48" s="36">
        <f t="shared" si="21"/>
        <v>0</v>
      </c>
      <c r="BN48" s="18"/>
      <c r="BO48" s="13"/>
    </row>
    <row r="49" spans="1:67" s="6" customFormat="1" x14ac:dyDescent="0.2">
      <c r="A49" s="6" t="s">
        <v>97</v>
      </c>
      <c r="B49" s="23"/>
      <c r="C49" s="13">
        <v>210</v>
      </c>
      <c r="D49" s="6">
        <v>33</v>
      </c>
      <c r="F49" s="6">
        <v>345</v>
      </c>
      <c r="G49" s="6">
        <v>18</v>
      </c>
      <c r="H49" s="6">
        <v>246</v>
      </c>
      <c r="I49" s="6">
        <v>39</v>
      </c>
      <c r="J49" s="6">
        <v>65</v>
      </c>
      <c r="L49" s="6">
        <v>2.2999999999999998</v>
      </c>
      <c r="M49" s="6">
        <v>0.6</v>
      </c>
      <c r="N49" s="6">
        <v>0.05</v>
      </c>
      <c r="O49" s="6">
        <v>0.4</v>
      </c>
      <c r="P49" s="6">
        <v>0.4</v>
      </c>
      <c r="Q49" s="18">
        <v>0.05</v>
      </c>
      <c r="R49" s="13">
        <v>40.078000000000003</v>
      </c>
      <c r="S49" s="6">
        <v>24.305</v>
      </c>
      <c r="T49" s="6">
        <v>22.99</v>
      </c>
      <c r="U49" s="6">
        <v>39.097999999999999</v>
      </c>
      <c r="V49" s="6">
        <f t="shared" si="22"/>
        <v>18</v>
      </c>
      <c r="W49" s="6">
        <f t="shared" si="23"/>
        <v>62</v>
      </c>
      <c r="X49" s="6">
        <f t="shared" si="24"/>
        <v>95</v>
      </c>
      <c r="Y49" s="6">
        <f t="shared" si="25"/>
        <v>96</v>
      </c>
      <c r="Z49" s="6">
        <v>35.450000000000003</v>
      </c>
      <c r="AA49" s="6">
        <v>55.844999999999999</v>
      </c>
      <c r="AB49" s="6">
        <v>54.938000000000002</v>
      </c>
      <c r="AC49" s="6">
        <v>36.545999999999999</v>
      </c>
      <c r="AD49" s="6">
        <v>65.38</v>
      </c>
      <c r="AE49" s="6">
        <v>10.81</v>
      </c>
      <c r="AF49" s="6">
        <v>95.962000000000003</v>
      </c>
      <c r="AG49" s="7">
        <f t="shared" si="3"/>
        <v>5.2397824242726685</v>
      </c>
      <c r="AH49" s="7">
        <f t="shared" si="4"/>
        <v>1.3577453198930263</v>
      </c>
      <c r="AI49" s="7"/>
      <c r="AJ49" s="7">
        <f t="shared" si="5"/>
        <v>8.8239807662796039</v>
      </c>
      <c r="AK49" s="7">
        <f t="shared" si="27"/>
        <v>1</v>
      </c>
      <c r="AL49" s="7">
        <f t="shared" si="6"/>
        <v>3.9677419354838714</v>
      </c>
      <c r="AM49" s="7">
        <f t="shared" si="7"/>
        <v>4.9677419354838719</v>
      </c>
      <c r="AN49" s="7">
        <f t="shared" si="8"/>
        <v>0.41052631578947368</v>
      </c>
      <c r="AO49" s="7">
        <f t="shared" si="42"/>
        <v>0.67708333333333337</v>
      </c>
      <c r="AP49" s="7"/>
      <c r="AQ49" s="7">
        <f t="shared" si="45"/>
        <v>41.185423941266002</v>
      </c>
      <c r="AR49" s="7">
        <f t="shared" si="44"/>
        <v>10.921402308056354</v>
      </c>
      <c r="AS49" s="7">
        <f t="shared" si="46"/>
        <v>1.3681387839982488</v>
      </c>
      <c r="AT49" s="7">
        <f t="shared" si="47"/>
        <v>6.1180789232181105</v>
      </c>
      <c r="AU49" s="7">
        <f t="shared" si="48"/>
        <v>37.002775208140619</v>
      </c>
      <c r="AV49" s="34">
        <f t="shared" si="49"/>
        <v>0.5210395781663576</v>
      </c>
      <c r="AW49" s="37">
        <f t="shared" si="36"/>
        <v>8.2638414217361567E-2</v>
      </c>
      <c r="AX49" s="37">
        <f t="shared" si="37"/>
        <v>1.7762558685368031</v>
      </c>
      <c r="AY49" s="37">
        <f t="shared" si="38"/>
        <v>21.494312122988777</v>
      </c>
      <c r="AZ49" s="40">
        <f t="shared" si="13"/>
        <v>10.479564848545337</v>
      </c>
      <c r="BA49" s="36">
        <f t="shared" si="14"/>
        <v>2.7154906397860525</v>
      </c>
      <c r="BB49" s="36">
        <f t="shared" si="15"/>
        <v>0</v>
      </c>
      <c r="BC49" s="36">
        <f t="shared" si="16"/>
        <v>8.8239807662796039</v>
      </c>
      <c r="BD49" s="36">
        <f t="shared" si="17"/>
        <v>2</v>
      </c>
      <c r="BE49" s="36">
        <f t="shared" si="18"/>
        <v>3.9677419354838714</v>
      </c>
      <c r="BF49" s="36">
        <f t="shared" si="19"/>
        <v>1.2315789473684211</v>
      </c>
      <c r="BG49" s="36">
        <f t="shared" si="20"/>
        <v>1.3541666666666667</v>
      </c>
      <c r="BH49" s="36">
        <f t="shared" si="21"/>
        <v>0</v>
      </c>
      <c r="BN49" s="18"/>
      <c r="BO49" s="13"/>
    </row>
    <row r="50" spans="1:67" s="8" customFormat="1" ht="17" thickBot="1" x14ac:dyDescent="0.25">
      <c r="A50" s="8" t="s">
        <v>98</v>
      </c>
      <c r="B50" s="24"/>
      <c r="C50" s="14">
        <v>170</v>
      </c>
      <c r="D50" s="8">
        <v>36</v>
      </c>
      <c r="F50" s="8">
        <v>293</v>
      </c>
      <c r="G50" s="8">
        <v>18</v>
      </c>
      <c r="H50" s="8">
        <v>213</v>
      </c>
      <c r="I50" s="8">
        <v>39</v>
      </c>
      <c r="J50" s="8">
        <v>44</v>
      </c>
      <c r="L50" s="8">
        <v>2.2999999999999998</v>
      </c>
      <c r="M50" s="8">
        <v>0.6</v>
      </c>
      <c r="N50" s="8">
        <v>0.05</v>
      </c>
      <c r="O50" s="8">
        <v>0.4</v>
      </c>
      <c r="P50" s="8">
        <v>0.3</v>
      </c>
      <c r="Q50" s="19">
        <v>0.05</v>
      </c>
      <c r="R50" s="14">
        <v>40.078000000000003</v>
      </c>
      <c r="S50" s="8">
        <v>24.305</v>
      </c>
      <c r="T50" s="8">
        <v>22.99</v>
      </c>
      <c r="U50" s="8">
        <v>39.097999999999999</v>
      </c>
      <c r="V50" s="8">
        <f t="shared" si="22"/>
        <v>18</v>
      </c>
      <c r="W50" s="8">
        <f t="shared" si="23"/>
        <v>62</v>
      </c>
      <c r="X50" s="8">
        <f t="shared" si="24"/>
        <v>95</v>
      </c>
      <c r="Y50" s="8">
        <f t="shared" si="25"/>
        <v>96</v>
      </c>
      <c r="Z50" s="8">
        <v>35.450000000000003</v>
      </c>
      <c r="AA50" s="8">
        <v>55.844999999999999</v>
      </c>
      <c r="AB50" s="8">
        <v>54.938000000000002</v>
      </c>
      <c r="AC50" s="8">
        <v>36.545999999999999</v>
      </c>
      <c r="AD50" s="8">
        <v>65.38</v>
      </c>
      <c r="AE50" s="8">
        <v>10.81</v>
      </c>
      <c r="AF50" s="8">
        <v>95.962000000000003</v>
      </c>
      <c r="AG50" s="9">
        <f t="shared" si="3"/>
        <v>4.241728629173112</v>
      </c>
      <c r="AH50" s="9">
        <f t="shared" si="4"/>
        <v>1.4811767126105739</v>
      </c>
      <c r="AI50" s="9"/>
      <c r="AJ50" s="9">
        <f t="shared" si="5"/>
        <v>7.4939894623765921</v>
      </c>
      <c r="AK50" s="9">
        <f t="shared" si="27"/>
        <v>1</v>
      </c>
      <c r="AL50" s="9">
        <f t="shared" si="6"/>
        <v>3.435483870967742</v>
      </c>
      <c r="AM50" s="9">
        <f t="shared" si="7"/>
        <v>4.435483870967742</v>
      </c>
      <c r="AN50" s="9">
        <f t="shared" si="8"/>
        <v>0.41052631578947368</v>
      </c>
      <c r="AO50" s="9">
        <f t="shared" si="42"/>
        <v>0.45833333333333331</v>
      </c>
      <c r="AP50" s="9"/>
      <c r="AQ50" s="9">
        <f t="shared" si="45"/>
        <v>41.185423941266002</v>
      </c>
      <c r="AR50" s="9">
        <f t="shared" si="44"/>
        <v>10.921402308056354</v>
      </c>
      <c r="AS50" s="9">
        <f t="shared" si="46"/>
        <v>1.3681387839982488</v>
      </c>
      <c r="AT50" s="9">
        <f t="shared" si="47"/>
        <v>6.1180789232181105</v>
      </c>
      <c r="AU50" s="9">
        <f t="shared" si="48"/>
        <v>27.752081406105457</v>
      </c>
      <c r="AV50" s="35">
        <f t="shared" si="49"/>
        <v>0.5210395781663576</v>
      </c>
      <c r="AW50" s="37">
        <f t="shared" si="36"/>
        <v>9.2555023923444973E-2</v>
      </c>
      <c r="AX50" s="37">
        <f t="shared" si="37"/>
        <v>1.689553987881268</v>
      </c>
      <c r="AY50" s="37">
        <f t="shared" si="38"/>
        <v>18.254589716045544</v>
      </c>
      <c r="AZ50" s="40">
        <f t="shared" si="13"/>
        <v>8.483457258346224</v>
      </c>
      <c r="BA50" s="36">
        <f t="shared" si="14"/>
        <v>2.9623534252211479</v>
      </c>
      <c r="BB50" s="36">
        <f t="shared" si="15"/>
        <v>0</v>
      </c>
      <c r="BC50" s="36">
        <f t="shared" si="16"/>
        <v>7.4939894623765921</v>
      </c>
      <c r="BD50" s="36">
        <f t="shared" si="17"/>
        <v>2</v>
      </c>
      <c r="BE50" s="36">
        <f t="shared" si="18"/>
        <v>3.435483870967742</v>
      </c>
      <c r="BF50" s="36">
        <f t="shared" si="19"/>
        <v>1.2315789473684211</v>
      </c>
      <c r="BG50" s="36">
        <f t="shared" si="20"/>
        <v>0.91666666666666663</v>
      </c>
      <c r="BH50" s="36">
        <f t="shared" si="21"/>
        <v>0</v>
      </c>
      <c r="BN50" s="19"/>
      <c r="BO50" s="14"/>
    </row>
    <row r="51" spans="1:67" s="10" customFormat="1" ht="15" customHeight="1" x14ac:dyDescent="0.2">
      <c r="A51" s="10" t="s">
        <v>55</v>
      </c>
      <c r="B51" s="25">
        <f>MIN(B3:B50)</f>
        <v>4.8</v>
      </c>
      <c r="C51" s="15">
        <f t="shared" ref="C51:AV51" si="50">MIN(C3:C50)</f>
        <v>50</v>
      </c>
      <c r="D51" s="11">
        <f t="shared" si="50"/>
        <v>20</v>
      </c>
      <c r="E51" s="11">
        <f t="shared" si="50"/>
        <v>12</v>
      </c>
      <c r="F51" s="11">
        <f t="shared" si="50"/>
        <v>65</v>
      </c>
      <c r="G51" s="11">
        <f t="shared" si="50"/>
        <v>3</v>
      </c>
      <c r="H51" s="11">
        <f t="shared" si="50"/>
        <v>47</v>
      </c>
      <c r="I51" s="11">
        <f t="shared" si="50"/>
        <v>4</v>
      </c>
      <c r="J51" s="11">
        <f t="shared" si="50"/>
        <v>26</v>
      </c>
      <c r="K51" s="11">
        <f t="shared" si="50"/>
        <v>3.5</v>
      </c>
      <c r="L51" s="11">
        <f t="shared" si="50"/>
        <v>0.5</v>
      </c>
      <c r="M51" s="11">
        <f t="shared" si="50"/>
        <v>0.1</v>
      </c>
      <c r="N51" s="11">
        <f t="shared" si="50"/>
        <v>5.0000000000000001E-3</v>
      </c>
      <c r="O51" s="11">
        <f t="shared" si="50"/>
        <v>0.01</v>
      </c>
      <c r="P51" s="11">
        <f t="shared" si="50"/>
        <v>0.1</v>
      </c>
      <c r="Q51" s="20">
        <f t="shared" si="50"/>
        <v>1E-3</v>
      </c>
      <c r="R51" s="15">
        <f t="shared" si="50"/>
        <v>40.078000000000003</v>
      </c>
      <c r="S51" s="11">
        <f t="shared" si="50"/>
        <v>24.305</v>
      </c>
      <c r="T51" s="11">
        <f t="shared" si="50"/>
        <v>22.99</v>
      </c>
      <c r="U51" s="11">
        <f t="shared" si="50"/>
        <v>39.097999999999999</v>
      </c>
      <c r="V51" s="11">
        <f t="shared" si="50"/>
        <v>18</v>
      </c>
      <c r="W51" s="11">
        <f t="shared" si="50"/>
        <v>62</v>
      </c>
      <c r="X51" s="11">
        <f t="shared" si="50"/>
        <v>95</v>
      </c>
      <c r="Y51" s="11">
        <f t="shared" si="50"/>
        <v>96</v>
      </c>
      <c r="Z51" s="11">
        <f t="shared" si="50"/>
        <v>35.450000000000003</v>
      </c>
      <c r="AA51" s="11">
        <f t="shared" si="50"/>
        <v>55.844999999999999</v>
      </c>
      <c r="AB51" s="11">
        <f t="shared" si="50"/>
        <v>54.938000000000002</v>
      </c>
      <c r="AC51" s="11">
        <f t="shared" si="50"/>
        <v>36.545999999999999</v>
      </c>
      <c r="AD51" s="11">
        <f t="shared" si="50"/>
        <v>65.38</v>
      </c>
      <c r="AE51" s="11">
        <f t="shared" si="50"/>
        <v>10.81</v>
      </c>
      <c r="AF51" s="11">
        <f t="shared" si="50"/>
        <v>95.962000000000003</v>
      </c>
      <c r="AG51" s="11">
        <f t="shared" si="50"/>
        <v>1.247567243874445</v>
      </c>
      <c r="AH51" s="11">
        <f t="shared" si="50"/>
        <v>0.82287595145031889</v>
      </c>
      <c r="AI51" s="11">
        <f t="shared" si="50"/>
        <v>0.52196607220530666</v>
      </c>
      <c r="AJ51" s="11">
        <f t="shared" si="50"/>
        <v>1.6624891298787663</v>
      </c>
      <c r="AK51" s="11">
        <f t="shared" si="50"/>
        <v>0.16666666666666666</v>
      </c>
      <c r="AL51" s="11">
        <f t="shared" si="50"/>
        <v>0.75806451612903225</v>
      </c>
      <c r="AM51" s="11">
        <f t="shared" si="50"/>
        <v>0.75806451612903225</v>
      </c>
      <c r="AN51" s="11">
        <f t="shared" si="50"/>
        <v>4.2105263157894736E-2</v>
      </c>
      <c r="AO51" s="11">
        <f t="shared" si="50"/>
        <v>0.27083333333333331</v>
      </c>
      <c r="AP51" s="11">
        <f t="shared" si="50"/>
        <v>0</v>
      </c>
      <c r="AQ51" s="11">
        <f t="shared" si="50"/>
        <v>8.9533530307099998</v>
      </c>
      <c r="AR51" s="11">
        <f t="shared" si="50"/>
        <v>1.8202337180093924</v>
      </c>
      <c r="AS51" s="11">
        <f t="shared" si="50"/>
        <v>0.1368138783998249</v>
      </c>
      <c r="AT51" s="11">
        <f t="shared" si="50"/>
        <v>0.15295197308045277</v>
      </c>
      <c r="AU51" s="11">
        <f t="shared" si="50"/>
        <v>9.2506938020351548</v>
      </c>
      <c r="AV51" s="20">
        <f t="shared" si="50"/>
        <v>1.0420791563327151E-2</v>
      </c>
      <c r="AW51" s="20">
        <f t="shared" ref="AW51" si="51">MIN(AW3:AW50)</f>
        <v>5.5543113101903692E-2</v>
      </c>
      <c r="AX51" s="20">
        <f t="shared" ref="AX51" si="52">MIN(AX3:AX50)</f>
        <v>0.14781651525866288</v>
      </c>
      <c r="AY51" s="20">
        <f t="shared" ref="AY51" si="53">MIN(AY3:AY50)</f>
        <v>5.4522627080521816E-2</v>
      </c>
      <c r="AZ51" s="41">
        <f t="shared" ref="AZ51" si="54">MIN(AZ3:AZ50)</f>
        <v>2.4951344877488899</v>
      </c>
      <c r="BA51" s="20">
        <f t="shared" ref="BA51" si="55">MIN(BA3:BA50)</f>
        <v>1.6457519029006378</v>
      </c>
      <c r="BB51" s="11">
        <f t="shared" ref="BB51" si="56">MIN(BB3:BB50)</f>
        <v>0</v>
      </c>
      <c r="BC51" s="20">
        <f t="shared" ref="BC51" si="57">MIN(BC3:BC50)</f>
        <v>1.6624891298787663</v>
      </c>
      <c r="BD51" s="11">
        <f t="shared" ref="BD51" si="58">MIN(BD3:BD50)</f>
        <v>0</v>
      </c>
      <c r="BE51" s="20">
        <f t="shared" ref="BE51" si="59">MIN(BE3:BE50)</f>
        <v>0.75806451612903225</v>
      </c>
      <c r="BF51" s="11">
        <f t="shared" ref="BF51" si="60">MIN(BF3:BF50)</f>
        <v>0.12631578947368421</v>
      </c>
      <c r="BG51" s="20">
        <f t="shared" ref="BG51" si="61">MIN(BG3:BG50)</f>
        <v>0</v>
      </c>
      <c r="BH51" s="11">
        <f t="shared" ref="BH51" si="62">MIN(BH3:BH50)</f>
        <v>0</v>
      </c>
      <c r="BN51" s="27"/>
      <c r="BO51" s="28"/>
    </row>
    <row r="52" spans="1:67" s="4" customFormat="1" x14ac:dyDescent="0.2">
      <c r="A52" s="4" t="s">
        <v>53</v>
      </c>
      <c r="B52" s="26">
        <f>AVERAGE(B3:B50)</f>
        <v>5.9437499999999996</v>
      </c>
      <c r="C52" s="16">
        <f t="shared" ref="C52:AV52" si="63">AVERAGE(C3:C50)</f>
        <v>191.54166666666666</v>
      </c>
      <c r="D52" s="5">
        <f t="shared" si="63"/>
        <v>60.416666666666664</v>
      </c>
      <c r="E52" s="5">
        <f t="shared" si="63"/>
        <v>51.5</v>
      </c>
      <c r="F52" s="5">
        <f t="shared" si="63"/>
        <v>263.65625</v>
      </c>
      <c r="G52" s="5">
        <f t="shared" si="63"/>
        <v>21.791666666666668</v>
      </c>
      <c r="H52" s="5">
        <f t="shared" si="63"/>
        <v>162.16041666666666</v>
      </c>
      <c r="I52" s="5">
        <f t="shared" si="63"/>
        <v>60.693750000000001</v>
      </c>
      <c r="J52" s="5">
        <f t="shared" si="63"/>
        <v>128.97872340425531</v>
      </c>
      <c r="K52" s="5">
        <f t="shared" si="63"/>
        <v>71.05</v>
      </c>
      <c r="L52" s="5">
        <f t="shared" si="63"/>
        <v>2.5527777777777776</v>
      </c>
      <c r="M52" s="5">
        <f t="shared" si="63"/>
        <v>0.54243243243243278</v>
      </c>
      <c r="N52" s="5">
        <f t="shared" si="63"/>
        <v>5.8588235294117656E-2</v>
      </c>
      <c r="O52" s="5">
        <f t="shared" si="63"/>
        <v>0.19262857142857145</v>
      </c>
      <c r="P52" s="5">
        <f t="shared" si="63"/>
        <v>0.40243243243243271</v>
      </c>
      <c r="Q52" s="21">
        <f t="shared" si="63"/>
        <v>0.11477419354838704</v>
      </c>
      <c r="R52" s="16">
        <f t="shared" si="63"/>
        <v>40.077999999999982</v>
      </c>
      <c r="S52" s="5">
        <f t="shared" si="63"/>
        <v>24.304999999999989</v>
      </c>
      <c r="T52" s="5">
        <f t="shared" si="63"/>
        <v>22.990000000000006</v>
      </c>
      <c r="U52" s="5">
        <f t="shared" si="63"/>
        <v>39.097999999999971</v>
      </c>
      <c r="V52" s="5">
        <f t="shared" si="63"/>
        <v>18</v>
      </c>
      <c r="W52" s="5">
        <f t="shared" si="63"/>
        <v>62</v>
      </c>
      <c r="X52" s="5">
        <f t="shared" si="63"/>
        <v>95</v>
      </c>
      <c r="Y52" s="5">
        <f t="shared" si="63"/>
        <v>96</v>
      </c>
      <c r="Z52" s="5">
        <f t="shared" si="63"/>
        <v>35.450000000000024</v>
      </c>
      <c r="AA52" s="5">
        <f t="shared" si="63"/>
        <v>55.84499999999997</v>
      </c>
      <c r="AB52" s="5">
        <f t="shared" si="63"/>
        <v>54.938000000000052</v>
      </c>
      <c r="AC52" s="5">
        <f t="shared" si="63"/>
        <v>36.546000000000028</v>
      </c>
      <c r="AD52" s="5">
        <f t="shared" si="63"/>
        <v>65.380000000000067</v>
      </c>
      <c r="AE52" s="5">
        <f t="shared" si="63"/>
        <v>10.81</v>
      </c>
      <c r="AF52" s="5">
        <f t="shared" si="63"/>
        <v>95.962000000000046</v>
      </c>
      <c r="AG52" s="5">
        <f t="shared" si="63"/>
        <v>4.7792221834090176</v>
      </c>
      <c r="AH52" s="5">
        <f t="shared" si="63"/>
        <v>2.4857711033395042</v>
      </c>
      <c r="AI52" s="5">
        <f t="shared" si="63"/>
        <v>2.2401043932144415</v>
      </c>
      <c r="AJ52" s="5">
        <f t="shared" si="63"/>
        <v>6.7434715330707435</v>
      </c>
      <c r="AK52" s="5">
        <f t="shared" si="63"/>
        <v>1.2106481481481484</v>
      </c>
      <c r="AL52" s="5">
        <f t="shared" si="63"/>
        <v>2.6154905913978497</v>
      </c>
      <c r="AM52" s="5">
        <f t="shared" si="63"/>
        <v>3.2208146654719232</v>
      </c>
      <c r="AN52" s="5">
        <f t="shared" si="63"/>
        <v>0.63888157894736874</v>
      </c>
      <c r="AO52" s="5">
        <f t="shared" si="63"/>
        <v>1.343528368794326</v>
      </c>
      <c r="AP52" s="5">
        <f t="shared" si="63"/>
        <v>1.8220284651878444</v>
      </c>
      <c r="AQ52" s="5">
        <f t="shared" si="63"/>
        <v>45.711841306791598</v>
      </c>
      <c r="AR52" s="5">
        <f t="shared" si="63"/>
        <v>9.8735380325536521</v>
      </c>
      <c r="AS52" s="5">
        <f t="shared" si="63"/>
        <v>1.6031367398379475</v>
      </c>
      <c r="AT52" s="5">
        <f t="shared" si="63"/>
        <v>2.9462920071668925</v>
      </c>
      <c r="AU52" s="5">
        <f t="shared" si="63"/>
        <v>37.22779208440631</v>
      </c>
      <c r="AV52" s="21">
        <f t="shared" si="63"/>
        <v>1.1960379478167102</v>
      </c>
      <c r="AW52" s="21">
        <f t="shared" ref="AW52:AY52" si="64">AVERAGE(AW3:AW50)</f>
        <v>1.3247198874624186</v>
      </c>
      <c r="AX52" s="21">
        <f t="shared" si="64"/>
        <v>1.9489792064514175</v>
      </c>
      <c r="AY52" s="21">
        <f t="shared" si="64"/>
        <v>11.165704983384165</v>
      </c>
      <c r="AZ52" s="42">
        <f t="shared" ref="AZ52:BH52" si="65">AVERAGE(AZ3:AZ50)</f>
        <v>9.5584443668180352</v>
      </c>
      <c r="BA52" s="21">
        <f t="shared" si="65"/>
        <v>4.9715422066790085</v>
      </c>
      <c r="BB52" s="5">
        <f t="shared" si="65"/>
        <v>0.28001304915180519</v>
      </c>
      <c r="BC52" s="21">
        <f t="shared" si="65"/>
        <v>6.7434715330707435</v>
      </c>
      <c r="BD52" s="5">
        <f t="shared" si="65"/>
        <v>1.2106481481481484</v>
      </c>
      <c r="BE52" s="21">
        <f t="shared" si="65"/>
        <v>2.6154905913978497</v>
      </c>
      <c r="BF52" s="5">
        <f t="shared" si="65"/>
        <v>1.916644736842106</v>
      </c>
      <c r="BG52" s="21">
        <f t="shared" si="65"/>
        <v>2.6310763888888884</v>
      </c>
      <c r="BH52" s="5">
        <f t="shared" si="65"/>
        <v>0.41754818993888104</v>
      </c>
      <c r="BN52" s="17"/>
      <c r="BO52" s="12"/>
    </row>
    <row r="53" spans="1:67" s="4" customFormat="1" x14ac:dyDescent="0.2">
      <c r="A53" s="4" t="s">
        <v>54</v>
      </c>
      <c r="B53" s="26">
        <f>MEDIAN(B3:B50)</f>
        <v>5.9749999999999996</v>
      </c>
      <c r="C53" s="16">
        <f t="shared" ref="C53:AV53" si="66">MEDIAN(C3:C50)</f>
        <v>200</v>
      </c>
      <c r="D53" s="5">
        <f t="shared" si="66"/>
        <v>48</v>
      </c>
      <c r="E53" s="5">
        <f t="shared" si="66"/>
        <v>52.5</v>
      </c>
      <c r="F53" s="5">
        <f t="shared" si="66"/>
        <v>234</v>
      </c>
      <c r="G53" s="5">
        <f t="shared" si="66"/>
        <v>19</v>
      </c>
      <c r="H53" s="5">
        <f t="shared" si="66"/>
        <v>168.5</v>
      </c>
      <c r="I53" s="5">
        <f t="shared" si="66"/>
        <v>49.5</v>
      </c>
      <c r="J53" s="5">
        <f t="shared" si="66"/>
        <v>96</v>
      </c>
      <c r="K53" s="5">
        <f t="shared" si="66"/>
        <v>53</v>
      </c>
      <c r="L53" s="5">
        <f t="shared" si="66"/>
        <v>2.15</v>
      </c>
      <c r="M53" s="5">
        <f t="shared" si="66"/>
        <v>0.5</v>
      </c>
      <c r="N53" s="5">
        <f t="shared" si="66"/>
        <v>0.05</v>
      </c>
      <c r="O53" s="5">
        <f t="shared" si="66"/>
        <v>0.1</v>
      </c>
      <c r="P53" s="5">
        <f t="shared" si="66"/>
        <v>0.4</v>
      </c>
      <c r="Q53" s="21">
        <f t="shared" si="66"/>
        <v>0.03</v>
      </c>
      <c r="R53" s="16">
        <f t="shared" si="66"/>
        <v>40.078000000000003</v>
      </c>
      <c r="S53" s="5">
        <f t="shared" si="66"/>
        <v>24.305</v>
      </c>
      <c r="T53" s="5">
        <f t="shared" si="66"/>
        <v>22.99</v>
      </c>
      <c r="U53" s="5">
        <f t="shared" si="66"/>
        <v>39.097999999999999</v>
      </c>
      <c r="V53" s="5">
        <f t="shared" si="66"/>
        <v>18</v>
      </c>
      <c r="W53" s="5">
        <f t="shared" si="66"/>
        <v>62</v>
      </c>
      <c r="X53" s="5">
        <f t="shared" si="66"/>
        <v>95</v>
      </c>
      <c r="Y53" s="5">
        <f t="shared" si="66"/>
        <v>96</v>
      </c>
      <c r="Z53" s="5">
        <f t="shared" si="66"/>
        <v>35.450000000000003</v>
      </c>
      <c r="AA53" s="5">
        <f t="shared" si="66"/>
        <v>55.844999999999999</v>
      </c>
      <c r="AB53" s="5">
        <f t="shared" si="66"/>
        <v>54.938000000000002</v>
      </c>
      <c r="AC53" s="5">
        <f t="shared" si="66"/>
        <v>36.545999999999999</v>
      </c>
      <c r="AD53" s="5">
        <f t="shared" si="66"/>
        <v>65.38</v>
      </c>
      <c r="AE53" s="5">
        <f t="shared" si="66"/>
        <v>10.81</v>
      </c>
      <c r="AF53" s="5">
        <f t="shared" si="66"/>
        <v>95.962000000000003</v>
      </c>
      <c r="AG53" s="5">
        <f t="shared" si="66"/>
        <v>4.9902689754977798</v>
      </c>
      <c r="AH53" s="5">
        <f t="shared" si="66"/>
        <v>1.974902283480765</v>
      </c>
      <c r="AI53" s="5">
        <f t="shared" si="66"/>
        <v>2.2836015658982167</v>
      </c>
      <c r="AJ53" s="5">
        <f t="shared" si="66"/>
        <v>5.9849608675635588</v>
      </c>
      <c r="AK53" s="5">
        <f t="shared" si="66"/>
        <v>1.0555555555555556</v>
      </c>
      <c r="AL53" s="5">
        <f t="shared" si="66"/>
        <v>2.717741935483871</v>
      </c>
      <c r="AM53" s="5">
        <f t="shared" si="66"/>
        <v>3.2741935483870965</v>
      </c>
      <c r="AN53" s="5">
        <f t="shared" si="66"/>
        <v>0.52105263157894743</v>
      </c>
      <c r="AO53" s="5">
        <f t="shared" si="66"/>
        <v>1</v>
      </c>
      <c r="AP53" s="5">
        <f t="shared" si="66"/>
        <v>0.87447108603667134</v>
      </c>
      <c r="AQ53" s="5">
        <f t="shared" si="66"/>
        <v>38.499418032053001</v>
      </c>
      <c r="AR53" s="5">
        <f t="shared" si="66"/>
        <v>9.1011685900469619</v>
      </c>
      <c r="AS53" s="5">
        <f t="shared" si="66"/>
        <v>1.3681387839982488</v>
      </c>
      <c r="AT53" s="5">
        <f t="shared" si="66"/>
        <v>1.5295197308045276</v>
      </c>
      <c r="AU53" s="5">
        <f t="shared" si="66"/>
        <v>37.002775208140619</v>
      </c>
      <c r="AV53" s="21">
        <f t="shared" si="66"/>
        <v>0.31262374689981454</v>
      </c>
      <c r="AW53" s="21">
        <f t="shared" ref="AW53:AY53" si="67">MEDIAN(AW3:AW50)</f>
        <v>0.17975908643839061</v>
      </c>
      <c r="AX53" s="21">
        <f t="shared" si="67"/>
        <v>1.7801172943379704</v>
      </c>
      <c r="AY53" s="21">
        <f t="shared" si="67"/>
        <v>10.832570579047175</v>
      </c>
      <c r="AZ53" s="42">
        <f t="shared" ref="AZ53:BH53" si="68">MEDIAN(AZ3:AZ50)</f>
        <v>9.9805379509955596</v>
      </c>
      <c r="BA53" s="21">
        <f t="shared" si="68"/>
        <v>3.94980456696153</v>
      </c>
      <c r="BB53" s="5">
        <f t="shared" si="68"/>
        <v>0</v>
      </c>
      <c r="BC53" s="21">
        <f t="shared" si="68"/>
        <v>5.9849608675635588</v>
      </c>
      <c r="BD53" s="5">
        <f t="shared" si="68"/>
        <v>0.16666666666666666</v>
      </c>
      <c r="BE53" s="21">
        <f t="shared" si="68"/>
        <v>2.717741935483871</v>
      </c>
      <c r="BF53" s="5">
        <f t="shared" si="68"/>
        <v>1.5631578947368423</v>
      </c>
      <c r="BG53" s="21">
        <f t="shared" si="68"/>
        <v>1.9375</v>
      </c>
      <c r="BH53" s="5">
        <f t="shared" si="68"/>
        <v>0</v>
      </c>
      <c r="BN53" s="17"/>
      <c r="BO53" s="12"/>
    </row>
    <row r="54" spans="1:67" s="4" customFormat="1" x14ac:dyDescent="0.2">
      <c r="A54" s="4" t="s">
        <v>56</v>
      </c>
      <c r="B54" s="26">
        <f>MAX(B3:B50)</f>
        <v>6.8</v>
      </c>
      <c r="C54" s="16">
        <f t="shared" ref="C54:AV54" si="69">MAX(C3:C50)</f>
        <v>400</v>
      </c>
      <c r="D54" s="5">
        <f t="shared" si="69"/>
        <v>484</v>
      </c>
      <c r="E54" s="5">
        <f t="shared" si="69"/>
        <v>92</v>
      </c>
      <c r="F54" s="5">
        <f t="shared" si="69"/>
        <v>593</v>
      </c>
      <c r="G54" s="5">
        <f t="shared" si="69"/>
        <v>53</v>
      </c>
      <c r="H54" s="5">
        <f t="shared" si="69"/>
        <v>267</v>
      </c>
      <c r="I54" s="5">
        <f t="shared" si="69"/>
        <v>448</v>
      </c>
      <c r="J54" s="5">
        <f t="shared" si="69"/>
        <v>640</v>
      </c>
      <c r="K54" s="5">
        <f t="shared" si="69"/>
        <v>188</v>
      </c>
      <c r="L54" s="5">
        <f t="shared" si="69"/>
        <v>8</v>
      </c>
      <c r="M54" s="5">
        <f t="shared" si="69"/>
        <v>1.67</v>
      </c>
      <c r="N54" s="5">
        <f t="shared" si="69"/>
        <v>0.15</v>
      </c>
      <c r="O54" s="5">
        <f t="shared" si="69"/>
        <v>0.7</v>
      </c>
      <c r="P54" s="5">
        <f t="shared" si="69"/>
        <v>1</v>
      </c>
      <c r="Q54" s="21">
        <f t="shared" si="69"/>
        <v>2.5</v>
      </c>
      <c r="R54" s="16">
        <f t="shared" si="69"/>
        <v>40.078000000000003</v>
      </c>
      <c r="S54" s="5">
        <f t="shared" si="69"/>
        <v>24.305</v>
      </c>
      <c r="T54" s="5">
        <f t="shared" si="69"/>
        <v>22.99</v>
      </c>
      <c r="U54" s="5">
        <f t="shared" si="69"/>
        <v>39.097999999999999</v>
      </c>
      <c r="V54" s="5">
        <f t="shared" si="69"/>
        <v>18</v>
      </c>
      <c r="W54" s="5">
        <f t="shared" si="69"/>
        <v>62</v>
      </c>
      <c r="X54" s="5">
        <f t="shared" si="69"/>
        <v>95</v>
      </c>
      <c r="Y54" s="5">
        <f t="shared" si="69"/>
        <v>96</v>
      </c>
      <c r="Z54" s="5">
        <f t="shared" si="69"/>
        <v>35.450000000000003</v>
      </c>
      <c r="AA54" s="5">
        <f t="shared" si="69"/>
        <v>55.844999999999999</v>
      </c>
      <c r="AB54" s="5">
        <f t="shared" si="69"/>
        <v>54.938000000000002</v>
      </c>
      <c r="AC54" s="5">
        <f t="shared" si="69"/>
        <v>36.545999999999999</v>
      </c>
      <c r="AD54" s="5">
        <f t="shared" si="69"/>
        <v>65.38</v>
      </c>
      <c r="AE54" s="5">
        <f t="shared" si="69"/>
        <v>10.81</v>
      </c>
      <c r="AF54" s="5">
        <f t="shared" si="69"/>
        <v>95.962000000000003</v>
      </c>
      <c r="AG54" s="5">
        <f t="shared" si="69"/>
        <v>9.9805379509955596</v>
      </c>
      <c r="AH54" s="5">
        <f t="shared" si="69"/>
        <v>19.913598025097716</v>
      </c>
      <c r="AI54" s="5">
        <f t="shared" si="69"/>
        <v>4.0017398869073508</v>
      </c>
      <c r="AJ54" s="5">
        <f t="shared" si="69"/>
        <v>15.167016215663205</v>
      </c>
      <c r="AK54" s="5">
        <f t="shared" si="69"/>
        <v>2.9444444444444442</v>
      </c>
      <c r="AL54" s="5">
        <f t="shared" si="69"/>
        <v>4.306451612903226</v>
      </c>
      <c r="AM54" s="5">
        <f t="shared" si="69"/>
        <v>5.7992831541218637</v>
      </c>
      <c r="AN54" s="5">
        <f t="shared" si="69"/>
        <v>4.7157894736842101</v>
      </c>
      <c r="AO54" s="5">
        <f t="shared" si="69"/>
        <v>6.666666666666667</v>
      </c>
      <c r="AP54" s="5">
        <f t="shared" si="69"/>
        <v>5.3032440056417487</v>
      </c>
      <c r="AQ54" s="5">
        <f t="shared" si="69"/>
        <v>143.25364849136</v>
      </c>
      <c r="AR54" s="5">
        <f t="shared" si="69"/>
        <v>30.397903090756852</v>
      </c>
      <c r="AS54" s="5">
        <f t="shared" si="69"/>
        <v>4.1044163519947459</v>
      </c>
      <c r="AT54" s="5">
        <f t="shared" si="69"/>
        <v>10.706638115631693</v>
      </c>
      <c r="AU54" s="5">
        <f t="shared" si="69"/>
        <v>92.506938020351527</v>
      </c>
      <c r="AV54" s="21">
        <f t="shared" si="69"/>
        <v>26.051978908317874</v>
      </c>
      <c r="AW54" s="21">
        <f t="shared" ref="AW54:AY54" si="70">MAX(AW3:AW50)</f>
        <v>12.071337726904844</v>
      </c>
      <c r="AX54" s="21">
        <f t="shared" si="70"/>
        <v>5.0485384188971514</v>
      </c>
      <c r="AY54" s="21">
        <f t="shared" si="70"/>
        <v>39.4841168346207</v>
      </c>
      <c r="AZ54" s="42">
        <f t="shared" ref="AZ54:BH54" si="71">MAX(AZ3:AZ50)</f>
        <v>19.961075901991119</v>
      </c>
      <c r="BA54" s="21">
        <f t="shared" si="71"/>
        <v>39.827196050195433</v>
      </c>
      <c r="BB54" s="5">
        <f t="shared" si="71"/>
        <v>4.0017398869073508</v>
      </c>
      <c r="BC54" s="21">
        <f t="shared" si="71"/>
        <v>15.167016215663205</v>
      </c>
      <c r="BD54" s="5">
        <f t="shared" si="71"/>
        <v>5.8888888888888884</v>
      </c>
      <c r="BE54" s="21">
        <f t="shared" si="71"/>
        <v>4.306451612903226</v>
      </c>
      <c r="BF54" s="5">
        <f t="shared" si="71"/>
        <v>14.147368421052629</v>
      </c>
      <c r="BG54" s="21">
        <f t="shared" si="71"/>
        <v>13.333333333333334</v>
      </c>
      <c r="BH54" s="5">
        <f t="shared" si="71"/>
        <v>5.3032440056417487</v>
      </c>
      <c r="BN54" s="17"/>
      <c r="BO54" s="12"/>
    </row>
    <row r="55" spans="1:67" s="4" customFormat="1" x14ac:dyDescent="0.2">
      <c r="A55" s="4" t="s">
        <v>57</v>
      </c>
      <c r="B55" s="26">
        <f>_xlfn.STDEV.S(B3:B50)</f>
        <v>0.67158527806548651</v>
      </c>
      <c r="C55" s="16">
        <f t="shared" ref="C55:AV55" si="72">_xlfn.STDEV.S(C3:C50)</f>
        <v>66.2159453488336</v>
      </c>
      <c r="D55" s="5">
        <f t="shared" si="72"/>
        <v>67.731269164950945</v>
      </c>
      <c r="E55" s="5">
        <f t="shared" si="72"/>
        <v>30.395723383397211</v>
      </c>
      <c r="F55" s="5">
        <f t="shared" si="72"/>
        <v>112.06718901499852</v>
      </c>
      <c r="G55" s="5">
        <f t="shared" si="72"/>
        <v>11.952729965291963</v>
      </c>
      <c r="H55" s="5">
        <f t="shared" si="72"/>
        <v>52.699706243209441</v>
      </c>
      <c r="I55" s="5">
        <f t="shared" si="72"/>
        <v>60.645290309323514</v>
      </c>
      <c r="J55" s="5">
        <f t="shared" si="72"/>
        <v>128.61232265014621</v>
      </c>
      <c r="K55" s="5">
        <f t="shared" si="72"/>
        <v>67.068973618374557</v>
      </c>
      <c r="L55" s="5">
        <f t="shared" si="72"/>
        <v>1.6252447923068813</v>
      </c>
      <c r="M55" s="5">
        <f t="shared" si="72"/>
        <v>0.26774163961846725</v>
      </c>
      <c r="N55" s="5">
        <f t="shared" si="72"/>
        <v>4.4100517173535053E-2</v>
      </c>
      <c r="O55" s="5">
        <f t="shared" si="72"/>
        <v>0.17643163743806159</v>
      </c>
      <c r="P55" s="5">
        <f t="shared" si="72"/>
        <v>0.15569566834418003</v>
      </c>
      <c r="Q55" s="21">
        <f t="shared" si="72"/>
        <v>0.44310560890735901</v>
      </c>
      <c r="R55" s="16">
        <f t="shared" si="72"/>
        <v>2.154185747712822E-14</v>
      </c>
      <c r="S55" s="5">
        <f t="shared" si="72"/>
        <v>1.077092873856411E-14</v>
      </c>
      <c r="T55" s="5">
        <f t="shared" si="72"/>
        <v>7.1806191590427391E-15</v>
      </c>
      <c r="U55" s="5">
        <f t="shared" si="72"/>
        <v>2.8722476636170956E-14</v>
      </c>
      <c r="V55" s="5">
        <f t="shared" si="72"/>
        <v>0</v>
      </c>
      <c r="W55" s="5">
        <f t="shared" si="72"/>
        <v>0</v>
      </c>
      <c r="X55" s="5">
        <f t="shared" si="72"/>
        <v>0</v>
      </c>
      <c r="Y55" s="5">
        <f t="shared" si="72"/>
        <v>0</v>
      </c>
      <c r="Z55" s="5">
        <f t="shared" si="72"/>
        <v>2.154185747712822E-14</v>
      </c>
      <c r="AA55" s="5">
        <f t="shared" si="72"/>
        <v>2.8722476636170956E-14</v>
      </c>
      <c r="AB55" s="5">
        <f t="shared" si="72"/>
        <v>5.0264334113299177E-14</v>
      </c>
      <c r="AC55" s="5">
        <f t="shared" si="72"/>
        <v>2.8722476636170956E-14</v>
      </c>
      <c r="AD55" s="5">
        <f t="shared" si="72"/>
        <v>7.1806191590427397E-14</v>
      </c>
      <c r="AE55" s="5">
        <f t="shared" si="72"/>
        <v>0</v>
      </c>
      <c r="AF55" s="5">
        <f t="shared" si="72"/>
        <v>4.3083714954256441E-14</v>
      </c>
      <c r="AG55" s="5">
        <f t="shared" si="72"/>
        <v>1.652176888787706</v>
      </c>
      <c r="AH55" s="5">
        <f t="shared" si="72"/>
        <v>2.7867216278523315</v>
      </c>
      <c r="AI55" s="5">
        <f t="shared" si="72"/>
        <v>1.3221280288559021</v>
      </c>
      <c r="AJ55" s="5">
        <f t="shared" si="72"/>
        <v>2.8663151315923749</v>
      </c>
      <c r="AK55" s="5">
        <f t="shared" si="72"/>
        <v>0.66404055362733072</v>
      </c>
      <c r="AL55" s="5">
        <f t="shared" si="72"/>
        <v>0.84999526198724884</v>
      </c>
      <c r="AM55" s="5">
        <f t="shared" si="72"/>
        <v>1.1290626588380974</v>
      </c>
      <c r="AN55" s="5">
        <f t="shared" si="72"/>
        <v>0.63837147694024754</v>
      </c>
      <c r="AO55" s="5">
        <f t="shared" si="72"/>
        <v>1.3397116942723566</v>
      </c>
      <c r="AP55" s="5">
        <f t="shared" si="72"/>
        <v>1.8938429600647515</v>
      </c>
      <c r="AQ55" s="5">
        <f t="shared" si="72"/>
        <v>29.102780773692892</v>
      </c>
      <c r="AR55" s="5">
        <f t="shared" si="72"/>
        <v>4.8735236014865393</v>
      </c>
      <c r="AS55" s="5">
        <f t="shared" si="72"/>
        <v>1.2067125587898837</v>
      </c>
      <c r="AT55" s="5">
        <f t="shared" si="72"/>
        <v>2.6985567059966602</v>
      </c>
      <c r="AU55" s="5">
        <f t="shared" si="72"/>
        <v>14.402929541552401</v>
      </c>
      <c r="AV55" s="21">
        <f t="shared" si="72"/>
        <v>4.6175111909647422</v>
      </c>
      <c r="AW55" s="21">
        <f t="shared" ref="AW55:AY55" si="73">_xlfn.STDEV.S(AW3:AW50)</f>
        <v>2.817951328473733</v>
      </c>
      <c r="AX55" s="21">
        <f t="shared" si="73"/>
        <v>1.1913335025403968</v>
      </c>
      <c r="AY55" s="21">
        <f t="shared" si="73"/>
        <v>7.9321985706399003</v>
      </c>
      <c r="AZ55" s="42">
        <f t="shared" ref="AZ55:BH55" si="74">_xlfn.STDEV.S(AZ3:AZ50)</f>
        <v>3.3043537775754119</v>
      </c>
      <c r="BA55" s="21">
        <f t="shared" si="74"/>
        <v>5.5734432557046629</v>
      </c>
      <c r="BB55" s="5">
        <f t="shared" si="74"/>
        <v>0.86399576448245008</v>
      </c>
      <c r="BC55" s="21">
        <f t="shared" si="74"/>
        <v>2.8663151315923749</v>
      </c>
      <c r="BD55" s="5">
        <f t="shared" si="74"/>
        <v>1.5362256586010141</v>
      </c>
      <c r="BE55" s="21">
        <f t="shared" si="74"/>
        <v>0.84999526198724884</v>
      </c>
      <c r="BF55" s="5">
        <f t="shared" si="74"/>
        <v>1.9151144308207404</v>
      </c>
      <c r="BG55" s="21">
        <f t="shared" si="74"/>
        <v>2.6789887640896524</v>
      </c>
      <c r="BH55" s="5">
        <f t="shared" si="74"/>
        <v>1.1670607289450596</v>
      </c>
      <c r="BN55" s="17"/>
      <c r="BO55" s="12"/>
    </row>
    <row r="56" spans="1:67" ht="19" x14ac:dyDescent="0.25">
      <c r="AG56" s="1"/>
      <c r="AZ56" s="43" t="s">
        <v>76</v>
      </c>
      <c r="BA56" s="38" t="s">
        <v>76</v>
      </c>
      <c r="BB56" s="38" t="s">
        <v>76</v>
      </c>
      <c r="BC56" s="38" t="s">
        <v>76</v>
      </c>
      <c r="BD56" s="38" t="s">
        <v>76</v>
      </c>
      <c r="BE56" s="38" t="s">
        <v>77</v>
      </c>
      <c r="BF56" s="38" t="s">
        <v>77</v>
      </c>
      <c r="BG56" s="38" t="s">
        <v>77</v>
      </c>
      <c r="BH56" s="38" t="s">
        <v>77</v>
      </c>
    </row>
    <row r="57" spans="1:67" x14ac:dyDescent="0.2">
      <c r="AZ57" s="44" t="s">
        <v>78</v>
      </c>
      <c r="BA57" s="3">
        <f>AZ52+BA52+BB52+BC52+BD52</f>
        <v>22.764119303867741</v>
      </c>
      <c r="BB57" s="1"/>
      <c r="BC57" s="1"/>
      <c r="BD57" s="1"/>
      <c r="BE57" s="1"/>
      <c r="BF57" s="1"/>
      <c r="BG57" s="1"/>
      <c r="BH57" s="1"/>
    </row>
    <row r="58" spans="1:67" x14ac:dyDescent="0.2">
      <c r="AZ58" s="44" t="s">
        <v>79</v>
      </c>
      <c r="BA58" s="3">
        <f>BE52+BF52+BG52+BH52</f>
        <v>7.5807599070677245</v>
      </c>
      <c r="BB58" s="1"/>
      <c r="BC58" s="1"/>
      <c r="BD58" s="1"/>
      <c r="BE58" s="1"/>
      <c r="BF58" s="1"/>
      <c r="BG58" s="1"/>
      <c r="BH58" s="1"/>
    </row>
    <row r="59" spans="1:67" x14ac:dyDescent="0.2">
      <c r="AZ59" s="44" t="s">
        <v>80</v>
      </c>
      <c r="BA59" s="3">
        <f>BA57-BA58</f>
        <v>15.183359396800016</v>
      </c>
    </row>
  </sheetData>
  <mergeCells count="4">
    <mergeCell ref="C1:Q1"/>
    <mergeCell ref="AG1:AV1"/>
    <mergeCell ref="AZ1:BN1"/>
    <mergeCell ref="AW1:AY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FA13-A672-4A46-911A-97A65D5CC9AE}">
  <dimension ref="A6:F25"/>
  <sheetViews>
    <sheetView workbookViewId="0">
      <selection activeCell="D9" sqref="D9"/>
    </sheetView>
  </sheetViews>
  <sheetFormatPr baseColWidth="10" defaultRowHeight="16" x14ac:dyDescent="0.2"/>
  <sheetData>
    <row r="6" spans="1:6" ht="24" x14ac:dyDescent="0.3">
      <c r="C6" s="2" t="s">
        <v>37</v>
      </c>
    </row>
    <row r="8" spans="1:6" x14ac:dyDescent="0.2">
      <c r="D8" s="1" t="s">
        <v>32</v>
      </c>
      <c r="E8" s="1" t="s">
        <v>33</v>
      </c>
      <c r="F8" s="1" t="s">
        <v>26</v>
      </c>
    </row>
    <row r="9" spans="1:6" x14ac:dyDescent="0.2">
      <c r="A9" t="s">
        <v>31</v>
      </c>
      <c r="B9" t="s">
        <v>29</v>
      </c>
      <c r="C9" t="s">
        <v>27</v>
      </c>
      <c r="D9">
        <v>1</v>
      </c>
      <c r="E9">
        <f>AVERAGE(0.2,0.3)</f>
        <v>0.25</v>
      </c>
      <c r="F9">
        <f>AVERAGE(1,1.5)</f>
        <v>1.25</v>
      </c>
    </row>
    <row r="10" spans="1:6" x14ac:dyDescent="0.2">
      <c r="C10" t="s">
        <v>28</v>
      </c>
      <c r="D10">
        <v>1</v>
      </c>
      <c r="E10">
        <f>AVERAGE(0.3,0.5)</f>
        <v>0.4</v>
      </c>
      <c r="F10">
        <f>AVERAGE(2,4)</f>
        <v>3</v>
      </c>
    </row>
    <row r="11" spans="1:6" x14ac:dyDescent="0.2">
      <c r="B11" t="s">
        <v>30</v>
      </c>
      <c r="C11" t="s">
        <v>27</v>
      </c>
      <c r="D11">
        <v>1</v>
      </c>
      <c r="E11">
        <v>0.2</v>
      </c>
      <c r="F11">
        <v>1</v>
      </c>
    </row>
    <row r="12" spans="1:6" x14ac:dyDescent="0.2">
      <c r="C12" t="s">
        <v>28</v>
      </c>
      <c r="D12">
        <v>1</v>
      </c>
      <c r="E12">
        <v>0.3</v>
      </c>
      <c r="F12">
        <f>AVERAGE(1.5,2)</f>
        <v>1.75</v>
      </c>
    </row>
    <row r="13" spans="1:6" x14ac:dyDescent="0.2">
      <c r="C13" t="s">
        <v>27</v>
      </c>
      <c r="D13">
        <v>1</v>
      </c>
      <c r="E13">
        <v>0.2</v>
      </c>
      <c r="F13">
        <v>1</v>
      </c>
    </row>
    <row r="14" spans="1:6" x14ac:dyDescent="0.2">
      <c r="C14" t="s">
        <v>28</v>
      </c>
      <c r="D14">
        <v>2</v>
      </c>
      <c r="E14">
        <v>0.3</v>
      </c>
      <c r="F14">
        <v>2</v>
      </c>
    </row>
    <row r="21" spans="3:5" ht="24" x14ac:dyDescent="0.3">
      <c r="C21" s="2" t="s">
        <v>34</v>
      </c>
    </row>
    <row r="23" spans="3:5" x14ac:dyDescent="0.2">
      <c r="D23" t="s">
        <v>35</v>
      </c>
      <c r="E23" t="s">
        <v>36</v>
      </c>
    </row>
    <row r="24" spans="3:5" x14ac:dyDescent="0.2">
      <c r="C24" t="s">
        <v>27</v>
      </c>
      <c r="D24">
        <v>1</v>
      </c>
      <c r="E24">
        <f>AVERAGE(3,4)</f>
        <v>3.5</v>
      </c>
    </row>
    <row r="25" spans="3:5" x14ac:dyDescent="0.2">
      <c r="C25" t="s">
        <v>28</v>
      </c>
      <c r="D25">
        <v>1</v>
      </c>
      <c r="E25">
        <f>AVERAGE(4,8)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important notes</vt:lpstr>
      <vt:lpstr>nutrient solutions</vt:lpstr>
      <vt:lpstr>nutrient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2022-04-20T14:43:40Z</dcterms:created>
  <dcterms:modified xsi:type="dcterms:W3CDTF">2022-09-01T19:23:29Z</dcterms:modified>
</cp:coreProperties>
</file>