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ms-office.chartex+xml" PartName="/xl/charts/chartEx1.xml"/>
  <Override ContentType="application/vnd.ms-office.chartex+xml" PartName="/xl/charts/chartEx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>
    <mc:Choice Requires="x15">
      <x15ac:absPath xmlns:x15ac="http://schemas.microsoft.com/office/spreadsheetml/2010/11/ac" url="/Users/anilaxeltellbuescher/Projekte/Projekt18 - PhD-Aquaponics/2 - Nutrient Solubility/data/"/>
    </mc:Choice>
  </mc:AlternateContent>
  <xr:revisionPtr revIDLastSave="0" documentId="8_{E23D6E9D-38EE-B244-95D8-BC301C1B1F33}" xr6:coauthVersionLast="47" xr6:coauthVersionMax="47" xr10:uidLastSave="{00000000-0000-0000-0000-000000000000}"/>
  <bookViews>
    <workbookView xWindow="880" yWindow="500" windowWidth="24720" windowHeight="15500" firstSheet="2" activeTab="2" xr2:uid="{A49BC6D0-78A5-F249-A9E6-DA8017EFA539}"/>
  </bookViews>
  <sheets>
    <sheet name="important notes" sheetId="5" r:id="rId1"/>
    <sheet name="references" sheetId="8" r:id="rId2"/>
    <sheet name="rawdata" sheetId="3" r:id="rId3"/>
    <sheet name="plots" sheetId="4" r:id="rId4"/>
    <sheet name="Tabelle4" sheetId="6" r:id="rId5"/>
    <sheet name="molarWeight" sheetId="9" r:id="rId6"/>
    <sheet name="nutrientClass" sheetId="10" r:id="rId7"/>
    <sheet name="solubilityResults" sheetId="11" r:id="rId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6" l="1"/>
  <c r="G13" i="6"/>
  <c r="G12" i="6"/>
  <c r="G11" i="6"/>
  <c r="G9" i="6"/>
  <c r="G8" i="6"/>
  <c r="G7" i="6"/>
  <c r="G6" i="6"/>
  <c r="G5" i="6"/>
  <c r="G4" i="6"/>
  <c r="G3" i="6"/>
  <c r="F14" i="6" l="1"/>
  <c r="F13" i="6"/>
  <c r="F12" i="6"/>
  <c r="F11" i="6"/>
  <c r="F9" i="6"/>
  <c r="F8" i="6"/>
  <c r="F7" i="6"/>
  <c r="F6" i="6"/>
  <c r="F5" i="6"/>
  <c r="F4" i="6"/>
  <c r="F3" i="6"/>
  <c r="B16" i="6"/>
  <c r="I83" i="3"/>
  <c r="D3" i="6"/>
  <c r="H5" i="6"/>
  <c r="H6" i="6"/>
  <c r="D14" i="6"/>
  <c r="D13" i="6"/>
  <c r="D12" i="6"/>
  <c r="D11" i="6"/>
  <c r="D10" i="6"/>
  <c r="D9" i="6"/>
  <c r="D8" i="6"/>
  <c r="D7" i="6"/>
  <c r="D6" i="6"/>
  <c r="D5" i="6"/>
  <c r="D4" i="6"/>
  <c r="I96" i="3" l="1"/>
  <c r="I89" i="3"/>
  <c r="I87" i="3"/>
  <c r="I82" i="3"/>
  <c r="I69" i="3"/>
  <c r="I67" i="3"/>
  <c r="I66" i="3"/>
  <c r="I60" i="3"/>
  <c r="I55" i="3"/>
  <c r="I62" i="3"/>
  <c r="I45" i="3"/>
  <c r="I61" i="3"/>
  <c r="I40" i="3"/>
  <c r="I38" i="3"/>
  <c r="I30" i="3"/>
  <c r="I50" i="3"/>
  <c r="I21" i="3"/>
  <c r="I48" i="3"/>
  <c r="I33" i="3"/>
  <c r="I31" i="3"/>
  <c r="I15" i="3"/>
  <c r="I12" i="3"/>
  <c r="I47" i="3" l="1"/>
  <c r="I94" i="3"/>
  <c r="I93" i="3"/>
  <c r="I90" i="3"/>
  <c r="I88" i="3"/>
  <c r="I85" i="3"/>
  <c r="I84" i="3"/>
  <c r="I81" i="3"/>
  <c r="I80" i="3"/>
  <c r="I19" i="3"/>
  <c r="I78" i="3"/>
  <c r="I75" i="3"/>
  <c r="I73" i="3"/>
  <c r="I70" i="3"/>
  <c r="I68" i="3"/>
  <c r="I64" i="3"/>
  <c r="I56" i="3"/>
  <c r="I53" i="3"/>
  <c r="I49" i="3"/>
  <c r="I46" i="3"/>
  <c r="I41" i="3"/>
  <c r="I39" i="3"/>
  <c r="I36" i="3"/>
  <c r="I28" i="3"/>
  <c r="I26" i="3"/>
  <c r="I24" i="3"/>
  <c r="I20" i="3"/>
  <c r="I16" i="3"/>
  <c r="I13" i="3"/>
  <c r="I11" i="3"/>
  <c r="I9" i="3"/>
  <c r="I8" i="3"/>
  <c r="I27" i="3"/>
  <c r="I5" i="3"/>
  <c r="I4" i="3"/>
  <c r="I2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L1" authorId="0" shapeId="0" xr:uid="{AAC3A201-16B7-3E4D-B87C-318453D2AB4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IUPAC</t>
        </r>
      </text>
    </comment>
    <comment ref="M1" authorId="0" shapeId="0" xr:uid="{C6619A1F-4E74-8E4E-9918-65EB9375FD6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IUPAC </t>
        </r>
      </text>
    </comment>
    <comment ref="N1" authorId="0" shapeId="0" xr:uid="{C147636D-1DA0-014D-A84A-23A4174888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source: IUPAC</t>
        </r>
      </text>
    </comment>
    <comment ref="M48" authorId="1" shapeId="0" xr:uid="{B66E665A-FF24-B644-B2A9-F05C9B12F52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CRC: 2,07E-33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D2" authorId="0" shapeId="0" xr:uid="{E7B9682E-2EF3-2343-8DF5-F6F7490B55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concentrations; not corrected for speciation</t>
        </r>
      </text>
    </comment>
    <comment ref="E2" authorId="1" shapeId="0" xr:uid="{2AFC645A-D1A8-4443-AB33-98344A82450B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A. J. Abbott</t>
        </r>
      </text>
    </comment>
    <comment ref="H3" authorId="0" shapeId="0" xr:uid="{E214E26B-4ACB-C346-A96A-05498700008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KNO3</t>
        </r>
      </text>
    </comment>
    <comment ref="H4" authorId="0" shapeId="0" xr:uid="{55A9D609-5C1E-F041-A82D-278C95C002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FePO4</t>
        </r>
      </text>
    </comment>
    <comment ref="H5" authorId="0" shapeId="0" xr:uid="{8BBC1858-6171-3F43-B494-EFEDD9469F4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K2SO4</t>
        </r>
      </text>
    </comment>
    <comment ref="H6" authorId="0" shapeId="0" xr:uid="{60669A56-409A-404F-95F3-4D8E4ECE7D2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Mg3(PO4)2</t>
        </r>
      </text>
    </comment>
    <comment ref="H7" authorId="0" shapeId="0" xr:uid="{249A063A-1628-5846-A5C1-BF0EBB9ADA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Ca3(PO4)2</t>
        </r>
      </text>
    </comment>
    <comment ref="H8" authorId="0" shapeId="0" xr:uid="{08278CD0-EAAC-F04A-AFE5-D2E2027039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CaSO4</t>
        </r>
      </text>
    </comment>
    <comment ref="H11" authorId="0" shapeId="0" xr:uid="{246B0364-0123-5B46-9947-3A3DAD87B06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FePO4
</t>
        </r>
      </text>
    </comment>
    <comment ref="H13" authorId="0" shapeId="0" xr:uid="{39EBC5F0-D31A-574E-9BD1-ED21DA9088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MnCO3</t>
        </r>
      </text>
    </comment>
    <comment ref="H14" authorId="0" shapeId="0" xr:uid="{F96DE86A-4313-7E44-A69E-5414B352A10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Zn(OH)2</t>
        </r>
      </text>
    </comment>
    <comment ref="H17" authorId="0" shapeId="0" xr:uid="{58DE597C-5D27-5D44-BE34-A7CD7D8C12C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Zn(OH)2</t>
        </r>
      </text>
    </comment>
  </commentList>
</comments>
</file>

<file path=xl/sharedStrings.xml><?xml version="1.0" encoding="utf-8"?>
<sst xmlns="http://schemas.openxmlformats.org/spreadsheetml/2006/main" count="957" uniqueCount="299">
  <si>
    <t>Potassium</t>
  </si>
  <si>
    <t>Calcium</t>
  </si>
  <si>
    <t>Magnesium</t>
  </si>
  <si>
    <t>Iron</t>
  </si>
  <si>
    <t>Zinc</t>
  </si>
  <si>
    <t>Copper</t>
  </si>
  <si>
    <t>Manganese</t>
  </si>
  <si>
    <t>Boron</t>
  </si>
  <si>
    <t>KOH</t>
  </si>
  <si>
    <t>KHCO3</t>
  </si>
  <si>
    <t>K2CO3</t>
  </si>
  <si>
    <t>CaCO3</t>
  </si>
  <si>
    <t>MgCO3</t>
  </si>
  <si>
    <t>Ammonium nitrate</t>
  </si>
  <si>
    <t>Ammonium dihydrogen phosphate</t>
  </si>
  <si>
    <t>Ammonium molybdate</t>
  </si>
  <si>
    <t>Ammonium monohydrogen phosphate</t>
  </si>
  <si>
    <t>Ammonium sulfate</t>
  </si>
  <si>
    <t>Boric acid</t>
  </si>
  <si>
    <t>Calcium carbonate</t>
  </si>
  <si>
    <t>Calcium chloride</t>
  </si>
  <si>
    <t>Calcium chloride hexahydrate</t>
  </si>
  <si>
    <t>Calcium hydroxide</t>
  </si>
  <si>
    <t>Calcium nitrate</t>
  </si>
  <si>
    <t>Calcium nitrate tetrahydrate</t>
  </si>
  <si>
    <t>Calcium oxide</t>
  </si>
  <si>
    <t>Calcium sulfate</t>
  </si>
  <si>
    <t>Calcium sulfate dihydrate</t>
  </si>
  <si>
    <t>Iron(II) hydroxide</t>
  </si>
  <si>
    <t>Iron(II) nitrate</t>
  </si>
  <si>
    <t>Iron(II) sulfate heptahydrate</t>
  </si>
  <si>
    <t>Magnesium oxide</t>
  </si>
  <si>
    <t>Magnesium orthophosphate</t>
  </si>
  <si>
    <t>Magnesium monohydrogen phosphate heptahydrate</t>
  </si>
  <si>
    <t>Magnesium orthophosphate tetrahydrate</t>
  </si>
  <si>
    <t>Magnesium sulfate heptahydrate</t>
  </si>
  <si>
    <t>Manganese dichloride tetrahydrate</t>
  </si>
  <si>
    <t>Manganous(II) hydroxide</t>
  </si>
  <si>
    <t>Manganous nitrate</t>
  </si>
  <si>
    <t>Manganous dihydrogen phosphate</t>
  </si>
  <si>
    <t>Manganous monohydrogen phosphate</t>
  </si>
  <si>
    <t>Manganous sulfate</t>
  </si>
  <si>
    <t>Manganous sulfate tetrahydrate</t>
  </si>
  <si>
    <t>Potassium carbonate</t>
  </si>
  <si>
    <t>Potassium carbonate dihydrate</t>
  </si>
  <si>
    <t>Potassium hydrogencarbonate</t>
  </si>
  <si>
    <t>Potassium carbonate trihydrate</t>
  </si>
  <si>
    <t>Potassium chloride</t>
  </si>
  <si>
    <t>Potassium hydroxide</t>
  </si>
  <si>
    <t>Potassium nitrate</t>
  </si>
  <si>
    <t>Potassium orthophosphate</t>
  </si>
  <si>
    <t>Potassium dihydrogen phosphate</t>
  </si>
  <si>
    <t>Potassium monohydrogen phosphate</t>
  </si>
  <si>
    <t>Potassium sulfate</t>
  </si>
  <si>
    <t>Zinc carbonate</t>
  </si>
  <si>
    <t>Zinc chloride</t>
  </si>
  <si>
    <t>Zinc orthophosphate</t>
  </si>
  <si>
    <t>Zinc orthophosphate tetrahydrate</t>
  </si>
  <si>
    <t>Zinc sulfate heptahydrate</t>
  </si>
  <si>
    <t>NH4NO3</t>
  </si>
  <si>
    <t>(NH4)6Mo7O24 x 4 H2O</t>
  </si>
  <si>
    <t>(NH4)2HPO4</t>
  </si>
  <si>
    <t>(NH4)2SO4</t>
  </si>
  <si>
    <t>CaCl2</t>
  </si>
  <si>
    <t>CaCl2 x 6 H2O</t>
  </si>
  <si>
    <t>Ca(OH)2</t>
  </si>
  <si>
    <t>Ca(NO3)2</t>
  </si>
  <si>
    <t>Ca(NO3)2 x 4 H2O</t>
  </si>
  <si>
    <t>CaO</t>
  </si>
  <si>
    <t>CaSO4</t>
  </si>
  <si>
    <t>CaSO4 x 2 H2O</t>
  </si>
  <si>
    <t>Copper sulfate pentahydrate</t>
  </si>
  <si>
    <t>CuSO4 x 5 H2O</t>
  </si>
  <si>
    <t>Fe(OH)2</t>
  </si>
  <si>
    <t>Fe(NO3)2 x 6 H2O</t>
  </si>
  <si>
    <t>MgO</t>
  </si>
  <si>
    <t>Mg3(PO4)2</t>
  </si>
  <si>
    <t>MgHPO4 x 7 H2O</t>
  </si>
  <si>
    <t>Mg3(PO4)2 x 4 H2O</t>
  </si>
  <si>
    <t>MgSO4 x 7 H2O</t>
  </si>
  <si>
    <t>MnCl2 x 4 H2O</t>
  </si>
  <si>
    <t>Mn(OH)2</t>
  </si>
  <si>
    <t>Mn(NO3)2 x 4 H2O</t>
  </si>
  <si>
    <t>Mn(H2PO4)2 x 2 H2O</t>
  </si>
  <si>
    <t>MnHPO4 x 3 H2O</t>
  </si>
  <si>
    <t>MnSO4</t>
  </si>
  <si>
    <t>MnSO4 x 3 H2O</t>
  </si>
  <si>
    <t>K2CO3 x 2 H2O</t>
  </si>
  <si>
    <t>K2CO3 x 3 H2O</t>
  </si>
  <si>
    <t>KCl</t>
  </si>
  <si>
    <t>KNO3</t>
  </si>
  <si>
    <t>K3PO4</t>
  </si>
  <si>
    <t>KH2PO4</t>
  </si>
  <si>
    <t>K2HPO4</t>
  </si>
  <si>
    <t>K2SO4</t>
  </si>
  <si>
    <t>ZnCO3</t>
  </si>
  <si>
    <t>ZnCl2</t>
  </si>
  <si>
    <t>Zn3(PO4)2</t>
  </si>
  <si>
    <t>Zn3(PO4)2 x 4 H2O</t>
  </si>
  <si>
    <t>FeSO4 x 7 H2O</t>
  </si>
  <si>
    <t>ZnSO4 x 7 H2O</t>
  </si>
  <si>
    <t>Name</t>
  </si>
  <si>
    <t>Chemical formula</t>
  </si>
  <si>
    <t>Cation</t>
  </si>
  <si>
    <t>Anion</t>
  </si>
  <si>
    <t>Phosphate</t>
  </si>
  <si>
    <t>Carbonate</t>
  </si>
  <si>
    <t>Oxide</t>
  </si>
  <si>
    <t>Hydroxide</t>
  </si>
  <si>
    <t>Sulfate</t>
  </si>
  <si>
    <t>Hydrogenphosphate</t>
  </si>
  <si>
    <t>B(OH)3</t>
  </si>
  <si>
    <t>Nitrate</t>
  </si>
  <si>
    <t>Chloride</t>
  </si>
  <si>
    <t>Hydrogencarbonate</t>
  </si>
  <si>
    <t>Dihydrogenphosphate</t>
  </si>
  <si>
    <t>Ammonium</t>
  </si>
  <si>
    <t>NH4H2PO4</t>
  </si>
  <si>
    <t>Ammonium carbonate</t>
  </si>
  <si>
    <t>(NH4)2CO3</t>
  </si>
  <si>
    <t>Ammonium sulfid</t>
  </si>
  <si>
    <t>Ammonium hydroxide</t>
  </si>
  <si>
    <t>NH4OH</t>
  </si>
  <si>
    <t>Ammonium chloride</t>
  </si>
  <si>
    <t>NH4Cl</t>
  </si>
  <si>
    <t>Magnesium chloride</t>
  </si>
  <si>
    <t>MgCl2</t>
  </si>
  <si>
    <t>Magnesium nitrate</t>
  </si>
  <si>
    <t>Mg(NO3)2</t>
  </si>
  <si>
    <t>Magnesium carbonate</t>
  </si>
  <si>
    <t>Magnesium hydroxide</t>
  </si>
  <si>
    <t>Mg(OH)2</t>
  </si>
  <si>
    <t>Calcium sulfid</t>
  </si>
  <si>
    <t>CaS</t>
  </si>
  <si>
    <t>Potassium sulfid</t>
  </si>
  <si>
    <t>K2S</t>
  </si>
  <si>
    <t>Manganese phosphate</t>
  </si>
  <si>
    <t>Manganese carbonate</t>
  </si>
  <si>
    <t>Manganese sulfid</t>
  </si>
  <si>
    <t>Manganese hydroxide</t>
  </si>
  <si>
    <t>Mn3(PO4)2</t>
  </si>
  <si>
    <t>MnCO3</t>
  </si>
  <si>
    <t>MnS</t>
  </si>
  <si>
    <t>Iron(II) chloride</t>
  </si>
  <si>
    <t>Iron(II) phosphate</t>
  </si>
  <si>
    <t>FeCl2</t>
  </si>
  <si>
    <t>Fe3(PO4)2</t>
  </si>
  <si>
    <t>Iron(II) carbonate</t>
  </si>
  <si>
    <t>Iron(II) sulfid</t>
  </si>
  <si>
    <t>FeCO3</t>
  </si>
  <si>
    <t>FeS</t>
  </si>
  <si>
    <t>Nickel chloride</t>
  </si>
  <si>
    <t>Nickel nitrate</t>
  </si>
  <si>
    <t>Nickel phosphate</t>
  </si>
  <si>
    <t>Nickel sulphate</t>
  </si>
  <si>
    <t>Nickel carbonate</t>
  </si>
  <si>
    <t>Nickel sulfid</t>
  </si>
  <si>
    <t>Nickel hydroxide</t>
  </si>
  <si>
    <t>NiCl2</t>
  </si>
  <si>
    <t>NiSO4</t>
  </si>
  <si>
    <t>Ni(NO3)2</t>
  </si>
  <si>
    <t>Ni3(PO4)2</t>
  </si>
  <si>
    <t>NiSO3</t>
  </si>
  <si>
    <t>NiCO3</t>
  </si>
  <si>
    <t>NiS</t>
  </si>
  <si>
    <t>Ni(OH)2</t>
  </si>
  <si>
    <t>Copper chloride</t>
  </si>
  <si>
    <t>Copper phosphate</t>
  </si>
  <si>
    <t>Copper carbonate</t>
  </si>
  <si>
    <t>Copper sulfid</t>
  </si>
  <si>
    <t>Copper hydroxide</t>
  </si>
  <si>
    <t>Zinc nitrate</t>
  </si>
  <si>
    <t>Zinc sulfate</t>
  </si>
  <si>
    <t>Zinc sulfid</t>
  </si>
  <si>
    <t>Zinc hydroxide</t>
  </si>
  <si>
    <t>CuCl2</t>
  </si>
  <si>
    <t>Cu3(PO4)2</t>
  </si>
  <si>
    <t>CuCO3</t>
  </si>
  <si>
    <t>CuS</t>
  </si>
  <si>
    <t>Cu(OH)2</t>
  </si>
  <si>
    <t>Copper nitrate</t>
  </si>
  <si>
    <t>Cu(NO3)2</t>
  </si>
  <si>
    <t>Zn(NO3)2</t>
  </si>
  <si>
    <t>ZnSO3</t>
  </si>
  <si>
    <t>ZnS</t>
  </si>
  <si>
    <t>Zn(OH)2</t>
  </si>
  <si>
    <t>FeCl3</t>
  </si>
  <si>
    <t>Iron(III) chloride</t>
  </si>
  <si>
    <t>Iron(III) sulfate</t>
  </si>
  <si>
    <t>Fe2(SO4)3</t>
  </si>
  <si>
    <t>Iron(III) nitrate</t>
  </si>
  <si>
    <t>Fe(NO3)3</t>
  </si>
  <si>
    <t>Iron(III) phosphate</t>
  </si>
  <si>
    <t>FePO4</t>
  </si>
  <si>
    <t>Iron(III) hydroxide</t>
  </si>
  <si>
    <t>Fe(OH)3</t>
  </si>
  <si>
    <t>Nickel</t>
  </si>
  <si>
    <t>Sulfid</t>
  </si>
  <si>
    <t>Sulfit</t>
  </si>
  <si>
    <t>Iron(II) sulfate</t>
  </si>
  <si>
    <t>FeSO4</t>
  </si>
  <si>
    <t>Magnesium sulfate</t>
  </si>
  <si>
    <t>MgSO4</t>
  </si>
  <si>
    <t>Manganese dichloride</t>
  </si>
  <si>
    <t>MnCl2</t>
  </si>
  <si>
    <t>Copper sulfate</t>
  </si>
  <si>
    <t>CuSO4</t>
  </si>
  <si>
    <t>Nickel sulfite</t>
  </si>
  <si>
    <t>ZnSO4</t>
  </si>
  <si>
    <t>Zinc sulfite</t>
  </si>
  <si>
    <t>Calcium phosphate</t>
  </si>
  <si>
    <t>Ca3(PO4)2</t>
  </si>
  <si>
    <t>Iron(III) phosphate dihydrate</t>
  </si>
  <si>
    <t>FePO4 x 2 H2O</t>
  </si>
  <si>
    <t>K</t>
  </si>
  <si>
    <t>Mg</t>
  </si>
  <si>
    <t>Ca</t>
  </si>
  <si>
    <t>S</t>
  </si>
  <si>
    <t>B</t>
  </si>
  <si>
    <t>Na</t>
  </si>
  <si>
    <t>Fe</t>
  </si>
  <si>
    <t>Cu</t>
  </si>
  <si>
    <t>Mn</t>
  </si>
  <si>
    <t>Zn</t>
  </si>
  <si>
    <t>mg/L</t>
  </si>
  <si>
    <t>P</t>
  </si>
  <si>
    <t>mol/L</t>
  </si>
  <si>
    <t>N</t>
  </si>
  <si>
    <t>conc.</t>
  </si>
  <si>
    <t>increase</t>
  </si>
  <si>
    <t>const</t>
  </si>
  <si>
    <t>pH</t>
  </si>
  <si>
    <t>OH</t>
  </si>
  <si>
    <t>activity? Complexation?</t>
  </si>
  <si>
    <t>Sheets</t>
  </si>
  <si>
    <t>plots</t>
  </si>
  <si>
    <t>other</t>
  </si>
  <si>
    <t>(NH4)2S</t>
  </si>
  <si>
    <t>M Cation</t>
  </si>
  <si>
    <t>M Anion</t>
  </si>
  <si>
    <t>Reference</t>
  </si>
  <si>
    <t>rawdata</t>
  </si>
  <si>
    <t>reference_ID</t>
  </si>
  <si>
    <t>reference</t>
  </si>
  <si>
    <t>Lide, D.R. (2007). CRC Handbook of Chemistry and Physics, 88th ed. CRC Press.</t>
  </si>
  <si>
    <t>Lide2007</t>
  </si>
  <si>
    <t>densWater_(kg/L)</t>
  </si>
  <si>
    <t>Ks0</t>
  </si>
  <si>
    <t>massPercent</t>
  </si>
  <si>
    <t>Stochiometric coefficient Cation</t>
  </si>
  <si>
    <t>Stochiometric coefficient Anion</t>
  </si>
  <si>
    <t>M Salt</t>
  </si>
  <si>
    <t>Shaw et al. 2022</t>
  </si>
  <si>
    <t>Resh</t>
  </si>
  <si>
    <t>lowest sol. mol/L</t>
  </si>
  <si>
    <t>lowest sol. Mg/L</t>
  </si>
  <si>
    <t>Theoretical</t>
  </si>
  <si>
    <t>Mo</t>
  </si>
  <si>
    <t>Ni</t>
  </si>
  <si>
    <t>Cl</t>
  </si>
  <si>
    <t>Al</t>
  </si>
  <si>
    <t>g_per_mol</t>
  </si>
  <si>
    <t>element</t>
  </si>
  <si>
    <t>H</t>
  </si>
  <si>
    <t>Li</t>
  </si>
  <si>
    <t>O</t>
  </si>
  <si>
    <t>Cr</t>
  </si>
  <si>
    <t>Si</t>
  </si>
  <si>
    <t>F</t>
  </si>
  <si>
    <t>Br</t>
  </si>
  <si>
    <t>pH? activity? Complexation?</t>
  </si>
  <si>
    <t>nutrientClass</t>
  </si>
  <si>
    <t>Micronutrient</t>
  </si>
  <si>
    <t>Macronutrient - Group 1</t>
  </si>
  <si>
    <t>Macronutrient - Group 2</t>
  </si>
  <si>
    <t>Micronutrient - Group 1</t>
  </si>
  <si>
    <t>Micronutrient - Group 2</t>
  </si>
  <si>
    <t>Cation2</t>
  </si>
  <si>
    <t>Anion2</t>
  </si>
  <si>
    <t>NH4</t>
  </si>
  <si>
    <t>CO3</t>
  </si>
  <si>
    <t>H2PO4</t>
  </si>
  <si>
    <t>HCO3</t>
  </si>
  <si>
    <t>HPO4</t>
  </si>
  <si>
    <t>NO3</t>
  </si>
  <si>
    <t>SO4</t>
  </si>
  <si>
    <t>SO3</t>
  </si>
  <si>
    <t>PO4</t>
  </si>
  <si>
    <t>chemFormula</t>
  </si>
  <si>
    <t>MSalt</t>
  </si>
  <si>
    <t>MCation</t>
  </si>
  <si>
    <t>MAnion</t>
  </si>
  <si>
    <t>solSalt_mol</t>
  </si>
  <si>
    <t>solCation_mol</t>
  </si>
  <si>
    <t>solAnion_mol</t>
  </si>
  <si>
    <t>solSalt_mg</t>
  </si>
  <si>
    <t>solCation_mg</t>
  </si>
  <si>
    <t>solAnion_mg</t>
  </si>
  <si>
    <t>De Rijck1997;Lide2007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</si>
</sst>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6">
    <xf numFmtId="0" fontId="0" fillId="0" borderId="0"/>
    <xf numFmtId="0" fontId="9" fillId="5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166" fontId="9" fillId="0" borderId="0">
      <alignment wrapText="1"/>
    </xf>
  </cellStyleXfs>
  <cellXfs count="122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4" fillId="0" borderId="0" xfId="0" applyNumberFormat="1" applyFont="1"/>
    <xf numFmtId="0" fontId="4" fillId="2" borderId="0" xfId="0" applyFont="1" applyFill="1"/>
    <xf numFmtId="11" fontId="4" fillId="2" borderId="0" xfId="0" applyNumberFormat="1" applyFont="1" applyFill="1"/>
    <xf numFmtId="0" fontId="8" fillId="0" borderId="0" xfId="0" applyFont="1"/>
    <xf numFmtId="0" fontId="8" fillId="4" borderId="1" xfId="0" applyFont="1" applyFill="1" applyBorder="1"/>
    <xf numFmtId="0" fontId="9" fillId="5" borderId="0" xfId="1">
      <alignment wrapText="1"/>
    </xf>
    <xf numFmtId="0" fontId="9" fillId="0" borderId="0" xfId="2">
      <alignment wrapText="1"/>
    </xf>
    <xf numFmtId="0" fontId="9" fillId="0" borderId="0" xfId="3">
      <alignment wrapText="1"/>
    </xf>
    <xf numFmtId="0" fontId="0" fillId="0" borderId="0" xfId="0" applyAlignment="1">
      <alignment horizontal="center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5" borderId="0" xfId="1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2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  <xf numFmtId="0" fontId="9" fillId="0" borderId="0" xfId="3">
      <alignment wrapText="1"/>
    </xf>
  </cellXfs>
  <cellStyles count="6">
    <cellStyle name="Standard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1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0.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Ex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Ex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Solubility of some salts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Solubility of some salts</a:t>
          </a:r>
        </a:p>
      </cx:txPr>
    </cx:title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Solubility of some salts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Solubility of some salts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no"?><Relationships xmlns="http://schemas.openxmlformats.org/package/2006/relationships"><Relationship Id="rId1" Target="../charts/chartEx1.xml" Type="http://schemas.microsoft.com/office/2014/relationships/chartEx"/><Relationship Id="rId2" Target="../charts/chartEx2.xml" Type="http://schemas.microsoft.com/office/2014/relationships/chartEx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25400</xdr:rowOff>
    </xdr:from>
    <xdr:to>
      <xdr:col>14</xdr:col>
      <xdr:colOff>25400</xdr:colOff>
      <xdr:row>5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534F658-F72E-3EE6-08FC-6CD31E403309}"/>
            </a:ext>
          </a:extLst>
        </xdr:cNvPr>
        <xdr:cNvSpPr txBox="1"/>
      </xdr:nvSpPr>
      <xdr:spPr>
        <a:xfrm>
          <a:off x="2527300" y="1016000"/>
          <a:ext cx="90551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chemeClr val="tx1"/>
              </a:solidFill>
            </a:rPr>
            <a:t>M: </a:t>
          </a:r>
          <a:r>
            <a:rPr lang="de-DE" sz="1800" b="0">
              <a:solidFill>
                <a:schemeClr val="tx1"/>
              </a:solidFill>
            </a:rPr>
            <a:t>All molar masses given</a:t>
          </a:r>
          <a:r>
            <a:rPr lang="de-DE" sz="1800" b="0" baseline="0">
              <a:solidFill>
                <a:schemeClr val="tx1"/>
              </a:solidFill>
            </a:rPr>
            <a:t> in g/mol</a:t>
          </a:r>
          <a:endParaRPr lang="de-DE" sz="1800" b="0">
            <a:solidFill>
              <a:schemeClr val="tx1"/>
            </a:solidFill>
          </a:endParaRPr>
        </a:p>
        <a:p>
          <a:r>
            <a:rPr lang="de-DE" sz="1800" b="1">
              <a:solidFill>
                <a:schemeClr val="tx1"/>
              </a:solidFill>
            </a:rPr>
            <a:t>massPercent: </a:t>
          </a:r>
          <a:r>
            <a:rPr lang="de-DE" sz="1800" b="0">
              <a:solidFill>
                <a:schemeClr val="tx1"/>
              </a:solidFill>
            </a:rPr>
            <a:t>Mass</a:t>
          </a:r>
          <a:r>
            <a:rPr lang="de-DE" sz="1800" b="0" baseline="0">
              <a:solidFill>
                <a:schemeClr val="tx1"/>
              </a:solidFill>
            </a:rPr>
            <a:t> percentage d</a:t>
          </a:r>
          <a:r>
            <a:rPr lang="de-DE" sz="1800" b="0">
              <a:solidFill>
                <a:schemeClr val="tx1"/>
              </a:solidFill>
            </a:rPr>
            <a:t>ata valid at 25 degrees Celsius</a:t>
          </a:r>
        </a:p>
        <a:p>
          <a:r>
            <a:rPr lang="de-DE" sz="1800" b="1">
              <a:solidFill>
                <a:schemeClr val="tx1"/>
              </a:solidFill>
            </a:rPr>
            <a:t>densWater: </a:t>
          </a:r>
          <a:r>
            <a:rPr lang="de-DE" sz="1800" b="0">
              <a:solidFill>
                <a:schemeClr val="tx1"/>
              </a:solidFill>
            </a:rPr>
            <a:t>Water density at 25 degrees Celsius</a:t>
          </a:r>
        </a:p>
        <a:p>
          <a:r>
            <a:rPr lang="de-DE" sz="1800" b="1">
              <a:solidFill>
                <a:schemeClr val="tx1"/>
              </a:solidFill>
            </a:rPr>
            <a:t>Reference</a:t>
          </a:r>
          <a:r>
            <a:rPr lang="de-DE" sz="1800" b="0" baseline="0">
              <a:solidFill>
                <a:schemeClr val="tx1"/>
              </a:solidFill>
            </a:rPr>
            <a:t> = reference_ID</a:t>
          </a:r>
          <a:endParaRPr lang="de-DE" sz="1800" b="1">
            <a:solidFill>
              <a:schemeClr val="tx1"/>
            </a:solidFill>
          </a:endParaRPr>
        </a:p>
        <a:p>
          <a:endParaRPr lang="de-DE" sz="1800" b="1">
            <a:solidFill>
              <a:schemeClr val="tx1"/>
            </a:solidFill>
          </a:endParaRPr>
        </a:p>
        <a:p>
          <a:r>
            <a:rPr lang="de-DE" sz="1800" b="1">
              <a:solidFill>
                <a:srgbClr val="FF0000"/>
              </a:solidFill>
            </a:rPr>
            <a:t>Highlighted: </a:t>
          </a:r>
          <a:r>
            <a:rPr lang="de-DE" sz="1800" b="1">
              <a:solidFill>
                <a:schemeClr val="tx1"/>
              </a:solidFill>
            </a:rPr>
            <a:t>Compound</a:t>
          </a:r>
          <a:r>
            <a:rPr lang="de-DE" sz="1800" b="1" baseline="0">
              <a:solidFill>
                <a:schemeClr val="tx1"/>
              </a:solidFill>
            </a:rPr>
            <a:t> </a:t>
          </a:r>
          <a:r>
            <a:rPr lang="de-DE" sz="1800" b="1">
              <a:solidFill>
                <a:schemeClr val="tx1"/>
              </a:solidFill>
            </a:rPr>
            <a:t>with lowest solubility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0</xdr:row>
      <xdr:rowOff>184150</xdr:rowOff>
    </xdr:from>
    <xdr:to>
      <xdr:col>19</xdr:col>
      <xdr:colOff>25400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D77BB4A-AD5A-384B-9715-0EED04AA2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050" y="184150"/>
              <a:ext cx="15424150" cy="550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482600</xdr:colOff>
      <xdr:row>30</xdr:row>
      <xdr:rowOff>196850</xdr:rowOff>
    </xdr:from>
    <xdr:to>
      <xdr:col>19</xdr:col>
      <xdr:colOff>0</xdr:colOff>
      <xdr:row>59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7FCAEFE-3CD5-FC48-BED3-02A7122BE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600" y="6292850"/>
              <a:ext cx="15443200" cy="574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C362-F2FE-D646-9733-7F92E91CE83F}" name="Tabelle1" displayName="Tabelle1" ref="A1:O96" totalsRowShown="0">
  <autoFilter ref="A1:O96" xr:uid="{994BC362-F2FE-D646-9733-7F92E91CE83F}"/>
  <sortState xmlns:xlrd2="http://schemas.microsoft.com/office/spreadsheetml/2017/richdata2" ref="A4:O92">
    <sortCondition ref="D1:D96"/>
  </sortState>
  <tableColumns count="15">
    <tableColumn id="1" xr3:uid="{3087A278-74AA-0947-9ED4-BE39B932A276}" name="Name"/>
    <tableColumn id="2" xr3:uid="{B19B7E47-BFF0-D04D-AD5B-23FB180F9A3B}" name="Chemical formula"/>
    <tableColumn id="6" xr3:uid="{6DDC04E6-6DAB-5C45-9B35-D302ECB3742A}" name="Cation"/>
    <tableColumn id="5" xr3:uid="{EA42FDAC-6142-EA43-877C-E81205496A79}" name="Anion"/>
    <tableColumn id="4" xr3:uid="{D0F33036-E4D2-AB4F-AA29-D90797372579}" name="Cation2"/>
    <tableColumn id="3" xr3:uid="{FF5730E0-200D-7F4A-BD6C-F6E4A817397E}" name="Anion2"/>
    <tableColumn id="17" xr3:uid="{5CAE73EC-9D5F-0046-9B0A-C8C7402AB0A2}" name="Stochiometric coefficient Cation"/>
    <tableColumn id="16" xr3:uid="{A68DD3CB-DD35-744E-A44A-FFB59CDC9291}" name="Stochiometric coefficient Anion"/>
    <tableColumn id="15" xr3:uid="{3EE5362D-7D09-3D41-BB79-EB77E9DD51F4}" name="M Salt" dataDxfId="13">
      <calculatedColumnFormula>(14+4*1)*2+12+3*16</calculatedColumnFormula>
    </tableColumn>
    <tableColumn id="12" xr3:uid="{DC3E2516-02F2-1C46-A614-860056D54DC4}" name="M Cation"/>
    <tableColumn id="10" xr3:uid="{7F0E9DF4-D7C0-4043-96BD-F895FBC846D3}" name="M Anion"/>
    <tableColumn id="11" xr3:uid="{699F6400-451C-774E-B205-35628B4478DE}" name="massPercent"/>
    <tableColumn id="18" xr3:uid="{0AE7F18A-5EE0-5A42-A061-67ADCF78692E}" name="Ks0"/>
    <tableColumn id="7" xr3:uid="{08EC0C36-8BFC-5E41-BF37-3EF55DE44B84}" name="densWater_(kg/L)"/>
    <tableColumn id="13" xr3:uid="{3B00FE3D-98FF-BD48-86F5-FEF79DF8B6A3}" name="Referenc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36CFD1-B952-0144-83B9-2010DC8274CA}" name="Tabelle2" displayName="Tabelle2" ref="A1:K57" totalsRowShown="0" headerRowDxfId="11" dataDxfId="10" headerRowCellStyle="XLConnect.Header" dataCellStyle="XLConnect.Numeric">
  <autoFilter ref="A1:K57" xr:uid="{7636CFD1-B952-0144-83B9-2010DC8274CA}"/>
  <sortState xmlns:xlrd2="http://schemas.microsoft.com/office/spreadsheetml/2017/richdata2" ref="A2:K57">
    <sortCondition ref="A1:A57"/>
  </sortState>
  <tableColumns count="11">
    <tableColumn id="1" xr3:uid="{77610D30-6E79-9A4C-97C8-474588DF020D}" name="chemFormula" dataDxfId="9" dataCellStyle="XLConnect.String"/>
    <tableColumn id="2" xr3:uid="{BA59737B-6983-AB44-BCAB-251526E91160}" name="MSalt" dataDxfId="8" dataCellStyle="XLConnect.Numeric"/>
    <tableColumn id="3" xr3:uid="{E90B39A6-11C8-2E49-AD84-E57527618B6E}" name="MCation" dataDxfId="7" dataCellStyle="XLConnect.Numeric"/>
    <tableColumn id="4" xr3:uid="{8B73B1A7-2C1A-F34C-91C1-0CE1FA8F3E00}" name="MAnion" dataDxfId="6" dataCellStyle="XLConnect.Numeric"/>
    <tableColumn id="5" xr3:uid="{D01DE174-72FF-A94D-807B-42400BEB5F11}" name="Ks0"/>
    <tableColumn id="6" xr3:uid="{A701F504-D2B7-DC40-B26B-2984BF1419B5}" name="solSalt_mol" dataDxfId="5" dataCellStyle="XLConnect.Numeric"/>
    <tableColumn id="7" xr3:uid="{E09890D0-6219-6247-ADFF-C43F2146384C}" name="solCation_mol" dataDxfId="4" dataCellStyle="XLConnect.Numeric"/>
    <tableColumn id="8" xr3:uid="{969A398E-44FE-834E-93B0-64E5E19A3653}" name="solAnion_mol" dataDxfId="3" dataCellStyle="XLConnect.Numeric"/>
    <tableColumn id="9" xr3:uid="{55FE7678-8647-D349-8FEB-DA71A88C9BED}" name="solSalt_mg" dataDxfId="2" dataCellStyle="XLConnect.Numeric"/>
    <tableColumn id="10" xr3:uid="{62F732E7-5AE4-3A40-8C5A-F5FDF211DBD5}" name="solCation_mg" dataDxfId="1" dataCellStyle="XLConnect.Numeric"/>
    <tableColumn id="11" xr3:uid="{BE61A294-E928-4141-9221-3BE8AB438A89}" name="solAnion_mg" dataDxfId="0" dataCellStyle="XLConnect.Numer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tables/table1.xml" Type="http://schemas.openxmlformats.org/officeDocument/2006/relationships/table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BBC6-1F3D-3343-9CC6-8AED9EC41BB6}">
  <sheetPr>
    <tabColor rgb="FFFF0000"/>
  </sheetPr>
  <dimension ref="B1:B11"/>
  <sheetViews>
    <sheetView workbookViewId="0">
      <selection activeCell="F12" sqref="F11:F12"/>
    </sheetView>
  </sheetViews>
  <sheetFormatPr baseColWidth="10" defaultColWidth="11" defaultRowHeight="26" x14ac:dyDescent="0.3"/>
  <cols>
    <col min="2" max="2" style="10" width="10.83203125" collapsed="true"/>
  </cols>
  <sheetData>
    <row r="1" spans="2:2" x14ac:dyDescent="0.3">
      <c r="B1" s="10" t="s">
        <v>234</v>
      </c>
    </row>
    <row r="4" spans="2:2" ht="21" x14ac:dyDescent="0.25">
      <c r="B4" s="9" t="s">
        <v>241</v>
      </c>
    </row>
    <row r="5" spans="2:2" ht="171" customHeight="1" x14ac:dyDescent="0.25">
      <c r="B5" s="9"/>
    </row>
    <row r="6" spans="2:2" ht="21" x14ac:dyDescent="0.25">
      <c r="B6" s="9"/>
    </row>
    <row r="7" spans="2:2" ht="21" x14ac:dyDescent="0.25">
      <c r="B7" s="9" t="s">
        <v>235</v>
      </c>
    </row>
    <row r="8" spans="2:2" ht="21" x14ac:dyDescent="0.25">
      <c r="B8" s="9"/>
    </row>
    <row r="9" spans="2:2" ht="21" x14ac:dyDescent="0.25">
      <c r="B9" s="9"/>
    </row>
    <row r="10" spans="2:2" ht="21" x14ac:dyDescent="0.25">
      <c r="B10" s="9"/>
    </row>
    <row r="11" spans="2:2" ht="21" x14ac:dyDescent="0.25">
      <c r="B11" s="9" t="s">
        <v>236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1B2D-557F-5A48-9D95-2CF961A74962}">
  <sheetPr>
    <tabColor rgb="FFFFFF00"/>
  </sheetPr>
  <dimension ref="A1:B2"/>
  <sheetViews>
    <sheetView workbookViewId="0">
      <selection sqref="A1:B1"/>
    </sheetView>
  </sheetViews>
  <sheetFormatPr baseColWidth="10" defaultColWidth="11" defaultRowHeight="16" x14ac:dyDescent="0.2"/>
  <cols>
    <col min="1" max="1" customWidth="true" width="15.6640625" collapsed="true"/>
    <col min="2" max="2" customWidth="true" width="108.33203125" collapsed="true"/>
  </cols>
  <sheetData>
    <row r="1" spans="1:2" x14ac:dyDescent="0.2">
      <c r="A1" s="4" t="s">
        <v>242</v>
      </c>
      <c r="B1" s="4" t="s">
        <v>243</v>
      </c>
    </row>
    <row r="2" spans="1:2" x14ac:dyDescent="0.2">
      <c r="A2" t="s">
        <v>245</v>
      </c>
      <c r="B2" t="s">
        <v>244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233-4BE3-3E46-893D-74C6EC978B1E}">
  <sheetPr>
    <tabColor rgb="FF00B0F0"/>
  </sheetPr>
  <dimension ref="A1:O96"/>
  <sheetViews>
    <sheetView tabSelected="1" zoomScale="113" zoomScaleNormal="400" workbookViewId="0">
      <pane xSplit="2" ySplit="1" topLeftCell="M34" activePane="bottomRight" state="frozen"/>
      <selection pane="topRight" activeCell="C1" sqref="C1"/>
      <selection pane="bottomLeft" activeCell="A2" sqref="A2"/>
      <selection pane="bottomRight" activeCell="O49" sqref="O49"/>
    </sheetView>
  </sheetViews>
  <sheetFormatPr baseColWidth="10" defaultColWidth="11" defaultRowHeight="16" x14ac:dyDescent="0.2"/>
  <cols>
    <col min="1" max="1" customWidth="true" width="44.83203125" collapsed="true"/>
    <col min="2" max="11" customWidth="true" width="25.0" collapsed="true"/>
    <col min="12" max="12" customWidth="true" width="26.83203125" collapsed="true"/>
    <col min="13" max="13" customWidth="true" width="29.6640625" collapsed="true"/>
    <col min="14" max="14" customWidth="true" width="18.5" collapsed="true"/>
    <col min="15" max="15" customWidth="true" width="33.5" collapsed="true"/>
  </cols>
  <sheetData>
    <row r="1" spans="1:15" x14ac:dyDescent="0.2">
      <c r="A1" t="s">
        <v>101</v>
      </c>
      <c r="B1" t="s">
        <v>102</v>
      </c>
      <c r="C1" t="s">
        <v>103</v>
      </c>
      <c r="D1" t="s">
        <v>104</v>
      </c>
      <c r="E1" t="s">
        <v>277</v>
      </c>
      <c r="F1" t="s">
        <v>278</v>
      </c>
      <c r="G1" t="s">
        <v>249</v>
      </c>
      <c r="H1" t="s">
        <v>250</v>
      </c>
      <c r="I1" t="s">
        <v>251</v>
      </c>
      <c r="J1" t="s">
        <v>238</v>
      </c>
      <c r="K1" t="s">
        <v>239</v>
      </c>
      <c r="L1" t="s">
        <v>248</v>
      </c>
      <c r="M1" t="s">
        <v>247</v>
      </c>
      <c r="N1" t="s">
        <v>246</v>
      </c>
      <c r="O1" t="s">
        <v>240</v>
      </c>
    </row>
    <row r="2" spans="1:15" x14ac:dyDescent="0.2">
      <c r="A2" t="s">
        <v>118</v>
      </c>
      <c r="B2" t="s">
        <v>119</v>
      </c>
      <c r="C2" t="s">
        <v>116</v>
      </c>
      <c r="D2" t="s">
        <v>106</v>
      </c>
      <c r="E2" t="s">
        <v>279</v>
      </c>
      <c r="F2" t="s">
        <v>280</v>
      </c>
      <c r="G2">
        <v>2</v>
      </c>
      <c r="H2">
        <v>1</v>
      </c>
      <c r="I2" t="n">
        <f t="shared" ref="I2" si="0">(14+4*1)*2+12+3*16</f>
        <v>96.0</v>
      </c>
      <c r="J2">
        <v>18</v>
      </c>
      <c r="K2">
        <v>95.974000000000004</v>
      </c>
      <c r="N2">
        <v>0.99704800000000005</v>
      </c>
      <c r="O2" s="3"/>
    </row>
    <row r="3" spans="1:15" x14ac:dyDescent="0.2">
      <c r="A3" t="s">
        <v>123</v>
      </c>
      <c r="B3" t="s">
        <v>124</v>
      </c>
      <c r="C3" t="s">
        <v>116</v>
      </c>
      <c r="D3" t="s">
        <v>113</v>
      </c>
      <c r="E3" t="s">
        <v>279</v>
      </c>
      <c r="F3" t="s">
        <v>259</v>
      </c>
      <c r="G3">
        <v>1</v>
      </c>
      <c r="H3">
        <v>1</v>
      </c>
      <c r="I3" t="n">
        <f>14+4*1+35</f>
        <v>53.0</v>
      </c>
      <c r="J3">
        <v>18</v>
      </c>
      <c r="K3">
        <v>35.450000000000003</v>
      </c>
      <c r="N3">
        <v>0.99704800000000005</v>
      </c>
      <c r="O3" s="3"/>
    </row>
    <row r="4" spans="1:15" x14ac:dyDescent="0.2">
      <c r="A4" t="s">
        <v>14</v>
      </c>
      <c r="B4" t="s">
        <v>117</v>
      </c>
      <c r="C4" t="s">
        <v>116</v>
      </c>
      <c r="D4" t="s">
        <v>115</v>
      </c>
      <c r="E4" t="s">
        <v>279</v>
      </c>
      <c r="F4" t="s">
        <v>281</v>
      </c>
      <c r="G4">
        <v>1</v>
      </c>
      <c r="H4">
        <v>1</v>
      </c>
      <c r="I4" t="n">
        <f>14+6*1+31+4*16</f>
        <v>115.0</v>
      </c>
      <c r="J4">
        <v>18</v>
      </c>
      <c r="K4">
        <v>96.974000000000004</v>
      </c>
      <c r="L4">
        <v>28.8</v>
      </c>
      <c r="N4">
        <v>0.99704800000000005</v>
      </c>
      <c r="O4" s="3" t="s">
        <v>245</v>
      </c>
    </row>
    <row r="5" spans="1:15" x14ac:dyDescent="0.2">
      <c r="A5" t="s">
        <v>121</v>
      </c>
      <c r="B5" t="s">
        <v>122</v>
      </c>
      <c r="C5" t="s">
        <v>116</v>
      </c>
      <c r="D5" t="s">
        <v>108</v>
      </c>
      <c r="E5" t="s">
        <v>279</v>
      </c>
      <c r="F5" t="s">
        <v>232</v>
      </c>
      <c r="G5">
        <v>1</v>
      </c>
      <c r="H5">
        <v>1</v>
      </c>
      <c r="I5" t="n">
        <f>14+4*1+16+1</f>
        <v>35.0</v>
      </c>
      <c r="J5">
        <v>18</v>
      </c>
      <c r="K5">
        <v>17</v>
      </c>
      <c r="N5">
        <v>0.99704800000000005</v>
      </c>
      <c r="O5" s="3"/>
    </row>
    <row r="6" spans="1:15" x14ac:dyDescent="0.2">
      <c r="A6" t="s">
        <v>15</v>
      </c>
      <c r="B6" t="s">
        <v>60</v>
      </c>
      <c r="C6" t="s">
        <v>116</v>
      </c>
      <c r="E6" t="s">
        <v>279</v>
      </c>
      <c r="J6">
        <v>18</v>
      </c>
      <c r="N6">
        <v>0.99704800000000005</v>
      </c>
      <c r="O6" s="3"/>
    </row>
    <row r="7" spans="1:15" x14ac:dyDescent="0.2">
      <c r="A7" t="s">
        <v>39</v>
      </c>
      <c r="B7" t="s">
        <v>83</v>
      </c>
      <c r="C7" t="s">
        <v>6</v>
      </c>
      <c r="D7" t="s">
        <v>115</v>
      </c>
      <c r="E7" t="s">
        <v>222</v>
      </c>
      <c r="F7" t="s">
        <v>281</v>
      </c>
      <c r="G7">
        <v>1</v>
      </c>
      <c r="H7">
        <v>2</v>
      </c>
      <c r="J7">
        <v>55</v>
      </c>
      <c r="K7">
        <v>96.974000000000004</v>
      </c>
      <c r="N7">
        <v>0.99704800000000005</v>
      </c>
      <c r="O7" s="3"/>
    </row>
    <row r="8" spans="1:15" x14ac:dyDescent="0.2">
      <c r="A8" t="s">
        <v>13</v>
      </c>
      <c r="B8" t="s">
        <v>59</v>
      </c>
      <c r="C8" t="s">
        <v>116</v>
      </c>
      <c r="D8" t="s">
        <v>112</v>
      </c>
      <c r="E8" t="s">
        <v>279</v>
      </c>
      <c r="F8" t="s">
        <v>284</v>
      </c>
      <c r="G8">
        <v>1</v>
      </c>
      <c r="H8">
        <v>1</v>
      </c>
      <c r="I8" t="n">
        <f>14+4*1+14+3*16</f>
        <v>80.0</v>
      </c>
      <c r="J8">
        <v>18</v>
      </c>
      <c r="K8">
        <v>62</v>
      </c>
      <c r="L8">
        <v>68</v>
      </c>
      <c r="N8">
        <v>0.99704800000000005</v>
      </c>
      <c r="O8" s="3" t="s">
        <v>245</v>
      </c>
    </row>
    <row r="9" spans="1:15" x14ac:dyDescent="0.2">
      <c r="A9" t="s">
        <v>17</v>
      </c>
      <c r="B9" t="s">
        <v>62</v>
      </c>
      <c r="C9" t="s">
        <v>116</v>
      </c>
      <c r="D9" t="s">
        <v>109</v>
      </c>
      <c r="E9" t="s">
        <v>279</v>
      </c>
      <c r="F9" t="s">
        <v>285</v>
      </c>
      <c r="G9">
        <v>2</v>
      </c>
      <c r="H9">
        <v>1</v>
      </c>
      <c r="I9" t="n">
        <f>(14+4*1)*2+32+4*16</f>
        <v>132.0</v>
      </c>
      <c r="J9">
        <v>18</v>
      </c>
      <c r="K9">
        <v>96</v>
      </c>
      <c r="L9">
        <v>43.3</v>
      </c>
      <c r="N9">
        <v>0.99704800000000005</v>
      </c>
      <c r="O9" s="3" t="s">
        <v>245</v>
      </c>
    </row>
    <row r="10" spans="1:15" x14ac:dyDescent="0.2">
      <c r="A10" t="s">
        <v>120</v>
      </c>
      <c r="B10" t="s">
        <v>237</v>
      </c>
      <c r="C10" t="s">
        <v>116</v>
      </c>
      <c r="D10" t="s">
        <v>197</v>
      </c>
      <c r="E10" t="s">
        <v>279</v>
      </c>
      <c r="F10" t="s">
        <v>217</v>
      </c>
      <c r="G10">
        <v>2</v>
      </c>
      <c r="H10">
        <v>1</v>
      </c>
      <c r="J10">
        <v>18</v>
      </c>
      <c r="N10">
        <v>0.99704800000000005</v>
      </c>
      <c r="O10" s="3"/>
    </row>
    <row r="11" spans="1:15" x14ac:dyDescent="0.2">
      <c r="A11" t="s">
        <v>18</v>
      </c>
      <c r="B11" t="s">
        <v>111</v>
      </c>
      <c r="C11" t="s">
        <v>7</v>
      </c>
      <c r="D11" t="s">
        <v>108</v>
      </c>
      <c r="E11" t="s">
        <v>218</v>
      </c>
      <c r="F11" t="s">
        <v>232</v>
      </c>
      <c r="G11">
        <v>1</v>
      </c>
      <c r="H11">
        <v>3</v>
      </c>
      <c r="I11" t="n">
        <f>11+(16+1)*3</f>
        <v>62.0</v>
      </c>
      <c r="J11">
        <v>10.81</v>
      </c>
      <c r="K11">
        <v>17</v>
      </c>
      <c r="L11">
        <v>5.48</v>
      </c>
      <c r="N11">
        <v>0.99704800000000005</v>
      </c>
      <c r="O11" s="3" t="s">
        <v>245</v>
      </c>
    </row>
    <row r="12" spans="1:15" x14ac:dyDescent="0.2">
      <c r="A12" t="s">
        <v>19</v>
      </c>
      <c r="B12" t="s">
        <v>11</v>
      </c>
      <c r="C12" t="s">
        <v>1</v>
      </c>
      <c r="D12" t="s">
        <v>106</v>
      </c>
      <c r="E12" t="s">
        <v>216</v>
      </c>
      <c r="F12" t="s">
        <v>280</v>
      </c>
      <c r="G12">
        <v>1</v>
      </c>
      <c r="H12">
        <v>1</v>
      </c>
      <c r="I12" t="n">
        <f>40+12+3*16</f>
        <v>100.0</v>
      </c>
      <c r="J12">
        <v>40</v>
      </c>
      <c r="K12">
        <v>60</v>
      </c>
      <c r="M12" s="1">
        <v>3.36E-9</v>
      </c>
      <c r="N12">
        <v>0.99704800000000005</v>
      </c>
      <c r="O12" s="3" t="s">
        <v>245</v>
      </c>
    </row>
    <row r="13" spans="1:15" x14ac:dyDescent="0.2">
      <c r="A13" t="s">
        <v>20</v>
      </c>
      <c r="B13" t="s">
        <v>63</v>
      </c>
      <c r="C13" t="s">
        <v>1</v>
      </c>
      <c r="D13" t="s">
        <v>113</v>
      </c>
      <c r="E13" t="s">
        <v>216</v>
      </c>
      <c r="F13" t="s">
        <v>259</v>
      </c>
      <c r="G13">
        <v>1</v>
      </c>
      <c r="H13">
        <v>2</v>
      </c>
      <c r="I13" t="n">
        <f>40+2*35</f>
        <v>110.0</v>
      </c>
      <c r="J13">
        <v>40</v>
      </c>
      <c r="K13">
        <v>35.450000000000003</v>
      </c>
      <c r="L13">
        <v>44.83</v>
      </c>
      <c r="N13">
        <v>0.99704800000000005</v>
      </c>
      <c r="O13" s="3" t="s">
        <v>245</v>
      </c>
    </row>
    <row r="14" spans="1:15" x14ac:dyDescent="0.2">
      <c r="A14" t="s">
        <v>21</v>
      </c>
      <c r="B14" t="s">
        <v>64</v>
      </c>
      <c r="C14" t="s">
        <v>1</v>
      </c>
      <c r="D14" t="s">
        <v>113</v>
      </c>
      <c r="E14" t="s">
        <v>216</v>
      </c>
      <c r="F14" t="s">
        <v>259</v>
      </c>
      <c r="G14">
        <v>1</v>
      </c>
      <c r="H14">
        <v>2</v>
      </c>
      <c r="J14">
        <v>40</v>
      </c>
      <c r="K14">
        <v>35.450000000000003</v>
      </c>
      <c r="N14">
        <v>0.99704800000000005</v>
      </c>
      <c r="O14" s="3"/>
    </row>
    <row r="15" spans="1:15" x14ac:dyDescent="0.2">
      <c r="A15" t="s">
        <v>22</v>
      </c>
      <c r="B15" t="s">
        <v>65</v>
      </c>
      <c r="C15" t="s">
        <v>1</v>
      </c>
      <c r="D15" t="s">
        <v>108</v>
      </c>
      <c r="E15" t="s">
        <v>216</v>
      </c>
      <c r="F15" t="s">
        <v>232</v>
      </c>
      <c r="G15">
        <v>1</v>
      </c>
      <c r="H15">
        <v>2</v>
      </c>
      <c r="I15" t="n">
        <f>40+2*(16+1)</f>
        <v>74.0</v>
      </c>
      <c r="J15">
        <v>40</v>
      </c>
      <c r="K15">
        <v>17</v>
      </c>
      <c r="M15" s="1">
        <v>5.0200000000000002E-6</v>
      </c>
      <c r="N15">
        <v>0.99704800000000005</v>
      </c>
      <c r="O15" s="3" t="s">
        <v>245</v>
      </c>
    </row>
    <row r="16" spans="1:15" x14ac:dyDescent="0.2">
      <c r="A16" t="s">
        <v>23</v>
      </c>
      <c r="B16" t="s">
        <v>66</v>
      </c>
      <c r="C16" t="s">
        <v>1</v>
      </c>
      <c r="D16" t="s">
        <v>112</v>
      </c>
      <c r="E16" t="s">
        <v>216</v>
      </c>
      <c r="F16" t="s">
        <v>284</v>
      </c>
      <c r="G16">
        <v>1</v>
      </c>
      <c r="H16">
        <v>2</v>
      </c>
      <c r="I16" t="n">
        <f>40+(14+3*16)*2</f>
        <v>164.0</v>
      </c>
      <c r="J16">
        <v>40</v>
      </c>
      <c r="K16">
        <v>62</v>
      </c>
      <c r="L16">
        <v>59</v>
      </c>
      <c r="N16">
        <v>0.99704800000000005</v>
      </c>
      <c r="O16" s="3" t="s">
        <v>245</v>
      </c>
    </row>
    <row r="17" spans="1:15" x14ac:dyDescent="0.2">
      <c r="A17" t="s">
        <v>24</v>
      </c>
      <c r="B17" t="s">
        <v>67</v>
      </c>
      <c r="C17" t="s">
        <v>1</v>
      </c>
      <c r="D17" t="s">
        <v>112</v>
      </c>
      <c r="E17" t="s">
        <v>216</v>
      </c>
      <c r="F17" t="s">
        <v>284</v>
      </c>
      <c r="G17">
        <v>1</v>
      </c>
      <c r="H17">
        <v>2</v>
      </c>
      <c r="J17">
        <v>40</v>
      </c>
      <c r="K17">
        <v>62</v>
      </c>
      <c r="N17">
        <v>0.99704800000000005</v>
      </c>
      <c r="O17" s="3"/>
    </row>
    <row r="18" spans="1:15" x14ac:dyDescent="0.2">
      <c r="A18" t="s">
        <v>25</v>
      </c>
      <c r="B18" t="s">
        <v>68</v>
      </c>
      <c r="C18" t="s">
        <v>1</v>
      </c>
      <c r="D18" t="s">
        <v>107</v>
      </c>
      <c r="E18" t="s">
        <v>216</v>
      </c>
      <c r="F18" t="s">
        <v>265</v>
      </c>
      <c r="G18">
        <v>1</v>
      </c>
      <c r="H18">
        <v>1</v>
      </c>
      <c r="I18">
        <v>56</v>
      </c>
      <c r="J18">
        <v>40</v>
      </c>
      <c r="K18">
        <v>16</v>
      </c>
      <c r="N18">
        <v>0.99704800000000005</v>
      </c>
      <c r="O18" s="3"/>
    </row>
    <row r="19" spans="1:15" s="13" customFormat="1" x14ac:dyDescent="0.2">
      <c r="A19" t="s">
        <v>51</v>
      </c>
      <c r="B19" t="s">
        <v>92</v>
      </c>
      <c r="C19" t="s">
        <v>0</v>
      </c>
      <c r="D19" t="s">
        <v>115</v>
      </c>
      <c r="E19" t="s">
        <v>214</v>
      </c>
      <c r="F19" t="s">
        <v>281</v>
      </c>
      <c r="G19">
        <v>1</v>
      </c>
      <c r="H19">
        <v>1</v>
      </c>
      <c r="I19" t="n">
        <f>39+2*1+31+4*16</f>
        <v>136.0</v>
      </c>
      <c r="J19">
        <v>39</v>
      </c>
      <c r="K19">
        <v>96.974000000000004</v>
      </c>
      <c r="L19">
        <v>19.97</v>
      </c>
      <c r="M19"/>
      <c r="N19">
        <v>0.99704800000000005</v>
      </c>
      <c r="O19" s="3" t="s">
        <v>245</v>
      </c>
    </row>
    <row r="20" spans="1:15" x14ac:dyDescent="0.2">
      <c r="A20" t="s">
        <v>26</v>
      </c>
      <c r="B20" t="s">
        <v>69</v>
      </c>
      <c r="C20" t="s">
        <v>1</v>
      </c>
      <c r="D20" t="s">
        <v>109</v>
      </c>
      <c r="E20" t="s">
        <v>216</v>
      </c>
      <c r="F20" t="s">
        <v>285</v>
      </c>
      <c r="G20">
        <v>1</v>
      </c>
      <c r="H20">
        <v>1</v>
      </c>
      <c r="I20" t="n">
        <f>40+32+4*16</f>
        <v>136.0</v>
      </c>
      <c r="J20">
        <v>40</v>
      </c>
      <c r="K20">
        <v>96</v>
      </c>
      <c r="L20">
        <v>0.20499999999999999</v>
      </c>
      <c r="M20" s="1">
        <v>4.9299999999999999E-5</v>
      </c>
      <c r="N20">
        <v>0.99704800000000005</v>
      </c>
      <c r="O20" s="3" t="s">
        <v>245</v>
      </c>
    </row>
    <row r="21" spans="1:15" x14ac:dyDescent="0.2">
      <c r="A21" t="s">
        <v>27</v>
      </c>
      <c r="B21" t="s">
        <v>70</v>
      </c>
      <c r="C21" t="s">
        <v>1</v>
      </c>
      <c r="D21" t="s">
        <v>109</v>
      </c>
      <c r="E21" t="s">
        <v>216</v>
      </c>
      <c r="F21" t="s">
        <v>285</v>
      </c>
      <c r="G21">
        <v>1</v>
      </c>
      <c r="H21">
        <v>1</v>
      </c>
      <c r="I21" t="n">
        <f>40+32+4*16+2*(2+16)</f>
        <v>172.0</v>
      </c>
      <c r="J21">
        <v>40</v>
      </c>
      <c r="K21">
        <v>96</v>
      </c>
      <c r="M21" s="1">
        <v>3.1399999999999998E-5</v>
      </c>
      <c r="N21">
        <v>0.99704800000000005</v>
      </c>
      <c r="O21" s="3" t="s">
        <v>245</v>
      </c>
    </row>
    <row r="22" spans="1:15" x14ac:dyDescent="0.2">
      <c r="A22" t="s">
        <v>132</v>
      </c>
      <c r="B22" t="s">
        <v>133</v>
      </c>
      <c r="C22" t="s">
        <v>1</v>
      </c>
      <c r="D22" t="s">
        <v>197</v>
      </c>
      <c r="E22" t="s">
        <v>216</v>
      </c>
      <c r="F22" t="s">
        <v>217</v>
      </c>
      <c r="G22">
        <v>1</v>
      </c>
      <c r="H22">
        <v>1</v>
      </c>
      <c r="I22">
        <v>72</v>
      </c>
      <c r="J22">
        <v>40</v>
      </c>
      <c r="K22">
        <v>32</v>
      </c>
      <c r="N22">
        <v>0.99704800000000005</v>
      </c>
      <c r="O22" s="3"/>
    </row>
    <row r="23" spans="1:15" x14ac:dyDescent="0.2">
      <c r="A23" t="s">
        <v>168</v>
      </c>
      <c r="B23" t="s">
        <v>177</v>
      </c>
      <c r="C23" t="s">
        <v>5</v>
      </c>
      <c r="D23" t="s">
        <v>106</v>
      </c>
      <c r="E23" t="s">
        <v>221</v>
      </c>
      <c r="F23" t="s">
        <v>280</v>
      </c>
      <c r="G23">
        <v>1</v>
      </c>
      <c r="H23">
        <v>1</v>
      </c>
      <c r="I23">
        <v>124</v>
      </c>
      <c r="J23">
        <v>63.545999999999999</v>
      </c>
      <c r="K23">
        <v>60</v>
      </c>
      <c r="N23">
        <v>0.99704800000000005</v>
      </c>
      <c r="O23" s="3"/>
    </row>
    <row r="24" spans="1:15" x14ac:dyDescent="0.2">
      <c r="A24" t="s">
        <v>166</v>
      </c>
      <c r="B24" t="s">
        <v>175</v>
      </c>
      <c r="C24" t="s">
        <v>5</v>
      </c>
      <c r="D24" t="s">
        <v>113</v>
      </c>
      <c r="E24" t="s">
        <v>221</v>
      </c>
      <c r="F24" t="s">
        <v>259</v>
      </c>
      <c r="G24">
        <v>1</v>
      </c>
      <c r="H24">
        <v>2</v>
      </c>
      <c r="I24" t="n">
        <f>2*35+64</f>
        <v>134.0</v>
      </c>
      <c r="J24">
        <v>63.545999999999999</v>
      </c>
      <c r="K24">
        <v>35.450000000000003</v>
      </c>
      <c r="L24">
        <v>43.1</v>
      </c>
      <c r="N24">
        <v>0.99704800000000005</v>
      </c>
      <c r="O24" s="3" t="s">
        <v>245</v>
      </c>
    </row>
    <row r="25" spans="1:15" x14ac:dyDescent="0.2">
      <c r="A25" t="s">
        <v>170</v>
      </c>
      <c r="B25" t="s">
        <v>179</v>
      </c>
      <c r="C25" t="s">
        <v>5</v>
      </c>
      <c r="D25" t="s">
        <v>108</v>
      </c>
      <c r="E25" t="s">
        <v>221</v>
      </c>
      <c r="F25" t="s">
        <v>232</v>
      </c>
      <c r="G25">
        <v>1</v>
      </c>
      <c r="H25">
        <v>2</v>
      </c>
      <c r="I25">
        <v>98</v>
      </c>
      <c r="J25">
        <v>63.545999999999999</v>
      </c>
      <c r="K25">
        <v>17</v>
      </c>
      <c r="N25">
        <v>0.99704800000000005</v>
      </c>
      <c r="O25" s="3"/>
    </row>
    <row r="26" spans="1:15" x14ac:dyDescent="0.2">
      <c r="A26" t="s">
        <v>180</v>
      </c>
      <c r="B26" t="s">
        <v>181</v>
      </c>
      <c r="C26" t="s">
        <v>5</v>
      </c>
      <c r="D26" t="s">
        <v>112</v>
      </c>
      <c r="E26" t="s">
        <v>221</v>
      </c>
      <c r="F26" t="s">
        <v>284</v>
      </c>
      <c r="G26">
        <v>1</v>
      </c>
      <c r="H26">
        <v>2</v>
      </c>
      <c r="I26" t="n">
        <f>64+(14+3*16)*2</f>
        <v>188.0</v>
      </c>
      <c r="J26">
        <v>63.545999999999999</v>
      </c>
      <c r="K26">
        <v>62</v>
      </c>
      <c r="L26">
        <v>59.2</v>
      </c>
      <c r="N26">
        <v>0.99704800000000005</v>
      </c>
      <c r="O26" s="3" t="s">
        <v>245</v>
      </c>
    </row>
    <row r="27" spans="1:15" s="13" customFormat="1" x14ac:dyDescent="0.2">
      <c r="A27" t="s">
        <v>16</v>
      </c>
      <c r="B27" t="s">
        <v>61</v>
      </c>
      <c r="C27" t="s">
        <v>116</v>
      </c>
      <c r="D27" t="s">
        <v>110</v>
      </c>
      <c r="E27" t="s">
        <v>279</v>
      </c>
      <c r="F27" t="s">
        <v>283</v>
      </c>
      <c r="G27">
        <v>2</v>
      </c>
      <c r="H27">
        <v>1</v>
      </c>
      <c r="I27" t="n">
        <f>(14+4*1)*2+1+31+4*16</f>
        <v>132.0</v>
      </c>
      <c r="J27">
        <v>18</v>
      </c>
      <c r="K27">
        <v>95.974000000000004</v>
      </c>
      <c r="L27">
        <v>41</v>
      </c>
      <c r="M27"/>
      <c r="N27">
        <v>0.99704800000000005</v>
      </c>
      <c r="O27" s="3" t="s">
        <v>245</v>
      </c>
    </row>
    <row r="28" spans="1:15" x14ac:dyDescent="0.2">
      <c r="A28" t="s">
        <v>205</v>
      </c>
      <c r="B28" t="s">
        <v>206</v>
      </c>
      <c r="C28" t="s">
        <v>5</v>
      </c>
      <c r="D28" t="s">
        <v>109</v>
      </c>
      <c r="E28" t="s">
        <v>221</v>
      </c>
      <c r="F28" t="s">
        <v>285</v>
      </c>
      <c r="G28">
        <v>1</v>
      </c>
      <c r="H28">
        <v>1</v>
      </c>
      <c r="I28" t="n">
        <f>64+32+4*16</f>
        <v>160.0</v>
      </c>
      <c r="J28">
        <v>63.545999999999999</v>
      </c>
      <c r="K28">
        <v>96</v>
      </c>
      <c r="L28">
        <v>18</v>
      </c>
      <c r="N28">
        <v>0.99704800000000005</v>
      </c>
      <c r="O28" s="3" t="s">
        <v>245</v>
      </c>
    </row>
    <row r="29" spans="1:15" x14ac:dyDescent="0.2">
      <c r="A29" t="s">
        <v>71</v>
      </c>
      <c r="B29" t="s">
        <v>72</v>
      </c>
      <c r="C29" t="s">
        <v>5</v>
      </c>
      <c r="D29" t="s">
        <v>109</v>
      </c>
      <c r="E29" t="s">
        <v>221</v>
      </c>
      <c r="F29" t="s">
        <v>285</v>
      </c>
      <c r="G29">
        <v>1</v>
      </c>
      <c r="H29">
        <v>1</v>
      </c>
      <c r="I29">
        <v>250</v>
      </c>
      <c r="J29">
        <v>63.545999999999999</v>
      </c>
      <c r="K29">
        <v>96</v>
      </c>
      <c r="N29">
        <v>0.99704800000000005</v>
      </c>
      <c r="O29" s="3"/>
    </row>
    <row r="30" spans="1:15" x14ac:dyDescent="0.2">
      <c r="A30" t="s">
        <v>169</v>
      </c>
      <c r="B30" t="s">
        <v>178</v>
      </c>
      <c r="C30" t="s">
        <v>5</v>
      </c>
      <c r="D30" t="s">
        <v>197</v>
      </c>
      <c r="E30" t="s">
        <v>221</v>
      </c>
      <c r="F30" t="s">
        <v>217</v>
      </c>
      <c r="G30">
        <v>1</v>
      </c>
      <c r="H30">
        <v>1</v>
      </c>
      <c r="I30" t="n">
        <f>64+32</f>
        <v>96.0</v>
      </c>
      <c r="J30">
        <v>63.545999999999999</v>
      </c>
      <c r="K30">
        <v>32</v>
      </c>
      <c r="M30" s="1">
        <v>5.9999999999999999E-16</v>
      </c>
      <c r="N30">
        <v>0.99704800000000005</v>
      </c>
      <c r="O30" s="3" t="s">
        <v>245</v>
      </c>
    </row>
    <row r="31" spans="1:15" x14ac:dyDescent="0.2">
      <c r="A31" t="s">
        <v>147</v>
      </c>
      <c r="B31" t="s">
        <v>149</v>
      </c>
      <c r="C31" t="s">
        <v>3</v>
      </c>
      <c r="D31" t="s">
        <v>106</v>
      </c>
      <c r="E31" t="s">
        <v>220</v>
      </c>
      <c r="F31" t="s">
        <v>280</v>
      </c>
      <c r="G31">
        <v>1</v>
      </c>
      <c r="H31">
        <v>1</v>
      </c>
      <c r="I31" t="n">
        <f>56+12+3*16</f>
        <v>116.0</v>
      </c>
      <c r="J31">
        <v>56</v>
      </c>
      <c r="K31">
        <v>60</v>
      </c>
      <c r="M31" s="1">
        <v>3.1299999999999998E-11</v>
      </c>
      <c r="N31">
        <v>0.99704800000000005</v>
      </c>
      <c r="O31" s="3" t="s">
        <v>245</v>
      </c>
    </row>
    <row r="32" spans="1:15" x14ac:dyDescent="0.2">
      <c r="A32" t="s">
        <v>143</v>
      </c>
      <c r="B32" t="s">
        <v>145</v>
      </c>
      <c r="C32" t="s">
        <v>3</v>
      </c>
      <c r="D32" t="s">
        <v>113</v>
      </c>
      <c r="E32" t="s">
        <v>220</v>
      </c>
      <c r="F32" t="s">
        <v>259</v>
      </c>
      <c r="G32">
        <v>1</v>
      </c>
      <c r="H32">
        <v>2</v>
      </c>
      <c r="I32">
        <v>128</v>
      </c>
      <c r="J32">
        <v>56</v>
      </c>
      <c r="K32">
        <v>35.450000000000003</v>
      </c>
      <c r="N32">
        <v>0.99704800000000005</v>
      </c>
      <c r="O32" s="3"/>
    </row>
    <row r="33" spans="1:15" x14ac:dyDescent="0.2">
      <c r="A33" t="s">
        <v>28</v>
      </c>
      <c r="B33" t="s">
        <v>73</v>
      </c>
      <c r="C33" t="s">
        <v>3</v>
      </c>
      <c r="D33" t="s">
        <v>108</v>
      </c>
      <c r="E33" t="s">
        <v>220</v>
      </c>
      <c r="F33" t="s">
        <v>232</v>
      </c>
      <c r="G33">
        <v>1</v>
      </c>
      <c r="H33">
        <v>2</v>
      </c>
      <c r="I33" t="n">
        <f>56+2*(16+1)</f>
        <v>90.0</v>
      </c>
      <c r="J33">
        <v>56</v>
      </c>
      <c r="K33">
        <v>17</v>
      </c>
      <c r="M33" s="1">
        <v>4.8700000000000001E-17</v>
      </c>
      <c r="N33">
        <v>0.99704800000000005</v>
      </c>
      <c r="O33" s="3" t="s">
        <v>245</v>
      </c>
    </row>
    <row r="34" spans="1:15" x14ac:dyDescent="0.2">
      <c r="A34" t="s">
        <v>29</v>
      </c>
      <c r="B34" t="s">
        <v>74</v>
      </c>
      <c r="C34" t="s">
        <v>3</v>
      </c>
      <c r="D34" t="s">
        <v>112</v>
      </c>
      <c r="E34" t="s">
        <v>220</v>
      </c>
      <c r="F34" t="s">
        <v>284</v>
      </c>
      <c r="G34">
        <v>1</v>
      </c>
      <c r="H34">
        <v>2</v>
      </c>
      <c r="J34">
        <v>56</v>
      </c>
      <c r="K34">
        <v>62</v>
      </c>
      <c r="N34">
        <v>0.99704800000000005</v>
      </c>
      <c r="O34" s="3"/>
    </row>
    <row r="35" spans="1:15" x14ac:dyDescent="0.2">
      <c r="A35" t="s">
        <v>33</v>
      </c>
      <c r="B35" t="s">
        <v>77</v>
      </c>
      <c r="C35" t="s">
        <v>2</v>
      </c>
      <c r="D35" t="s">
        <v>110</v>
      </c>
      <c r="E35" t="s">
        <v>215</v>
      </c>
      <c r="F35" t="s">
        <v>283</v>
      </c>
      <c r="G35">
        <v>1</v>
      </c>
      <c r="H35">
        <v>1</v>
      </c>
      <c r="J35">
        <v>24.3</v>
      </c>
      <c r="K35">
        <v>95.974000000000004</v>
      </c>
      <c r="N35">
        <v>0.99704800000000005</v>
      </c>
      <c r="O35" s="3"/>
    </row>
    <row r="36" spans="1:15" x14ac:dyDescent="0.2">
      <c r="A36" t="s">
        <v>199</v>
      </c>
      <c r="B36" t="s">
        <v>200</v>
      </c>
      <c r="C36" t="s">
        <v>3</v>
      </c>
      <c r="D36" t="s">
        <v>109</v>
      </c>
      <c r="E36" t="s">
        <v>220</v>
      </c>
      <c r="F36" t="s">
        <v>285</v>
      </c>
      <c r="G36">
        <v>1</v>
      </c>
      <c r="H36">
        <v>1</v>
      </c>
      <c r="I36" t="n">
        <f>56+32+4*16</f>
        <v>152.0</v>
      </c>
      <c r="J36">
        <v>56</v>
      </c>
      <c r="K36">
        <v>96</v>
      </c>
      <c r="L36">
        <v>22.8</v>
      </c>
      <c r="N36">
        <v>0.99704800000000005</v>
      </c>
      <c r="O36" s="3" t="s">
        <v>245</v>
      </c>
    </row>
    <row r="37" spans="1:15" x14ac:dyDescent="0.2">
      <c r="A37" t="s">
        <v>30</v>
      </c>
      <c r="B37" t="s">
        <v>99</v>
      </c>
      <c r="C37" t="s">
        <v>3</v>
      </c>
      <c r="D37" t="s">
        <v>109</v>
      </c>
      <c r="E37" t="s">
        <v>220</v>
      </c>
      <c r="F37" t="s">
        <v>285</v>
      </c>
      <c r="G37">
        <v>1</v>
      </c>
      <c r="H37">
        <v>1</v>
      </c>
      <c r="I37">
        <v>278</v>
      </c>
      <c r="J37">
        <v>56</v>
      </c>
      <c r="K37">
        <v>96</v>
      </c>
      <c r="N37">
        <v>0.99704800000000005</v>
      </c>
      <c r="O37" s="3"/>
    </row>
    <row r="38" spans="1:15" x14ac:dyDescent="0.2">
      <c r="A38" t="s">
        <v>148</v>
      </c>
      <c r="B38" t="s">
        <v>150</v>
      </c>
      <c r="C38" t="s">
        <v>3</v>
      </c>
      <c r="D38" t="s">
        <v>197</v>
      </c>
      <c r="E38" t="s">
        <v>220</v>
      </c>
      <c r="F38" t="s">
        <v>217</v>
      </c>
      <c r="G38">
        <v>1</v>
      </c>
      <c r="H38">
        <v>1</v>
      </c>
      <c r="I38" t="n">
        <f>32+56</f>
        <v>88.0</v>
      </c>
      <c r="J38">
        <v>56</v>
      </c>
      <c r="K38">
        <v>32</v>
      </c>
      <c r="M38" s="1">
        <v>600</v>
      </c>
      <c r="N38">
        <v>0.99704800000000005</v>
      </c>
      <c r="O38" s="3" t="s">
        <v>245</v>
      </c>
    </row>
    <row r="39" spans="1:15" x14ac:dyDescent="0.2">
      <c r="A39" t="s">
        <v>187</v>
      </c>
      <c r="B39" t="s">
        <v>186</v>
      </c>
      <c r="C39" t="s">
        <v>3</v>
      </c>
      <c r="D39" t="s">
        <v>113</v>
      </c>
      <c r="E39" t="s">
        <v>220</v>
      </c>
      <c r="F39" t="s">
        <v>259</v>
      </c>
      <c r="G39">
        <v>1</v>
      </c>
      <c r="H39">
        <v>3</v>
      </c>
      <c r="I39" t="n">
        <f>56+3*36</f>
        <v>164.0</v>
      </c>
      <c r="J39">
        <v>56</v>
      </c>
      <c r="K39">
        <v>35.450000000000003</v>
      </c>
      <c r="L39">
        <v>47.7</v>
      </c>
      <c r="N39">
        <v>0.99704800000000005</v>
      </c>
      <c r="O39" s="3" t="s">
        <v>245</v>
      </c>
    </row>
    <row r="40" spans="1:15" s="8" customFormat="1" x14ac:dyDescent="0.2">
      <c r="A40" s="8" t="s">
        <v>194</v>
      </c>
      <c r="B40" s="8" t="s">
        <v>195</v>
      </c>
      <c r="C40" s="8" t="s">
        <v>3</v>
      </c>
      <c r="D40" s="8" t="s">
        <v>108</v>
      </c>
      <c r="E40" t="s">
        <v>220</v>
      </c>
      <c r="F40" t="s">
        <v>232</v>
      </c>
      <c r="G40" s="8">
        <v>1</v>
      </c>
      <c r="H40" s="8">
        <v>3</v>
      </c>
      <c r="I40" s="8" t="n">
        <f>56+3*(16+1)</f>
        <v>107.0</v>
      </c>
      <c r="J40" s="8">
        <v>56</v>
      </c>
      <c r="K40" s="8">
        <v>17</v>
      </c>
      <c r="M40" s="5">
        <v>2.7900000000000001E-39</v>
      </c>
      <c r="N40" s="8">
        <v>0.99704800000000005</v>
      </c>
      <c r="O40" s="3" t="s">
        <v>245</v>
      </c>
    </row>
    <row r="41" spans="1:15" x14ac:dyDescent="0.2">
      <c r="A41" t="s">
        <v>190</v>
      </c>
      <c r="B41" t="s">
        <v>191</v>
      </c>
      <c r="C41" t="s">
        <v>3</v>
      </c>
      <c r="D41" t="s">
        <v>112</v>
      </c>
      <c r="E41" t="s">
        <v>220</v>
      </c>
      <c r="F41" t="s">
        <v>284</v>
      </c>
      <c r="G41">
        <v>1</v>
      </c>
      <c r="H41">
        <v>3</v>
      </c>
      <c r="I41" t="n">
        <f>56+(14+3*16)*3</f>
        <v>242.0</v>
      </c>
      <c r="J41">
        <v>56</v>
      </c>
      <c r="K41">
        <v>62</v>
      </c>
      <c r="L41">
        <v>46.57</v>
      </c>
      <c r="N41">
        <v>0.99704800000000005</v>
      </c>
      <c r="O41" s="3" t="s">
        <v>245</v>
      </c>
    </row>
    <row r="42" spans="1:15" x14ac:dyDescent="0.2">
      <c r="A42" t="s">
        <v>40</v>
      </c>
      <c r="B42" t="s">
        <v>84</v>
      </c>
      <c r="C42" t="s">
        <v>6</v>
      </c>
      <c r="D42" t="s">
        <v>110</v>
      </c>
      <c r="E42" t="s">
        <v>222</v>
      </c>
      <c r="F42" t="s">
        <v>283</v>
      </c>
      <c r="G42">
        <v>1</v>
      </c>
      <c r="H42">
        <v>1</v>
      </c>
      <c r="J42">
        <v>55</v>
      </c>
      <c r="K42">
        <v>95.974000000000004</v>
      </c>
      <c r="N42">
        <v>0.99704800000000005</v>
      </c>
      <c r="O42" s="3"/>
    </row>
    <row r="43" spans="1:15" s="11" customFormat="1" x14ac:dyDescent="0.2">
      <c r="A43" t="s">
        <v>52</v>
      </c>
      <c r="B43" t="s">
        <v>93</v>
      </c>
      <c r="C43" t="s">
        <v>0</v>
      </c>
      <c r="D43" t="s">
        <v>110</v>
      </c>
      <c r="E43" t="s">
        <v>214</v>
      </c>
      <c r="F43" t="s">
        <v>283</v>
      </c>
      <c r="G43">
        <v>2</v>
      </c>
      <c r="H43">
        <v>1</v>
      </c>
      <c r="I43"/>
      <c r="J43">
        <v>39</v>
      </c>
      <c r="K43">
        <v>95.974000000000004</v>
      </c>
      <c r="L43">
        <v>62.7</v>
      </c>
      <c r="M43"/>
      <c r="N43">
        <v>0.99704800000000005</v>
      </c>
      <c r="O43" s="3" t="s">
        <v>245</v>
      </c>
    </row>
    <row r="44" spans="1:15" x14ac:dyDescent="0.2">
      <c r="A44" t="s">
        <v>188</v>
      </c>
      <c r="B44" t="s">
        <v>189</v>
      </c>
      <c r="C44" t="s">
        <v>3</v>
      </c>
      <c r="D44" t="s">
        <v>109</v>
      </c>
      <c r="E44" t="s">
        <v>220</v>
      </c>
      <c r="F44" t="s">
        <v>285</v>
      </c>
      <c r="G44">
        <v>2</v>
      </c>
      <c r="H44">
        <v>3</v>
      </c>
      <c r="J44">
        <v>56</v>
      </c>
      <c r="K44">
        <v>96</v>
      </c>
      <c r="N44">
        <v>0.99704800000000005</v>
      </c>
      <c r="O44" s="3"/>
    </row>
    <row r="45" spans="1:15" x14ac:dyDescent="0.2">
      <c r="A45" t="s">
        <v>129</v>
      </c>
      <c r="B45" t="s">
        <v>12</v>
      </c>
      <c r="C45" t="s">
        <v>2</v>
      </c>
      <c r="D45" t="s">
        <v>106</v>
      </c>
      <c r="E45" t="s">
        <v>215</v>
      </c>
      <c r="F45" t="s">
        <v>280</v>
      </c>
      <c r="G45">
        <v>1</v>
      </c>
      <c r="H45">
        <v>1</v>
      </c>
      <c r="I45" t="n">
        <f>24+12+3*16</f>
        <v>84.0</v>
      </c>
      <c r="J45">
        <v>24.3</v>
      </c>
      <c r="K45">
        <v>60</v>
      </c>
      <c r="M45" s="1">
        <v>6.8199999999999999E-6</v>
      </c>
      <c r="N45">
        <v>0.99704800000000005</v>
      </c>
      <c r="O45" s="3" t="s">
        <v>245</v>
      </c>
    </row>
    <row r="46" spans="1:15" x14ac:dyDescent="0.2">
      <c r="A46" t="s">
        <v>125</v>
      </c>
      <c r="B46" t="s">
        <v>126</v>
      </c>
      <c r="C46" t="s">
        <v>2</v>
      </c>
      <c r="D46" t="s">
        <v>113</v>
      </c>
      <c r="E46" t="s">
        <v>215</v>
      </c>
      <c r="F46" t="s">
        <v>259</v>
      </c>
      <c r="G46">
        <v>1</v>
      </c>
      <c r="H46">
        <v>2</v>
      </c>
      <c r="I46" t="n">
        <f>24+2*35</f>
        <v>94.0</v>
      </c>
      <c r="J46">
        <v>24.3</v>
      </c>
      <c r="K46">
        <v>35.450000000000003</v>
      </c>
      <c r="L46">
        <v>35.9</v>
      </c>
      <c r="N46">
        <v>0.99704800000000005</v>
      </c>
      <c r="O46" s="3" t="s">
        <v>245</v>
      </c>
    </row>
    <row r="47" spans="1:15" x14ac:dyDescent="0.2">
      <c r="A47" t="s">
        <v>130</v>
      </c>
      <c r="B47" t="s">
        <v>131</v>
      </c>
      <c r="C47" t="s">
        <v>2</v>
      </c>
      <c r="D47" t="s">
        <v>108</v>
      </c>
      <c r="E47" t="s">
        <v>215</v>
      </c>
      <c r="F47" t="s">
        <v>232</v>
      </c>
      <c r="G47">
        <v>1</v>
      </c>
      <c r="H47">
        <v>2</v>
      </c>
      <c r="I47" t="n">
        <f>24+(16+1)*2</f>
        <v>58.0</v>
      </c>
      <c r="J47">
        <v>24.3</v>
      </c>
      <c r="K47">
        <v>17</v>
      </c>
      <c r="M47" s="1">
        <v>5.6099999999999997E-12</v>
      </c>
      <c r="N47">
        <v>0.99704800000000005</v>
      </c>
      <c r="O47" s="3" t="s">
        <v>245</v>
      </c>
    </row>
    <row r="48" spans="1:15" x14ac:dyDescent="0.2">
      <c r="A48" s="13" t="s">
        <v>210</v>
      </c>
      <c r="B48" s="13" t="s">
        <v>211</v>
      </c>
      <c r="C48" s="13" t="s">
        <v>1</v>
      </c>
      <c r="D48" s="13" t="s">
        <v>105</v>
      </c>
      <c r="E48" t="s">
        <v>216</v>
      </c>
      <c r="F48" s="13" t="s">
        <v>287</v>
      </c>
      <c r="G48" s="13">
        <v>3</v>
      </c>
      <c r="H48" s="13">
        <v>2</v>
      </c>
      <c r="I48" s="13" t="n">
        <f>3*40+2*(31+4*16)</f>
        <v>310.0</v>
      </c>
      <c r="J48">
        <v>40</v>
      </c>
      <c r="K48" s="13">
        <v>94.974000000000004</v>
      </c>
      <c r="L48" s="13"/>
      <c r="M48" s="14">
        <v>1E-26</v>
      </c>
      <c r="N48" s="13">
        <v>0.99704800000000005</v>
      </c>
      <c r="O48" s="3" t="s">
        <v>298</v>
      </c>
    </row>
    <row r="49" spans="1:15" x14ac:dyDescent="0.2">
      <c r="A49" t="s">
        <v>127</v>
      </c>
      <c r="B49" t="s">
        <v>128</v>
      </c>
      <c r="C49" t="s">
        <v>2</v>
      </c>
      <c r="D49" t="s">
        <v>112</v>
      </c>
      <c r="E49" t="s">
        <v>215</v>
      </c>
      <c r="F49" t="s">
        <v>284</v>
      </c>
      <c r="G49">
        <v>1</v>
      </c>
      <c r="H49">
        <v>2</v>
      </c>
      <c r="I49" t="n">
        <f>24+(14+3*16)*2</f>
        <v>148.0</v>
      </c>
      <c r="J49">
        <v>24.3</v>
      </c>
      <c r="K49">
        <v>62</v>
      </c>
      <c r="L49">
        <v>41.6</v>
      </c>
      <c r="N49">
        <v>0.99704800000000005</v>
      </c>
      <c r="O49" s="3" t="s">
        <v>245</v>
      </c>
    </row>
    <row r="50" spans="1:15" s="13" customFormat="1" x14ac:dyDescent="0.2">
      <c r="A50" s="13" t="s">
        <v>167</v>
      </c>
      <c r="B50" s="13" t="s">
        <v>176</v>
      </c>
      <c r="C50" s="13" t="s">
        <v>5</v>
      </c>
      <c r="D50" s="13" t="s">
        <v>105</v>
      </c>
      <c r="E50" t="s">
        <v>221</v>
      </c>
      <c r="F50" s="13" t="s">
        <v>287</v>
      </c>
      <c r="G50" s="13">
        <v>3</v>
      </c>
      <c r="H50" s="13">
        <v>2</v>
      </c>
      <c r="I50" s="13" t="n">
        <f>3*64+2*(31+4*16)</f>
        <v>382.0</v>
      </c>
      <c r="J50">
        <v>63.545999999999999</v>
      </c>
      <c r="K50" s="13">
        <v>94.974000000000004</v>
      </c>
      <c r="M50" s="14">
        <v>1.4000000000000001E-37</v>
      </c>
      <c r="N50" s="13">
        <v>0.99704800000000005</v>
      </c>
      <c r="O50" s="3" t="s">
        <v>245</v>
      </c>
    </row>
    <row r="51" spans="1:15" x14ac:dyDescent="0.2">
      <c r="A51" t="s">
        <v>144</v>
      </c>
      <c r="B51" t="s">
        <v>146</v>
      </c>
      <c r="C51" t="s">
        <v>3</v>
      </c>
      <c r="D51" t="s">
        <v>105</v>
      </c>
      <c r="E51" t="s">
        <v>220</v>
      </c>
      <c r="F51" s="15" t="s">
        <v>287</v>
      </c>
      <c r="G51">
        <v>3</v>
      </c>
      <c r="H51">
        <v>2</v>
      </c>
      <c r="J51">
        <v>56</v>
      </c>
      <c r="K51" s="13">
        <v>94.974000000000004</v>
      </c>
      <c r="N51">
        <v>0.99704800000000005</v>
      </c>
      <c r="O51" s="3"/>
    </row>
    <row r="52" spans="1:15" x14ac:dyDescent="0.2">
      <c r="A52" t="s">
        <v>31</v>
      </c>
      <c r="B52" t="s">
        <v>75</v>
      </c>
      <c r="C52" t="s">
        <v>2</v>
      </c>
      <c r="D52" t="s">
        <v>107</v>
      </c>
      <c r="E52" t="s">
        <v>215</v>
      </c>
      <c r="F52" t="s">
        <v>265</v>
      </c>
      <c r="G52">
        <v>1</v>
      </c>
      <c r="H52">
        <v>1</v>
      </c>
      <c r="J52">
        <v>24.3</v>
      </c>
      <c r="K52">
        <v>16</v>
      </c>
      <c r="N52">
        <v>0.99704800000000005</v>
      </c>
      <c r="O52" s="3"/>
    </row>
    <row r="53" spans="1:15" x14ac:dyDescent="0.2">
      <c r="A53" t="s">
        <v>201</v>
      </c>
      <c r="B53" t="s">
        <v>202</v>
      </c>
      <c r="C53" t="s">
        <v>2</v>
      </c>
      <c r="D53" t="s">
        <v>109</v>
      </c>
      <c r="E53" t="s">
        <v>215</v>
      </c>
      <c r="F53" t="s">
        <v>285</v>
      </c>
      <c r="G53">
        <v>1</v>
      </c>
      <c r="H53">
        <v>1</v>
      </c>
      <c r="I53" t="n">
        <f>24+32+4*16</f>
        <v>120.0</v>
      </c>
      <c r="J53">
        <v>24.3</v>
      </c>
      <c r="K53">
        <v>96</v>
      </c>
      <c r="L53">
        <v>26.3</v>
      </c>
      <c r="N53">
        <v>0.99704800000000005</v>
      </c>
      <c r="O53" s="3" t="s">
        <v>245</v>
      </c>
    </row>
    <row r="54" spans="1:15" x14ac:dyDescent="0.2">
      <c r="A54" t="s">
        <v>35</v>
      </c>
      <c r="B54" t="s">
        <v>79</v>
      </c>
      <c r="C54" t="s">
        <v>2</v>
      </c>
      <c r="D54" t="s">
        <v>109</v>
      </c>
      <c r="E54" t="s">
        <v>215</v>
      </c>
      <c r="F54" t="s">
        <v>285</v>
      </c>
      <c r="G54">
        <v>1</v>
      </c>
      <c r="H54">
        <v>1</v>
      </c>
      <c r="J54">
        <v>24.3</v>
      </c>
      <c r="K54">
        <v>96</v>
      </c>
      <c r="N54">
        <v>0.99704800000000005</v>
      </c>
      <c r="O54" s="3"/>
    </row>
    <row r="55" spans="1:15" s="8" customFormat="1" x14ac:dyDescent="0.2">
      <c r="A55" s="8" t="s">
        <v>137</v>
      </c>
      <c r="B55" s="8" t="s">
        <v>141</v>
      </c>
      <c r="C55" s="8" t="s">
        <v>6</v>
      </c>
      <c r="D55" s="8" t="s">
        <v>106</v>
      </c>
      <c r="E55" t="s">
        <v>222</v>
      </c>
      <c r="F55" t="s">
        <v>280</v>
      </c>
      <c r="G55" s="8">
        <v>1</v>
      </c>
      <c r="H55" s="8">
        <v>1</v>
      </c>
      <c r="I55" s="8" t="n">
        <f>55+12+3*16</f>
        <v>115.0</v>
      </c>
      <c r="J55" s="8">
        <v>55</v>
      </c>
      <c r="K55" s="8">
        <v>60</v>
      </c>
      <c r="M55" s="5">
        <v>2.2400000000000001E-11</v>
      </c>
      <c r="N55" s="8">
        <v>0.99704800000000005</v>
      </c>
      <c r="O55" s="3" t="s">
        <v>245</v>
      </c>
    </row>
    <row r="56" spans="1:15" x14ac:dyDescent="0.2">
      <c r="A56" t="s">
        <v>203</v>
      </c>
      <c r="B56" t="s">
        <v>204</v>
      </c>
      <c r="C56" t="s">
        <v>6</v>
      </c>
      <c r="D56" t="s">
        <v>113</v>
      </c>
      <c r="E56" t="s">
        <v>222</v>
      </c>
      <c r="F56" t="s">
        <v>259</v>
      </c>
      <c r="G56">
        <v>1</v>
      </c>
      <c r="H56">
        <v>2</v>
      </c>
      <c r="I56" t="n">
        <f>55+2*35</f>
        <v>125.0</v>
      </c>
      <c r="J56">
        <v>55</v>
      </c>
      <c r="K56">
        <v>35.450000000000003</v>
      </c>
      <c r="L56">
        <v>43.6</v>
      </c>
      <c r="N56">
        <v>0.99704800000000005</v>
      </c>
      <c r="O56" s="3" t="s">
        <v>245</v>
      </c>
    </row>
    <row r="57" spans="1:15" x14ac:dyDescent="0.2">
      <c r="A57" t="s">
        <v>36</v>
      </c>
      <c r="B57" t="s">
        <v>80</v>
      </c>
      <c r="C57" t="s">
        <v>6</v>
      </c>
      <c r="D57" t="s">
        <v>113</v>
      </c>
      <c r="E57" t="s">
        <v>222</v>
      </c>
      <c r="F57" t="s">
        <v>259</v>
      </c>
      <c r="G57">
        <v>1</v>
      </c>
      <c r="H57">
        <v>2</v>
      </c>
      <c r="J57">
        <v>55</v>
      </c>
      <c r="K57">
        <v>35.450000000000003</v>
      </c>
      <c r="N57">
        <v>0.99704800000000005</v>
      </c>
      <c r="O57" s="3"/>
    </row>
    <row r="58" spans="1:15" x14ac:dyDescent="0.2">
      <c r="A58" t="s">
        <v>139</v>
      </c>
      <c r="B58" t="s">
        <v>81</v>
      </c>
      <c r="C58" t="s">
        <v>6</v>
      </c>
      <c r="D58" t="s">
        <v>108</v>
      </c>
      <c r="E58" t="s">
        <v>222</v>
      </c>
      <c r="F58" t="s">
        <v>232</v>
      </c>
      <c r="G58">
        <v>1</v>
      </c>
      <c r="H58">
        <v>2</v>
      </c>
      <c r="J58">
        <v>55</v>
      </c>
      <c r="K58">
        <v>17</v>
      </c>
      <c r="N58">
        <v>0.99704800000000005</v>
      </c>
      <c r="O58" s="3"/>
    </row>
    <row r="59" spans="1:15" x14ac:dyDescent="0.2">
      <c r="A59" t="s">
        <v>192</v>
      </c>
      <c r="B59" t="s">
        <v>193</v>
      </c>
      <c r="C59" t="s">
        <v>3</v>
      </c>
      <c r="D59" t="s">
        <v>105</v>
      </c>
      <c r="E59" t="s">
        <v>220</v>
      </c>
      <c r="F59" s="15" t="s">
        <v>287</v>
      </c>
      <c r="G59">
        <v>1</v>
      </c>
      <c r="H59">
        <v>1</v>
      </c>
      <c r="J59">
        <v>56</v>
      </c>
      <c r="K59" s="13">
        <v>94.974000000000004</v>
      </c>
      <c r="N59">
        <v>0.99704800000000005</v>
      </c>
      <c r="O59" s="3"/>
    </row>
    <row r="60" spans="1:15" x14ac:dyDescent="0.2">
      <c r="A60" t="s">
        <v>138</v>
      </c>
      <c r="B60" t="s">
        <v>142</v>
      </c>
      <c r="C60" t="s">
        <v>6</v>
      </c>
      <c r="D60" t="s">
        <v>197</v>
      </c>
      <c r="E60" t="s">
        <v>222</v>
      </c>
      <c r="F60" t="s">
        <v>217</v>
      </c>
      <c r="G60">
        <v>1</v>
      </c>
      <c r="H60">
        <v>1</v>
      </c>
      <c r="I60" t="n">
        <f>55+32</f>
        <v>87.0</v>
      </c>
      <c r="J60">
        <v>55</v>
      </c>
      <c r="K60">
        <v>32</v>
      </c>
      <c r="M60" s="1">
        <v>30000000</v>
      </c>
      <c r="N60">
        <v>0.99704800000000005</v>
      </c>
      <c r="O60" s="3" t="s">
        <v>245</v>
      </c>
    </row>
    <row r="61" spans="1:15" x14ac:dyDescent="0.2">
      <c r="A61" s="11" t="s">
        <v>212</v>
      </c>
      <c r="B61" s="11" t="s">
        <v>213</v>
      </c>
      <c r="C61" s="11" t="s">
        <v>3</v>
      </c>
      <c r="D61" s="11" t="s">
        <v>105</v>
      </c>
      <c r="E61" t="s">
        <v>220</v>
      </c>
      <c r="F61" s="15" t="s">
        <v>287</v>
      </c>
      <c r="G61" s="11">
        <v>1</v>
      </c>
      <c r="H61" s="11">
        <v>1</v>
      </c>
      <c r="I61" s="11" t="n">
        <f>56+31+4*16+2*(2+16)</f>
        <v>187.0</v>
      </c>
      <c r="J61" s="11">
        <v>56</v>
      </c>
      <c r="K61" s="13">
        <v>94.974000000000004</v>
      </c>
      <c r="L61" s="11"/>
      <c r="M61" s="12">
        <v>9.9099999999999993E-16</v>
      </c>
      <c r="N61" s="11">
        <v>0.99704800000000005</v>
      </c>
      <c r="O61" s="3" t="s">
        <v>245</v>
      </c>
    </row>
    <row r="62" spans="1:15" x14ac:dyDescent="0.2">
      <c r="A62" s="13" t="s">
        <v>32</v>
      </c>
      <c r="B62" s="13" t="s">
        <v>76</v>
      </c>
      <c r="C62" s="13" t="s">
        <v>2</v>
      </c>
      <c r="D62" s="13" t="s">
        <v>105</v>
      </c>
      <c r="E62" t="s">
        <v>215</v>
      </c>
      <c r="F62" s="13" t="s">
        <v>287</v>
      </c>
      <c r="G62" s="13">
        <v>3</v>
      </c>
      <c r="H62" s="13">
        <v>2</v>
      </c>
      <c r="I62" s="13" t="n">
        <f>3*24+2*(31+4*16)</f>
        <v>262.0</v>
      </c>
      <c r="J62">
        <v>24.3</v>
      </c>
      <c r="K62" s="13">
        <v>94.974000000000004</v>
      </c>
      <c r="L62" s="13"/>
      <c r="M62" s="14">
        <v>1.04E-24</v>
      </c>
      <c r="N62" s="13">
        <v>0.99704800000000005</v>
      </c>
      <c r="O62" s="3" t="s">
        <v>245</v>
      </c>
    </row>
    <row r="63" spans="1:15" x14ac:dyDescent="0.2">
      <c r="A63" t="s">
        <v>38</v>
      </c>
      <c r="B63" t="s">
        <v>82</v>
      </c>
      <c r="C63" t="s">
        <v>6</v>
      </c>
      <c r="D63" t="s">
        <v>112</v>
      </c>
      <c r="E63" t="s">
        <v>222</v>
      </c>
      <c r="F63" t="s">
        <v>284</v>
      </c>
      <c r="G63">
        <v>1</v>
      </c>
      <c r="H63">
        <v>2</v>
      </c>
      <c r="J63">
        <v>55</v>
      </c>
      <c r="K63">
        <v>62</v>
      </c>
      <c r="N63">
        <v>0.99704800000000005</v>
      </c>
      <c r="O63" s="3"/>
    </row>
    <row r="64" spans="1:15" x14ac:dyDescent="0.2">
      <c r="A64" t="s">
        <v>41</v>
      </c>
      <c r="B64" t="s">
        <v>85</v>
      </c>
      <c r="C64" t="s">
        <v>6</v>
      </c>
      <c r="D64" t="s">
        <v>109</v>
      </c>
      <c r="E64" t="s">
        <v>222</v>
      </c>
      <c r="F64" t="s">
        <v>285</v>
      </c>
      <c r="G64">
        <v>1</v>
      </c>
      <c r="H64">
        <v>1</v>
      </c>
      <c r="I64" t="n">
        <f>55+32+4*16</f>
        <v>151.0</v>
      </c>
      <c r="J64">
        <v>55</v>
      </c>
      <c r="K64">
        <v>96</v>
      </c>
      <c r="L64">
        <v>38.9</v>
      </c>
      <c r="N64">
        <v>0.99704800000000005</v>
      </c>
      <c r="O64" s="3" t="s">
        <v>245</v>
      </c>
    </row>
    <row r="65" spans="1:15" x14ac:dyDescent="0.2">
      <c r="A65" t="s">
        <v>42</v>
      </c>
      <c r="B65" t="s">
        <v>86</v>
      </c>
      <c r="C65" t="s">
        <v>6</v>
      </c>
      <c r="D65" t="s">
        <v>109</v>
      </c>
      <c r="E65" t="s">
        <v>222</v>
      </c>
      <c r="F65" t="s">
        <v>285</v>
      </c>
      <c r="G65">
        <v>1</v>
      </c>
      <c r="H65">
        <v>1</v>
      </c>
      <c r="J65">
        <v>55</v>
      </c>
      <c r="K65">
        <v>96</v>
      </c>
      <c r="N65">
        <v>0.99704800000000005</v>
      </c>
      <c r="O65" s="3"/>
    </row>
    <row r="66" spans="1:15" x14ac:dyDescent="0.2">
      <c r="A66" t="s">
        <v>37</v>
      </c>
      <c r="B66" t="s">
        <v>81</v>
      </c>
      <c r="C66" t="s">
        <v>6</v>
      </c>
      <c r="D66" t="s">
        <v>108</v>
      </c>
      <c r="E66" t="s">
        <v>222</v>
      </c>
      <c r="F66" t="s">
        <v>232</v>
      </c>
      <c r="G66">
        <v>1</v>
      </c>
      <c r="H66">
        <v>2</v>
      </c>
      <c r="I66" t="n">
        <f>55+2*17</f>
        <v>89.0</v>
      </c>
      <c r="J66">
        <v>55</v>
      </c>
      <c r="K66">
        <v>17</v>
      </c>
      <c r="N66">
        <v>0.99704800000000005</v>
      </c>
      <c r="O66" s="3"/>
    </row>
    <row r="67" spans="1:15" x14ac:dyDescent="0.2">
      <c r="A67" t="s">
        <v>155</v>
      </c>
      <c r="B67" t="s">
        <v>163</v>
      </c>
      <c r="C67" t="s">
        <v>196</v>
      </c>
      <c r="D67" t="s">
        <v>106</v>
      </c>
      <c r="E67" t="s">
        <v>258</v>
      </c>
      <c r="F67" t="s">
        <v>280</v>
      </c>
      <c r="G67">
        <v>1</v>
      </c>
      <c r="H67">
        <v>1</v>
      </c>
      <c r="I67" t="n">
        <f>59+12+3*16</f>
        <v>119.0</v>
      </c>
      <c r="J67">
        <v>59</v>
      </c>
      <c r="K67">
        <v>60</v>
      </c>
      <c r="M67" s="1">
        <v>1.42E-7</v>
      </c>
      <c r="N67">
        <v>0.99704800000000005</v>
      </c>
      <c r="O67" s="3" t="s">
        <v>245</v>
      </c>
    </row>
    <row r="68" spans="1:15" x14ac:dyDescent="0.2">
      <c r="A68" t="s">
        <v>151</v>
      </c>
      <c r="B68" t="s">
        <v>158</v>
      </c>
      <c r="C68" t="s">
        <v>196</v>
      </c>
      <c r="D68" t="s">
        <v>113</v>
      </c>
      <c r="E68" t="s">
        <v>258</v>
      </c>
      <c r="F68" t="s">
        <v>259</v>
      </c>
      <c r="G68">
        <v>1</v>
      </c>
      <c r="H68">
        <v>2</v>
      </c>
      <c r="I68" t="n">
        <f>59+2*35</f>
        <v>129.0</v>
      </c>
      <c r="J68">
        <v>59</v>
      </c>
      <c r="K68">
        <v>35.450000000000003</v>
      </c>
      <c r="L68">
        <v>40.299999999999997</v>
      </c>
      <c r="N68">
        <v>0.99704800000000005</v>
      </c>
      <c r="O68" s="3" t="s">
        <v>245</v>
      </c>
    </row>
    <row r="69" spans="1:15" x14ac:dyDescent="0.2">
      <c r="A69" t="s">
        <v>157</v>
      </c>
      <c r="B69" t="s">
        <v>165</v>
      </c>
      <c r="C69" t="s">
        <v>196</v>
      </c>
      <c r="D69" t="s">
        <v>108</v>
      </c>
      <c r="E69" t="s">
        <v>258</v>
      </c>
      <c r="F69" t="s">
        <v>232</v>
      </c>
      <c r="G69">
        <v>1</v>
      </c>
      <c r="H69">
        <v>2</v>
      </c>
      <c r="I69" t="n">
        <f>59+2*17</f>
        <v>93.0</v>
      </c>
      <c r="J69">
        <v>59</v>
      </c>
      <c r="K69">
        <v>17</v>
      </c>
      <c r="M69" s="1">
        <v>5.4800000000000003E-16</v>
      </c>
      <c r="N69">
        <v>0.99704800000000005</v>
      </c>
      <c r="O69" s="3" t="s">
        <v>245</v>
      </c>
    </row>
    <row r="70" spans="1:15" x14ac:dyDescent="0.2">
      <c r="A70" t="s">
        <v>152</v>
      </c>
      <c r="B70" t="s">
        <v>160</v>
      </c>
      <c r="C70" t="s">
        <v>196</v>
      </c>
      <c r="D70" t="s">
        <v>112</v>
      </c>
      <c r="E70" t="s">
        <v>258</v>
      </c>
      <c r="F70" t="s">
        <v>284</v>
      </c>
      <c r="G70">
        <v>1</v>
      </c>
      <c r="H70">
        <v>2</v>
      </c>
      <c r="I70" t="n">
        <f>59+(14+3*16)*2</f>
        <v>183.0</v>
      </c>
      <c r="J70">
        <v>59</v>
      </c>
      <c r="K70">
        <v>62</v>
      </c>
      <c r="L70">
        <v>49.8</v>
      </c>
      <c r="N70">
        <v>0.99704800000000005</v>
      </c>
      <c r="O70" s="3" t="s">
        <v>245</v>
      </c>
    </row>
    <row r="71" spans="1:15" s="13" customFormat="1" x14ac:dyDescent="0.2">
      <c r="A71" t="s">
        <v>34</v>
      </c>
      <c r="B71" t="s">
        <v>78</v>
      </c>
      <c r="C71" t="s">
        <v>2</v>
      </c>
      <c r="D71" t="s">
        <v>105</v>
      </c>
      <c r="E71" t="s">
        <v>215</v>
      </c>
      <c r="F71" s="16" t="s">
        <v>287</v>
      </c>
      <c r="G71">
        <v>3</v>
      </c>
      <c r="H71">
        <v>2</v>
      </c>
      <c r="I71"/>
      <c r="J71">
        <v>24.3</v>
      </c>
      <c r="K71" s="13">
        <v>94.974000000000004</v>
      </c>
      <c r="L71"/>
      <c r="M71"/>
      <c r="N71">
        <v>0.99704800000000005</v>
      </c>
      <c r="O71" s="3"/>
    </row>
    <row r="72" spans="1:15" x14ac:dyDescent="0.2">
      <c r="A72" t="s">
        <v>156</v>
      </c>
      <c r="B72" t="s">
        <v>164</v>
      </c>
      <c r="C72" t="s">
        <v>196</v>
      </c>
      <c r="D72" t="s">
        <v>197</v>
      </c>
      <c r="E72" t="s">
        <v>258</v>
      </c>
      <c r="F72" t="s">
        <v>217</v>
      </c>
      <c r="G72">
        <v>1</v>
      </c>
      <c r="H72">
        <v>1</v>
      </c>
      <c r="J72">
        <v>59</v>
      </c>
      <c r="K72">
        <v>32</v>
      </c>
      <c r="N72">
        <v>0.99704800000000005</v>
      </c>
      <c r="O72" s="3"/>
    </row>
    <row r="73" spans="1:15" x14ac:dyDescent="0.2">
      <c r="A73" t="s">
        <v>154</v>
      </c>
      <c r="B73" t="s">
        <v>159</v>
      </c>
      <c r="C73" t="s">
        <v>196</v>
      </c>
      <c r="D73" t="s">
        <v>109</v>
      </c>
      <c r="E73" t="s">
        <v>258</v>
      </c>
      <c r="F73" t="s">
        <v>285</v>
      </c>
      <c r="G73">
        <v>1</v>
      </c>
      <c r="H73">
        <v>1</v>
      </c>
      <c r="I73" t="n">
        <f>59+32+4*16</f>
        <v>155.0</v>
      </c>
      <c r="J73">
        <v>59</v>
      </c>
      <c r="K73">
        <v>96</v>
      </c>
      <c r="L73">
        <v>28.8</v>
      </c>
      <c r="N73">
        <v>0.99704800000000005</v>
      </c>
      <c r="O73" s="3" t="s">
        <v>245</v>
      </c>
    </row>
    <row r="74" spans="1:15" x14ac:dyDescent="0.2">
      <c r="A74" t="s">
        <v>207</v>
      </c>
      <c r="B74" t="s">
        <v>162</v>
      </c>
      <c r="C74" t="s">
        <v>196</v>
      </c>
      <c r="D74" t="s">
        <v>198</v>
      </c>
      <c r="E74" t="s">
        <v>258</v>
      </c>
      <c r="F74" t="s">
        <v>286</v>
      </c>
      <c r="G74">
        <v>1</v>
      </c>
      <c r="H74">
        <v>1</v>
      </c>
      <c r="I74">
        <v>139</v>
      </c>
      <c r="J74">
        <v>59</v>
      </c>
      <c r="K74">
        <v>80</v>
      </c>
      <c r="N74">
        <v>0.99704800000000005</v>
      </c>
      <c r="O74" s="3"/>
    </row>
    <row r="75" spans="1:15" x14ac:dyDescent="0.2">
      <c r="A75" t="s">
        <v>43</v>
      </c>
      <c r="B75" t="s">
        <v>10</v>
      </c>
      <c r="C75" t="s">
        <v>0</v>
      </c>
      <c r="D75" t="s">
        <v>106</v>
      </c>
      <c r="E75" t="s">
        <v>214</v>
      </c>
      <c r="F75" t="s">
        <v>280</v>
      </c>
      <c r="G75">
        <v>2</v>
      </c>
      <c r="H75">
        <v>1</v>
      </c>
      <c r="I75" t="n">
        <f>2*39+12+3*16</f>
        <v>138.0</v>
      </c>
      <c r="J75">
        <v>39</v>
      </c>
      <c r="K75">
        <v>60</v>
      </c>
      <c r="L75">
        <v>52.7</v>
      </c>
      <c r="N75">
        <v>0.99704800000000005</v>
      </c>
      <c r="O75" s="3" t="s">
        <v>245</v>
      </c>
    </row>
    <row r="76" spans="1:15" x14ac:dyDescent="0.2">
      <c r="A76" t="s">
        <v>44</v>
      </c>
      <c r="B76" t="s">
        <v>87</v>
      </c>
      <c r="C76" t="s">
        <v>0</v>
      </c>
      <c r="D76" t="s">
        <v>106</v>
      </c>
      <c r="E76" t="s">
        <v>214</v>
      </c>
      <c r="F76" t="s">
        <v>280</v>
      </c>
      <c r="G76">
        <v>2</v>
      </c>
      <c r="H76">
        <v>1</v>
      </c>
      <c r="J76">
        <v>39</v>
      </c>
      <c r="K76">
        <v>60</v>
      </c>
      <c r="N76">
        <v>0.99704800000000005</v>
      </c>
      <c r="O76" s="3"/>
    </row>
    <row r="77" spans="1:15" x14ac:dyDescent="0.2">
      <c r="A77" t="s">
        <v>46</v>
      </c>
      <c r="B77" t="s">
        <v>88</v>
      </c>
      <c r="C77" t="s">
        <v>0</v>
      </c>
      <c r="D77" t="s">
        <v>106</v>
      </c>
      <c r="E77" t="s">
        <v>214</v>
      </c>
      <c r="F77" t="s">
        <v>280</v>
      </c>
      <c r="G77">
        <v>2</v>
      </c>
      <c r="H77">
        <v>1</v>
      </c>
      <c r="J77">
        <v>39</v>
      </c>
      <c r="K77">
        <v>60</v>
      </c>
      <c r="N77">
        <v>0.99704800000000005</v>
      </c>
      <c r="O77" s="3"/>
    </row>
    <row r="78" spans="1:15" x14ac:dyDescent="0.2">
      <c r="A78" t="s">
        <v>47</v>
      </c>
      <c r="B78" t="s">
        <v>89</v>
      </c>
      <c r="C78" t="s">
        <v>0</v>
      </c>
      <c r="D78" t="s">
        <v>113</v>
      </c>
      <c r="E78" t="s">
        <v>214</v>
      </c>
      <c r="F78" t="s">
        <v>259</v>
      </c>
      <c r="G78">
        <v>1</v>
      </c>
      <c r="H78">
        <v>1</v>
      </c>
      <c r="I78" t="n">
        <f>39+35</f>
        <v>74.0</v>
      </c>
      <c r="J78">
        <v>39</v>
      </c>
      <c r="K78">
        <v>35.450000000000003</v>
      </c>
      <c r="L78">
        <v>26.22</v>
      </c>
      <c r="N78">
        <v>0.99704800000000005</v>
      </c>
      <c r="O78" s="3" t="s">
        <v>245</v>
      </c>
    </row>
    <row r="79" spans="1:15" x14ac:dyDescent="0.2">
      <c r="A79" t="s">
        <v>136</v>
      </c>
      <c r="B79" t="s">
        <v>140</v>
      </c>
      <c r="C79" t="s">
        <v>6</v>
      </c>
      <c r="D79" t="s">
        <v>105</v>
      </c>
      <c r="E79" t="s">
        <v>222</v>
      </c>
      <c r="F79" s="16" t="s">
        <v>287</v>
      </c>
      <c r="G79">
        <v>3</v>
      </c>
      <c r="H79">
        <v>2</v>
      </c>
      <c r="J79">
        <v>55</v>
      </c>
      <c r="K79" s="13">
        <v>94.974000000000004</v>
      </c>
      <c r="N79">
        <v>0.99704800000000005</v>
      </c>
      <c r="O79" s="3"/>
    </row>
    <row r="80" spans="1:15" x14ac:dyDescent="0.2">
      <c r="A80" t="s">
        <v>45</v>
      </c>
      <c r="B80" t="s">
        <v>9</v>
      </c>
      <c r="C80" t="s">
        <v>0</v>
      </c>
      <c r="D80" t="s">
        <v>114</v>
      </c>
      <c r="E80" t="s">
        <v>214</v>
      </c>
      <c r="F80" t="s">
        <v>282</v>
      </c>
      <c r="G80">
        <v>1</v>
      </c>
      <c r="H80">
        <v>1</v>
      </c>
      <c r="I80" t="n">
        <f>39+1+12+3*16</f>
        <v>100.0</v>
      </c>
      <c r="J80">
        <v>39</v>
      </c>
      <c r="K80">
        <v>61</v>
      </c>
      <c r="L80">
        <v>26.6</v>
      </c>
      <c r="N80">
        <v>0.99704800000000005</v>
      </c>
      <c r="O80" s="3" t="s">
        <v>245</v>
      </c>
    </row>
    <row r="81" spans="1:15" x14ac:dyDescent="0.2">
      <c r="A81" t="s">
        <v>48</v>
      </c>
      <c r="B81" t="s">
        <v>8</v>
      </c>
      <c r="C81" t="s">
        <v>0</v>
      </c>
      <c r="D81" t="s">
        <v>108</v>
      </c>
      <c r="E81" t="s">
        <v>214</v>
      </c>
      <c r="F81" t="s">
        <v>232</v>
      </c>
      <c r="G81">
        <v>1</v>
      </c>
      <c r="H81">
        <v>1</v>
      </c>
      <c r="I81" t="n">
        <f>39+16+1</f>
        <v>56.0</v>
      </c>
      <c r="J81">
        <v>39</v>
      </c>
      <c r="K81">
        <v>17</v>
      </c>
      <c r="L81">
        <v>54.7</v>
      </c>
      <c r="N81">
        <v>0.99704800000000005</v>
      </c>
      <c r="O81" s="3" t="s">
        <v>245</v>
      </c>
    </row>
    <row r="82" spans="1:15" x14ac:dyDescent="0.2">
      <c r="A82" s="13" t="s">
        <v>153</v>
      </c>
      <c r="B82" s="13" t="s">
        <v>161</v>
      </c>
      <c r="C82" s="13" t="s">
        <v>196</v>
      </c>
      <c r="D82" s="13" t="s">
        <v>105</v>
      </c>
      <c r="E82" t="s">
        <v>258</v>
      </c>
      <c r="F82" s="13" t="s">
        <v>287</v>
      </c>
      <c r="G82" s="13">
        <v>3</v>
      </c>
      <c r="H82" s="13">
        <v>2</v>
      </c>
      <c r="I82" s="13" t="n">
        <f>3*59+2*(31+4*16)</f>
        <v>367.0</v>
      </c>
      <c r="J82" s="13">
        <v>59</v>
      </c>
      <c r="K82" s="13">
        <v>94.974000000000004</v>
      </c>
      <c r="L82" s="13"/>
      <c r="M82" s="14">
        <v>4.7400000000000001E-32</v>
      </c>
      <c r="N82" s="13">
        <v>0.99704800000000005</v>
      </c>
      <c r="O82" s="3" t="s">
        <v>245</v>
      </c>
    </row>
    <row r="83" spans="1:15" x14ac:dyDescent="0.2">
      <c r="A83" t="s">
        <v>49</v>
      </c>
      <c r="B83" t="s">
        <v>90</v>
      </c>
      <c r="C83" t="s">
        <v>0</v>
      </c>
      <c r="D83" t="s">
        <v>112</v>
      </c>
      <c r="E83" t="s">
        <v>214</v>
      </c>
      <c r="F83" t="s">
        <v>284</v>
      </c>
      <c r="G83">
        <v>1</v>
      </c>
      <c r="H83">
        <v>1</v>
      </c>
      <c r="I83" t="n">
        <f>39+14+3*16</f>
        <v>101.0</v>
      </c>
      <c r="J83">
        <v>39</v>
      </c>
      <c r="K83">
        <v>62</v>
      </c>
      <c r="L83">
        <v>27.7</v>
      </c>
      <c r="N83">
        <v>0.99704800000000005</v>
      </c>
      <c r="O83" s="3" t="s">
        <v>245</v>
      </c>
    </row>
    <row r="84" spans="1:15" x14ac:dyDescent="0.2">
      <c r="A84" t="s">
        <v>50</v>
      </c>
      <c r="B84" t="s">
        <v>91</v>
      </c>
      <c r="C84" t="s">
        <v>0</v>
      </c>
      <c r="D84" t="s">
        <v>105</v>
      </c>
      <c r="E84" t="s">
        <v>214</v>
      </c>
      <c r="F84" s="16" t="s">
        <v>287</v>
      </c>
      <c r="G84">
        <v>3</v>
      </c>
      <c r="H84">
        <v>1</v>
      </c>
      <c r="I84" t="n">
        <f>3*39+31+3*16</f>
        <v>196.0</v>
      </c>
      <c r="J84">
        <v>39</v>
      </c>
      <c r="K84" s="13">
        <v>94.974000000000004</v>
      </c>
      <c r="L84">
        <v>51.4</v>
      </c>
      <c r="N84">
        <v>0.99704800000000005</v>
      </c>
      <c r="O84" s="3" t="s">
        <v>245</v>
      </c>
    </row>
    <row r="85" spans="1:15" x14ac:dyDescent="0.2">
      <c r="A85" t="s">
        <v>53</v>
      </c>
      <c r="B85" t="s">
        <v>94</v>
      </c>
      <c r="C85" t="s">
        <v>0</v>
      </c>
      <c r="D85" t="s">
        <v>109</v>
      </c>
      <c r="E85" t="s">
        <v>214</v>
      </c>
      <c r="F85" t="s">
        <v>285</v>
      </c>
      <c r="G85">
        <v>2</v>
      </c>
      <c r="H85">
        <v>1</v>
      </c>
      <c r="I85" t="n">
        <f>2*39+32+4*16</f>
        <v>174.0</v>
      </c>
      <c r="J85">
        <v>39</v>
      </c>
      <c r="K85">
        <v>96</v>
      </c>
      <c r="L85">
        <v>10.7</v>
      </c>
      <c r="N85">
        <v>0.99704800000000005</v>
      </c>
      <c r="O85" s="3" t="s">
        <v>245</v>
      </c>
    </row>
    <row r="86" spans="1:15" x14ac:dyDescent="0.2">
      <c r="A86" t="s">
        <v>134</v>
      </c>
      <c r="B86" t="s">
        <v>135</v>
      </c>
      <c r="C86" t="s">
        <v>0</v>
      </c>
      <c r="D86" t="s">
        <v>197</v>
      </c>
      <c r="E86" t="s">
        <v>214</v>
      </c>
      <c r="F86" t="s">
        <v>217</v>
      </c>
      <c r="G86">
        <v>2</v>
      </c>
      <c r="H86">
        <v>1</v>
      </c>
      <c r="I86">
        <v>110</v>
      </c>
      <c r="J86">
        <v>39</v>
      </c>
      <c r="K86">
        <v>32</v>
      </c>
      <c r="N86">
        <v>0.99704800000000005</v>
      </c>
      <c r="O86" s="3"/>
    </row>
    <row r="87" spans="1:15" x14ac:dyDescent="0.2">
      <c r="A87" t="s">
        <v>54</v>
      </c>
      <c r="B87" t="s">
        <v>95</v>
      </c>
      <c r="C87" t="s">
        <v>4</v>
      </c>
      <c r="D87" t="s">
        <v>106</v>
      </c>
      <c r="E87" t="s">
        <v>223</v>
      </c>
      <c r="F87" t="s">
        <v>280</v>
      </c>
      <c r="G87">
        <v>1</v>
      </c>
      <c r="H87">
        <v>1</v>
      </c>
      <c r="I87" t="n">
        <f>65+12+3*16</f>
        <v>125.0</v>
      </c>
      <c r="J87">
        <v>65.38</v>
      </c>
      <c r="K87">
        <v>60</v>
      </c>
      <c r="M87" s="1">
        <v>1.4600000000000001E-10</v>
      </c>
      <c r="N87">
        <v>0.99704800000000005</v>
      </c>
      <c r="O87" s="3" t="s">
        <v>245</v>
      </c>
    </row>
    <row r="88" spans="1:15" x14ac:dyDescent="0.2">
      <c r="A88" t="s">
        <v>55</v>
      </c>
      <c r="B88" t="s">
        <v>96</v>
      </c>
      <c r="C88" t="s">
        <v>4</v>
      </c>
      <c r="D88" t="s">
        <v>113</v>
      </c>
      <c r="E88" t="s">
        <v>223</v>
      </c>
      <c r="F88" t="s">
        <v>259</v>
      </c>
      <c r="G88">
        <v>1</v>
      </c>
      <c r="H88">
        <v>2</v>
      </c>
      <c r="I88" t="n">
        <f>65+2*35</f>
        <v>135.0</v>
      </c>
      <c r="J88">
        <v>65.38</v>
      </c>
      <c r="K88">
        <v>35.450000000000003</v>
      </c>
      <c r="L88">
        <v>80.3</v>
      </c>
      <c r="N88">
        <v>0.99704800000000005</v>
      </c>
      <c r="O88" s="3" t="s">
        <v>245</v>
      </c>
    </row>
    <row r="89" spans="1:15" s="8" customFormat="1" x14ac:dyDescent="0.2">
      <c r="A89" s="8" t="s">
        <v>174</v>
      </c>
      <c r="B89" s="8" t="s">
        <v>185</v>
      </c>
      <c r="C89" s="8" t="s">
        <v>4</v>
      </c>
      <c r="D89" s="8" t="s">
        <v>108</v>
      </c>
      <c r="E89" s="8" t="s">
        <v>223</v>
      </c>
      <c r="F89" t="s">
        <v>232</v>
      </c>
      <c r="G89" s="8">
        <v>1</v>
      </c>
      <c r="H89" s="8">
        <v>2</v>
      </c>
      <c r="I89" s="8" t="n">
        <f>65+2*17</f>
        <v>99.0</v>
      </c>
      <c r="J89">
        <v>65.38</v>
      </c>
      <c r="K89" s="8">
        <v>17</v>
      </c>
      <c r="M89" s="5">
        <v>3.0000000000000001E-17</v>
      </c>
      <c r="N89" s="8">
        <v>0.99704800000000005</v>
      </c>
      <c r="O89" s="3" t="s">
        <v>245</v>
      </c>
    </row>
    <row r="90" spans="1:15" x14ac:dyDescent="0.2">
      <c r="A90" t="s">
        <v>171</v>
      </c>
      <c r="B90" t="s">
        <v>182</v>
      </c>
      <c r="C90" t="s">
        <v>4</v>
      </c>
      <c r="D90" t="s">
        <v>112</v>
      </c>
      <c r="E90" t="s">
        <v>223</v>
      </c>
      <c r="F90" t="s">
        <v>284</v>
      </c>
      <c r="G90">
        <v>1</v>
      </c>
      <c r="H90">
        <v>2</v>
      </c>
      <c r="I90" t="n">
        <f>65+(14+3*16)*2</f>
        <v>189.0</v>
      </c>
      <c r="J90">
        <v>65.38</v>
      </c>
      <c r="K90">
        <v>62</v>
      </c>
      <c r="L90">
        <v>54.4</v>
      </c>
      <c r="N90">
        <v>0.99704800000000005</v>
      </c>
      <c r="O90" s="3" t="s">
        <v>245</v>
      </c>
    </row>
    <row r="91" spans="1:15" x14ac:dyDescent="0.2">
      <c r="A91" t="s">
        <v>56</v>
      </c>
      <c r="B91" t="s">
        <v>97</v>
      </c>
      <c r="C91" t="s">
        <v>4</v>
      </c>
      <c r="D91" t="s">
        <v>105</v>
      </c>
      <c r="E91" t="s">
        <v>223</v>
      </c>
      <c r="F91" s="16" t="s">
        <v>287</v>
      </c>
      <c r="G91">
        <v>3</v>
      </c>
      <c r="H91">
        <v>2</v>
      </c>
      <c r="J91">
        <v>65.38</v>
      </c>
      <c r="K91" s="13">
        <v>94.974000000000004</v>
      </c>
      <c r="N91">
        <v>0.99704800000000005</v>
      </c>
      <c r="O91" s="3"/>
    </row>
    <row r="92" spans="1:15" x14ac:dyDescent="0.2">
      <c r="A92" t="s">
        <v>57</v>
      </c>
      <c r="B92" t="s">
        <v>98</v>
      </c>
      <c r="C92" t="s">
        <v>4</v>
      </c>
      <c r="D92" t="s">
        <v>105</v>
      </c>
      <c r="E92" t="s">
        <v>223</v>
      </c>
      <c r="F92" s="16" t="s">
        <v>287</v>
      </c>
      <c r="G92">
        <v>3</v>
      </c>
      <c r="H92">
        <v>2</v>
      </c>
      <c r="J92">
        <v>65.38</v>
      </c>
      <c r="K92" s="13">
        <v>94.974000000000004</v>
      </c>
      <c r="M92" s="1">
        <v>8.9999999999999998E-33</v>
      </c>
      <c r="N92">
        <v>0.99704800000000005</v>
      </c>
      <c r="O92" s="3"/>
    </row>
    <row r="93" spans="1:15" x14ac:dyDescent="0.2">
      <c r="A93" t="s">
        <v>209</v>
      </c>
      <c r="B93" t="s">
        <v>183</v>
      </c>
      <c r="C93" t="s">
        <v>4</v>
      </c>
      <c r="D93" t="s">
        <v>198</v>
      </c>
      <c r="E93" t="s">
        <v>223</v>
      </c>
      <c r="F93" t="s">
        <v>286</v>
      </c>
      <c r="G93">
        <v>1</v>
      </c>
      <c r="H93">
        <v>1</v>
      </c>
      <c r="I93" t="n">
        <f>65+32+3*16</f>
        <v>145.0</v>
      </c>
      <c r="J93">
        <v>65.38</v>
      </c>
      <c r="K93">
        <v>80</v>
      </c>
      <c r="L93">
        <v>0.17899999999999999</v>
      </c>
      <c r="N93">
        <v>0.99704800000000005</v>
      </c>
      <c r="O93" s="3" t="s">
        <v>245</v>
      </c>
    </row>
    <row r="94" spans="1:15" x14ac:dyDescent="0.2">
      <c r="A94" t="s">
        <v>172</v>
      </c>
      <c r="B94" t="s">
        <v>208</v>
      </c>
      <c r="C94" t="s">
        <v>4</v>
      </c>
      <c r="D94" t="s">
        <v>109</v>
      </c>
      <c r="E94" t="s">
        <v>223</v>
      </c>
      <c r="F94" t="s">
        <v>285</v>
      </c>
      <c r="G94">
        <v>1</v>
      </c>
      <c r="H94">
        <v>1</v>
      </c>
      <c r="I94" t="n">
        <f>65+32+4*16</f>
        <v>161.0</v>
      </c>
      <c r="J94">
        <v>65.38</v>
      </c>
      <c r="K94">
        <v>96</v>
      </c>
      <c r="L94">
        <v>36.6</v>
      </c>
      <c r="N94">
        <v>0.99704800000000005</v>
      </c>
      <c r="O94" s="3" t="s">
        <v>245</v>
      </c>
    </row>
    <row r="95" spans="1:15" x14ac:dyDescent="0.2">
      <c r="A95" t="s">
        <v>58</v>
      </c>
      <c r="B95" t="s">
        <v>100</v>
      </c>
      <c r="C95" t="s">
        <v>4</v>
      </c>
      <c r="D95" t="s">
        <v>109</v>
      </c>
      <c r="E95" t="s">
        <v>223</v>
      </c>
      <c r="F95" t="s">
        <v>285</v>
      </c>
      <c r="G95">
        <v>1</v>
      </c>
      <c r="H95">
        <v>1</v>
      </c>
      <c r="J95">
        <v>65.38</v>
      </c>
      <c r="K95">
        <v>96</v>
      </c>
      <c r="N95">
        <v>0.99704800000000005</v>
      </c>
      <c r="O95" s="3"/>
    </row>
    <row r="96" spans="1:15" x14ac:dyDescent="0.2">
      <c r="A96" t="s">
        <v>173</v>
      </c>
      <c r="B96" t="s">
        <v>184</v>
      </c>
      <c r="C96" t="s">
        <v>4</v>
      </c>
      <c r="D96" t="s">
        <v>197</v>
      </c>
      <c r="E96" t="s">
        <v>223</v>
      </c>
      <c r="F96" t="s">
        <v>217</v>
      </c>
      <c r="G96">
        <v>1</v>
      </c>
      <c r="H96">
        <v>1</v>
      </c>
      <c r="I96" t="n">
        <f>65+32</f>
        <v>97.0</v>
      </c>
      <c r="J96">
        <v>65.38</v>
      </c>
      <c r="K96">
        <v>35.450000000000003</v>
      </c>
      <c r="M96" s="1">
        <v>0.03</v>
      </c>
      <c r="N96">
        <v>0.99704800000000005</v>
      </c>
      <c r="O96" s="3" t="s">
        <v>245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82C4-34B7-614A-9A4D-CB0D1D058578}">
  <dimension ref="A1"/>
  <sheetViews>
    <sheetView topLeftCell="A2" workbookViewId="0">
      <selection activeCell="A25" sqref="A25"/>
    </sheetView>
  </sheetViews>
  <sheetFormatPr baseColWidth="10" defaultColWidth="11" defaultRowHeight="16" x14ac:dyDescent="0.2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B40F-C36B-DB41-8427-36D674D8FD87}">
  <dimension ref="A1:I17"/>
  <sheetViews>
    <sheetView zoomScale="140" zoomScaleNormal="180" workbookViewId="0">
      <selection activeCell="H7" sqref="H7"/>
    </sheetView>
  </sheetViews>
  <sheetFormatPr baseColWidth="10" defaultColWidth="11" defaultRowHeight="16" x14ac:dyDescent="0.2"/>
  <cols>
    <col min="3" max="3" customWidth="true" width="9.0" collapsed="true"/>
    <col min="4" max="7" customWidth="true" width="9.33203125" collapsed="true"/>
    <col min="8" max="8" customWidth="true" width="16.33203125" collapsed="true"/>
  </cols>
  <sheetData>
    <row r="1" spans="1:9" x14ac:dyDescent="0.2">
      <c r="B1" s="20" t="s">
        <v>252</v>
      </c>
      <c r="C1" s="20"/>
      <c r="D1" s="20"/>
      <c r="E1" s="20" t="s">
        <v>253</v>
      </c>
      <c r="F1" s="20"/>
      <c r="G1" s="20" t="s">
        <v>256</v>
      </c>
      <c r="H1" s="20"/>
    </row>
    <row r="2" spans="1:9" x14ac:dyDescent="0.2">
      <c r="B2" s="4" t="s">
        <v>228</v>
      </c>
      <c r="C2" s="4" t="s">
        <v>224</v>
      </c>
      <c r="D2" s="4" t="s">
        <v>226</v>
      </c>
      <c r="E2" s="4" t="s">
        <v>224</v>
      </c>
      <c r="F2" s="4" t="s">
        <v>226</v>
      </c>
      <c r="G2" s="4" t="s">
        <v>255</v>
      </c>
      <c r="H2" s="4" t="s">
        <v>254</v>
      </c>
    </row>
    <row r="3" spans="1:9" x14ac:dyDescent="0.2">
      <c r="A3" s="4" t="s">
        <v>227</v>
      </c>
      <c r="B3" t="s">
        <v>229</v>
      </c>
      <c r="C3" s="2">
        <v>60</v>
      </c>
      <c r="D3" s="1">
        <f>C3/1000/14</f>
        <v>4.2857142857142859E-3</v>
      </c>
      <c r="E3">
        <v>150</v>
      </c>
      <c r="F3" s="1">
        <f>E3/1000/14</f>
        <v>1.0714285714285714E-2</v>
      </c>
      <c r="G3">
        <f>H3*1000*14</f>
        <v>53200</v>
      </c>
      <c r="H3" s="6">
        <v>3.8</v>
      </c>
    </row>
    <row r="4" spans="1:9" x14ac:dyDescent="0.2">
      <c r="A4" s="4" t="s">
        <v>225</v>
      </c>
      <c r="B4" t="s">
        <v>229</v>
      </c>
      <c r="C4" s="2">
        <v>5</v>
      </c>
      <c r="D4" s="1">
        <f>C4/1000/31</f>
        <v>1.6129032258064516E-4</v>
      </c>
      <c r="E4">
        <v>60</v>
      </c>
      <c r="F4" s="1">
        <f>E4/1000/31</f>
        <v>1.9354838709677419E-3</v>
      </c>
      <c r="G4">
        <f>H4*1000*31</f>
        <v>9.7650000000000005E-4</v>
      </c>
      <c r="H4" s="5">
        <v>3.1499999999999998E-8</v>
      </c>
      <c r="I4" t="s">
        <v>270</v>
      </c>
    </row>
    <row r="5" spans="1:9" x14ac:dyDescent="0.2">
      <c r="A5" s="4" t="s">
        <v>214</v>
      </c>
      <c r="B5" t="s">
        <v>229</v>
      </c>
      <c r="C5" s="2">
        <v>23</v>
      </c>
      <c r="D5" s="1">
        <f>C5/1000/39</f>
        <v>5.8974358974358979E-4</v>
      </c>
      <c r="E5">
        <v>200</v>
      </c>
      <c r="F5" s="1">
        <f>E5/1000/39</f>
        <v>5.1282051282051282E-3</v>
      </c>
      <c r="G5">
        <f>H5*1000*39</f>
        <v>54600</v>
      </c>
      <c r="H5" s="6">
        <f>0.7*2</f>
        <v>1.4</v>
      </c>
    </row>
    <row r="6" spans="1:9" x14ac:dyDescent="0.2">
      <c r="A6" s="4" t="s">
        <v>215</v>
      </c>
      <c r="B6" t="s">
        <v>230</v>
      </c>
      <c r="C6" s="2">
        <v>18</v>
      </c>
      <c r="D6" s="1">
        <f>C6/1000/24</f>
        <v>7.4999999999999991E-4</v>
      </c>
      <c r="E6">
        <v>50</v>
      </c>
      <c r="F6" s="1">
        <f>E6/1000/24</f>
        <v>2.0833333333333333E-3</v>
      </c>
      <c r="G6">
        <f>H6*1000*24</f>
        <v>0.67608000000000001</v>
      </c>
      <c r="H6" s="5">
        <f>0.00000939*3</f>
        <v>2.817E-5</v>
      </c>
      <c r="I6" t="s">
        <v>270</v>
      </c>
    </row>
    <row r="7" spans="1:9" x14ac:dyDescent="0.2">
      <c r="A7" s="4" t="s">
        <v>216</v>
      </c>
      <c r="B7" t="s">
        <v>230</v>
      </c>
      <c r="C7" s="2">
        <v>125</v>
      </c>
      <c r="D7" s="1">
        <f>C7/1000/40</f>
        <v>3.1250000000000002E-3</v>
      </c>
      <c r="E7">
        <v>210</v>
      </c>
      <c r="F7" s="1">
        <f>E7/1000/40</f>
        <v>5.2499999999999995E-3</v>
      </c>
      <c r="G7">
        <f>H7*1000*40</f>
        <v>2.052E-2</v>
      </c>
      <c r="H7" s="5">
        <v>5.13E-7</v>
      </c>
      <c r="I7" t="s">
        <v>270</v>
      </c>
    </row>
    <row r="8" spans="1:9" x14ac:dyDescent="0.2">
      <c r="A8" s="4" t="s">
        <v>217</v>
      </c>
      <c r="B8" t="s">
        <v>230</v>
      </c>
      <c r="C8" s="2">
        <v>65</v>
      </c>
      <c r="D8" s="1">
        <f>C8/1000/32</f>
        <v>2.0312500000000001E-3</v>
      </c>
      <c r="E8">
        <v>147</v>
      </c>
      <c r="F8" s="1">
        <f>E8/1000/32</f>
        <v>4.5937499999999997E-3</v>
      </c>
      <c r="G8">
        <f>H8*1000*32</f>
        <v>224</v>
      </c>
      <c r="H8" s="7">
        <v>7.0000000000000001E-3</v>
      </c>
    </row>
    <row r="9" spans="1:9" x14ac:dyDescent="0.2">
      <c r="A9" s="4" t="s">
        <v>218</v>
      </c>
      <c r="B9" t="s">
        <v>229</v>
      </c>
      <c r="C9" s="2">
        <v>7.0000000000000007E-2</v>
      </c>
      <c r="D9" s="1">
        <f>C9/1000/11</f>
        <v>6.3636363636363642E-6</v>
      </c>
      <c r="E9">
        <v>0.5</v>
      </c>
      <c r="F9" s="1">
        <f>E9/1000/11</f>
        <v>4.5454545454545459E-5</v>
      </c>
      <c r="G9">
        <f>H9*1000*11</f>
        <v>10450</v>
      </c>
      <c r="H9" s="6">
        <v>0.95</v>
      </c>
    </row>
    <row r="10" spans="1:9" x14ac:dyDescent="0.2">
      <c r="A10" s="4" t="s">
        <v>219</v>
      </c>
      <c r="B10" t="s">
        <v>230</v>
      </c>
      <c r="C10" s="2">
        <v>55</v>
      </c>
      <c r="D10" s="1">
        <f>C10/1000/23</f>
        <v>2.3913043478260869E-3</v>
      </c>
      <c r="F10" s="1"/>
    </row>
    <row r="11" spans="1:9" x14ac:dyDescent="0.2">
      <c r="A11" s="4" t="s">
        <v>220</v>
      </c>
      <c r="B11" t="s">
        <v>230</v>
      </c>
      <c r="C11" s="2">
        <v>0.05</v>
      </c>
      <c r="D11" s="1">
        <f>C11/1000/56</f>
        <v>8.9285714285714295E-7</v>
      </c>
      <c r="E11">
        <v>5.6</v>
      </c>
      <c r="F11" s="1">
        <f>E11/1000/56</f>
        <v>1E-4</v>
      </c>
      <c r="G11">
        <f>H11*1000*56</f>
        <v>1.7639999999999999E-3</v>
      </c>
      <c r="H11" s="5">
        <v>3.1499999999999998E-8</v>
      </c>
      <c r="I11" t="s">
        <v>233</v>
      </c>
    </row>
    <row r="12" spans="1:9" x14ac:dyDescent="0.2">
      <c r="A12" s="4" t="s">
        <v>221</v>
      </c>
      <c r="B12" t="s">
        <v>229</v>
      </c>
      <c r="C12" s="2">
        <v>2.8000000000000001E-2</v>
      </c>
      <c r="D12" s="1">
        <f>C12/1000/64</f>
        <v>4.3749999999999999E-7</v>
      </c>
      <c r="E12">
        <v>6.4000000000000001E-2</v>
      </c>
      <c r="F12" s="1">
        <f>E12/1000/64</f>
        <v>9.9999999999999995E-7</v>
      </c>
      <c r="G12">
        <f>H12*1000*64</f>
        <v>1.5999999999999999E-3</v>
      </c>
      <c r="H12" s="5">
        <v>2.4999999999999999E-8</v>
      </c>
      <c r="I12" t="s">
        <v>233</v>
      </c>
    </row>
    <row r="13" spans="1:9" x14ac:dyDescent="0.2">
      <c r="A13" s="4" t="s">
        <v>222</v>
      </c>
      <c r="B13" t="s">
        <v>230</v>
      </c>
      <c r="C13" s="2">
        <v>4.0000000000000001E-3</v>
      </c>
      <c r="D13" s="1">
        <f>C13/1000/55</f>
        <v>7.2727272727272726E-8</v>
      </c>
      <c r="E13">
        <v>0.55000000000000004</v>
      </c>
      <c r="F13" s="1">
        <f>E13/1000/55</f>
        <v>1.0000000000000001E-5</v>
      </c>
      <c r="G13">
        <f>H13*1000*55</f>
        <v>0.26014999999999999</v>
      </c>
      <c r="H13" s="7">
        <v>4.7299999999999996E-6</v>
      </c>
    </row>
    <row r="14" spans="1:9" x14ac:dyDescent="0.2">
      <c r="A14" s="4" t="s">
        <v>223</v>
      </c>
      <c r="B14" t="s">
        <v>229</v>
      </c>
      <c r="C14" s="2">
        <v>4.4999999999999998E-2</v>
      </c>
      <c r="D14" s="1">
        <f>C14/1000/65</f>
        <v>6.9230769230769221E-7</v>
      </c>
      <c r="E14">
        <v>6.5000000000000002E-2</v>
      </c>
      <c r="F14" s="1">
        <f>E14/1000/65</f>
        <v>1.0000000000000002E-6</v>
      </c>
      <c r="G14">
        <f>H14*1000*65</f>
        <v>0.12739999999999999</v>
      </c>
      <c r="H14" s="7">
        <v>1.9599999999999999E-6</v>
      </c>
    </row>
    <row r="16" spans="1:9" x14ac:dyDescent="0.2">
      <c r="A16" s="4" t="s">
        <v>231</v>
      </c>
      <c r="B16">
        <f>AVERAGE(7.86,7.9,8.09,7.67)</f>
        <v>7.8800000000000008</v>
      </c>
    </row>
    <row r="17" spans="1:8" x14ac:dyDescent="0.2">
      <c r="A17" s="4" t="s">
        <v>232</v>
      </c>
      <c r="D17" s="1">
        <v>7.5000000000000002E-7</v>
      </c>
      <c r="E17" s="1"/>
      <c r="F17" s="1"/>
      <c r="G17" s="1"/>
      <c r="H17" s="7">
        <v>3.9999999999999998E-6</v>
      </c>
    </row>
  </sheetData>
  <mergeCells count="3">
    <mergeCell ref="B1:D1"/>
    <mergeCell ref="E1:F1"/>
    <mergeCell ref="G1:H1"/>
  </mergeCells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7C42-3A4F-2D45-9418-2763AB19A5DB}">
  <dimension ref="A1:B24"/>
  <sheetViews>
    <sheetView workbookViewId="0">
      <selection sqref="A1:A24"/>
    </sheetView>
  </sheetViews>
  <sheetFormatPr baseColWidth="10" defaultColWidth="11" defaultRowHeight="16" x14ac:dyDescent="0.2"/>
  <sheetData>
    <row r="1" spans="1:2" x14ac:dyDescent="0.2">
      <c r="A1" s="4" t="s">
        <v>262</v>
      </c>
      <c r="B1" s="4" t="s">
        <v>261</v>
      </c>
    </row>
    <row r="2" spans="1:2" x14ac:dyDescent="0.2">
      <c r="A2" t="s">
        <v>227</v>
      </c>
      <c r="B2">
        <v>14.007</v>
      </c>
    </row>
    <row r="3" spans="1:2" x14ac:dyDescent="0.2">
      <c r="A3" t="s">
        <v>225</v>
      </c>
      <c r="B3">
        <v>30.974</v>
      </c>
    </row>
    <row r="4" spans="1:2" x14ac:dyDescent="0.2">
      <c r="A4" t="s">
        <v>214</v>
      </c>
      <c r="B4">
        <v>39.097999999999999</v>
      </c>
    </row>
    <row r="5" spans="1:2" x14ac:dyDescent="0.2">
      <c r="A5" t="s">
        <v>216</v>
      </c>
      <c r="B5">
        <v>40.078000000000003</v>
      </c>
    </row>
    <row r="6" spans="1:2" x14ac:dyDescent="0.2">
      <c r="A6" t="s">
        <v>215</v>
      </c>
      <c r="B6">
        <v>24.305</v>
      </c>
    </row>
    <row r="7" spans="1:2" x14ac:dyDescent="0.2">
      <c r="A7" t="s">
        <v>217</v>
      </c>
      <c r="B7">
        <v>32.06</v>
      </c>
    </row>
    <row r="8" spans="1:2" x14ac:dyDescent="0.2">
      <c r="A8" t="s">
        <v>220</v>
      </c>
      <c r="B8">
        <v>55.844999999999999</v>
      </c>
    </row>
    <row r="9" spans="1:2" x14ac:dyDescent="0.2">
      <c r="A9" t="s">
        <v>223</v>
      </c>
      <c r="B9">
        <v>65.38</v>
      </c>
    </row>
    <row r="10" spans="1:2" x14ac:dyDescent="0.2">
      <c r="A10" t="s">
        <v>221</v>
      </c>
      <c r="B10">
        <v>63.545999999999999</v>
      </c>
    </row>
    <row r="11" spans="1:2" x14ac:dyDescent="0.2">
      <c r="A11" t="s">
        <v>257</v>
      </c>
      <c r="B11">
        <v>95.962000000000003</v>
      </c>
    </row>
    <row r="12" spans="1:2" x14ac:dyDescent="0.2">
      <c r="A12" t="s">
        <v>258</v>
      </c>
      <c r="B12">
        <v>58.692999999999998</v>
      </c>
    </row>
    <row r="13" spans="1:2" x14ac:dyDescent="0.2">
      <c r="A13" t="s">
        <v>222</v>
      </c>
      <c r="B13">
        <v>54.938000000000002</v>
      </c>
    </row>
    <row r="14" spans="1:2" x14ac:dyDescent="0.2">
      <c r="A14" t="s">
        <v>218</v>
      </c>
      <c r="B14">
        <v>10.81</v>
      </c>
    </row>
    <row r="15" spans="1:2" x14ac:dyDescent="0.2">
      <c r="A15" t="s">
        <v>219</v>
      </c>
      <c r="B15">
        <v>22.99</v>
      </c>
    </row>
    <row r="16" spans="1:2" x14ac:dyDescent="0.2">
      <c r="A16" t="s">
        <v>259</v>
      </c>
      <c r="B16">
        <v>35.450000000000003</v>
      </c>
    </row>
    <row r="17" spans="1:2" x14ac:dyDescent="0.2">
      <c r="A17" t="s">
        <v>260</v>
      </c>
      <c r="B17">
        <v>26.981999999999999</v>
      </c>
    </row>
    <row r="18" spans="1:2" x14ac:dyDescent="0.2">
      <c r="A18" t="s">
        <v>263</v>
      </c>
      <c r="B18">
        <v>1.008</v>
      </c>
    </row>
    <row r="19" spans="1:2" x14ac:dyDescent="0.2">
      <c r="A19" t="s">
        <v>264</v>
      </c>
      <c r="B19">
        <v>6.94</v>
      </c>
    </row>
    <row r="20" spans="1:2" x14ac:dyDescent="0.2">
      <c r="A20" t="s">
        <v>265</v>
      </c>
      <c r="B20">
        <v>15.99</v>
      </c>
    </row>
    <row r="21" spans="1:2" x14ac:dyDescent="0.2">
      <c r="A21" t="s">
        <v>266</v>
      </c>
      <c r="B21">
        <v>51.996000000000002</v>
      </c>
    </row>
    <row r="22" spans="1:2" x14ac:dyDescent="0.2">
      <c r="A22" t="s">
        <v>267</v>
      </c>
      <c r="B22">
        <v>28.085000000000001</v>
      </c>
    </row>
    <row r="23" spans="1:2" x14ac:dyDescent="0.2">
      <c r="A23" t="s">
        <v>268</v>
      </c>
      <c r="B23">
        <v>18.998000000000001</v>
      </c>
    </row>
    <row r="24" spans="1:2" x14ac:dyDescent="0.2">
      <c r="A24" t="s">
        <v>269</v>
      </c>
      <c r="B24">
        <v>79.903999999999996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7CB1-E14A-164F-A5C9-AE5190900481}">
  <dimension ref="A1:B24"/>
  <sheetViews>
    <sheetView workbookViewId="0">
      <selection activeCell="B14" sqref="B14"/>
    </sheetView>
  </sheetViews>
  <sheetFormatPr baseColWidth="10" defaultColWidth="11" defaultRowHeight="16" x14ac:dyDescent="0.2"/>
  <sheetData>
    <row r="1" spans="1:2" x14ac:dyDescent="0.2">
      <c r="A1" s="4" t="s">
        <v>262</v>
      </c>
      <c r="B1" s="4" t="s">
        <v>271</v>
      </c>
    </row>
    <row r="2" spans="1:2" x14ac:dyDescent="0.2">
      <c r="A2" t="s">
        <v>227</v>
      </c>
      <c r="B2" t="s">
        <v>273</v>
      </c>
    </row>
    <row r="3" spans="1:2" x14ac:dyDescent="0.2">
      <c r="A3" t="s">
        <v>225</v>
      </c>
      <c r="B3" t="s">
        <v>274</v>
      </c>
    </row>
    <row r="4" spans="1:2" x14ac:dyDescent="0.2">
      <c r="A4" t="s">
        <v>214</v>
      </c>
      <c r="B4" t="s">
        <v>274</v>
      </c>
    </row>
    <row r="5" spans="1:2" x14ac:dyDescent="0.2">
      <c r="A5" t="s">
        <v>216</v>
      </c>
      <c r="B5" t="s">
        <v>274</v>
      </c>
    </row>
    <row r="6" spans="1:2" x14ac:dyDescent="0.2">
      <c r="A6" t="s">
        <v>215</v>
      </c>
      <c r="B6" t="s">
        <v>274</v>
      </c>
    </row>
    <row r="7" spans="1:2" x14ac:dyDescent="0.2">
      <c r="A7" t="s">
        <v>217</v>
      </c>
      <c r="B7" t="s">
        <v>274</v>
      </c>
    </row>
    <row r="8" spans="1:2" x14ac:dyDescent="0.2">
      <c r="A8" t="s">
        <v>220</v>
      </c>
      <c r="B8" t="s">
        <v>275</v>
      </c>
    </row>
    <row r="9" spans="1:2" x14ac:dyDescent="0.2">
      <c r="A9" t="s">
        <v>223</v>
      </c>
      <c r="B9" t="s">
        <v>275</v>
      </c>
    </row>
    <row r="10" spans="1:2" x14ac:dyDescent="0.2">
      <c r="A10" t="s">
        <v>221</v>
      </c>
      <c r="B10" t="s">
        <v>276</v>
      </c>
    </row>
    <row r="11" spans="1:2" x14ac:dyDescent="0.2">
      <c r="A11" t="s">
        <v>257</v>
      </c>
      <c r="B11" t="s">
        <v>276</v>
      </c>
    </row>
    <row r="12" spans="1:2" x14ac:dyDescent="0.2">
      <c r="A12" t="s">
        <v>258</v>
      </c>
      <c r="B12" t="s">
        <v>276</v>
      </c>
    </row>
    <row r="13" spans="1:2" x14ac:dyDescent="0.2">
      <c r="A13" t="s">
        <v>222</v>
      </c>
      <c r="B13" t="s">
        <v>275</v>
      </c>
    </row>
    <row r="14" spans="1:2" x14ac:dyDescent="0.2">
      <c r="A14" t="s">
        <v>218</v>
      </c>
      <c r="B14" t="s">
        <v>276</v>
      </c>
    </row>
    <row r="15" spans="1:2" x14ac:dyDescent="0.2">
      <c r="A15" t="s">
        <v>219</v>
      </c>
    </row>
    <row r="16" spans="1:2" x14ac:dyDescent="0.2">
      <c r="A16" t="s">
        <v>259</v>
      </c>
    </row>
    <row r="17" spans="1:2" x14ac:dyDescent="0.2">
      <c r="A17" t="s">
        <v>260</v>
      </c>
    </row>
    <row r="18" spans="1:2" x14ac:dyDescent="0.2">
      <c r="A18" t="s">
        <v>263</v>
      </c>
    </row>
    <row r="19" spans="1:2" x14ac:dyDescent="0.2">
      <c r="A19" t="s">
        <v>264</v>
      </c>
    </row>
    <row r="20" spans="1:2" x14ac:dyDescent="0.2">
      <c r="A20" t="s">
        <v>265</v>
      </c>
    </row>
    <row r="21" spans="1:2" x14ac:dyDescent="0.2">
      <c r="A21" t="s">
        <v>266</v>
      </c>
    </row>
    <row r="22" spans="1:2" x14ac:dyDescent="0.2">
      <c r="A22" t="s">
        <v>267</v>
      </c>
      <c r="B22" t="s">
        <v>272</v>
      </c>
    </row>
    <row r="23" spans="1:2" x14ac:dyDescent="0.2">
      <c r="A23" t="s">
        <v>268</v>
      </c>
    </row>
    <row r="24" spans="1:2" x14ac:dyDescent="0.2">
      <c r="A24" t="s">
        <v>269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8"/>
  <sheetViews>
    <sheetView workbookViewId="0">
      <selection activeCell="E54" sqref="E54"/>
    </sheetView>
  </sheetViews>
  <sheetFormatPr baseColWidth="10" defaultColWidth="8.83203125" defaultRowHeight="16" x14ac:dyDescent="0.2"/>
  <cols>
    <col min="1" max="1" customWidth="true" width="14.83203125" collapsed="true"/>
    <col min="3" max="3" customWidth="true" width="10.33203125" collapsed="true"/>
    <col min="4" max="4" customWidth="true" width="9.83203125" collapsed="true"/>
    <col min="6" max="6" customWidth="true" width="13.1640625" collapsed="true"/>
    <col min="7" max="7" customWidth="true" width="15.1640625" collapsed="true"/>
    <col min="8" max="8" customWidth="true" width="14.6640625" collapsed="true"/>
    <col min="9" max="9" customWidth="true" width="12.6640625" collapsed="true"/>
    <col min="10" max="10" customWidth="true" width="14.6640625" collapsed="true"/>
    <col min="11" max="11" customWidth="true" width="14.1640625" collapsed="true"/>
  </cols>
  <sheetData>
    <row r="1" spans="1:11" ht="17" x14ac:dyDescent="0.2">
      <c r="A1" s="624" t="s">
        <v>288</v>
      </c>
      <c r="B1" s="625" t="s">
        <v>289</v>
      </c>
      <c r="C1" s="626" t="s">
        <v>290</v>
      </c>
      <c r="D1" s="627" t="s">
        <v>291</v>
      </c>
      <c r="E1" s="628" t="s">
        <v>247</v>
      </c>
      <c r="F1" s="629" t="s">
        <v>292</v>
      </c>
      <c r="G1" s="630" t="s">
        <v>293</v>
      </c>
      <c r="H1" s="631" t="s">
        <v>294</v>
      </c>
      <c r="I1" s="632" t="s">
        <v>295</v>
      </c>
      <c r="J1" s="633" t="s">
        <v>296</v>
      </c>
      <c r="K1" s="634" t="s">
        <v>297</v>
      </c>
    </row>
    <row r="2" spans="1:11" ht="17" x14ac:dyDescent="0.2">
      <c r="A2" s="635" t="s">
        <v>195</v>
      </c>
      <c r="B2" s="692" t="n">
        <v>107.0</v>
      </c>
      <c r="C2" s="748" t="n">
        <v>56.0</v>
      </c>
      <c r="D2" s="805" t="n">
        <v>17.0</v>
      </c>
      <c r="E2" s="862" t="n">
        <v>2.79E-39</v>
      </c>
      <c r="F2" s="886" t="n">
        <v>1.0082311468433848E-10</v>
      </c>
      <c r="G2" s="943" t="n">
        <v>1.0082311468433848E-10</v>
      </c>
      <c r="H2" s="1000" t="n">
        <v>3.024693440530155E-10</v>
      </c>
      <c r="I2" s="1057" t="n">
        <v>1.078807327122422E-5</v>
      </c>
      <c r="J2" s="1113" t="n">
        <v>5.646094422322955E-6</v>
      </c>
      <c r="K2" s="1170" t="n">
        <v>5.141978848901263E-6</v>
      </c>
    </row>
    <row r="3" spans="1:11" ht="17" x14ac:dyDescent="0.2">
      <c r="A3" s="636" t="s">
        <v>178</v>
      </c>
      <c r="B3" s="693" t="n">
        <v>96.0</v>
      </c>
      <c r="C3" s="749" t="n">
        <v>63.546</v>
      </c>
      <c r="D3" s="806" t="n">
        <v>32.0</v>
      </c>
      <c r="E3" s="863" t="n">
        <v>6.0E-16</v>
      </c>
      <c r="F3" s="887" t="n">
        <v>2.449489742783178E-8</v>
      </c>
      <c r="G3" s="944" t="n">
        <v>2.449489742783178E-8</v>
      </c>
      <c r="H3" s="1001" t="n">
        <v>2.449489742783178E-8</v>
      </c>
      <c r="I3" s="1058" t="n">
        <v>0.002351510153071851</v>
      </c>
      <c r="J3" s="1114" t="n">
        <v>0.0015565527519489984</v>
      </c>
      <c r="K3" s="1171" t="n">
        <v>7.83836717690617E-4</v>
      </c>
    </row>
    <row r="4" spans="1:11" ht="17" x14ac:dyDescent="0.2">
      <c r="A4" s="637" t="s">
        <v>213</v>
      </c>
      <c r="B4" s="694" t="n">
        <v>187.0</v>
      </c>
      <c r="C4" s="750" t="n">
        <v>56.0</v>
      </c>
      <c r="D4" s="807" t="n">
        <v>94.974</v>
      </c>
      <c r="E4" s="864" t="n">
        <v>9.91E-16</v>
      </c>
      <c r="F4" s="888" t="n">
        <v>3.1480152477394383E-8</v>
      </c>
      <c r="G4" s="945" t="n">
        <v>3.1480152477394383E-8</v>
      </c>
      <c r="H4" s="1002" t="n">
        <v>3.1480152477394383E-8</v>
      </c>
      <c r="I4" s="1059" t="n">
        <v>0.00588678851327275</v>
      </c>
      <c r="J4" s="1115" t="n">
        <v>0.0017628885387340856</v>
      </c>
      <c r="K4" s="1172" t="n">
        <v>0.002989796001388054</v>
      </c>
    </row>
    <row r="5" spans="1:11" ht="17" x14ac:dyDescent="0.2">
      <c r="A5" s="638" t="s">
        <v>176</v>
      </c>
      <c r="B5" s="695" t="n">
        <v>382.0</v>
      </c>
      <c r="C5" s="751" t="n">
        <v>63.546</v>
      </c>
      <c r="D5" s="808" t="n">
        <v>94.974</v>
      </c>
      <c r="E5" s="865" t="n">
        <v>1.4E-37</v>
      </c>
      <c r="F5" s="889" t="n">
        <v>1.669324840732008E-8</v>
      </c>
      <c r="G5" s="946" t="n">
        <v>5.007974522196024E-8</v>
      </c>
      <c r="H5" s="1003" t="n">
        <v>3.338649681464016E-8</v>
      </c>
      <c r="I5" s="1060" t="n">
        <v>0.006376820891596271</v>
      </c>
      <c r="J5" s="1116" t="n">
        <v>0.0031823674898746857</v>
      </c>
      <c r="K5" s="1173" t="n">
        <v>0.0031708491484736348</v>
      </c>
    </row>
    <row r="6" spans="1:11" ht="17" x14ac:dyDescent="0.2">
      <c r="A6" s="639" t="s">
        <v>98</v>
      </c>
      <c r="B6" s="19"/>
      <c r="C6" s="752" t="n">
        <v>65.38</v>
      </c>
      <c r="D6" s="809" t="n">
        <v>94.974</v>
      </c>
      <c r="E6" s="866" t="n">
        <v>9.0E-33</v>
      </c>
      <c r="F6" s="890" t="n">
        <v>1.5281421358157974E-7</v>
      </c>
      <c r="G6" s="947" t="n">
        <v>4.5844264074473923E-7</v>
      </c>
      <c r="H6" s="1004" t="n">
        <v>3.056284271631595E-7</v>
      </c>
      <c r="I6" s="19"/>
      <c r="J6" s="1117" t="n">
        <v>0.029972979851891048</v>
      </c>
      <c r="K6" s="1174" t="n">
        <v>0.02902675424139391</v>
      </c>
    </row>
    <row r="7" spans="1:11" ht="34" x14ac:dyDescent="0.2">
      <c r="A7" s="640" t="s">
        <v>161</v>
      </c>
      <c r="B7" s="696" t="n">
        <v>367.0</v>
      </c>
      <c r="C7" s="753" t="n">
        <v>59.0</v>
      </c>
      <c r="D7" s="810" t="n">
        <v>94.974</v>
      </c>
      <c r="E7" s="867" t="n">
        <v>4.74E-32</v>
      </c>
      <c r="F7" s="891" t="n">
        <v>2.1304478961813867E-7</v>
      </c>
      <c r="G7" s="948" t="n">
        <v>6.39134368854416E-7</v>
      </c>
      <c r="H7" s="1005" t="n">
        <v>4.2608957923627733E-7</v>
      </c>
      <c r="I7" s="1061" t="n">
        <v>0.07818743778985689</v>
      </c>
      <c r="J7" s="1118" t="n">
        <v>0.03770892776241054</v>
      </c>
      <c r="K7" s="1175" t="n">
        <v>0.0404674316983862</v>
      </c>
    </row>
    <row r="8" spans="1:11" ht="17" x14ac:dyDescent="0.2">
      <c r="A8" s="641" t="s">
        <v>185</v>
      </c>
      <c r="B8" s="697" t="n">
        <v>99.0</v>
      </c>
      <c r="C8" s="754" t="n">
        <v>65.38</v>
      </c>
      <c r="D8" s="811" t="n">
        <v>17.0</v>
      </c>
      <c r="E8" s="868" t="n">
        <v>3.0E-17</v>
      </c>
      <c r="F8" s="892" t="n">
        <v>1.957433820584433E-6</v>
      </c>
      <c r="G8" s="949" t="n">
        <v>1.957433820584433E-6</v>
      </c>
      <c r="H8" s="1006" t="n">
        <v>3.914867641168866E-6</v>
      </c>
      <c r="I8" s="1062" t="n">
        <v>0.19378594823785888</v>
      </c>
      <c r="J8" s="1119" t="n">
        <v>0.12797702318981025</v>
      </c>
      <c r="K8" s="1176" t="n">
        <v>0.06655274989987073</v>
      </c>
    </row>
    <row r="9" spans="1:11" ht="17" x14ac:dyDescent="0.2">
      <c r="A9" s="642" t="s">
        <v>73</v>
      </c>
      <c r="B9" s="698" t="n">
        <v>90.0</v>
      </c>
      <c r="C9" s="755" t="n">
        <v>56.0</v>
      </c>
      <c r="D9" s="812" t="n">
        <v>17.0</v>
      </c>
      <c r="E9" s="869" t="n">
        <v>4.87E-17</v>
      </c>
      <c r="F9" s="893" t="n">
        <v>2.3005039853348213E-6</v>
      </c>
      <c r="G9" s="950" t="n">
        <v>2.3005039853348213E-6</v>
      </c>
      <c r="H9" s="1007" t="n">
        <v>4.601007970669643E-6</v>
      </c>
      <c r="I9" s="1063" t="n">
        <v>0.20704535868013393</v>
      </c>
      <c r="J9" s="1120" t="n">
        <v>0.12882822317875</v>
      </c>
      <c r="K9" s="1177" t="n">
        <v>0.07821713550138393</v>
      </c>
    </row>
    <row r="10" spans="1:11" ht="17" x14ac:dyDescent="0.2">
      <c r="A10" s="643" t="s">
        <v>141</v>
      </c>
      <c r="B10" s="699" t="n">
        <v>115.0</v>
      </c>
      <c r="C10" s="756" t="n">
        <v>55.0</v>
      </c>
      <c r="D10" s="813" t="n">
        <v>60.0</v>
      </c>
      <c r="E10" s="870" t="n">
        <v>2.24E-11</v>
      </c>
      <c r="F10" s="894" t="n">
        <v>4.732863826479693E-6</v>
      </c>
      <c r="G10" s="951" t="n">
        <v>4.732863826479693E-6</v>
      </c>
      <c r="H10" s="1008" t="n">
        <v>4.732863826479693E-6</v>
      </c>
      <c r="I10" s="1064" t="n">
        <v>0.5442793400451648</v>
      </c>
      <c r="J10" s="1121" t="n">
        <v>0.2603075104563832</v>
      </c>
      <c r="K10" s="1178" t="n">
        <v>0.28397182958878164</v>
      </c>
    </row>
    <row r="11" spans="1:11" ht="17" x14ac:dyDescent="0.2">
      <c r="A11" s="644" t="s">
        <v>211</v>
      </c>
      <c r="B11" s="700" t="n">
        <v>310.0</v>
      </c>
      <c r="C11" s="757" t="n">
        <v>40.0</v>
      </c>
      <c r="D11" s="814" t="n">
        <v>94.974</v>
      </c>
      <c r="E11" s="871" t="n">
        <v>1.0E-26</v>
      </c>
      <c r="F11" s="895" t="n">
        <v>2.473518989836763E-6</v>
      </c>
      <c r="G11" s="952" t="n">
        <v>7.420556969510289E-6</v>
      </c>
      <c r="H11" s="1009" t="n">
        <v>4.947037979673526E-6</v>
      </c>
      <c r="I11" s="1065" t="n">
        <v>0.7667908868493964</v>
      </c>
      <c r="J11" s="1122" t="n">
        <v>0.29682227878041156</v>
      </c>
      <c r="K11" s="1179" t="n">
        <v>0.4698399850815135</v>
      </c>
    </row>
    <row r="12" spans="1:11" ht="17" x14ac:dyDescent="0.2">
      <c r="A12" s="645" t="s">
        <v>165</v>
      </c>
      <c r="B12" s="701" t="n">
        <v>93.0</v>
      </c>
      <c r="C12" s="758" t="n">
        <v>59.0</v>
      </c>
      <c r="D12" s="815" t="n">
        <v>17.0</v>
      </c>
      <c r="E12" s="872" t="n">
        <v>5.48E-16</v>
      </c>
      <c r="F12" s="896" t="n">
        <v>5.155136735475776E-6</v>
      </c>
      <c r="G12" s="953" t="n">
        <v>5.155136735475776E-6</v>
      </c>
      <c r="H12" s="1010" t="n">
        <v>1.0310273470951552E-5</v>
      </c>
      <c r="I12" s="1066" t="n">
        <v>0.47942771639924714</v>
      </c>
      <c r="J12" s="1123" t="n">
        <v>0.30415306739307074</v>
      </c>
      <c r="K12" s="1180" t="n">
        <v>0.1752746490061764</v>
      </c>
    </row>
    <row r="13" spans="1:11" ht="17" x14ac:dyDescent="0.2">
      <c r="A13" s="646" t="s">
        <v>149</v>
      </c>
      <c r="B13" s="702" t="n">
        <v>116.0</v>
      </c>
      <c r="C13" s="759" t="n">
        <v>56.0</v>
      </c>
      <c r="D13" s="816" t="n">
        <v>60.0</v>
      </c>
      <c r="E13" s="873" t="n">
        <v>3.13E-11</v>
      </c>
      <c r="F13" s="897" t="n">
        <v>5.594640292279746E-6</v>
      </c>
      <c r="G13" s="954" t="n">
        <v>5.594640292279746E-6</v>
      </c>
      <c r="H13" s="1011" t="n">
        <v>5.594640292279746E-6</v>
      </c>
      <c r="I13" s="1067" t="n">
        <v>0.6489782739044506</v>
      </c>
      <c r="J13" s="1124" t="n">
        <v>0.3132998563676658</v>
      </c>
      <c r="K13" s="1181" t="n">
        <v>0.3356784175367848</v>
      </c>
    </row>
    <row r="14" spans="1:11" ht="17" x14ac:dyDescent="0.2">
      <c r="A14" s="647" t="s">
        <v>76</v>
      </c>
      <c r="B14" s="703" t="n">
        <v>262.0</v>
      </c>
      <c r="C14" s="760" t="n">
        <v>24.3</v>
      </c>
      <c r="D14" s="817" t="n">
        <v>94.974</v>
      </c>
      <c r="E14" s="874" t="n">
        <v>1.04E-24</v>
      </c>
      <c r="F14" s="898" t="n">
        <v>6.262127657772267E-6</v>
      </c>
      <c r="G14" s="955" t="n">
        <v>1.87863829733168E-5</v>
      </c>
      <c r="H14" s="1012" t="n">
        <v>1.2524255315544533E-5</v>
      </c>
      <c r="I14" s="1068" t="n">
        <v>1.6406774463363338</v>
      </c>
      <c r="J14" s="1125" t="n">
        <v>0.45650910625159824</v>
      </c>
      <c r="K14" s="1182" t="n">
        <v>1.1894786243385265</v>
      </c>
    </row>
    <row r="15" spans="1:11" ht="17" x14ac:dyDescent="0.2">
      <c r="A15" s="648" t="s">
        <v>95</v>
      </c>
      <c r="B15" s="704" t="n">
        <v>125.0</v>
      </c>
      <c r="C15" s="761" t="n">
        <v>65.38</v>
      </c>
      <c r="D15" s="818" t="n">
        <v>60.0</v>
      </c>
      <c r="E15" s="875" t="n">
        <v>1.46E-10</v>
      </c>
      <c r="F15" s="899" t="n">
        <v>1.2083045973594573E-5</v>
      </c>
      <c r="G15" s="956" t="n">
        <v>1.2083045973594573E-5</v>
      </c>
      <c r="H15" s="1013" t="n">
        <v>1.2083045973594573E-5</v>
      </c>
      <c r="I15" s="1069" t="n">
        <v>1.5103807466993218</v>
      </c>
      <c r="J15" s="1126" t="n">
        <v>0.7899895457536131</v>
      </c>
      <c r="K15" s="1183" t="n">
        <v>0.7249827584156743</v>
      </c>
    </row>
    <row r="16" spans="1:11" ht="17" x14ac:dyDescent="0.2">
      <c r="A16" s="649" t="s">
        <v>11</v>
      </c>
      <c r="B16" s="705" t="n">
        <v>100.0</v>
      </c>
      <c r="C16" s="762" t="n">
        <v>40.0</v>
      </c>
      <c r="D16" s="819" t="n">
        <v>60.0</v>
      </c>
      <c r="E16" s="876" t="n">
        <v>3.36E-9</v>
      </c>
      <c r="F16" s="900" t="n">
        <v>5.7965506984757756E-5</v>
      </c>
      <c r="G16" s="957" t="n">
        <v>5.7965506984757756E-5</v>
      </c>
      <c r="H16" s="1014" t="n">
        <v>5.7965506984757756E-5</v>
      </c>
      <c r="I16" s="1070" t="n">
        <v>5.796550698475776</v>
      </c>
      <c r="J16" s="1127" t="n">
        <v>2.31862027939031</v>
      </c>
      <c r="K16" s="1184" t="n">
        <v>3.477930419085465</v>
      </c>
    </row>
    <row r="17" spans="1:11" ht="17" x14ac:dyDescent="0.2">
      <c r="A17" s="650" t="s">
        <v>131</v>
      </c>
      <c r="B17" s="706" t="n">
        <v>58.0</v>
      </c>
      <c r="C17" s="763" t="n">
        <v>24.3</v>
      </c>
      <c r="D17" s="820" t="n">
        <v>17.0</v>
      </c>
      <c r="E17" s="877" t="n">
        <v>5.61E-12</v>
      </c>
      <c r="F17" s="901" t="n">
        <v>1.1193544323883155E-4</v>
      </c>
      <c r="G17" s="958" t="n">
        <v>1.1193544323883155E-4</v>
      </c>
      <c r="H17" s="1015" t="n">
        <v>2.238708864776631E-4</v>
      </c>
      <c r="I17" s="1071" t="n">
        <v>6.492255707852229</v>
      </c>
      <c r="J17" s="1128" t="n">
        <v>2.7200312707036067</v>
      </c>
      <c r="K17" s="1185" t="n">
        <v>3.8058050701202726</v>
      </c>
    </row>
    <row r="18" spans="1:11" ht="17" x14ac:dyDescent="0.2">
      <c r="A18" s="651" t="s">
        <v>163</v>
      </c>
      <c r="B18" s="707" t="n">
        <v>119.0</v>
      </c>
      <c r="C18" s="764" t="n">
        <v>59.0</v>
      </c>
      <c r="D18" s="821" t="n">
        <v>60.0</v>
      </c>
      <c r="E18" s="878" t="n">
        <v>1.42E-7</v>
      </c>
      <c r="F18" s="902" t="n">
        <v>3.768288736283354E-4</v>
      </c>
      <c r="G18" s="959" t="n">
        <v>3.768288736283354E-4</v>
      </c>
      <c r="H18" s="1016" t="n">
        <v>3.768288736283354E-4</v>
      </c>
      <c r="I18" s="1072" t="n">
        <v>44.84263596177192</v>
      </c>
      <c r="J18" s="1129" t="n">
        <v>22.23290354407179</v>
      </c>
      <c r="K18" s="1186" t="n">
        <v>22.609732417700126</v>
      </c>
    </row>
    <row r="19" spans="1:11" ht="17" x14ac:dyDescent="0.2">
      <c r="A19" s="652" t="s">
        <v>12</v>
      </c>
      <c r="B19" s="708" t="n">
        <v>84.0</v>
      </c>
      <c r="C19" s="765" t="n">
        <v>24.3</v>
      </c>
      <c r="D19" s="822" t="n">
        <v>60.0</v>
      </c>
      <c r="E19" s="879" t="n">
        <v>6.82E-6</v>
      </c>
      <c r="F19" s="903" t="n">
        <v>0.002611512971440119</v>
      </c>
      <c r="G19" s="960" t="n">
        <v>0.002611512971440119</v>
      </c>
      <c r="H19" s="1017" t="n">
        <v>0.002611512971440119</v>
      </c>
      <c r="I19" s="1073" t="n">
        <v>219.36708960097002</v>
      </c>
      <c r="J19" s="1130" t="n">
        <v>63.459765205994906</v>
      </c>
      <c r="K19" s="1187" t="n">
        <v>156.69077828640715</v>
      </c>
    </row>
    <row r="20" spans="1:11" ht="17" x14ac:dyDescent="0.2">
      <c r="A20" s="653" t="s">
        <v>70</v>
      </c>
      <c r="B20" s="709" t="n">
        <v>172.0</v>
      </c>
      <c r="C20" s="766" t="n">
        <v>40.0</v>
      </c>
      <c r="D20" s="823" t="n">
        <v>96.0</v>
      </c>
      <c r="E20" s="880" t="n">
        <v>3.14E-5</v>
      </c>
      <c r="F20" s="904" t="n">
        <v>0.00560357029044876</v>
      </c>
      <c r="G20" s="961" t="n">
        <v>0.00560357029044876</v>
      </c>
      <c r="H20" s="1018" t="n">
        <v>0.00560357029044876</v>
      </c>
      <c r="I20" s="1074" t="n">
        <v>963.8140899571868</v>
      </c>
      <c r="J20" s="1131" t="n">
        <v>224.1428116179504</v>
      </c>
      <c r="K20" s="1188" t="n">
        <v>537.942747883081</v>
      </c>
    </row>
    <row r="21" spans="1:11" ht="17" x14ac:dyDescent="0.2">
      <c r="A21" s="654" t="s">
        <v>69</v>
      </c>
      <c r="B21" s="710" t="n">
        <v>136.0</v>
      </c>
      <c r="C21" s="767" t="n">
        <v>40.0</v>
      </c>
      <c r="D21" s="824" t="n">
        <v>96.0</v>
      </c>
      <c r="E21" s="881" t="n">
        <v>4.93E-5</v>
      </c>
      <c r="F21" s="905" t="n">
        <v>0.007021395872616783</v>
      </c>
      <c r="G21" s="962" t="n">
        <v>0.007021395872616783</v>
      </c>
      <c r="H21" s="1019" t="n">
        <v>0.007021395872616783</v>
      </c>
      <c r="I21" s="1075" t="n">
        <v>954.9098386758825</v>
      </c>
      <c r="J21" s="1132" t="n">
        <v>280.8558349046713</v>
      </c>
      <c r="K21" s="1189" t="n">
        <v>674.0540037712111</v>
      </c>
    </row>
    <row r="22" spans="1:11" ht="17" x14ac:dyDescent="0.2">
      <c r="A22" s="655" t="s">
        <v>65</v>
      </c>
      <c r="B22" s="711" t="n">
        <v>74.0</v>
      </c>
      <c r="C22" s="768" t="n">
        <v>40.0</v>
      </c>
      <c r="D22" s="825" t="n">
        <v>17.0</v>
      </c>
      <c r="E22" s="882" t="n">
        <v>5.02E-6</v>
      </c>
      <c r="F22" s="906" t="n">
        <v>0.01078651724000597</v>
      </c>
      <c r="G22" s="963" t="n">
        <v>0.01078651724000597</v>
      </c>
      <c r="H22" s="1020" t="n">
        <v>0.02157303448001194</v>
      </c>
      <c r="I22" s="1076" t="n">
        <v>798.2022757604418</v>
      </c>
      <c r="J22" s="1133" t="n">
        <v>431.4606896002388</v>
      </c>
      <c r="K22" s="1190" t="n">
        <v>366.74158616020304</v>
      </c>
    </row>
    <row r="23" spans="1:11" ht="17" x14ac:dyDescent="0.2">
      <c r="A23" s="656" t="s">
        <v>183</v>
      </c>
      <c r="B23" s="712" t="n">
        <v>145.0</v>
      </c>
      <c r="C23" s="769" t="n">
        <v>65.38</v>
      </c>
      <c r="D23" s="826" t="n">
        <v>80.0</v>
      </c>
      <c r="E23" s="19"/>
      <c r="F23" s="907" t="n">
        <v>0.012330457173513002</v>
      </c>
      <c r="G23" s="964" t="n">
        <v>0.012330457173513002</v>
      </c>
      <c r="H23" s="1021" t="n">
        <v>0.012330457173513002</v>
      </c>
      <c r="I23" s="1077" t="n">
        <v>1787.9162901593852</v>
      </c>
      <c r="J23" s="1134" t="n">
        <v>806.1652900042801</v>
      </c>
      <c r="K23" s="1191" t="n">
        <v>986.4365738810401</v>
      </c>
    </row>
    <row r="24" spans="1:11" ht="17" x14ac:dyDescent="0.2">
      <c r="A24" s="657" t="s">
        <v>111</v>
      </c>
      <c r="B24" s="713" t="n">
        <v>62.0</v>
      </c>
      <c r="C24" s="770" t="n">
        <v>10.81</v>
      </c>
      <c r="D24" s="827" t="n">
        <v>17.0</v>
      </c>
      <c r="E24"/>
      <c r="F24" s="908" t="n">
        <v>0.9323548250583594</v>
      </c>
      <c r="G24" s="965" t="n">
        <v>0.9323548250583594</v>
      </c>
      <c r="H24" s="1022" t="n">
        <v>2.797064475175078</v>
      </c>
      <c r="I24" s="1078" t="n">
        <v>57805.999153618286</v>
      </c>
      <c r="J24" s="1135" t="n">
        <v>10078.755658880866</v>
      </c>
      <c r="K24" s="1192" t="n">
        <v>47550.096077976326</v>
      </c>
    </row>
    <row r="25" spans="1:11" ht="17" x14ac:dyDescent="0.2">
      <c r="A25" s="658" t="s">
        <v>184</v>
      </c>
      <c r="B25" s="714" t="n">
        <v>97.0</v>
      </c>
      <c r="C25" s="771" t="n">
        <v>65.38</v>
      </c>
      <c r="D25" s="828" t="n">
        <v>35.45</v>
      </c>
      <c r="E25" s="883" t="n">
        <v>0.03</v>
      </c>
      <c r="F25" s="909" t="n">
        <v>0.17320508075688773</v>
      </c>
      <c r="G25" s="966" t="n">
        <v>0.17320508075688773</v>
      </c>
      <c r="H25" s="1023" t="n">
        <v>0.17320508075688773</v>
      </c>
      <c r="I25" s="1079" t="n">
        <v>16800.89283341811</v>
      </c>
      <c r="J25" s="1136" t="n">
        <v>11324.148179885318</v>
      </c>
      <c r="K25" s="1193" t="n">
        <v>6140.120112831671</v>
      </c>
    </row>
    <row r="26" spans="1:11" ht="17" x14ac:dyDescent="0.2">
      <c r="A26" s="659" t="s">
        <v>94</v>
      </c>
      <c r="B26" s="715" t="n">
        <v>174.0</v>
      </c>
      <c r="C26" s="772" t="n">
        <v>39.0</v>
      </c>
      <c r="D26" s="829" t="n">
        <v>96.0</v>
      </c>
      <c r="E26"/>
      <c r="F26" s="910" t="n">
        <v>0.6865926297769369</v>
      </c>
      <c r="G26" s="967" t="n">
        <v>1.3731852595538738</v>
      </c>
      <c r="H26" s="1024" t="n">
        <v>0.6865926297769369</v>
      </c>
      <c r="I26" s="1080" t="n">
        <v>119467.11758118702</v>
      </c>
      <c r="J26" s="1137" t="n">
        <v>53554.225122601085</v>
      </c>
      <c r="K26" s="1194" t="n">
        <v>65912.89245858595</v>
      </c>
    </row>
    <row r="27" spans="1:11" ht="17" x14ac:dyDescent="0.2">
      <c r="A27" s="660" t="s">
        <v>117</v>
      </c>
      <c r="B27" s="716" t="n">
        <v>115.0</v>
      </c>
      <c r="C27" s="773" t="n">
        <v>18.0</v>
      </c>
      <c r="D27" s="830" t="n">
        <v>96.974</v>
      </c>
      <c r="E27"/>
      <c r="F27" s="911" t="n">
        <v>3.5069592574499273</v>
      </c>
      <c r="G27" s="968" t="n">
        <v>3.5069592574499273</v>
      </c>
      <c r="H27" s="1025" t="n">
        <v>3.5069592574499273</v>
      </c>
      <c r="I27" s="1081" t="n">
        <v>403300.31460674165</v>
      </c>
      <c r="J27" s="1138" t="n">
        <v>63125.26663409869</v>
      </c>
      <c r="K27" s="1195" t="n">
        <v>340083.8670319492</v>
      </c>
    </row>
    <row r="28" spans="1:11" ht="17" x14ac:dyDescent="0.2">
      <c r="A28" s="661" t="s">
        <v>92</v>
      </c>
      <c r="B28" s="717" t="n">
        <v>136.0</v>
      </c>
      <c r="C28" s="774" t="n">
        <v>39.0</v>
      </c>
      <c r="D28" s="831" t="n">
        <v>96.974</v>
      </c>
      <c r="E28"/>
      <c r="F28" s="912" t="n">
        <v>1.8293735951959194</v>
      </c>
      <c r="G28" s="969" t="n">
        <v>1.8293735951959194</v>
      </c>
      <c r="H28" s="1026" t="n">
        <v>1.8293735951959194</v>
      </c>
      <c r="I28" s="1082" t="n">
        <v>248794.808946645</v>
      </c>
      <c r="J28" s="1139" t="n">
        <v>71345.57021264086</v>
      </c>
      <c r="K28" s="1196" t="n">
        <v>177401.6750205291</v>
      </c>
    </row>
    <row r="29" spans="1:11" ht="17" x14ac:dyDescent="0.2">
      <c r="A29" s="662" t="s">
        <v>202</v>
      </c>
      <c r="B29" s="718" t="n">
        <v>120.0</v>
      </c>
      <c r="C29" s="775" t="n">
        <v>24.3</v>
      </c>
      <c r="D29" s="832" t="n">
        <v>96.0</v>
      </c>
      <c r="E29"/>
      <c r="F29" s="913" t="n">
        <v>2.9649889642695624</v>
      </c>
      <c r="G29" s="970" t="n">
        <v>2.9649889642695624</v>
      </c>
      <c r="H29" s="1027" t="n">
        <v>2.9649889642695624</v>
      </c>
      <c r="I29" s="1083" t="n">
        <v>355798.67571234744</v>
      </c>
      <c r="J29" s="1140" t="n">
        <v>72049.23183175037</v>
      </c>
      <c r="K29" s="1197" t="n">
        <v>284638.940569878</v>
      </c>
    </row>
    <row r="30" spans="1:11" ht="17" x14ac:dyDescent="0.2">
      <c r="A30" s="663" t="s">
        <v>206</v>
      </c>
      <c r="B30" s="719" t="n">
        <v>160.0</v>
      </c>
      <c r="C30" s="776" t="n">
        <v>63.546</v>
      </c>
      <c r="D30" s="833" t="n">
        <v>96.0</v>
      </c>
      <c r="E30"/>
      <c r="F30" s="914" t="n">
        <v>1.3679012195121951</v>
      </c>
      <c r="G30" s="971" t="n">
        <v>1.3679012195121951</v>
      </c>
      <c r="H30" s="1028" t="n">
        <v>1.3679012195121951</v>
      </c>
      <c r="I30" s="1084" t="n">
        <v>218864.1951219512</v>
      </c>
      <c r="J30" s="1141" t="n">
        <v>86924.65089512196</v>
      </c>
      <c r="K30" s="1198" t="n">
        <v>131318.51707317075</v>
      </c>
    </row>
    <row r="31" spans="1:11" ht="17" x14ac:dyDescent="0.2">
      <c r="A31" s="664" t="s">
        <v>200</v>
      </c>
      <c r="B31" s="720" t="n">
        <v>152.0</v>
      </c>
      <c r="C31" s="777" t="n">
        <v>56.0</v>
      </c>
      <c r="D31" s="834" t="n">
        <v>96.0</v>
      </c>
      <c r="E31"/>
      <c r="F31" s="915" t="n">
        <v>1.9372694300518138</v>
      </c>
      <c r="G31" s="972" t="n">
        <v>1.9372694300518138</v>
      </c>
      <c r="H31" s="1029" t="n">
        <v>1.9372694300518138</v>
      </c>
      <c r="I31" s="1085" t="n">
        <v>294464.9533678757</v>
      </c>
      <c r="J31" s="1142" t="n">
        <v>108487.08808290158</v>
      </c>
      <c r="K31" s="1199" t="n">
        <v>185977.86528497413</v>
      </c>
    </row>
    <row r="32" spans="1:11" ht="17" x14ac:dyDescent="0.2">
      <c r="A32" s="665" t="s">
        <v>128</v>
      </c>
      <c r="B32" s="721" t="n">
        <v>148.0</v>
      </c>
      <c r="C32" s="778" t="n">
        <v>24.3</v>
      </c>
      <c r="D32" s="835" t="n">
        <v>62.0</v>
      </c>
      <c r="E32"/>
      <c r="F32" s="916" t="n">
        <v>4.798824139207702</v>
      </c>
      <c r="G32" s="973" t="n">
        <v>4.798824139207702</v>
      </c>
      <c r="H32" s="1030" t="n">
        <v>9.597648278415404</v>
      </c>
      <c r="I32" s="1086" t="n">
        <v>710225.9726027399</v>
      </c>
      <c r="J32" s="1143" t="n">
        <v>116611.42658274715</v>
      </c>
      <c r="K32" s="1200" t="n">
        <v>595054.193261755</v>
      </c>
    </row>
    <row r="33" spans="1:11" ht="17" x14ac:dyDescent="0.2">
      <c r="A33" s="666" t="s">
        <v>9</v>
      </c>
      <c r="B33" s="722" t="n">
        <v>100.0</v>
      </c>
      <c r="C33" s="779" t="n">
        <v>39.0</v>
      </c>
      <c r="D33" s="836" t="n">
        <v>61.0</v>
      </c>
      <c r="E33"/>
      <c r="F33" s="917" t="n">
        <v>3.613280217983652</v>
      </c>
      <c r="G33" s="974" t="n">
        <v>3.613280217983652</v>
      </c>
      <c r="H33" s="1031" t="n">
        <v>3.613280217983652</v>
      </c>
      <c r="I33" s="1087" t="n">
        <v>361328.0217983652</v>
      </c>
      <c r="J33" s="1144" t="n">
        <v>140917.92850136245</v>
      </c>
      <c r="K33" s="1201" t="n">
        <v>220410.09329700278</v>
      </c>
    </row>
    <row r="34" spans="1:11" ht="17" x14ac:dyDescent="0.2">
      <c r="A34" s="667" t="s">
        <v>126</v>
      </c>
      <c r="B34" s="723" t="n">
        <v>94.0</v>
      </c>
      <c r="C34" s="780" t="n">
        <v>24.3</v>
      </c>
      <c r="D34" s="837" t="n">
        <v>35.45</v>
      </c>
      <c r="E34" s="19"/>
      <c r="F34" s="918" t="n">
        <v>5.940522322169483</v>
      </c>
      <c r="G34" s="975" t="n">
        <v>5.940522322169483</v>
      </c>
      <c r="H34" s="1032" t="n">
        <v>11.881044644338965</v>
      </c>
      <c r="I34" s="1088" t="n">
        <v>558409.0982839314</v>
      </c>
      <c r="J34" s="1145" t="n">
        <v>144354.69242871844</v>
      </c>
      <c r="K34" s="1202" t="n">
        <v>421183.03264181636</v>
      </c>
    </row>
    <row r="35" spans="1:11" ht="17" x14ac:dyDescent="0.2">
      <c r="A35" s="668" t="s">
        <v>90</v>
      </c>
      <c r="B35" s="724" t="n">
        <v>101.0</v>
      </c>
      <c r="C35" s="781" t="n">
        <v>39.0</v>
      </c>
      <c r="D35" s="838" t="n">
        <v>62.0</v>
      </c>
      <c r="E35" s="19"/>
      <c r="F35" s="919" t="n">
        <v>3.7821274940772094</v>
      </c>
      <c r="G35" s="976" t="n">
        <v>3.7821274940772094</v>
      </c>
      <c r="H35" s="1033" t="n">
        <v>3.7821274940772094</v>
      </c>
      <c r="I35" s="1089" t="n">
        <v>381994.8769017981</v>
      </c>
      <c r="J35" s="1146" t="n">
        <v>147502.97226901117</v>
      </c>
      <c r="K35" s="1203" t="n">
        <v>234491.90463278696</v>
      </c>
    </row>
    <row r="36" spans="1:11" ht="17" x14ac:dyDescent="0.2">
      <c r="A36" s="669" t="s">
        <v>159</v>
      </c>
      <c r="B36" s="725" t="n">
        <v>155.0</v>
      </c>
      <c r="C36" s="782" t="n">
        <v>59.0</v>
      </c>
      <c r="D36" s="839" t="n">
        <v>96.0</v>
      </c>
      <c r="E36"/>
      <c r="F36" s="920" t="n">
        <v>2.601937513591882</v>
      </c>
      <c r="G36" s="977" t="n">
        <v>2.601937513591882</v>
      </c>
      <c r="H36" s="1034" t="n">
        <v>2.601937513591882</v>
      </c>
      <c r="I36" s="1090" t="n">
        <v>403300.31460674165</v>
      </c>
      <c r="J36" s="1147" t="n">
        <v>153514.313301921</v>
      </c>
      <c r="K36" s="1204" t="n">
        <v>249786.00130482067</v>
      </c>
    </row>
    <row r="37" spans="1:11" ht="17" x14ac:dyDescent="0.2">
      <c r="A37" s="670" t="s">
        <v>89</v>
      </c>
      <c r="B37" s="726" t="n">
        <v>74.0</v>
      </c>
      <c r="C37" s="783" t="n">
        <v>39.0</v>
      </c>
      <c r="D37" s="840" t="n">
        <v>35.45</v>
      </c>
      <c r="E37" s="19"/>
      <c r="F37" s="921" t="n">
        <v>4.788267266453225</v>
      </c>
      <c r="G37" s="978" t="n">
        <v>4.788267266453225</v>
      </c>
      <c r="H37" s="1035" t="n">
        <v>4.788267266453225</v>
      </c>
      <c r="I37" s="1091" t="n">
        <v>354331.77771753864</v>
      </c>
      <c r="J37" s="1148" t="n">
        <v>186742.42339167578</v>
      </c>
      <c r="K37" s="1205" t="n">
        <v>169744.07459576684</v>
      </c>
    </row>
    <row r="38" spans="1:11" ht="17" x14ac:dyDescent="0.2">
      <c r="A38" s="671" t="s">
        <v>61</v>
      </c>
      <c r="B38" s="727" t="n">
        <v>132.0</v>
      </c>
      <c r="C38" s="784" t="n">
        <v>18.0</v>
      </c>
      <c r="D38" s="841" t="n">
        <v>95.974</v>
      </c>
      <c r="E38"/>
      <c r="F38" s="922" t="n">
        <v>5.248968669748331</v>
      </c>
      <c r="G38" s="979" t="n">
        <v>10.497937339496662</v>
      </c>
      <c r="H38" s="1036" t="n">
        <v>5.248968669748331</v>
      </c>
      <c r="I38" s="1092" t="n">
        <v>692863.8644067798</v>
      </c>
      <c r="J38" s="1149" t="n">
        <v>188962.8721109399</v>
      </c>
      <c r="K38" s="1206" t="n">
        <v>503764.51911042636</v>
      </c>
    </row>
    <row r="39" spans="1:11" ht="17" x14ac:dyDescent="0.2">
      <c r="A39" s="672" t="s">
        <v>191</v>
      </c>
      <c r="B39" s="728" t="n">
        <v>242.0</v>
      </c>
      <c r="C39" s="785" t="n">
        <v>56.0</v>
      </c>
      <c r="D39" s="842" t="n">
        <v>62.0</v>
      </c>
      <c r="E39"/>
      <c r="F39" s="923" t="n">
        <v>3.5910525828959807</v>
      </c>
      <c r="G39" s="980" t="n">
        <v>3.5910525828959807</v>
      </c>
      <c r="H39" s="1037" t="n">
        <v>10.773157748687943</v>
      </c>
      <c r="I39" s="1093" t="n">
        <v>869034.7250608273</v>
      </c>
      <c r="J39" s="1150" t="n">
        <v>201098.94464217493</v>
      </c>
      <c r="K39" s="1207" t="n">
        <v>667935.7804186525</v>
      </c>
    </row>
    <row r="40" spans="1:11" ht="17" x14ac:dyDescent="0.2">
      <c r="A40" s="673" t="s">
        <v>62</v>
      </c>
      <c r="B40" s="729" t="n">
        <v>132.0</v>
      </c>
      <c r="C40" s="786" t="n">
        <v>18.0</v>
      </c>
      <c r="D40" s="843" t="n">
        <v>96.0</v>
      </c>
      <c r="E40" s="19"/>
      <c r="F40" s="924" t="n">
        <v>5.768288493399606</v>
      </c>
      <c r="G40" s="981" t="n">
        <v>11.536576986799211</v>
      </c>
      <c r="H40" s="1038" t="n">
        <v>5.768288493399606</v>
      </c>
      <c r="I40" s="1094" t="n">
        <v>761414.0811287479</v>
      </c>
      <c r="J40" s="1151" t="n">
        <v>207658.38576238582</v>
      </c>
      <c r="K40" s="1208" t="n">
        <v>553755.6953663621</v>
      </c>
    </row>
    <row r="41" spans="1:11" ht="17" x14ac:dyDescent="0.2">
      <c r="A41" s="674" t="s">
        <v>85</v>
      </c>
      <c r="B41" s="730" t="n">
        <v>151.0</v>
      </c>
      <c r="C41" s="787" t="n">
        <v>55.0</v>
      </c>
      <c r="D41" s="844" t="n">
        <v>96.0</v>
      </c>
      <c r="E41" s="19"/>
      <c r="F41" s="925" t="n">
        <v>4.203852895589686</v>
      </c>
      <c r="G41" s="982" t="n">
        <v>4.203852895589686</v>
      </c>
      <c r="H41" s="1039" t="n">
        <v>4.203852895589686</v>
      </c>
      <c r="I41" s="1095" t="n">
        <v>634781.7872340427</v>
      </c>
      <c r="J41" s="1152" t="n">
        <v>231211.90925743274</v>
      </c>
      <c r="K41" s="1209" t="n">
        <v>403569.87797660986</v>
      </c>
    </row>
    <row r="42" spans="1:11" ht="17" x14ac:dyDescent="0.2">
      <c r="A42" s="675" t="s">
        <v>208</v>
      </c>
      <c r="B42" s="731" t="n">
        <v>161.0</v>
      </c>
      <c r="C42" s="788" t="n">
        <v>65.38</v>
      </c>
      <c r="D42" s="845" t="n">
        <v>96.0</v>
      </c>
      <c r="E42"/>
      <c r="F42" s="926" t="n">
        <v>3.5750491604130348</v>
      </c>
      <c r="G42" s="983" t="n">
        <v>3.5750491604130348</v>
      </c>
      <c r="H42" s="1040" t="n">
        <v>3.5750491604130348</v>
      </c>
      <c r="I42" s="1096" t="n">
        <v>575582.9148264986</v>
      </c>
      <c r="J42" s="1153" t="n">
        <v>233736.7141078042</v>
      </c>
      <c r="K42" s="1210" t="n">
        <v>343204.7193996514</v>
      </c>
    </row>
    <row r="43" spans="1:11" ht="17" x14ac:dyDescent="0.2">
      <c r="A43" s="676" t="s">
        <v>63</v>
      </c>
      <c r="B43" s="732" t="n">
        <v>110.0</v>
      </c>
      <c r="C43" s="789" t="n">
        <v>40.0</v>
      </c>
      <c r="D43" s="846" t="n">
        <v>35.45</v>
      </c>
      <c r="E43"/>
      <c r="F43" s="927" t="n">
        <v>7.365277874997939</v>
      </c>
      <c r="G43" s="984" t="n">
        <v>7.365277874997939</v>
      </c>
      <c r="H43" s="1041" t="n">
        <v>14.730555749995878</v>
      </c>
      <c r="I43" s="1097" t="n">
        <v>810180.5662497733</v>
      </c>
      <c r="J43" s="1154" t="n">
        <v>294611.11499991757</v>
      </c>
      <c r="K43" s="1211" t="n">
        <v>522198.2013373539</v>
      </c>
    </row>
    <row r="44" spans="1:11" ht="17" x14ac:dyDescent="0.2">
      <c r="A44" s="677" t="s">
        <v>158</v>
      </c>
      <c r="B44" s="733" t="n">
        <v>129.0</v>
      </c>
      <c r="C44" s="790" t="n">
        <v>59.0</v>
      </c>
      <c r="D44" s="847" t="n">
        <v>35.45</v>
      </c>
      <c r="E44"/>
      <c r="F44" s="928" t="n">
        <v>5.21743529014582</v>
      </c>
      <c r="G44" s="985" t="n">
        <v>5.21743529014582</v>
      </c>
      <c r="H44" s="1042" t="n">
        <v>10.43487058029164</v>
      </c>
      <c r="I44" s="1098" t="n">
        <v>673049.1524288107</v>
      </c>
      <c r="J44" s="1155" t="n">
        <v>307828.68211860344</v>
      </c>
      <c r="K44" s="1212" t="n">
        <v>369916.1620713387</v>
      </c>
    </row>
    <row r="45" spans="1:11" ht="17" x14ac:dyDescent="0.2">
      <c r="A45" s="678" t="s">
        <v>186</v>
      </c>
      <c r="B45" s="734" t="n">
        <v>164.0</v>
      </c>
      <c r="C45" s="791" t="n">
        <v>56.0</v>
      </c>
      <c r="D45" s="848" t="n">
        <v>35.45</v>
      </c>
      <c r="E45"/>
      <c r="F45" s="929" t="n">
        <v>5.544838595345802</v>
      </c>
      <c r="G45" s="986" t="n">
        <v>5.544838595345802</v>
      </c>
      <c r="H45" s="1043" t="n">
        <v>16.634515786037408</v>
      </c>
      <c r="I45" s="1099" t="n">
        <v>909353.5296367116</v>
      </c>
      <c r="J45" s="1156" t="n">
        <v>310510.96133936493</v>
      </c>
      <c r="K45" s="1213" t="n">
        <v>589693.5846150261</v>
      </c>
    </row>
    <row r="46" spans="1:11" ht="17" x14ac:dyDescent="0.2">
      <c r="A46" s="679" t="s">
        <v>160</v>
      </c>
      <c r="B46" s="735" t="n">
        <v>183.0</v>
      </c>
      <c r="C46" s="792" t="n">
        <v>59.0</v>
      </c>
      <c r="D46" s="849" t="n">
        <v>62.0</v>
      </c>
      <c r="E46" s="19"/>
      <c r="F46" s="930" t="n">
        <v>5.404936581542682</v>
      </c>
      <c r="G46" s="987" t="n">
        <v>5.404936581542682</v>
      </c>
      <c r="H46" s="1044" t="n">
        <v>10.809873163085364</v>
      </c>
      <c r="I46" s="1100" t="n">
        <v>989103.3944223108</v>
      </c>
      <c r="J46" s="1157" t="n">
        <v>318891.25831101823</v>
      </c>
      <c r="K46" s="1214" t="n">
        <v>670212.1361112925</v>
      </c>
    </row>
    <row r="47" spans="1:11" ht="17" x14ac:dyDescent="0.2">
      <c r="A47" s="680" t="s">
        <v>204</v>
      </c>
      <c r="B47" s="736" t="n">
        <v>125.0</v>
      </c>
      <c r="C47" s="793" t="n">
        <v>55.0</v>
      </c>
      <c r="D47" s="850" t="n">
        <v>35.45</v>
      </c>
      <c r="E47" s="19"/>
      <c r="F47" s="931" t="n">
        <v>6.166140822695035</v>
      </c>
      <c r="G47" s="988" t="n">
        <v>6.166140822695035</v>
      </c>
      <c r="H47" s="1045" t="n">
        <v>12.33228164539007</v>
      </c>
      <c r="I47" s="1101" t="n">
        <v>770767.6028368794</v>
      </c>
      <c r="J47" s="1158" t="n">
        <v>339137.7452482269</v>
      </c>
      <c r="K47" s="1215" t="n">
        <v>437179.384329078</v>
      </c>
    </row>
    <row r="48" spans="1:11" ht="17" x14ac:dyDescent="0.2">
      <c r="A48" s="681" t="s">
        <v>66</v>
      </c>
      <c r="B48" s="737" t="n">
        <v>164.0</v>
      </c>
      <c r="C48" s="794" t="n">
        <v>40.0</v>
      </c>
      <c r="D48" s="851" t="n">
        <v>62.0</v>
      </c>
      <c r="E48"/>
      <c r="F48" s="932" t="n">
        <v>8.748636525877453</v>
      </c>
      <c r="G48" s="989" t="n">
        <v>8.748636525877453</v>
      </c>
      <c r="H48" s="1046" t="n">
        <v>17.497273051754906</v>
      </c>
      <c r="I48" s="1102" t="n">
        <v>1434776.3902439023</v>
      </c>
      <c r="J48" s="1159" t="n">
        <v>349945.4610350981</v>
      </c>
      <c r="K48" s="1216" t="n">
        <v>1084830.9292088042</v>
      </c>
    </row>
    <row r="49" spans="1:11" ht="17" x14ac:dyDescent="0.2">
      <c r="A49" s="682" t="s">
        <v>175</v>
      </c>
      <c r="B49" s="738" t="n">
        <v>134.0</v>
      </c>
      <c r="C49" s="795" t="n">
        <v>63.546</v>
      </c>
      <c r="D49" s="852" t="n">
        <v>35.45</v>
      </c>
      <c r="E49" s="19"/>
      <c r="F49" s="933" t="n">
        <v>5.636068619993181</v>
      </c>
      <c r="G49" s="990" t="n">
        <v>5.636068619993181</v>
      </c>
      <c r="H49" s="1047" t="n">
        <v>11.272137239986362</v>
      </c>
      <c r="I49" s="1103" t="n">
        <v>755233.1950790862</v>
      </c>
      <c r="J49" s="1160" t="n">
        <v>358149.6165260867</v>
      </c>
      <c r="K49" s="1217" t="n">
        <v>399597.2651575166</v>
      </c>
    </row>
    <row r="50" spans="1:11" ht="17" x14ac:dyDescent="0.2">
      <c r="A50" s="683" t="s">
        <v>182</v>
      </c>
      <c r="B50" s="739" t="n">
        <v>189.0</v>
      </c>
      <c r="C50" s="796" t="n">
        <v>65.38</v>
      </c>
      <c r="D50" s="853" t="n">
        <v>62.0</v>
      </c>
      <c r="E50"/>
      <c r="F50" s="934" t="n">
        <v>6.293443237723941</v>
      </c>
      <c r="G50" s="991" t="n">
        <v>6.293443237723941</v>
      </c>
      <c r="H50" s="1048" t="n">
        <v>12.586886475447882</v>
      </c>
      <c r="I50" s="1104" t="n">
        <v>1189460.771929825</v>
      </c>
      <c r="J50" s="1161" t="n">
        <v>411465.3188823912</v>
      </c>
      <c r="K50" s="1218" t="n">
        <v>780386.9614777686</v>
      </c>
    </row>
    <row r="51" spans="1:11" ht="17" x14ac:dyDescent="0.2">
      <c r="A51" s="684" t="s">
        <v>59</v>
      </c>
      <c r="B51" s="740" t="n">
        <v>80.0</v>
      </c>
      <c r="C51" s="797" t="n">
        <v>18.0</v>
      </c>
      <c r="D51" s="854" t="n">
        <v>62.0</v>
      </c>
      <c r="E51"/>
      <c r="F51" s="935" t="n">
        <v>26.484087500000005</v>
      </c>
      <c r="G51" s="992" t="n">
        <v>26.484087500000005</v>
      </c>
      <c r="H51" s="1049" t="n">
        <v>26.484087500000005</v>
      </c>
      <c r="I51" s="1105" t="n">
        <v>2118727.0000000005</v>
      </c>
      <c r="J51" s="1162" t="n">
        <v>476713.5750000001</v>
      </c>
      <c r="K51" s="1219" t="n">
        <v>1642013.4250000003</v>
      </c>
    </row>
    <row r="52" spans="1:11" ht="17" x14ac:dyDescent="0.2">
      <c r="A52" s="685" t="s">
        <v>181</v>
      </c>
      <c r="B52" s="741" t="n">
        <v>188.0</v>
      </c>
      <c r="C52" s="798" t="n">
        <v>63.546</v>
      </c>
      <c r="D52" s="855" t="n">
        <v>62.0</v>
      </c>
      <c r="E52" s="19"/>
      <c r="F52" s="936" t="n">
        <v>7.695197329995831</v>
      </c>
      <c r="G52" s="993" t="n">
        <v>7.695197329995831</v>
      </c>
      <c r="H52" s="1050" t="n">
        <v>15.390394659991662</v>
      </c>
      <c r="I52" s="1106" t="n">
        <v>1446697.0980392161</v>
      </c>
      <c r="J52" s="1163" t="n">
        <v>488999.0095319151</v>
      </c>
      <c r="K52" s="1220" t="n">
        <v>954204.468919483</v>
      </c>
    </row>
    <row r="53" spans="1:11" ht="17" x14ac:dyDescent="0.2">
      <c r="A53" s="686" t="s">
        <v>10</v>
      </c>
      <c r="B53" s="742" t="n">
        <v>138.0</v>
      </c>
      <c r="C53" s="799" t="n">
        <v>39.0</v>
      </c>
      <c r="D53" s="856" t="n">
        <v>60.0</v>
      </c>
      <c r="E53"/>
      <c r="F53" s="937" t="n">
        <v>8.049825290314676</v>
      </c>
      <c r="G53" s="994" t="n">
        <v>16.09965058062935</v>
      </c>
      <c r="H53" s="1051" t="n">
        <v>8.049825290314676</v>
      </c>
      <c r="I53" s="1107" t="n">
        <v>1110875.8900634253</v>
      </c>
      <c r="J53" s="1164" t="n">
        <v>627886.3726445447</v>
      </c>
      <c r="K53" s="1221" t="n">
        <v>482989.51741888054</v>
      </c>
    </row>
    <row r="54" spans="1:11" ht="17" x14ac:dyDescent="0.2">
      <c r="A54" s="687" t="s">
        <v>91</v>
      </c>
      <c r="B54" s="743" t="n">
        <v>196.0</v>
      </c>
      <c r="C54" s="800" t="n">
        <v>39.0</v>
      </c>
      <c r="D54" s="857" t="n">
        <v>94.974</v>
      </c>
      <c r="E54" s="19"/>
      <c r="F54" s="938" t="n">
        <v>5.3800566053581935</v>
      </c>
      <c r="G54" s="995" t="n">
        <v>16.140169816074582</v>
      </c>
      <c r="H54" s="1052" t="n">
        <v>5.3800566053581935</v>
      </c>
      <c r="I54" s="1108" t="n">
        <v>1054491.094650206</v>
      </c>
      <c r="J54" s="1165" t="n">
        <v>629466.6228269087</v>
      </c>
      <c r="K54" s="1222" t="n">
        <v>510965.4960372891</v>
      </c>
    </row>
    <row r="55" spans="1:11" ht="17" x14ac:dyDescent="0.2">
      <c r="A55" s="688" t="s">
        <v>8</v>
      </c>
      <c r="B55" s="744" t="n">
        <v>56.0</v>
      </c>
      <c r="C55" s="801" t="n">
        <v>39.0</v>
      </c>
      <c r="D55" s="858" t="n">
        <v>17.0</v>
      </c>
      <c r="E55" s="19"/>
      <c r="F55" s="939" t="n">
        <v>21.49894575843583</v>
      </c>
      <c r="G55" s="996" t="n">
        <v>21.49894575843583</v>
      </c>
      <c r="H55" s="1053" t="n">
        <v>21.49894575843583</v>
      </c>
      <c r="I55" s="1109" t="n">
        <v>1203940.9624724064</v>
      </c>
      <c r="J55" s="1166" t="n">
        <v>838458.8845789974</v>
      </c>
      <c r="K55" s="1223" t="n">
        <v>365482.0778934091</v>
      </c>
    </row>
    <row r="56" spans="1:11" ht="17" x14ac:dyDescent="0.2">
      <c r="A56" s="689" t="s">
        <v>150</v>
      </c>
      <c r="B56" s="745" t="n">
        <v>88.0</v>
      </c>
      <c r="C56" s="802" t="n">
        <v>56.0</v>
      </c>
      <c r="D56" s="859" t="n">
        <v>32.0</v>
      </c>
      <c r="E56" s="884" t="n">
        <v>600.0</v>
      </c>
      <c r="F56" s="940" t="n">
        <v>24.49489742783178</v>
      </c>
      <c r="G56" s="997" t="n">
        <v>24.49489742783178</v>
      </c>
      <c r="H56" s="1054" t="n">
        <v>24.49489742783178</v>
      </c>
      <c r="I56" s="1110" t="n">
        <v>2155550.973649197</v>
      </c>
      <c r="J56" s="1167" t="n">
        <v>1371714.2559585797</v>
      </c>
      <c r="K56" s="1224" t="n">
        <v>783836.717690617</v>
      </c>
    </row>
    <row r="57" spans="1:11" ht="17" x14ac:dyDescent="0.2">
      <c r="A57" s="690" t="s">
        <v>96</v>
      </c>
      <c r="B57" s="746" t="n">
        <v>135.0</v>
      </c>
      <c r="C57" s="803" t="n">
        <v>65.38</v>
      </c>
      <c r="D57" s="860" t="n">
        <v>35.45</v>
      </c>
      <c r="E57"/>
      <c r="F57" s="941" t="n">
        <v>30.104513780785854</v>
      </c>
      <c r="G57" s="998" t="n">
        <v>30.104513780785854</v>
      </c>
      <c r="H57" s="1055" t="n">
        <v>60.20902756157171</v>
      </c>
      <c r="I57" s="1111" t="n">
        <v>4064109.36040609</v>
      </c>
      <c r="J57" s="1168" t="n">
        <v>1968233.1109877792</v>
      </c>
      <c r="K57" s="1225" t="n">
        <v>2134410.0270577176</v>
      </c>
    </row>
    <row r="58" spans="1:11" ht="17" x14ac:dyDescent="0.2">
      <c r="A58" s="691" t="s">
        <v>142</v>
      </c>
      <c r="B58" s="747" t="n">
        <v>87.0</v>
      </c>
      <c r="C58" s="804" t="n">
        <v>55.0</v>
      </c>
      <c r="D58" s="861" t="n">
        <v>32.0</v>
      </c>
      <c r="E58" s="885" t="n">
        <v>3.0E7</v>
      </c>
      <c r="F58" s="942" t="n">
        <v>5477.2255750516615</v>
      </c>
      <c r="G58" s="999" t="n">
        <v>5477.2255750516615</v>
      </c>
      <c r="H58" s="1056" t="n">
        <v>5477.2255750516615</v>
      </c>
      <c r="I58" s="1112" t="n">
        <v>4.765186250294946E8</v>
      </c>
      <c r="J58" s="1169" t="n">
        <v>3.012474066278414E8</v>
      </c>
      <c r="K58" s="1226" t="n">
        <v>1.7527121840165317E8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important notes</vt:lpstr>
      <vt:lpstr>references</vt:lpstr>
      <vt:lpstr>rawdata</vt:lpstr>
      <vt:lpstr>plots</vt:lpstr>
      <vt:lpstr>Tabelle4</vt:lpstr>
      <vt:lpstr>molarWeight</vt:lpstr>
      <vt:lpstr>nutrientClass</vt:lpstr>
      <vt:lpstr>solubilityResults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2022-02-09T14:09:58Z</dcterms:created>
  <dc:creator>Anıl Tellbüscher</dc:creator>
  <cp:lastModifiedBy>Anıl Tellbüscher</cp:lastModifiedBy>
  <dcterms:modified xsi:type="dcterms:W3CDTF">2022-09-07T07:24:38Z</dcterms:modified>
</cp:coreProperties>
</file>