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Projekt18 - PhD-Aquaponics/data/solubility/"/>
    </mc:Choice>
  </mc:AlternateContent>
  <xr:revisionPtr revIDLastSave="0" documentId="13_ncr:1_{50EEDD6B-918F-7946-B643-C02BD6DCBB5F}" xr6:coauthVersionLast="47" xr6:coauthVersionMax="47" xr10:uidLastSave="{00000000-0000-0000-0000-000000000000}"/>
  <bookViews>
    <workbookView xWindow="0" yWindow="0" windowWidth="25600" windowHeight="16000" tabRatio="956" firstSheet="7" activeTab="16" xr2:uid="{5855CA20-A45B-EF4D-A216-6F07AE6CF6F3}"/>
  </bookViews>
  <sheets>
    <sheet name="important notes" sheetId="1" r:id="rId1"/>
    <sheet name="waterAVERAGE" sheetId="19" r:id="rId2"/>
    <sheet name="diagnostics-waterAVERAGE" sheetId="20" r:id="rId3"/>
    <sheet name="references" sheetId="2" r:id="rId4"/>
    <sheet name="general" sheetId="18" r:id="rId5"/>
    <sheet name="rearing" sheetId="11" r:id="rId6"/>
    <sheet name="statistics-rearing" sheetId="22" r:id="rId7"/>
    <sheet name="waterIN" sheetId="4" r:id="rId8"/>
    <sheet name="feedIN" sheetId="3" r:id="rId9"/>
    <sheet name="statistics-feedIN" sheetId="21" r:id="rId10"/>
    <sheet name="waterRAS" sheetId="12" r:id="rId11"/>
    <sheet name="sludgeRAW" sheetId="6" r:id="rId12"/>
    <sheet name="waterREMIN" sheetId="13" r:id="rId13"/>
    <sheet name="waterTRANS" sheetId="16" r:id="rId14"/>
    <sheet name="waterHYDRO" sheetId="17" r:id="rId15"/>
    <sheet name="sludgeRetention" sheetId="15" r:id="rId16"/>
    <sheet name="fishRetention" sheetId="5" r:id="rId17"/>
    <sheet name="plantRetention" sheetId="9" r:id="rId18"/>
  </sheets>
  <definedNames>
    <definedName name="_xlnm._FilterDatabase" localSheetId="17" hidden="1">plantRetention!$A$2:$AP$116</definedName>
    <definedName name="_xlnm._FilterDatabase" localSheetId="11" hidden="1">sludgeRAW!$A$2:$AC$116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N21" i="11"/>
  <c r="E54" i="5"/>
  <c r="E55" i="5"/>
  <c r="E53" i="5"/>
  <c r="O53" i="11"/>
  <c r="P70" i="11"/>
  <c r="P71" i="11"/>
  <c r="P72" i="11"/>
  <c r="P73" i="11"/>
  <c r="P69" i="11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A88" i="15"/>
  <c r="B88" i="15"/>
  <c r="C88" i="15"/>
  <c r="A89" i="15"/>
  <c r="B89" i="15"/>
  <c r="C89" i="15"/>
  <c r="A90" i="15"/>
  <c r="B90" i="15"/>
  <c r="C90" i="15"/>
  <c r="A91" i="15"/>
  <c r="B91" i="15"/>
  <c r="C91" i="15"/>
  <c r="A92" i="15"/>
  <c r="B92" i="15"/>
  <c r="C92" i="15"/>
  <c r="A93" i="15"/>
  <c r="B93" i="15"/>
  <c r="C93" i="15"/>
  <c r="A94" i="15"/>
  <c r="B94" i="15"/>
  <c r="C94" i="15"/>
  <c r="A95" i="15"/>
  <c r="B95" i="15"/>
  <c r="C95" i="15"/>
  <c r="A96" i="15"/>
  <c r="B96" i="15"/>
  <c r="C96" i="15"/>
  <c r="A97" i="15"/>
  <c r="B97" i="15"/>
  <c r="C97" i="15"/>
  <c r="A98" i="15"/>
  <c r="B98" i="15"/>
  <c r="C98" i="15"/>
  <c r="A99" i="15"/>
  <c r="B99" i="15"/>
  <c r="C99" i="15"/>
  <c r="A100" i="15"/>
  <c r="B100" i="15"/>
  <c r="C100" i="15"/>
  <c r="A101" i="15"/>
  <c r="B101" i="15"/>
  <c r="C101" i="15"/>
  <c r="A102" i="15"/>
  <c r="B102" i="15"/>
  <c r="C102" i="15"/>
  <c r="A103" i="15"/>
  <c r="B103" i="15"/>
  <c r="C103" i="15"/>
  <c r="A104" i="15"/>
  <c r="B104" i="15"/>
  <c r="C104" i="15"/>
  <c r="A105" i="15"/>
  <c r="B105" i="15"/>
  <c r="C105" i="15"/>
  <c r="A106" i="15"/>
  <c r="B106" i="15"/>
  <c r="C106" i="15"/>
  <c r="A107" i="15"/>
  <c r="B107" i="15"/>
  <c r="C107" i="15"/>
  <c r="A108" i="15"/>
  <c r="B108" i="15"/>
  <c r="C108" i="15"/>
  <c r="A109" i="15"/>
  <c r="B109" i="15"/>
  <c r="C109" i="15"/>
  <c r="A110" i="15"/>
  <c r="B110" i="15"/>
  <c r="C110" i="15"/>
  <c r="A111" i="15"/>
  <c r="B111" i="15"/>
  <c r="C111" i="15"/>
  <c r="A112" i="15"/>
  <c r="B112" i="15"/>
  <c r="C112" i="15"/>
  <c r="A113" i="15"/>
  <c r="B113" i="15"/>
  <c r="C113" i="15"/>
  <c r="A114" i="15"/>
  <c r="B114" i="15"/>
  <c r="C114" i="15"/>
  <c r="A115" i="15"/>
  <c r="B115" i="15"/>
  <c r="C115" i="15"/>
  <c r="A116" i="15"/>
  <c r="B116" i="15"/>
  <c r="C116" i="15"/>
  <c r="C65" i="15"/>
  <c r="C66" i="15"/>
  <c r="C67" i="15"/>
  <c r="C68" i="15"/>
  <c r="C69" i="15"/>
  <c r="C70" i="15"/>
  <c r="C71" i="15"/>
  <c r="C72" i="15"/>
  <c r="C73" i="15"/>
  <c r="C74" i="15"/>
  <c r="C75" i="15"/>
  <c r="A111" i="17"/>
  <c r="B111" i="17"/>
  <c r="C111" i="17"/>
  <c r="A112" i="17"/>
  <c r="B112" i="17"/>
  <c r="C112" i="17"/>
  <c r="A113" i="17"/>
  <c r="B113" i="17"/>
  <c r="C113" i="17"/>
  <c r="A114" i="17"/>
  <c r="B114" i="17"/>
  <c r="C114" i="17"/>
  <c r="A115" i="17"/>
  <c r="B115" i="17"/>
  <c r="C115" i="17"/>
  <c r="A116" i="17"/>
  <c r="B116" i="17"/>
  <c r="C116" i="17"/>
  <c r="A109" i="18"/>
  <c r="A110" i="18"/>
  <c r="A111" i="18"/>
  <c r="A112" i="18"/>
  <c r="A113" i="18"/>
  <c r="A114" i="18"/>
  <c r="A115" i="18"/>
  <c r="M94" i="11"/>
  <c r="O95" i="11"/>
  <c r="M95" i="11" s="1"/>
  <c r="O96" i="11"/>
  <c r="M96" i="11" s="1"/>
  <c r="O94" i="11"/>
  <c r="O44" i="11"/>
  <c r="O45" i="11"/>
  <c r="O43" i="11"/>
  <c r="O34" i="11"/>
  <c r="O35" i="11"/>
  <c r="O36" i="11"/>
  <c r="O37" i="11"/>
  <c r="O38" i="11"/>
  <c r="O33" i="11"/>
  <c r="M10" i="11"/>
  <c r="M11" i="11"/>
  <c r="M12" i="11"/>
  <c r="M9" i="11"/>
  <c r="O3" i="11"/>
  <c r="E10" i="21"/>
  <c r="E7" i="21"/>
  <c r="D6" i="21"/>
  <c r="E6" i="21"/>
  <c r="F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D3" i="21"/>
  <c r="E3" i="21"/>
  <c r="F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D5" i="21"/>
  <c r="E5" i="21"/>
  <c r="E9" i="21" s="1"/>
  <c r="F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E2" i="21"/>
  <c r="D2" i="21"/>
  <c r="F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D2" i="22"/>
  <c r="E2" i="22"/>
  <c r="L2" i="22"/>
  <c r="B2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B1" i="22"/>
  <c r="D4" i="21" l="1"/>
  <c r="E4" i="21"/>
  <c r="E8" i="21" s="1"/>
  <c r="F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I1" i="21"/>
  <c r="AD1" i="21"/>
  <c r="AE1" i="21"/>
  <c r="AF1" i="21"/>
  <c r="AG1" i="21"/>
  <c r="AH1" i="21"/>
  <c r="AB1" i="21"/>
  <c r="AC1" i="21"/>
  <c r="AA1" i="21"/>
  <c r="T1" i="21"/>
  <c r="U1" i="21"/>
  <c r="V1" i="21"/>
  <c r="W1" i="21"/>
  <c r="X1" i="21"/>
  <c r="Y1" i="21"/>
  <c r="Z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B1" i="21"/>
  <c r="K113" i="18"/>
  <c r="C112" i="6"/>
  <c r="B112" i="6"/>
  <c r="A112" i="6"/>
  <c r="C111" i="6"/>
  <c r="B111" i="6"/>
  <c r="A111" i="6"/>
  <c r="C110" i="6"/>
  <c r="B110" i="6"/>
  <c r="A110" i="6"/>
  <c r="C109" i="6"/>
  <c r="B109" i="6"/>
  <c r="A109" i="6"/>
  <c r="C92" i="6"/>
  <c r="B92" i="6"/>
  <c r="A92" i="6"/>
  <c r="C91" i="6"/>
  <c r="B91" i="6"/>
  <c r="A91" i="6"/>
  <c r="C90" i="6"/>
  <c r="B90" i="6"/>
  <c r="A90" i="6"/>
  <c r="C89" i="6"/>
  <c r="B89" i="6"/>
  <c r="A89" i="6"/>
  <c r="A107" i="18"/>
  <c r="B107" i="18"/>
  <c r="D107" i="18"/>
  <c r="E107" i="18"/>
  <c r="F107" i="18"/>
  <c r="H107" i="18"/>
  <c r="I107" i="18"/>
  <c r="J107" i="18"/>
  <c r="K107" i="18"/>
  <c r="L107" i="18"/>
  <c r="M107" i="18"/>
  <c r="N107" i="18"/>
  <c r="A108" i="18"/>
  <c r="B108" i="18"/>
  <c r="D108" i="18"/>
  <c r="E108" i="18"/>
  <c r="F108" i="18"/>
  <c r="H108" i="18"/>
  <c r="I108" i="18"/>
  <c r="J108" i="18"/>
  <c r="K108" i="18"/>
  <c r="L108" i="18"/>
  <c r="M108" i="18"/>
  <c r="N108" i="18"/>
  <c r="B109" i="18"/>
  <c r="D109" i="18"/>
  <c r="E109" i="18"/>
  <c r="F109" i="18"/>
  <c r="H109" i="18"/>
  <c r="I109" i="18"/>
  <c r="J109" i="18"/>
  <c r="K109" i="18"/>
  <c r="L109" i="18"/>
  <c r="M109" i="18"/>
  <c r="N109" i="18"/>
  <c r="B110" i="18"/>
  <c r="D110" i="18"/>
  <c r="E110" i="18"/>
  <c r="F110" i="18"/>
  <c r="H110" i="18"/>
  <c r="I110" i="18"/>
  <c r="J110" i="18"/>
  <c r="K110" i="18"/>
  <c r="L110" i="18"/>
  <c r="M110" i="18"/>
  <c r="N110" i="18"/>
  <c r="B111" i="18"/>
  <c r="D111" i="18"/>
  <c r="E111" i="18"/>
  <c r="F111" i="18"/>
  <c r="H111" i="18"/>
  <c r="I111" i="18"/>
  <c r="J111" i="18"/>
  <c r="K111" i="18"/>
  <c r="L111" i="18"/>
  <c r="M111" i="18"/>
  <c r="N111" i="18"/>
  <c r="B112" i="18"/>
  <c r="D112" i="18"/>
  <c r="E112" i="18"/>
  <c r="F112" i="18"/>
  <c r="H112" i="18"/>
  <c r="I112" i="18"/>
  <c r="J112" i="18"/>
  <c r="K112" i="18"/>
  <c r="M112" i="18"/>
  <c r="N112" i="18"/>
  <c r="B113" i="18"/>
  <c r="D113" i="18"/>
  <c r="C48" i="19" s="1"/>
  <c r="E113" i="18"/>
  <c r="F113" i="18"/>
  <c r="H113" i="18"/>
  <c r="I113" i="18"/>
  <c r="J113" i="18"/>
  <c r="M113" i="18"/>
  <c r="N113" i="18"/>
  <c r="B114" i="18"/>
  <c r="D114" i="18"/>
  <c r="E114" i="18"/>
  <c r="F114" i="18"/>
  <c r="H114" i="18"/>
  <c r="I114" i="18"/>
  <c r="J114" i="18"/>
  <c r="K114" i="18"/>
  <c r="M114" i="18"/>
  <c r="N114" i="18"/>
  <c r="B115" i="18"/>
  <c r="D115" i="18"/>
  <c r="E115" i="18"/>
  <c r="F115" i="18"/>
  <c r="H115" i="18"/>
  <c r="I115" i="18"/>
  <c r="J115" i="18"/>
  <c r="K115" i="18"/>
  <c r="M115" i="18"/>
  <c r="N115" i="18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116" i="12"/>
  <c r="B116" i="12"/>
  <c r="C116" i="12"/>
  <c r="F113" i="3"/>
  <c r="F114" i="3"/>
  <c r="F115" i="3"/>
  <c r="F116" i="3"/>
  <c r="B3" i="21" l="1"/>
  <c r="B5" i="21"/>
  <c r="B2" i="21"/>
  <c r="B6" i="21"/>
  <c r="B4" i="21"/>
  <c r="J116" i="9"/>
  <c r="J115" i="9"/>
  <c r="J114" i="9"/>
  <c r="J113" i="9"/>
  <c r="F107" i="9"/>
  <c r="F108" i="9"/>
  <c r="F113" i="9"/>
  <c r="F114" i="9"/>
  <c r="F115" i="9"/>
  <c r="F116" i="9"/>
  <c r="F106" i="9"/>
  <c r="A113" i="3"/>
  <c r="B113" i="3"/>
  <c r="C113" i="3"/>
  <c r="A114" i="3"/>
  <c r="B114" i="3"/>
  <c r="C114" i="3"/>
  <c r="A115" i="3"/>
  <c r="B115" i="3"/>
  <c r="C115" i="3"/>
  <c r="A116" i="3"/>
  <c r="B116" i="3"/>
  <c r="C116" i="3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C103" i="5"/>
  <c r="A104" i="5"/>
  <c r="C104" i="5"/>
  <c r="BC2" i="19"/>
  <c r="AT2" i="19"/>
  <c r="AQ2" i="19"/>
  <c r="AN2" i="19"/>
  <c r="AK2" i="19"/>
  <c r="AH2" i="19"/>
  <c r="AB2" i="19"/>
  <c r="Y2" i="19"/>
  <c r="V2" i="19"/>
  <c r="S2" i="19"/>
  <c r="P2" i="19"/>
  <c r="G2" i="19"/>
  <c r="BC3" i="19"/>
  <c r="AT3" i="19"/>
  <c r="AQ3" i="19"/>
  <c r="AN3" i="19"/>
  <c r="AK3" i="19"/>
  <c r="AH3" i="19"/>
  <c r="AB3" i="19"/>
  <c r="Y3" i="19"/>
  <c r="V3" i="19"/>
  <c r="S3" i="19"/>
  <c r="P3" i="19"/>
  <c r="G3" i="19"/>
  <c r="BC4" i="19"/>
  <c r="AT4" i="19"/>
  <c r="AQ4" i="19"/>
  <c r="AN4" i="19"/>
  <c r="AK4" i="19"/>
  <c r="AH4" i="19"/>
  <c r="AB4" i="19"/>
  <c r="Y4" i="19"/>
  <c r="V4" i="19"/>
  <c r="S4" i="19"/>
  <c r="P4" i="19"/>
  <c r="G4" i="19"/>
  <c r="BC5" i="19"/>
  <c r="AT5" i="19"/>
  <c r="AQ5" i="19"/>
  <c r="AN5" i="19"/>
  <c r="AK5" i="19"/>
  <c r="AH5" i="19"/>
  <c r="AB5" i="19"/>
  <c r="Y5" i="19"/>
  <c r="V5" i="19"/>
  <c r="S5" i="19"/>
  <c r="P5" i="19"/>
  <c r="G5" i="19"/>
  <c r="AC32" i="19"/>
  <c r="AB32" i="19"/>
  <c r="W32" i="19"/>
  <c r="V32" i="19"/>
  <c r="T32" i="19"/>
  <c r="S32" i="19"/>
  <c r="Q32" i="19"/>
  <c r="K32" i="19"/>
  <c r="J32" i="19"/>
  <c r="H32" i="19"/>
  <c r="F32" i="19"/>
  <c r="H8" i="19"/>
  <c r="G8" i="19"/>
  <c r="F8" i="19"/>
  <c r="F19" i="19"/>
  <c r="G19" i="19"/>
  <c r="H19" i="19"/>
  <c r="J19" i="19"/>
  <c r="F22" i="19"/>
  <c r="G22" i="19"/>
  <c r="H22" i="19"/>
  <c r="J22" i="19"/>
  <c r="F17" i="19"/>
  <c r="G17" i="19"/>
  <c r="H17" i="19"/>
  <c r="J17" i="19"/>
  <c r="F20" i="19"/>
  <c r="G20" i="19"/>
  <c r="H20" i="19"/>
  <c r="J20" i="19"/>
  <c r="F23" i="19"/>
  <c r="G23" i="19"/>
  <c r="H23" i="19"/>
  <c r="J23" i="19"/>
  <c r="F18" i="19"/>
  <c r="G18" i="19"/>
  <c r="H18" i="19"/>
  <c r="J18" i="19"/>
  <c r="F21" i="19"/>
  <c r="G21" i="19"/>
  <c r="H21" i="19"/>
  <c r="J21" i="19"/>
  <c r="F24" i="19"/>
  <c r="G24" i="19"/>
  <c r="H24" i="19"/>
  <c r="J24" i="19"/>
  <c r="J16" i="19"/>
  <c r="H16" i="19"/>
  <c r="G16" i="19"/>
  <c r="F16" i="19"/>
  <c r="I6" i="19"/>
  <c r="BC6" i="19"/>
  <c r="AT6" i="19"/>
  <c r="AQ6" i="19"/>
  <c r="AK6" i="19"/>
  <c r="AB6" i="19"/>
  <c r="Y6" i="19"/>
  <c r="V6" i="19"/>
  <c r="S6" i="19"/>
  <c r="P6" i="19"/>
  <c r="J6" i="19"/>
  <c r="G6" i="19"/>
  <c r="AT40" i="19"/>
  <c r="AQ40" i="19"/>
  <c r="AH40" i="19"/>
  <c r="AE40" i="19"/>
  <c r="AB40" i="19"/>
  <c r="Y40" i="19"/>
  <c r="V40" i="19"/>
  <c r="S40" i="19"/>
  <c r="G40" i="19"/>
  <c r="BC35" i="19"/>
  <c r="AT35" i="19"/>
  <c r="AQ35" i="19"/>
  <c r="AN35" i="19"/>
  <c r="AK35" i="19"/>
  <c r="AH35" i="19"/>
  <c r="AE35" i="19"/>
  <c r="AB35" i="19"/>
  <c r="Y35" i="19"/>
  <c r="V35" i="19"/>
  <c r="S35" i="19"/>
  <c r="P35" i="19"/>
  <c r="J35" i="19"/>
  <c r="G35" i="19"/>
  <c r="D23" i="12"/>
  <c r="G34" i="19" s="1"/>
  <c r="D22" i="12"/>
  <c r="D21" i="12"/>
  <c r="G33" i="19" s="1"/>
  <c r="AT28" i="19"/>
  <c r="AT29" i="19"/>
  <c r="AT27" i="19"/>
  <c r="AQ28" i="19"/>
  <c r="AQ29" i="19"/>
  <c r="AQ27" i="19"/>
  <c r="AH28" i="19"/>
  <c r="AH29" i="19"/>
  <c r="AH27" i="19"/>
  <c r="G29" i="19"/>
  <c r="G28" i="19"/>
  <c r="G27" i="19"/>
  <c r="AK29" i="19"/>
  <c r="AE29" i="19"/>
  <c r="AB29" i="19"/>
  <c r="Y29" i="19"/>
  <c r="V29" i="19"/>
  <c r="S29" i="19"/>
  <c r="AK28" i="19"/>
  <c r="AE28" i="19"/>
  <c r="AB28" i="19"/>
  <c r="Y28" i="19"/>
  <c r="V28" i="19"/>
  <c r="S28" i="19"/>
  <c r="AK27" i="19"/>
  <c r="AE27" i="19"/>
  <c r="AB27" i="19"/>
  <c r="Y27" i="19"/>
  <c r="V27" i="19"/>
  <c r="S27" i="19"/>
  <c r="I38" i="19"/>
  <c r="G38" i="19"/>
  <c r="AB39" i="19"/>
  <c r="Y39" i="19"/>
  <c r="V39" i="19"/>
  <c r="S39" i="19"/>
  <c r="P39" i="19"/>
  <c r="M39" i="19"/>
  <c r="J39" i="19"/>
  <c r="H39" i="19"/>
  <c r="F39" i="19"/>
  <c r="AB38" i="19"/>
  <c r="Y38" i="19"/>
  <c r="V38" i="19"/>
  <c r="H38" i="19"/>
  <c r="F38" i="19"/>
  <c r="AB25" i="19"/>
  <c r="Y25" i="19"/>
  <c r="V25" i="19"/>
  <c r="H25" i="19"/>
  <c r="F25" i="19"/>
  <c r="AE45" i="19"/>
  <c r="AB45" i="19"/>
  <c r="Y45" i="19"/>
  <c r="V45" i="19"/>
  <c r="S45" i="19"/>
  <c r="P45" i="19"/>
  <c r="J45" i="19"/>
  <c r="AC26" i="19"/>
  <c r="AB26" i="19"/>
  <c r="Z26" i="19"/>
  <c r="Y26" i="19"/>
  <c r="W26" i="19"/>
  <c r="V26" i="19"/>
  <c r="T26" i="19"/>
  <c r="S26" i="19"/>
  <c r="Q26" i="19"/>
  <c r="P26" i="19"/>
  <c r="M26" i="19"/>
  <c r="J26" i="19"/>
  <c r="H26" i="19"/>
  <c r="I26" i="19"/>
  <c r="G26" i="19"/>
  <c r="P47" i="17"/>
  <c r="P48" i="17"/>
  <c r="P46" i="17"/>
  <c r="F26" i="19"/>
  <c r="J9" i="19"/>
  <c r="AK9" i="19"/>
  <c r="Y9" i="19"/>
  <c r="G9" i="19"/>
  <c r="H10" i="19"/>
  <c r="BC10" i="19"/>
  <c r="AT10" i="19"/>
  <c r="AQ10" i="19"/>
  <c r="AN10" i="19"/>
  <c r="AK10" i="19"/>
  <c r="AH10" i="19"/>
  <c r="AB10" i="19"/>
  <c r="Y10" i="19"/>
  <c r="V10" i="19"/>
  <c r="G10" i="19"/>
  <c r="F10" i="19"/>
  <c r="AN46" i="19"/>
  <c r="G47" i="19"/>
  <c r="F47" i="19"/>
  <c r="BC46" i="19"/>
  <c r="AT46" i="19"/>
  <c r="AQ46" i="19"/>
  <c r="AK46" i="19"/>
  <c r="AH46" i="19"/>
  <c r="AB46" i="19"/>
  <c r="Y46" i="19"/>
  <c r="V46" i="19"/>
  <c r="S46" i="19"/>
  <c r="G46" i="19"/>
  <c r="F46" i="19"/>
  <c r="F34" i="19"/>
  <c r="J34" i="19"/>
  <c r="K34" i="19"/>
  <c r="M34" i="19"/>
  <c r="N34" i="19"/>
  <c r="P34" i="19"/>
  <c r="Q34" i="19"/>
  <c r="S34" i="19"/>
  <c r="T34" i="19"/>
  <c r="V34" i="19"/>
  <c r="W34" i="19"/>
  <c r="Y34" i="19"/>
  <c r="Z34" i="19"/>
  <c r="AB34" i="19"/>
  <c r="AC34" i="19"/>
  <c r="AE34" i="19"/>
  <c r="AF34" i="19"/>
  <c r="AK34" i="19"/>
  <c r="AL34" i="19"/>
  <c r="AL33" i="19"/>
  <c r="AK33" i="19"/>
  <c r="AF33" i="19"/>
  <c r="AE33" i="19"/>
  <c r="AC33" i="19"/>
  <c r="AB33" i="19"/>
  <c r="Z33" i="19"/>
  <c r="Y33" i="19"/>
  <c r="W33" i="19"/>
  <c r="V33" i="19"/>
  <c r="T33" i="19"/>
  <c r="S33" i="19"/>
  <c r="Q33" i="19"/>
  <c r="P33" i="19"/>
  <c r="N33" i="19"/>
  <c r="M33" i="19"/>
  <c r="K33" i="19"/>
  <c r="J33" i="19"/>
  <c r="F33" i="19"/>
  <c r="BC12" i="19"/>
  <c r="BD12" i="19"/>
  <c r="BD11" i="19"/>
  <c r="BC11" i="19"/>
  <c r="T11" i="19"/>
  <c r="W11" i="19"/>
  <c r="Y11" i="19"/>
  <c r="Z11" i="19"/>
  <c r="AE11" i="19"/>
  <c r="AF11" i="19"/>
  <c r="T12" i="19"/>
  <c r="W12" i="19"/>
  <c r="Y12" i="19"/>
  <c r="Z12" i="19"/>
  <c r="AE12" i="19"/>
  <c r="AF12" i="19"/>
  <c r="P11" i="19"/>
  <c r="Q11" i="19"/>
  <c r="P12" i="19"/>
  <c r="Q12" i="19"/>
  <c r="H11" i="19"/>
  <c r="H12" i="19"/>
  <c r="I36" i="19"/>
  <c r="I11" i="19"/>
  <c r="I12" i="19"/>
  <c r="I37" i="19"/>
  <c r="G36" i="19"/>
  <c r="G37" i="19"/>
  <c r="G12" i="19"/>
  <c r="G11" i="19"/>
  <c r="F11" i="19"/>
  <c r="F12" i="19"/>
  <c r="F36" i="19"/>
  <c r="J36" i="19"/>
  <c r="K36" i="19"/>
  <c r="P36" i="19"/>
  <c r="Q36" i="19"/>
  <c r="S36" i="19"/>
  <c r="T36" i="19"/>
  <c r="V36" i="19"/>
  <c r="W36" i="19"/>
  <c r="Y36" i="19"/>
  <c r="Z36" i="19"/>
  <c r="AB36" i="19"/>
  <c r="AC36" i="19"/>
  <c r="AE36" i="19"/>
  <c r="AF36" i="19"/>
  <c r="AI36" i="19"/>
  <c r="AK36" i="19"/>
  <c r="AL36" i="19"/>
  <c r="AQ36" i="19"/>
  <c r="AR36" i="19"/>
  <c r="AT36" i="19"/>
  <c r="AU36" i="19"/>
  <c r="BC36" i="19"/>
  <c r="BD36" i="19"/>
  <c r="BD37" i="19"/>
  <c r="BC37" i="19"/>
  <c r="AU37" i="19"/>
  <c r="AT37" i="19"/>
  <c r="AR37" i="19"/>
  <c r="AQ37" i="19"/>
  <c r="AL37" i="19"/>
  <c r="AK37" i="19"/>
  <c r="AI37" i="19"/>
  <c r="AH37" i="19"/>
  <c r="AF37" i="19"/>
  <c r="AE37" i="19"/>
  <c r="AC37" i="19"/>
  <c r="AB37" i="19"/>
  <c r="Z37" i="19"/>
  <c r="Y37" i="19"/>
  <c r="W37" i="19"/>
  <c r="V37" i="19"/>
  <c r="T37" i="19"/>
  <c r="S37" i="19"/>
  <c r="Q37" i="19"/>
  <c r="P37" i="19"/>
  <c r="K37" i="19"/>
  <c r="J37" i="19"/>
  <c r="F37" i="19"/>
  <c r="AT43" i="19"/>
  <c r="AU43" i="19"/>
  <c r="AT44" i="19"/>
  <c r="AU44" i="19"/>
  <c r="AT41" i="19"/>
  <c r="AU41" i="19"/>
  <c r="AU42" i="19"/>
  <c r="AT42" i="19"/>
  <c r="AQ43" i="19"/>
  <c r="AR43" i="19"/>
  <c r="AQ44" i="19"/>
  <c r="AR44" i="19"/>
  <c r="AQ41" i="19"/>
  <c r="AR41" i="19"/>
  <c r="AR42" i="19"/>
  <c r="AQ42" i="19"/>
  <c r="AN43" i="19"/>
  <c r="AO43" i="19"/>
  <c r="AN44" i="19"/>
  <c r="AO44" i="19"/>
  <c r="AN41" i="19"/>
  <c r="AO41" i="19"/>
  <c r="AO42" i="19"/>
  <c r="AN42" i="19"/>
  <c r="AK43" i="19"/>
  <c r="AL43" i="19"/>
  <c r="AK44" i="19"/>
  <c r="AL44" i="19"/>
  <c r="AK41" i="19"/>
  <c r="AL41" i="19"/>
  <c r="AL42" i="19"/>
  <c r="AK42" i="19"/>
  <c r="AH43" i="19"/>
  <c r="AI43" i="19"/>
  <c r="AH44" i="19"/>
  <c r="AI44" i="19"/>
  <c r="AH41" i="19"/>
  <c r="AI41" i="19"/>
  <c r="AI42" i="19"/>
  <c r="AH42" i="19"/>
  <c r="AE43" i="19"/>
  <c r="AF43" i="19"/>
  <c r="AE44" i="19"/>
  <c r="AF44" i="19"/>
  <c r="AE41" i="19"/>
  <c r="AF41" i="19"/>
  <c r="AF42" i="19"/>
  <c r="AE42" i="19"/>
  <c r="AB43" i="19"/>
  <c r="AC43" i="19"/>
  <c r="AB44" i="19"/>
  <c r="AC44" i="19"/>
  <c r="AB41" i="19"/>
  <c r="AC41" i="19"/>
  <c r="AC42" i="19"/>
  <c r="AB42" i="19"/>
  <c r="Y43" i="19"/>
  <c r="Z43" i="19"/>
  <c r="Y44" i="19"/>
  <c r="Z44" i="19"/>
  <c r="Y41" i="19"/>
  <c r="Z41" i="19"/>
  <c r="Z42" i="19"/>
  <c r="Y42" i="19"/>
  <c r="V43" i="19"/>
  <c r="W43" i="19"/>
  <c r="V44" i="19"/>
  <c r="W44" i="19"/>
  <c r="V41" i="19"/>
  <c r="W41" i="19"/>
  <c r="W42" i="19"/>
  <c r="V42" i="19"/>
  <c r="S43" i="19"/>
  <c r="T43" i="19"/>
  <c r="S44" i="19"/>
  <c r="T44" i="19"/>
  <c r="S41" i="19"/>
  <c r="T41" i="19"/>
  <c r="T42" i="19"/>
  <c r="S42" i="19"/>
  <c r="I43" i="19"/>
  <c r="I44" i="19"/>
  <c r="I41" i="19"/>
  <c r="I42" i="19"/>
  <c r="F43" i="19"/>
  <c r="F44" i="19"/>
  <c r="F41" i="19"/>
  <c r="F42" i="19"/>
  <c r="AT14" i="19"/>
  <c r="AT15" i="19"/>
  <c r="AT13" i="19"/>
  <c r="AQ14" i="19"/>
  <c r="AQ15" i="19"/>
  <c r="AQ13" i="19"/>
  <c r="AN15" i="19"/>
  <c r="AN13" i="19"/>
  <c r="AN14" i="19"/>
  <c r="AH15" i="19"/>
  <c r="AH13" i="19"/>
  <c r="AH14" i="19"/>
  <c r="AE15" i="19"/>
  <c r="AE13" i="19"/>
  <c r="AE14" i="19"/>
  <c r="AB14" i="19"/>
  <c r="AB15" i="19"/>
  <c r="AB13" i="19"/>
  <c r="Y15" i="19"/>
  <c r="Y13" i="19"/>
  <c r="Y14" i="19"/>
  <c r="V14" i="19"/>
  <c r="V15" i="19"/>
  <c r="V13" i="19"/>
  <c r="S14" i="19"/>
  <c r="S15" i="19"/>
  <c r="S13" i="19"/>
  <c r="J15" i="19"/>
  <c r="J13" i="19"/>
  <c r="J14" i="19"/>
  <c r="F14" i="19"/>
  <c r="G14" i="19"/>
  <c r="F15" i="19"/>
  <c r="G15" i="19"/>
  <c r="F13" i="19"/>
  <c r="G13" i="19"/>
  <c r="F7" i="19"/>
  <c r="G7" i="19"/>
  <c r="H7" i="19"/>
  <c r="I7" i="19"/>
  <c r="F31" i="19"/>
  <c r="J31" i="19"/>
  <c r="K31" i="19"/>
  <c r="P31" i="19"/>
  <c r="Q31" i="19"/>
  <c r="S31" i="19"/>
  <c r="T31" i="19"/>
  <c r="V31" i="19"/>
  <c r="W31" i="19"/>
  <c r="AB31" i="19"/>
  <c r="AC31" i="19"/>
  <c r="AC30" i="19"/>
  <c r="AB30" i="19"/>
  <c r="W30" i="19"/>
  <c r="V30" i="19"/>
  <c r="T30" i="19"/>
  <c r="S30" i="19"/>
  <c r="Q30" i="19"/>
  <c r="P30" i="19"/>
  <c r="K30" i="19"/>
  <c r="J30" i="19"/>
  <c r="F30" i="19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" i="18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E106" i="18"/>
  <c r="F106" i="18"/>
  <c r="E154" i="18"/>
  <c r="F154" i="18"/>
  <c r="G154" i="18"/>
  <c r="E155" i="18"/>
  <c r="F155" i="18"/>
  <c r="G155" i="18"/>
  <c r="E156" i="18"/>
  <c r="F156" i="18"/>
  <c r="G156" i="18"/>
  <c r="E157" i="18"/>
  <c r="F157" i="18"/>
  <c r="G157" i="18"/>
  <c r="E158" i="18"/>
  <c r="F158" i="18"/>
  <c r="G158" i="18"/>
  <c r="E159" i="18"/>
  <c r="F159" i="18"/>
  <c r="G159" i="18"/>
  <c r="E160" i="18"/>
  <c r="F160" i="18"/>
  <c r="G160" i="18"/>
  <c r="E161" i="18"/>
  <c r="F161" i="18"/>
  <c r="G161" i="18"/>
  <c r="E162" i="18"/>
  <c r="F162" i="18"/>
  <c r="G162" i="18"/>
  <c r="E163" i="18"/>
  <c r="F163" i="18"/>
  <c r="G163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G2" i="18"/>
  <c r="F2" i="18"/>
  <c r="E2" i="18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" i="18"/>
  <c r="H3" i="18"/>
  <c r="I3" i="18"/>
  <c r="J3" i="18"/>
  <c r="L3" i="18"/>
  <c r="H4" i="18"/>
  <c r="I4" i="18"/>
  <c r="J4" i="18"/>
  <c r="L4" i="18"/>
  <c r="H5" i="18"/>
  <c r="I5" i="18"/>
  <c r="J5" i="18"/>
  <c r="L5" i="18"/>
  <c r="H6" i="18"/>
  <c r="I6" i="18"/>
  <c r="J6" i="18"/>
  <c r="L6" i="18"/>
  <c r="H7" i="18"/>
  <c r="I7" i="18"/>
  <c r="J7" i="18"/>
  <c r="L7" i="18"/>
  <c r="H8" i="18"/>
  <c r="I8" i="18"/>
  <c r="J8" i="18"/>
  <c r="L8" i="18"/>
  <c r="H9" i="18"/>
  <c r="I9" i="18"/>
  <c r="J9" i="18"/>
  <c r="L9" i="18"/>
  <c r="H10" i="18"/>
  <c r="I10" i="18"/>
  <c r="J10" i="18"/>
  <c r="L10" i="18"/>
  <c r="H11" i="18"/>
  <c r="I11" i="18"/>
  <c r="J11" i="18"/>
  <c r="L11" i="18"/>
  <c r="H12" i="18"/>
  <c r="I12" i="18"/>
  <c r="J12" i="18"/>
  <c r="L12" i="18"/>
  <c r="H13" i="18"/>
  <c r="I13" i="18"/>
  <c r="J13" i="18"/>
  <c r="L13" i="18"/>
  <c r="H14" i="18"/>
  <c r="I14" i="18"/>
  <c r="J14" i="18"/>
  <c r="L14" i="18"/>
  <c r="H15" i="18"/>
  <c r="I15" i="18"/>
  <c r="J15" i="18"/>
  <c r="L15" i="18"/>
  <c r="H16" i="18"/>
  <c r="I16" i="18"/>
  <c r="J16" i="18"/>
  <c r="L16" i="18"/>
  <c r="H17" i="18"/>
  <c r="I17" i="18"/>
  <c r="J17" i="18"/>
  <c r="L17" i="18"/>
  <c r="H18" i="18"/>
  <c r="I18" i="18"/>
  <c r="J18" i="18"/>
  <c r="L18" i="18"/>
  <c r="H19" i="18"/>
  <c r="I19" i="18"/>
  <c r="J19" i="18"/>
  <c r="L19" i="18"/>
  <c r="H20" i="18"/>
  <c r="I20" i="18"/>
  <c r="J20" i="18"/>
  <c r="L20" i="18"/>
  <c r="H21" i="18"/>
  <c r="I21" i="18"/>
  <c r="J21" i="18"/>
  <c r="L21" i="18"/>
  <c r="H22" i="18"/>
  <c r="I22" i="18"/>
  <c r="J22" i="18"/>
  <c r="L22" i="18"/>
  <c r="H23" i="18"/>
  <c r="I23" i="18"/>
  <c r="J23" i="18"/>
  <c r="L23" i="18"/>
  <c r="H24" i="18"/>
  <c r="I24" i="18"/>
  <c r="J24" i="18"/>
  <c r="L24" i="18"/>
  <c r="H25" i="18"/>
  <c r="I25" i="18"/>
  <c r="J25" i="18"/>
  <c r="L25" i="18"/>
  <c r="H26" i="18"/>
  <c r="I26" i="18"/>
  <c r="J26" i="18"/>
  <c r="L26" i="18"/>
  <c r="H27" i="18"/>
  <c r="I27" i="18"/>
  <c r="J27" i="18"/>
  <c r="L27" i="18"/>
  <c r="H28" i="18"/>
  <c r="I28" i="18"/>
  <c r="J28" i="18"/>
  <c r="L28" i="18"/>
  <c r="H29" i="18"/>
  <c r="I29" i="18"/>
  <c r="J29" i="18"/>
  <c r="L29" i="18"/>
  <c r="H30" i="18"/>
  <c r="I30" i="18"/>
  <c r="J30" i="18"/>
  <c r="L30" i="18"/>
  <c r="H31" i="18"/>
  <c r="I31" i="18"/>
  <c r="J31" i="18"/>
  <c r="L31" i="18"/>
  <c r="H32" i="18"/>
  <c r="I32" i="18"/>
  <c r="J32" i="18"/>
  <c r="L32" i="18"/>
  <c r="H33" i="18"/>
  <c r="I33" i="18"/>
  <c r="J33" i="18"/>
  <c r="L33" i="18"/>
  <c r="H34" i="18"/>
  <c r="I34" i="18"/>
  <c r="J34" i="18"/>
  <c r="L34" i="18"/>
  <c r="H35" i="18"/>
  <c r="I35" i="18"/>
  <c r="J35" i="18"/>
  <c r="L35" i="18"/>
  <c r="H36" i="18"/>
  <c r="I36" i="18"/>
  <c r="J36" i="18"/>
  <c r="L36" i="18"/>
  <c r="H37" i="18"/>
  <c r="I37" i="18"/>
  <c r="J37" i="18"/>
  <c r="L37" i="18"/>
  <c r="H38" i="18"/>
  <c r="I38" i="18"/>
  <c r="J38" i="18"/>
  <c r="L38" i="18"/>
  <c r="H39" i="18"/>
  <c r="I39" i="18"/>
  <c r="J39" i="18"/>
  <c r="L39" i="18"/>
  <c r="H40" i="18"/>
  <c r="I40" i="18"/>
  <c r="J40" i="18"/>
  <c r="L40" i="18"/>
  <c r="H41" i="18"/>
  <c r="I41" i="18"/>
  <c r="J41" i="18"/>
  <c r="L41" i="18"/>
  <c r="H42" i="18"/>
  <c r="I42" i="18"/>
  <c r="J42" i="18"/>
  <c r="L42" i="18"/>
  <c r="H43" i="18"/>
  <c r="I43" i="18"/>
  <c r="J43" i="18"/>
  <c r="L43" i="18"/>
  <c r="H44" i="18"/>
  <c r="I44" i="18"/>
  <c r="J44" i="18"/>
  <c r="L44" i="18"/>
  <c r="H45" i="18"/>
  <c r="I45" i="18"/>
  <c r="J45" i="18"/>
  <c r="L45" i="18"/>
  <c r="H46" i="18"/>
  <c r="I46" i="18"/>
  <c r="J46" i="18"/>
  <c r="L46" i="18"/>
  <c r="H47" i="18"/>
  <c r="I47" i="18"/>
  <c r="J47" i="18"/>
  <c r="L47" i="18"/>
  <c r="H48" i="18"/>
  <c r="I48" i="18"/>
  <c r="J48" i="18"/>
  <c r="L48" i="18"/>
  <c r="H49" i="18"/>
  <c r="I49" i="18"/>
  <c r="J49" i="18"/>
  <c r="L49" i="18"/>
  <c r="H50" i="18"/>
  <c r="I50" i="18"/>
  <c r="J50" i="18"/>
  <c r="L50" i="18"/>
  <c r="H51" i="18"/>
  <c r="I51" i="18"/>
  <c r="J51" i="18"/>
  <c r="L51" i="18"/>
  <c r="H52" i="18"/>
  <c r="I52" i="18"/>
  <c r="J52" i="18"/>
  <c r="L52" i="18"/>
  <c r="H53" i="18"/>
  <c r="I53" i="18"/>
  <c r="J53" i="18"/>
  <c r="L53" i="18"/>
  <c r="H54" i="18"/>
  <c r="I54" i="18"/>
  <c r="J54" i="18"/>
  <c r="L54" i="18"/>
  <c r="H55" i="18"/>
  <c r="I55" i="18"/>
  <c r="J55" i="18"/>
  <c r="L55" i="18"/>
  <c r="H56" i="18"/>
  <c r="I56" i="18"/>
  <c r="J56" i="18"/>
  <c r="L56" i="18"/>
  <c r="H57" i="18"/>
  <c r="I57" i="18"/>
  <c r="J57" i="18"/>
  <c r="L57" i="18"/>
  <c r="H58" i="18"/>
  <c r="I58" i="18"/>
  <c r="J58" i="18"/>
  <c r="L58" i="18"/>
  <c r="H59" i="18"/>
  <c r="I59" i="18"/>
  <c r="J59" i="18"/>
  <c r="L59" i="18"/>
  <c r="H60" i="18"/>
  <c r="I60" i="18"/>
  <c r="J60" i="18"/>
  <c r="L60" i="18"/>
  <c r="H61" i="18"/>
  <c r="I61" i="18"/>
  <c r="J61" i="18"/>
  <c r="L61" i="18"/>
  <c r="H62" i="18"/>
  <c r="I62" i="18"/>
  <c r="J62" i="18"/>
  <c r="L62" i="18"/>
  <c r="H63" i="18"/>
  <c r="I63" i="18"/>
  <c r="J63" i="18"/>
  <c r="L63" i="18"/>
  <c r="H64" i="18"/>
  <c r="I64" i="18"/>
  <c r="J64" i="18"/>
  <c r="L64" i="18"/>
  <c r="H65" i="18"/>
  <c r="I65" i="18"/>
  <c r="J65" i="18"/>
  <c r="L65" i="18"/>
  <c r="H66" i="18"/>
  <c r="I66" i="18"/>
  <c r="J66" i="18"/>
  <c r="L66" i="18"/>
  <c r="H67" i="18"/>
  <c r="I67" i="18"/>
  <c r="J67" i="18"/>
  <c r="L67" i="18"/>
  <c r="H68" i="18"/>
  <c r="I68" i="18"/>
  <c r="J68" i="18"/>
  <c r="L68" i="18"/>
  <c r="H69" i="18"/>
  <c r="I69" i="18"/>
  <c r="J69" i="18"/>
  <c r="L69" i="18"/>
  <c r="H70" i="18"/>
  <c r="I70" i="18"/>
  <c r="J70" i="18"/>
  <c r="L70" i="18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76" i="18"/>
  <c r="I76" i="18"/>
  <c r="J76" i="18"/>
  <c r="L76" i="18"/>
  <c r="H77" i="18"/>
  <c r="I77" i="18"/>
  <c r="J77" i="18"/>
  <c r="L77" i="18"/>
  <c r="H78" i="18"/>
  <c r="I78" i="18"/>
  <c r="J78" i="18"/>
  <c r="L78" i="18"/>
  <c r="H79" i="18"/>
  <c r="I79" i="18"/>
  <c r="J79" i="18"/>
  <c r="L79" i="18"/>
  <c r="H80" i="18"/>
  <c r="I80" i="18"/>
  <c r="J80" i="18"/>
  <c r="L80" i="18"/>
  <c r="H81" i="18"/>
  <c r="I81" i="18"/>
  <c r="J81" i="18"/>
  <c r="L81" i="18"/>
  <c r="H82" i="18"/>
  <c r="I82" i="18"/>
  <c r="J82" i="18"/>
  <c r="L82" i="18"/>
  <c r="H83" i="18"/>
  <c r="I83" i="18"/>
  <c r="J83" i="18"/>
  <c r="L83" i="18"/>
  <c r="H84" i="18"/>
  <c r="I84" i="18"/>
  <c r="J84" i="18"/>
  <c r="L84" i="18"/>
  <c r="H85" i="18"/>
  <c r="I85" i="18"/>
  <c r="J85" i="18"/>
  <c r="L85" i="18"/>
  <c r="H86" i="18"/>
  <c r="I86" i="18"/>
  <c r="J86" i="18"/>
  <c r="L86" i="18"/>
  <c r="H87" i="18"/>
  <c r="I87" i="18"/>
  <c r="J87" i="18"/>
  <c r="L87" i="18"/>
  <c r="H88" i="18"/>
  <c r="I88" i="18"/>
  <c r="J88" i="18"/>
  <c r="L88" i="18"/>
  <c r="H89" i="18"/>
  <c r="I89" i="18"/>
  <c r="J89" i="18"/>
  <c r="L89" i="18"/>
  <c r="H90" i="18"/>
  <c r="I90" i="18"/>
  <c r="J90" i="18"/>
  <c r="L90" i="18"/>
  <c r="H91" i="18"/>
  <c r="I91" i="18"/>
  <c r="J91" i="18"/>
  <c r="L91" i="18"/>
  <c r="H92" i="18"/>
  <c r="I92" i="18"/>
  <c r="J92" i="18"/>
  <c r="L92" i="18"/>
  <c r="H93" i="18"/>
  <c r="I93" i="18"/>
  <c r="J93" i="18"/>
  <c r="L93" i="18"/>
  <c r="H94" i="18"/>
  <c r="I94" i="18"/>
  <c r="J94" i="18"/>
  <c r="L94" i="18"/>
  <c r="H95" i="18"/>
  <c r="I95" i="18"/>
  <c r="J95" i="18"/>
  <c r="L95" i="18"/>
  <c r="H96" i="18"/>
  <c r="I96" i="18"/>
  <c r="J96" i="18"/>
  <c r="L96" i="18"/>
  <c r="H97" i="18"/>
  <c r="I97" i="18"/>
  <c r="J97" i="18"/>
  <c r="L97" i="18"/>
  <c r="H98" i="18"/>
  <c r="I98" i="18"/>
  <c r="J98" i="18"/>
  <c r="L98" i="18"/>
  <c r="H99" i="18"/>
  <c r="I99" i="18"/>
  <c r="J99" i="18"/>
  <c r="L99" i="18"/>
  <c r="H100" i="18"/>
  <c r="I100" i="18"/>
  <c r="J100" i="18"/>
  <c r="L100" i="18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54" i="18"/>
  <c r="I154" i="18"/>
  <c r="J154" i="18"/>
  <c r="L154" i="18"/>
  <c r="H155" i="18"/>
  <c r="I155" i="18"/>
  <c r="J155" i="18"/>
  <c r="L155" i="18"/>
  <c r="H156" i="18"/>
  <c r="I156" i="18"/>
  <c r="J156" i="18"/>
  <c r="L156" i="18"/>
  <c r="H157" i="18"/>
  <c r="I157" i="18"/>
  <c r="J157" i="18"/>
  <c r="L157" i="18"/>
  <c r="H158" i="18"/>
  <c r="I158" i="18"/>
  <c r="J158" i="18"/>
  <c r="L158" i="18"/>
  <c r="H159" i="18"/>
  <c r="I159" i="18"/>
  <c r="J159" i="18"/>
  <c r="L159" i="18"/>
  <c r="H160" i="18"/>
  <c r="I160" i="18"/>
  <c r="J160" i="18"/>
  <c r="L160" i="18"/>
  <c r="H161" i="18"/>
  <c r="I161" i="18"/>
  <c r="J161" i="18"/>
  <c r="L161" i="18"/>
  <c r="H162" i="18"/>
  <c r="I162" i="18"/>
  <c r="J162" i="18"/>
  <c r="L162" i="18"/>
  <c r="H163" i="18"/>
  <c r="I163" i="18"/>
  <c r="J163" i="18"/>
  <c r="L163" i="18"/>
  <c r="H164" i="18"/>
  <c r="I164" i="18"/>
  <c r="J164" i="18"/>
  <c r="L164" i="18"/>
  <c r="H165" i="18"/>
  <c r="I165" i="18"/>
  <c r="J165" i="18"/>
  <c r="L165" i="18"/>
  <c r="H166" i="18"/>
  <c r="I166" i="18"/>
  <c r="J166" i="18"/>
  <c r="L166" i="18"/>
  <c r="H167" i="18"/>
  <c r="I167" i="18"/>
  <c r="J167" i="18"/>
  <c r="L167" i="18"/>
  <c r="H168" i="18"/>
  <c r="I168" i="18"/>
  <c r="J168" i="18"/>
  <c r="L168" i="18"/>
  <c r="H169" i="18"/>
  <c r="I169" i="18"/>
  <c r="J169" i="18"/>
  <c r="L169" i="18"/>
  <c r="H170" i="18"/>
  <c r="I170" i="18"/>
  <c r="J170" i="18"/>
  <c r="L170" i="18"/>
  <c r="H171" i="18"/>
  <c r="I171" i="18"/>
  <c r="J171" i="18"/>
  <c r="L171" i="18"/>
  <c r="H172" i="18"/>
  <c r="I172" i="18"/>
  <c r="J172" i="18"/>
  <c r="L172" i="18"/>
  <c r="H173" i="18"/>
  <c r="I173" i="18"/>
  <c r="J173" i="18"/>
  <c r="L173" i="18"/>
  <c r="H174" i="18"/>
  <c r="I174" i="18"/>
  <c r="J174" i="18"/>
  <c r="L174" i="18"/>
  <c r="H175" i="18"/>
  <c r="I175" i="18"/>
  <c r="J175" i="18"/>
  <c r="L175" i="18"/>
  <c r="H176" i="18"/>
  <c r="I176" i="18"/>
  <c r="J176" i="18"/>
  <c r="L176" i="18"/>
  <c r="H177" i="18"/>
  <c r="I177" i="18"/>
  <c r="J177" i="18"/>
  <c r="L177" i="18"/>
  <c r="H178" i="18"/>
  <c r="I178" i="18"/>
  <c r="J178" i="18"/>
  <c r="L178" i="18"/>
  <c r="H179" i="18"/>
  <c r="I179" i="18"/>
  <c r="J179" i="18"/>
  <c r="L179" i="18"/>
  <c r="H180" i="18"/>
  <c r="I180" i="18"/>
  <c r="J180" i="18"/>
  <c r="L180" i="18"/>
  <c r="H181" i="18"/>
  <c r="I181" i="18"/>
  <c r="J181" i="18"/>
  <c r="L181" i="18"/>
  <c r="H182" i="18"/>
  <c r="I182" i="18"/>
  <c r="J182" i="18"/>
  <c r="L182" i="18"/>
  <c r="H183" i="18"/>
  <c r="I183" i="18"/>
  <c r="J183" i="18"/>
  <c r="L183" i="18"/>
  <c r="H184" i="18"/>
  <c r="I184" i="18"/>
  <c r="J184" i="18"/>
  <c r="L184" i="18"/>
  <c r="H185" i="18"/>
  <c r="I185" i="18"/>
  <c r="J185" i="18"/>
  <c r="L185" i="18"/>
  <c r="H186" i="18"/>
  <c r="I186" i="18"/>
  <c r="J186" i="18"/>
  <c r="L186" i="18"/>
  <c r="H187" i="18"/>
  <c r="I187" i="18"/>
  <c r="J187" i="18"/>
  <c r="L187" i="18"/>
  <c r="H188" i="18"/>
  <c r="I188" i="18"/>
  <c r="J188" i="18"/>
  <c r="L188" i="18"/>
  <c r="H189" i="18"/>
  <c r="I189" i="18"/>
  <c r="J189" i="18"/>
  <c r="L189" i="18"/>
  <c r="H190" i="18"/>
  <c r="I190" i="18"/>
  <c r="J190" i="18"/>
  <c r="L190" i="18"/>
  <c r="H191" i="18"/>
  <c r="I191" i="18"/>
  <c r="J191" i="18"/>
  <c r="L191" i="18"/>
  <c r="H192" i="18"/>
  <c r="I192" i="18"/>
  <c r="J192" i="18"/>
  <c r="L192" i="18"/>
  <c r="H193" i="18"/>
  <c r="I193" i="18"/>
  <c r="J193" i="18"/>
  <c r="L193" i="18"/>
  <c r="H194" i="18"/>
  <c r="I194" i="18"/>
  <c r="J194" i="18"/>
  <c r="L194" i="18"/>
  <c r="H195" i="18"/>
  <c r="I195" i="18"/>
  <c r="J195" i="18"/>
  <c r="L195" i="18"/>
  <c r="H196" i="18"/>
  <c r="I196" i="18"/>
  <c r="J196" i="18"/>
  <c r="L196" i="18"/>
  <c r="H197" i="18"/>
  <c r="I197" i="18"/>
  <c r="J197" i="18"/>
  <c r="L197" i="18"/>
  <c r="H198" i="18"/>
  <c r="I198" i="18"/>
  <c r="J198" i="18"/>
  <c r="L198" i="18"/>
  <c r="H199" i="18"/>
  <c r="I199" i="18"/>
  <c r="J199" i="18"/>
  <c r="L199" i="18"/>
  <c r="H200" i="18"/>
  <c r="I200" i="18"/>
  <c r="J200" i="18"/>
  <c r="L200" i="18"/>
  <c r="H201" i="18"/>
  <c r="I201" i="18"/>
  <c r="J201" i="18"/>
  <c r="L201" i="18"/>
  <c r="H202" i="18"/>
  <c r="I202" i="18"/>
  <c r="J202" i="18"/>
  <c r="L202" i="18"/>
  <c r="H203" i="18"/>
  <c r="I203" i="18"/>
  <c r="J203" i="18"/>
  <c r="L203" i="18"/>
  <c r="H204" i="18"/>
  <c r="I204" i="18"/>
  <c r="J204" i="18"/>
  <c r="L204" i="18"/>
  <c r="H205" i="18"/>
  <c r="I205" i="18"/>
  <c r="J205" i="18"/>
  <c r="L205" i="18"/>
  <c r="H206" i="18"/>
  <c r="I206" i="18"/>
  <c r="J206" i="18"/>
  <c r="L206" i="18"/>
  <c r="I2" i="18"/>
  <c r="J2" i="18"/>
  <c r="H2" i="18"/>
  <c r="L2" i="18"/>
  <c r="A111" i="9"/>
  <c r="B111" i="9"/>
  <c r="A112" i="9"/>
  <c r="B112" i="9"/>
  <c r="A113" i="9"/>
  <c r="B113" i="9"/>
  <c r="A114" i="9"/>
  <c r="B114" i="9"/>
  <c r="A115" i="9"/>
  <c r="B115" i="9"/>
  <c r="A116" i="9"/>
  <c r="B116" i="9"/>
  <c r="A107" i="9"/>
  <c r="B107" i="9"/>
  <c r="A108" i="9"/>
  <c r="B108" i="9"/>
  <c r="A109" i="9"/>
  <c r="B109" i="9"/>
  <c r="A110" i="9"/>
  <c r="B110" i="9"/>
  <c r="D3" i="18"/>
  <c r="C31" i="19" s="1"/>
  <c r="D4" i="18"/>
  <c r="C7" i="19" s="1"/>
  <c r="D5" i="18"/>
  <c r="C14" i="19" s="1"/>
  <c r="D6" i="18"/>
  <c r="C15" i="19" s="1"/>
  <c r="D7" i="18"/>
  <c r="C13" i="19" s="1"/>
  <c r="D8" i="18"/>
  <c r="D9" i="18"/>
  <c r="D10" i="18"/>
  <c r="D11" i="18"/>
  <c r="D12" i="18"/>
  <c r="C42" i="19" s="1"/>
  <c r="D13" i="18"/>
  <c r="C43" i="19" s="1"/>
  <c r="D14" i="18"/>
  <c r="C44" i="19" s="1"/>
  <c r="D15" i="18"/>
  <c r="C41" i="19" s="1"/>
  <c r="D16" i="18"/>
  <c r="C37" i="19" s="1"/>
  <c r="D17" i="18"/>
  <c r="C36" i="19" s="1"/>
  <c r="D18" i="18"/>
  <c r="C11" i="19" s="1"/>
  <c r="D19" i="18"/>
  <c r="C12" i="19" s="1"/>
  <c r="D20" i="18"/>
  <c r="C33" i="19" s="1"/>
  <c r="D21" i="18"/>
  <c r="D22" i="18"/>
  <c r="C34" i="19" s="1"/>
  <c r="D23" i="18"/>
  <c r="C46" i="19" s="1"/>
  <c r="D24" i="18"/>
  <c r="C47" i="19" s="1"/>
  <c r="D25" i="18"/>
  <c r="D26" i="18"/>
  <c r="D27" i="18"/>
  <c r="D28" i="18"/>
  <c r="D29" i="18"/>
  <c r="D30" i="18"/>
  <c r="D31" i="18"/>
  <c r="D32" i="18"/>
  <c r="C10" i="19" s="1"/>
  <c r="D33" i="18"/>
  <c r="D34" i="18"/>
  <c r="D35" i="18"/>
  <c r="D36" i="18"/>
  <c r="D37" i="18"/>
  <c r="D38" i="18"/>
  <c r="D39" i="18"/>
  <c r="D40" i="18"/>
  <c r="D41" i="18"/>
  <c r="D42" i="18"/>
  <c r="D43" i="18"/>
  <c r="C9" i="19" s="1"/>
  <c r="D44" i="18"/>
  <c r="D45" i="18"/>
  <c r="C26" i="19" s="1"/>
  <c r="D46" i="18"/>
  <c r="D47" i="18"/>
  <c r="D48" i="18"/>
  <c r="C45" i="19" s="1"/>
  <c r="D50" i="18"/>
  <c r="D51" i="18"/>
  <c r="D52" i="18"/>
  <c r="D53" i="18"/>
  <c r="D54" i="18"/>
  <c r="D55" i="18"/>
  <c r="C25" i="19" s="1"/>
  <c r="D56" i="18"/>
  <c r="D57" i="18"/>
  <c r="D58" i="18"/>
  <c r="C38" i="19" s="1"/>
  <c r="D59" i="18"/>
  <c r="D60" i="18"/>
  <c r="D61" i="18"/>
  <c r="C39" i="19" s="1"/>
  <c r="D62" i="18"/>
  <c r="D63" i="18"/>
  <c r="D64" i="18"/>
  <c r="D65" i="18"/>
  <c r="D66" i="18"/>
  <c r="C27" i="19" s="1"/>
  <c r="D67" i="18"/>
  <c r="C28" i="19" s="1"/>
  <c r="D68" i="18"/>
  <c r="C29" i="19" s="1"/>
  <c r="D69" i="18"/>
  <c r="D70" i="18"/>
  <c r="D71" i="18"/>
  <c r="D72" i="18"/>
  <c r="D73" i="18"/>
  <c r="D74" i="18"/>
  <c r="D75" i="18"/>
  <c r="D76" i="18"/>
  <c r="C35" i="19" s="1"/>
  <c r="D77" i="18"/>
  <c r="D78" i="18"/>
  <c r="D79" i="18"/>
  <c r="C40" i="19" s="1"/>
  <c r="D80" i="18"/>
  <c r="D81" i="18"/>
  <c r="C6" i="19" s="1"/>
  <c r="D82" i="18"/>
  <c r="C16" i="19" s="1"/>
  <c r="D83" i="18"/>
  <c r="C19" i="19" s="1"/>
  <c r="D84" i="18"/>
  <c r="C22" i="19" s="1"/>
  <c r="D85" i="18"/>
  <c r="C17" i="19" s="1"/>
  <c r="D86" i="18"/>
  <c r="C20" i="19" s="1"/>
  <c r="D87" i="18"/>
  <c r="C23" i="19" s="1"/>
  <c r="D88" i="18"/>
  <c r="C18" i="19" s="1"/>
  <c r="D89" i="18"/>
  <c r="C21" i="19" s="1"/>
  <c r="D90" i="18"/>
  <c r="C24" i="19" s="1"/>
  <c r="D91" i="18"/>
  <c r="C8" i="19" s="1"/>
  <c r="D92" i="18"/>
  <c r="C32" i="19" s="1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C5" i="19"/>
  <c r="C4" i="19"/>
  <c r="C3" i="19"/>
  <c r="C2" i="19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" i="18"/>
  <c r="C30" i="19" s="1"/>
  <c r="A2" i="18"/>
  <c r="A30" i="19" s="1"/>
  <c r="B2" i="18"/>
  <c r="B30" i="19" s="1"/>
  <c r="A3" i="18"/>
  <c r="A31" i="19" s="1"/>
  <c r="B3" i="18"/>
  <c r="B31" i="19" s="1"/>
  <c r="A4" i="18"/>
  <c r="A7" i="19" s="1"/>
  <c r="B4" i="18"/>
  <c r="B7" i="19" s="1"/>
  <c r="A5" i="18"/>
  <c r="A14" i="19" s="1"/>
  <c r="B5" i="18"/>
  <c r="B14" i="19" s="1"/>
  <c r="A6" i="18"/>
  <c r="A15" i="19" s="1"/>
  <c r="B6" i="18"/>
  <c r="B15" i="19" s="1"/>
  <c r="A7" i="18"/>
  <c r="A13" i="19" s="1"/>
  <c r="B7" i="18"/>
  <c r="B13" i="19" s="1"/>
  <c r="A8" i="18"/>
  <c r="B8" i="18"/>
  <c r="A9" i="18"/>
  <c r="B9" i="18"/>
  <c r="A10" i="18"/>
  <c r="B10" i="18"/>
  <c r="A11" i="18"/>
  <c r="B11" i="18"/>
  <c r="A12" i="18"/>
  <c r="A42" i="19" s="1"/>
  <c r="B12" i="18"/>
  <c r="B42" i="19" s="1"/>
  <c r="A13" i="18"/>
  <c r="A43" i="19" s="1"/>
  <c r="B13" i="18"/>
  <c r="B43" i="19" s="1"/>
  <c r="A14" i="18"/>
  <c r="A44" i="19" s="1"/>
  <c r="B14" i="18"/>
  <c r="B44" i="19" s="1"/>
  <c r="A15" i="18"/>
  <c r="A41" i="19" s="1"/>
  <c r="B15" i="18"/>
  <c r="B41" i="19" s="1"/>
  <c r="A16" i="18"/>
  <c r="A37" i="19" s="1"/>
  <c r="B16" i="18"/>
  <c r="B37" i="19" s="1"/>
  <c r="A17" i="18"/>
  <c r="A36" i="19" s="1"/>
  <c r="B17" i="18"/>
  <c r="B36" i="19" s="1"/>
  <c r="A18" i="18"/>
  <c r="A11" i="19" s="1"/>
  <c r="B18" i="18"/>
  <c r="B11" i="19" s="1"/>
  <c r="A19" i="18"/>
  <c r="A12" i="19" s="1"/>
  <c r="B19" i="18"/>
  <c r="B12" i="19" s="1"/>
  <c r="A20" i="18"/>
  <c r="A33" i="19" s="1"/>
  <c r="B20" i="18"/>
  <c r="B33" i="19" s="1"/>
  <c r="A21" i="18"/>
  <c r="B21" i="18"/>
  <c r="A22" i="18"/>
  <c r="A34" i="19" s="1"/>
  <c r="B22" i="18"/>
  <c r="B34" i="19" s="1"/>
  <c r="A23" i="18"/>
  <c r="A46" i="19" s="1"/>
  <c r="B23" i="18"/>
  <c r="B46" i="19" s="1"/>
  <c r="A24" i="18"/>
  <c r="A47" i="19" s="1"/>
  <c r="B24" i="18"/>
  <c r="B47" i="19" s="1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A10" i="19" s="1"/>
  <c r="B32" i="18"/>
  <c r="B10" i="19" s="1"/>
  <c r="A33" i="18"/>
  <c r="B33" i="18"/>
  <c r="A34" i="18"/>
  <c r="B34" i="18"/>
  <c r="A35" i="18"/>
  <c r="B35" i="18"/>
  <c r="A36" i="18"/>
  <c r="B36" i="18"/>
  <c r="A37" i="18"/>
  <c r="B37" i="18"/>
  <c r="A38" i="18"/>
  <c r="B38" i="18"/>
  <c r="A39" i="18"/>
  <c r="B39" i="18"/>
  <c r="A40" i="18"/>
  <c r="B40" i="18"/>
  <c r="A41" i="18"/>
  <c r="B41" i="18"/>
  <c r="A42" i="18"/>
  <c r="B42" i="18"/>
  <c r="A43" i="18"/>
  <c r="A9" i="19" s="1"/>
  <c r="B43" i="18"/>
  <c r="B9" i="19" s="1"/>
  <c r="A44" i="18"/>
  <c r="B44" i="18"/>
  <c r="A45" i="18"/>
  <c r="A26" i="19" s="1"/>
  <c r="B45" i="18"/>
  <c r="B26" i="19" s="1"/>
  <c r="A46" i="18"/>
  <c r="B46" i="18"/>
  <c r="A47" i="18"/>
  <c r="B47" i="18"/>
  <c r="A48" i="18"/>
  <c r="A45" i="19" s="1"/>
  <c r="B48" i="18"/>
  <c r="B45" i="19" s="1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A25" i="19" s="1"/>
  <c r="B55" i="18"/>
  <c r="B25" i="19" s="1"/>
  <c r="A56" i="18"/>
  <c r="B56" i="18"/>
  <c r="A57" i="18"/>
  <c r="B57" i="18"/>
  <c r="A58" i="18"/>
  <c r="A38" i="19" s="1"/>
  <c r="B58" i="18"/>
  <c r="B38" i="19" s="1"/>
  <c r="A59" i="18"/>
  <c r="B59" i="18"/>
  <c r="A60" i="18"/>
  <c r="B60" i="18"/>
  <c r="A61" i="18"/>
  <c r="A39" i="19" s="1"/>
  <c r="B61" i="18"/>
  <c r="B39" i="19" s="1"/>
  <c r="A62" i="18"/>
  <c r="B62" i="18"/>
  <c r="A63" i="18"/>
  <c r="B63" i="18"/>
  <c r="A64" i="18"/>
  <c r="B64" i="18"/>
  <c r="A65" i="18"/>
  <c r="B65" i="18"/>
  <c r="A66" i="18"/>
  <c r="A27" i="19" s="1"/>
  <c r="B66" i="18"/>
  <c r="B27" i="19" s="1"/>
  <c r="A67" i="18"/>
  <c r="A28" i="19" s="1"/>
  <c r="B67" i="18"/>
  <c r="B28" i="19" s="1"/>
  <c r="A68" i="18"/>
  <c r="A29" i="19" s="1"/>
  <c r="B68" i="18"/>
  <c r="B29" i="19" s="1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A35" i="19" s="1"/>
  <c r="B76" i="18"/>
  <c r="B35" i="19" s="1"/>
  <c r="A77" i="18"/>
  <c r="B77" i="18"/>
  <c r="A78" i="18"/>
  <c r="B78" i="18"/>
  <c r="A79" i="18"/>
  <c r="A40" i="19" s="1"/>
  <c r="B79" i="18"/>
  <c r="B40" i="19" s="1"/>
  <c r="A80" i="18"/>
  <c r="B80" i="18"/>
  <c r="A81" i="18"/>
  <c r="A6" i="19" s="1"/>
  <c r="B81" i="18"/>
  <c r="B6" i="19" s="1"/>
  <c r="A82" i="18"/>
  <c r="A16" i="19" s="1"/>
  <c r="B82" i="18"/>
  <c r="B16" i="19" s="1"/>
  <c r="A83" i="18"/>
  <c r="A19" i="19" s="1"/>
  <c r="B83" i="18"/>
  <c r="B19" i="19" s="1"/>
  <c r="A84" i="18"/>
  <c r="A22" i="19" s="1"/>
  <c r="B84" i="18"/>
  <c r="B22" i="19" s="1"/>
  <c r="A85" i="18"/>
  <c r="A17" i="19" s="1"/>
  <c r="B85" i="18"/>
  <c r="B17" i="19" s="1"/>
  <c r="A86" i="18"/>
  <c r="A20" i="19" s="1"/>
  <c r="B86" i="18"/>
  <c r="B20" i="19" s="1"/>
  <c r="A87" i="18"/>
  <c r="A23" i="19" s="1"/>
  <c r="B87" i="18"/>
  <c r="B23" i="19" s="1"/>
  <c r="A88" i="18"/>
  <c r="A18" i="19" s="1"/>
  <c r="B88" i="18"/>
  <c r="B18" i="19" s="1"/>
  <c r="A89" i="18"/>
  <c r="A21" i="19" s="1"/>
  <c r="B89" i="18"/>
  <c r="B21" i="19" s="1"/>
  <c r="A90" i="18"/>
  <c r="A24" i="19" s="1"/>
  <c r="B90" i="18"/>
  <c r="B24" i="19" s="1"/>
  <c r="A91" i="18"/>
  <c r="A8" i="19" s="1"/>
  <c r="B91" i="18"/>
  <c r="B8" i="19" s="1"/>
  <c r="A92" i="18"/>
  <c r="A32" i="19" s="1"/>
  <c r="B92" i="18"/>
  <c r="B32" i="19" s="1"/>
  <c r="A93" i="18"/>
  <c r="B93" i="18"/>
  <c r="A94" i="18"/>
  <c r="B94" i="18"/>
  <c r="A95" i="18"/>
  <c r="B95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5" i="19"/>
  <c r="B5" i="19"/>
  <c r="A4" i="19"/>
  <c r="B4" i="19"/>
  <c r="A3" i="19"/>
  <c r="B3" i="19"/>
  <c r="A2" i="19"/>
  <c r="B2" i="19"/>
  <c r="A154" i="18"/>
  <c r="B154" i="18"/>
  <c r="A155" i="18"/>
  <c r="B155" i="18"/>
  <c r="A156" i="18"/>
  <c r="B156" i="18"/>
  <c r="A157" i="18"/>
  <c r="B157" i="18"/>
  <c r="A158" i="18"/>
  <c r="B158" i="18"/>
  <c r="A159" i="18"/>
  <c r="B159" i="18"/>
  <c r="A160" i="18"/>
  <c r="B160" i="18"/>
  <c r="A161" i="18"/>
  <c r="B161" i="18"/>
  <c r="A162" i="18"/>
  <c r="B162" i="18"/>
  <c r="A163" i="18"/>
  <c r="B163" i="18"/>
  <c r="A164" i="18"/>
  <c r="B164" i="18"/>
  <c r="A165" i="18"/>
  <c r="B165" i="18"/>
  <c r="A166" i="18"/>
  <c r="B166" i="18"/>
  <c r="A167" i="18"/>
  <c r="B167" i="18"/>
  <c r="A168" i="18"/>
  <c r="B168" i="18"/>
  <c r="A169" i="18"/>
  <c r="B169" i="18"/>
  <c r="A170" i="18"/>
  <c r="B170" i="18"/>
  <c r="A171" i="18"/>
  <c r="B171" i="18"/>
  <c r="A172" i="18"/>
  <c r="B172" i="18"/>
  <c r="A173" i="18"/>
  <c r="B173" i="18"/>
  <c r="A174" i="18"/>
  <c r="B174" i="18"/>
  <c r="A175" i="18"/>
  <c r="B175" i="18"/>
  <c r="A176" i="18"/>
  <c r="B176" i="18"/>
  <c r="A177" i="18"/>
  <c r="B177" i="18"/>
  <c r="A178" i="18"/>
  <c r="B178" i="18"/>
  <c r="A179" i="18"/>
  <c r="B179" i="18"/>
  <c r="A180" i="18"/>
  <c r="B180" i="18"/>
  <c r="A181" i="18"/>
  <c r="B181" i="18"/>
  <c r="A182" i="18"/>
  <c r="B182" i="18"/>
  <c r="A183" i="18"/>
  <c r="B183" i="18"/>
  <c r="A184" i="18"/>
  <c r="B184" i="18"/>
  <c r="A185" i="18"/>
  <c r="B185" i="18"/>
  <c r="A186" i="18"/>
  <c r="B186" i="18"/>
  <c r="A187" i="18"/>
  <c r="B187" i="18"/>
  <c r="A188" i="18"/>
  <c r="B188" i="18"/>
  <c r="A189" i="18"/>
  <c r="B189" i="18"/>
  <c r="A190" i="18"/>
  <c r="B190" i="18"/>
  <c r="A191" i="18"/>
  <c r="B191" i="18"/>
  <c r="A192" i="18"/>
  <c r="B192" i="18"/>
  <c r="A193" i="18"/>
  <c r="B193" i="18"/>
  <c r="A194" i="18"/>
  <c r="B194" i="18"/>
  <c r="A195" i="18"/>
  <c r="B195" i="18"/>
  <c r="A196" i="18"/>
  <c r="B196" i="18"/>
  <c r="A197" i="18"/>
  <c r="B197" i="18"/>
  <c r="A198" i="18"/>
  <c r="B198" i="18"/>
  <c r="A199" i="18"/>
  <c r="B199" i="18"/>
  <c r="A200" i="18"/>
  <c r="B200" i="18"/>
  <c r="A201" i="18"/>
  <c r="B201" i="18"/>
  <c r="A202" i="18"/>
  <c r="B202" i="18"/>
  <c r="A203" i="18"/>
  <c r="B203" i="18"/>
  <c r="A204" i="18"/>
  <c r="B204" i="18"/>
  <c r="A205" i="18"/>
  <c r="B205" i="18"/>
  <c r="A206" i="18"/>
  <c r="B206" i="18"/>
  <c r="B1" i="18"/>
  <c r="A1" i="18"/>
  <c r="A108" i="6"/>
  <c r="B108" i="6"/>
  <c r="C108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P100" i="17"/>
  <c r="P101" i="17"/>
  <c r="P102" i="17"/>
  <c r="A102" i="17"/>
  <c r="B102" i="17"/>
  <c r="C102" i="17"/>
  <c r="A103" i="17"/>
  <c r="B103" i="17"/>
  <c r="C103" i="17"/>
  <c r="A104" i="17"/>
  <c r="B104" i="17"/>
  <c r="C104" i="17"/>
  <c r="A105" i="17"/>
  <c r="B105" i="17"/>
  <c r="C105" i="17"/>
  <c r="A106" i="17"/>
  <c r="B106" i="17"/>
  <c r="C106" i="17"/>
  <c r="A107" i="17"/>
  <c r="B107" i="17"/>
  <c r="C107" i="17"/>
  <c r="A108" i="17"/>
  <c r="B108" i="17"/>
  <c r="C108" i="17"/>
  <c r="A109" i="17"/>
  <c r="B109" i="17"/>
  <c r="C109" i="17"/>
  <c r="A110" i="17"/>
  <c r="B110" i="17"/>
  <c r="C110" i="17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H102" i="11"/>
  <c r="H101" i="11"/>
  <c r="H100" i="11"/>
  <c r="S102" i="11"/>
  <c r="L102" i="11"/>
  <c r="O102" i="11"/>
  <c r="S101" i="11"/>
  <c r="L101" i="11"/>
  <c r="N101" i="11" s="1"/>
  <c r="O100" i="11"/>
  <c r="N100" i="11"/>
  <c r="L100" i="11"/>
  <c r="N102" i="11"/>
  <c r="P104" i="17"/>
  <c r="P105" i="17"/>
  <c r="P103" i="17"/>
  <c r="R102" i="12"/>
  <c r="R101" i="12"/>
  <c r="R100" i="12"/>
  <c r="S100" i="11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K99" i="3"/>
  <c r="K98" i="3"/>
  <c r="H99" i="11"/>
  <c r="H98" i="11"/>
  <c r="H97" i="11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106" i="9"/>
  <c r="B106" i="9"/>
  <c r="U97" i="11"/>
  <c r="H96" i="11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A95" i="17"/>
  <c r="B95" i="17"/>
  <c r="C95" i="17"/>
  <c r="A96" i="17"/>
  <c r="B96" i="17"/>
  <c r="C96" i="17"/>
  <c r="A97" i="17"/>
  <c r="B97" i="17"/>
  <c r="C97" i="17"/>
  <c r="A98" i="17"/>
  <c r="B98" i="17"/>
  <c r="C98" i="17"/>
  <c r="A99" i="17"/>
  <c r="B99" i="17"/>
  <c r="C99" i="17"/>
  <c r="A100" i="17"/>
  <c r="B100" i="17"/>
  <c r="C100" i="17"/>
  <c r="A101" i="17"/>
  <c r="B101" i="17"/>
  <c r="C101" i="17"/>
  <c r="A80" i="17"/>
  <c r="B80" i="17"/>
  <c r="C80" i="17"/>
  <c r="A81" i="17"/>
  <c r="B81" i="17"/>
  <c r="C81" i="17"/>
  <c r="A82" i="17"/>
  <c r="B82" i="17"/>
  <c r="C82" i="17"/>
  <c r="A83" i="17"/>
  <c r="B83" i="17"/>
  <c r="C83" i="17"/>
  <c r="A84" i="17"/>
  <c r="B84" i="17"/>
  <c r="C84" i="17"/>
  <c r="A85" i="17"/>
  <c r="B85" i="17"/>
  <c r="C85" i="17"/>
  <c r="A86" i="17"/>
  <c r="B86" i="17"/>
  <c r="C86" i="17"/>
  <c r="A87" i="17"/>
  <c r="B87" i="17"/>
  <c r="C87" i="17"/>
  <c r="A88" i="17"/>
  <c r="B88" i="17"/>
  <c r="C88" i="17"/>
  <c r="A89" i="17"/>
  <c r="B89" i="17"/>
  <c r="C89" i="17"/>
  <c r="A90" i="17"/>
  <c r="B90" i="17"/>
  <c r="C90" i="17"/>
  <c r="A91" i="17"/>
  <c r="B91" i="17"/>
  <c r="C91" i="17"/>
  <c r="A92" i="17"/>
  <c r="B92" i="17"/>
  <c r="C92" i="17"/>
  <c r="A93" i="17"/>
  <c r="B93" i="17"/>
  <c r="C93" i="17"/>
  <c r="A94" i="17"/>
  <c r="B94" i="17"/>
  <c r="C94" i="17"/>
  <c r="L97" i="16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K97" i="3"/>
  <c r="K96" i="3"/>
  <c r="K95" i="3"/>
  <c r="L95" i="16"/>
  <c r="L94" i="16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H95" i="11"/>
  <c r="H94" i="11"/>
  <c r="C2" i="22" s="1"/>
  <c r="K94" i="3"/>
  <c r="P24" i="6"/>
  <c r="P18" i="6"/>
  <c r="P17" i="6"/>
  <c r="C8" i="13"/>
  <c r="H7" i="12"/>
  <c r="D7" i="12"/>
  <c r="J8" i="12"/>
  <c r="J7" i="12"/>
  <c r="J6" i="12"/>
  <c r="AH92" i="13"/>
  <c r="AT8" i="19" s="1"/>
  <c r="AJ92" i="13"/>
  <c r="BC8" i="19" s="1"/>
  <c r="AF92" i="13"/>
  <c r="AQ8" i="19" s="1"/>
  <c r="AD92" i="13"/>
  <c r="AN8" i="19" s="1"/>
  <c r="Z92" i="13"/>
  <c r="AH8" i="19" s="1"/>
  <c r="V92" i="13"/>
  <c r="AB8" i="19" s="1"/>
  <c r="T92" i="13"/>
  <c r="R92" i="13"/>
  <c r="V8" i="19" s="1"/>
  <c r="P92" i="13"/>
  <c r="S8" i="19" s="1"/>
  <c r="N92" i="13"/>
  <c r="AJ5" i="13"/>
  <c r="BC7" i="19" s="1"/>
  <c r="AD5" i="13"/>
  <c r="AN7" i="19" s="1"/>
  <c r="AH5" i="13"/>
  <c r="AT7" i="19" s="1"/>
  <c r="AF5" i="13"/>
  <c r="AQ7" i="19" s="1"/>
  <c r="Z5" i="13"/>
  <c r="AH7" i="19" s="1"/>
  <c r="V5" i="13"/>
  <c r="AB7" i="19" s="1"/>
  <c r="T5" i="13"/>
  <c r="R5" i="13"/>
  <c r="V7" i="19" s="1"/>
  <c r="P5" i="13"/>
  <c r="S7" i="19" s="1"/>
  <c r="N5" i="13"/>
  <c r="Z93" i="12"/>
  <c r="V93" i="12"/>
  <c r="T93" i="12"/>
  <c r="P93" i="12"/>
  <c r="N93" i="12"/>
  <c r="L93" i="12"/>
  <c r="R93" i="12" s="1"/>
  <c r="H93" i="12"/>
  <c r="D9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R93" i="11"/>
  <c r="O93" i="11"/>
  <c r="G93" i="3"/>
  <c r="N4" i="12"/>
  <c r="L4" i="12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Y4" i="6"/>
  <c r="V4" i="6"/>
  <c r="U4" i="6"/>
  <c r="T4" i="6"/>
  <c r="S4" i="6"/>
  <c r="Q4" i="6"/>
  <c r="P4" i="6"/>
  <c r="O4" i="6"/>
  <c r="E4" i="6"/>
  <c r="C3" i="6"/>
  <c r="C4" i="6"/>
  <c r="F91" i="6"/>
  <c r="F90" i="6"/>
  <c r="F89" i="6"/>
  <c r="F88" i="6"/>
  <c r="F87" i="6"/>
  <c r="F86" i="6"/>
  <c r="F85" i="6"/>
  <c r="F84" i="6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0" i="12"/>
  <c r="B80" i="12"/>
  <c r="C80" i="12"/>
  <c r="A81" i="12"/>
  <c r="B81" i="12"/>
  <c r="C81" i="12"/>
  <c r="A82" i="12"/>
  <c r="B82" i="12"/>
  <c r="C82" i="12"/>
  <c r="A83" i="12"/>
  <c r="B83" i="12"/>
  <c r="C83" i="12"/>
  <c r="F83" i="6"/>
  <c r="A79" i="12"/>
  <c r="B79" i="12"/>
  <c r="C79" i="12"/>
  <c r="L82" i="11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1" i="17"/>
  <c r="B71" i="17"/>
  <c r="C71" i="17"/>
  <c r="A72" i="17"/>
  <c r="B72" i="17"/>
  <c r="C72" i="17"/>
  <c r="A73" i="17"/>
  <c r="B73" i="17"/>
  <c r="C73" i="17"/>
  <c r="A74" i="17"/>
  <c r="B74" i="17"/>
  <c r="C74" i="17"/>
  <c r="A75" i="17"/>
  <c r="B75" i="17"/>
  <c r="C75" i="17"/>
  <c r="A76" i="17"/>
  <c r="B76" i="17"/>
  <c r="C76" i="17"/>
  <c r="A77" i="17"/>
  <c r="B77" i="17"/>
  <c r="C77" i="17"/>
  <c r="A78" i="17"/>
  <c r="B78" i="17"/>
  <c r="C78" i="17"/>
  <c r="A79" i="17"/>
  <c r="B79" i="17"/>
  <c r="C79" i="17"/>
  <c r="Q51" i="9"/>
  <c r="Q52" i="9"/>
  <c r="Q56" i="9"/>
  <c r="Q57" i="9"/>
  <c r="Q58" i="9"/>
  <c r="C64" i="17"/>
  <c r="C65" i="17"/>
  <c r="C66" i="17"/>
  <c r="C67" i="17"/>
  <c r="C68" i="17"/>
  <c r="C69" i="17"/>
  <c r="C70" i="17"/>
  <c r="C67" i="16"/>
  <c r="C68" i="16"/>
  <c r="C69" i="16"/>
  <c r="C70" i="16"/>
  <c r="C71" i="16"/>
  <c r="O69" i="11"/>
  <c r="G69" i="3"/>
  <c r="K71" i="11"/>
  <c r="K72" i="11"/>
  <c r="K73" i="11"/>
  <c r="K70" i="11"/>
  <c r="U68" i="11"/>
  <c r="U69" i="11"/>
  <c r="U67" i="11"/>
  <c r="S68" i="11"/>
  <c r="S69" i="11"/>
  <c r="S67" i="11"/>
  <c r="N2" i="22" s="1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O68" i="11"/>
  <c r="G68" i="3"/>
  <c r="O67" i="11"/>
  <c r="G67" i="3"/>
  <c r="C67" i="3"/>
  <c r="C68" i="3"/>
  <c r="C69" i="3"/>
  <c r="P68" i="11"/>
  <c r="P67" i="11"/>
  <c r="R66" i="11"/>
  <c r="O66" i="11"/>
  <c r="G66" i="3" s="1"/>
  <c r="K66" i="11"/>
  <c r="R65" i="11"/>
  <c r="Q65" i="4"/>
  <c r="N65" i="4"/>
  <c r="M65" i="4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64" i="3"/>
  <c r="B64" i="3"/>
  <c r="C64" i="3"/>
  <c r="A65" i="3"/>
  <c r="B65" i="3"/>
  <c r="C65" i="3"/>
  <c r="A66" i="3"/>
  <c r="B66" i="3"/>
  <c r="C66" i="3"/>
  <c r="A67" i="3"/>
  <c r="B67" i="3"/>
  <c r="A68" i="3"/>
  <c r="B68" i="3"/>
  <c r="A69" i="3"/>
  <c r="B69" i="3"/>
  <c r="A70" i="3"/>
  <c r="B70" i="3"/>
  <c r="C70" i="3"/>
  <c r="A71" i="3"/>
  <c r="B71" i="3"/>
  <c r="C71" i="3"/>
  <c r="A72" i="3"/>
  <c r="B72" i="3"/>
  <c r="C72" i="3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K65" i="11"/>
  <c r="O65" i="11"/>
  <c r="G65" i="3" s="1"/>
  <c r="X64" i="9"/>
  <c r="X63" i="9"/>
  <c r="X62" i="9"/>
  <c r="Z64" i="17"/>
  <c r="Z63" i="17"/>
  <c r="Z62" i="17"/>
  <c r="A62" i="5"/>
  <c r="B62" i="5"/>
  <c r="C62" i="5"/>
  <c r="A63" i="5"/>
  <c r="B63" i="5"/>
  <c r="C63" i="5"/>
  <c r="A64" i="5"/>
  <c r="B64" i="5"/>
  <c r="C64" i="5"/>
  <c r="K64" i="3"/>
  <c r="K63" i="3"/>
  <c r="K62" i="3"/>
  <c r="K61" i="3"/>
  <c r="K60" i="3"/>
  <c r="K59" i="3"/>
  <c r="O64" i="11"/>
  <c r="O63" i="11"/>
  <c r="O62" i="11"/>
  <c r="L64" i="11"/>
  <c r="M64" i="11" s="1"/>
  <c r="L63" i="11"/>
  <c r="M63" i="11" s="1"/>
  <c r="L62" i="11"/>
  <c r="M62" i="11" s="1"/>
  <c r="X61" i="9"/>
  <c r="X60" i="9"/>
  <c r="X59" i="9"/>
  <c r="Z61" i="17"/>
  <c r="R61" i="17"/>
  <c r="N61" i="17"/>
  <c r="P38" i="19" s="1"/>
  <c r="L61" i="17"/>
  <c r="J61" i="17"/>
  <c r="Z60" i="17"/>
  <c r="R60" i="17"/>
  <c r="N60" i="17"/>
  <c r="L60" i="17"/>
  <c r="J60" i="17"/>
  <c r="Z59" i="17"/>
  <c r="R59" i="17"/>
  <c r="S38" i="19" s="1"/>
  <c r="N59" i="17"/>
  <c r="L59" i="17"/>
  <c r="M38" i="19" s="1"/>
  <c r="J59" i="17"/>
  <c r="J38" i="19" s="1"/>
  <c r="O61" i="11"/>
  <c r="L61" i="11"/>
  <c r="M61" i="11"/>
  <c r="O60" i="11"/>
  <c r="L60" i="11"/>
  <c r="M60" i="11" s="1"/>
  <c r="O59" i="11"/>
  <c r="L59" i="11"/>
  <c r="M59" i="11"/>
  <c r="R58" i="17"/>
  <c r="N58" i="17"/>
  <c r="P25" i="19" s="1"/>
  <c r="L58" i="17"/>
  <c r="J58" i="17"/>
  <c r="R57" i="17"/>
  <c r="N57" i="17"/>
  <c r="L57" i="17"/>
  <c r="J57" i="17"/>
  <c r="R56" i="17"/>
  <c r="S25" i="19" s="1"/>
  <c r="L56" i="17"/>
  <c r="M25" i="19" s="1"/>
  <c r="N56" i="17"/>
  <c r="J56" i="17"/>
  <c r="J25" i="19" s="1"/>
  <c r="L58" i="11"/>
  <c r="L57" i="11"/>
  <c r="L56" i="11"/>
  <c r="M58" i="11"/>
  <c r="O58" i="11"/>
  <c r="O57" i="11"/>
  <c r="O56" i="11"/>
  <c r="O55" i="11"/>
  <c r="L55" i="11"/>
  <c r="R55" i="11"/>
  <c r="K55" i="11"/>
  <c r="O54" i="11"/>
  <c r="L54" i="11"/>
  <c r="R54" i="11"/>
  <c r="K54" i="11"/>
  <c r="K53" i="11"/>
  <c r="L53" i="11"/>
  <c r="V52" i="9"/>
  <c r="V51" i="9"/>
  <c r="W52" i="9"/>
  <c r="W51" i="9"/>
  <c r="U52" i="9"/>
  <c r="U51" i="9"/>
  <c r="T52" i="9"/>
  <c r="T51" i="9"/>
  <c r="R52" i="12"/>
  <c r="R51" i="12"/>
  <c r="O50" i="11"/>
  <c r="G50" i="3"/>
  <c r="O49" i="11"/>
  <c r="G49" i="3"/>
  <c r="O51" i="11"/>
  <c r="O52" i="11"/>
  <c r="L52" i="11"/>
  <c r="M52" i="11"/>
  <c r="L51" i="11"/>
  <c r="M51" i="11"/>
  <c r="C51" i="3"/>
  <c r="C52" i="3"/>
  <c r="B51" i="3"/>
  <c r="B52" i="3"/>
  <c r="R50" i="12"/>
  <c r="O49" i="9"/>
  <c r="O50" i="9"/>
  <c r="R49" i="12"/>
  <c r="R42" i="12"/>
  <c r="K50" i="11"/>
  <c r="L50" i="11" s="1"/>
  <c r="K49" i="11"/>
  <c r="F2" i="22" s="1"/>
  <c r="L48" i="11"/>
  <c r="M48" i="11" s="1"/>
  <c r="O48" i="11" s="1"/>
  <c r="G48" i="3" s="1"/>
  <c r="R48" i="11"/>
  <c r="L47" i="11"/>
  <c r="M47" i="11"/>
  <c r="O47" i="11" s="1"/>
  <c r="G47" i="3" s="1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G16" i="3"/>
  <c r="L46" i="11"/>
  <c r="R46" i="11"/>
  <c r="X45" i="16"/>
  <c r="X44" i="16"/>
  <c r="O44" i="16"/>
  <c r="AS45" i="17"/>
  <c r="AS44" i="17"/>
  <c r="AN45" i="17"/>
  <c r="AN44" i="17"/>
  <c r="AK45" i="17"/>
  <c r="AK44" i="17"/>
  <c r="AH45" i="17"/>
  <c r="AH44" i="17"/>
  <c r="AE45" i="17"/>
  <c r="AE44" i="17"/>
  <c r="AB45" i="17"/>
  <c r="AB44" i="17"/>
  <c r="Z45" i="17"/>
  <c r="Z44" i="17"/>
  <c r="V45" i="17"/>
  <c r="V44" i="17"/>
  <c r="X45" i="17"/>
  <c r="X44" i="17"/>
  <c r="T45" i="17"/>
  <c r="T44" i="17"/>
  <c r="R45" i="17"/>
  <c r="R44" i="17"/>
  <c r="N45" i="17"/>
  <c r="N44" i="17"/>
  <c r="J45" i="17"/>
  <c r="J44" i="17"/>
  <c r="F45" i="17"/>
  <c r="F44" i="17"/>
  <c r="A3" i="17"/>
  <c r="B3" i="17"/>
  <c r="C3" i="17"/>
  <c r="A4" i="17"/>
  <c r="B4" i="17"/>
  <c r="C4" i="17"/>
  <c r="A5" i="17"/>
  <c r="B5" i="17"/>
  <c r="C5" i="17"/>
  <c r="A6" i="17"/>
  <c r="B6" i="17"/>
  <c r="C6" i="17"/>
  <c r="A7" i="17"/>
  <c r="B7" i="17"/>
  <c r="C7" i="17"/>
  <c r="A8" i="17"/>
  <c r="B8" i="17"/>
  <c r="C8" i="17"/>
  <c r="A9" i="17"/>
  <c r="B9" i="17"/>
  <c r="C9" i="17"/>
  <c r="A10" i="17"/>
  <c r="B10" i="17"/>
  <c r="C10" i="17"/>
  <c r="A11" i="17"/>
  <c r="B11" i="17"/>
  <c r="C11" i="17"/>
  <c r="A12" i="17"/>
  <c r="B12" i="17"/>
  <c r="C12" i="17"/>
  <c r="A13" i="17"/>
  <c r="B13" i="17"/>
  <c r="C13" i="17"/>
  <c r="A14" i="17"/>
  <c r="B14" i="17"/>
  <c r="C14" i="17"/>
  <c r="A15" i="17"/>
  <c r="B15" i="17"/>
  <c r="C15" i="17"/>
  <c r="A16" i="17"/>
  <c r="B16" i="17"/>
  <c r="C16" i="17"/>
  <c r="A17" i="17"/>
  <c r="B17" i="17"/>
  <c r="C17" i="17"/>
  <c r="A18" i="17"/>
  <c r="B18" i="17"/>
  <c r="C18" i="17"/>
  <c r="A19" i="17"/>
  <c r="B19" i="17"/>
  <c r="C19" i="17"/>
  <c r="A20" i="17"/>
  <c r="B20" i="17"/>
  <c r="C20" i="17"/>
  <c r="A21" i="17"/>
  <c r="B21" i="17"/>
  <c r="C21" i="17"/>
  <c r="A22" i="17"/>
  <c r="B22" i="17"/>
  <c r="C22" i="17"/>
  <c r="A23" i="17"/>
  <c r="B23" i="17"/>
  <c r="C23" i="17"/>
  <c r="A24" i="17"/>
  <c r="B24" i="17"/>
  <c r="C24" i="17"/>
  <c r="A25" i="17"/>
  <c r="B25" i="17"/>
  <c r="C25" i="17"/>
  <c r="A26" i="17"/>
  <c r="B26" i="17"/>
  <c r="C26" i="17"/>
  <c r="A27" i="17"/>
  <c r="B27" i="17"/>
  <c r="C27" i="17"/>
  <c r="A28" i="17"/>
  <c r="B28" i="17"/>
  <c r="C28" i="17"/>
  <c r="A29" i="17"/>
  <c r="B29" i="17"/>
  <c r="C29" i="17"/>
  <c r="A30" i="17"/>
  <c r="B30" i="17"/>
  <c r="C30" i="17"/>
  <c r="A31" i="17"/>
  <c r="B31" i="17"/>
  <c r="C31" i="17"/>
  <c r="A32" i="17"/>
  <c r="B32" i="17"/>
  <c r="C32" i="17"/>
  <c r="A33" i="17"/>
  <c r="B33" i="17"/>
  <c r="C33" i="17"/>
  <c r="A34" i="17"/>
  <c r="B34" i="17"/>
  <c r="C34" i="17"/>
  <c r="A35" i="17"/>
  <c r="B35" i="17"/>
  <c r="C35" i="17"/>
  <c r="A36" i="17"/>
  <c r="B36" i="17"/>
  <c r="C36" i="17"/>
  <c r="A37" i="17"/>
  <c r="B37" i="17"/>
  <c r="C37" i="17"/>
  <c r="A38" i="17"/>
  <c r="B38" i="17"/>
  <c r="C38" i="17"/>
  <c r="A39" i="17"/>
  <c r="B39" i="17"/>
  <c r="C39" i="17"/>
  <c r="A40" i="17"/>
  <c r="B40" i="17"/>
  <c r="C40" i="17"/>
  <c r="A41" i="17"/>
  <c r="B41" i="17"/>
  <c r="C41" i="17"/>
  <c r="A42" i="17"/>
  <c r="B42" i="17"/>
  <c r="C42" i="17"/>
  <c r="A43" i="17"/>
  <c r="B43" i="17"/>
  <c r="C43" i="17"/>
  <c r="A44" i="17"/>
  <c r="B44" i="17"/>
  <c r="C44" i="17"/>
  <c r="A45" i="17"/>
  <c r="B45" i="17"/>
  <c r="C45" i="17"/>
  <c r="A46" i="17"/>
  <c r="B46" i="17"/>
  <c r="C46" i="17"/>
  <c r="A47" i="17"/>
  <c r="B47" i="17"/>
  <c r="C47" i="17"/>
  <c r="A48" i="17"/>
  <c r="B48" i="17"/>
  <c r="C48" i="17"/>
  <c r="A49" i="17"/>
  <c r="B49" i="17"/>
  <c r="C49" i="17"/>
  <c r="A50" i="17"/>
  <c r="B50" i="17"/>
  <c r="C50" i="17"/>
  <c r="A51" i="17"/>
  <c r="B51" i="17"/>
  <c r="C51" i="17"/>
  <c r="A52" i="17"/>
  <c r="B52" i="17"/>
  <c r="C52" i="17"/>
  <c r="A53" i="17"/>
  <c r="B53" i="17"/>
  <c r="C53" i="17"/>
  <c r="A54" i="17"/>
  <c r="B54" i="17"/>
  <c r="C54" i="17"/>
  <c r="A55" i="17"/>
  <c r="B55" i="17"/>
  <c r="C55" i="17"/>
  <c r="A56" i="17"/>
  <c r="B56" i="17"/>
  <c r="C56" i="17"/>
  <c r="A57" i="17"/>
  <c r="B57" i="17"/>
  <c r="C57" i="17"/>
  <c r="A58" i="17"/>
  <c r="B58" i="17"/>
  <c r="C58" i="17"/>
  <c r="A59" i="17"/>
  <c r="B59" i="17"/>
  <c r="C59" i="17"/>
  <c r="A60" i="17"/>
  <c r="B60" i="17"/>
  <c r="C60" i="17"/>
  <c r="A61" i="17"/>
  <c r="B61" i="17"/>
  <c r="C61" i="17"/>
  <c r="A62" i="17"/>
  <c r="B62" i="17"/>
  <c r="C62" i="17"/>
  <c r="A63" i="17"/>
  <c r="B63" i="17"/>
  <c r="C63" i="17"/>
  <c r="A64" i="17"/>
  <c r="B64" i="17"/>
  <c r="A65" i="17"/>
  <c r="B65" i="17"/>
  <c r="A66" i="17"/>
  <c r="B66" i="17"/>
  <c r="A67" i="17"/>
  <c r="B67" i="17"/>
  <c r="A68" i="17"/>
  <c r="B68" i="17"/>
  <c r="A69" i="17"/>
  <c r="B69" i="17"/>
  <c r="A70" i="17"/>
  <c r="B70" i="17"/>
  <c r="C2" i="17"/>
  <c r="B2" i="17"/>
  <c r="A2" i="17"/>
  <c r="A39" i="9"/>
  <c r="B39" i="9"/>
  <c r="A40" i="9"/>
  <c r="B40" i="9"/>
  <c r="A41" i="9"/>
  <c r="B41" i="9"/>
  <c r="A42" i="9"/>
  <c r="B42" i="9"/>
  <c r="V45" i="16"/>
  <c r="V44" i="16"/>
  <c r="U45" i="16"/>
  <c r="U44" i="16"/>
  <c r="T45" i="16"/>
  <c r="T44" i="16"/>
  <c r="S45" i="16"/>
  <c r="S44" i="16"/>
  <c r="W45" i="16"/>
  <c r="W44" i="16"/>
  <c r="R44" i="16"/>
  <c r="R45" i="16"/>
  <c r="Q45" i="16"/>
  <c r="Q44" i="16"/>
  <c r="O45" i="16"/>
  <c r="P45" i="16"/>
  <c r="P44" i="16"/>
  <c r="N45" i="16"/>
  <c r="N44" i="16"/>
  <c r="M45" i="16"/>
  <c r="M44" i="16"/>
  <c r="K45" i="16"/>
  <c r="P44" i="12"/>
  <c r="P9" i="19" s="1"/>
  <c r="L44" i="12"/>
  <c r="J45" i="16"/>
  <c r="J44" i="16"/>
  <c r="L44" i="16" s="1"/>
  <c r="K44" i="16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A68" i="16"/>
  <c r="B68" i="16"/>
  <c r="A69" i="16"/>
  <c r="B69" i="16"/>
  <c r="A70" i="16"/>
  <c r="B70" i="16"/>
  <c r="A71" i="16"/>
  <c r="B71" i="16"/>
  <c r="C2" i="16"/>
  <c r="B2" i="16"/>
  <c r="A2" i="16"/>
  <c r="AL44" i="12"/>
  <c r="AT9" i="19" s="1"/>
  <c r="AJ44" i="12"/>
  <c r="AN9" i="19" s="1"/>
  <c r="AH44" i="12"/>
  <c r="AQ9" i="19" s="1"/>
  <c r="AF44" i="12"/>
  <c r="AN44" i="12"/>
  <c r="AD44" i="12"/>
  <c r="AH9" i="19" s="1"/>
  <c r="AB44" i="12"/>
  <c r="AE9" i="19" s="1"/>
  <c r="X44" i="12"/>
  <c r="Z44" i="12"/>
  <c r="AB9" i="19" s="1"/>
  <c r="V44" i="12"/>
  <c r="V9" i="19" s="1"/>
  <c r="T44" i="12"/>
  <c r="S9" i="19" s="1"/>
  <c r="A4" i="15"/>
  <c r="B4" i="15"/>
  <c r="C4" i="15"/>
  <c r="A5" i="15"/>
  <c r="B5" i="15"/>
  <c r="C5" i="15"/>
  <c r="A6" i="15"/>
  <c r="B6" i="15"/>
  <c r="C6" i="15"/>
  <c r="A7" i="15"/>
  <c r="B7" i="15"/>
  <c r="C7" i="15"/>
  <c r="A8" i="15"/>
  <c r="B8" i="15"/>
  <c r="C8" i="15"/>
  <c r="A9" i="15"/>
  <c r="B9" i="15"/>
  <c r="C9" i="15"/>
  <c r="A10" i="15"/>
  <c r="B10" i="15"/>
  <c r="C10" i="15"/>
  <c r="A11" i="15"/>
  <c r="B11" i="15"/>
  <c r="C11" i="15"/>
  <c r="A12" i="15"/>
  <c r="B12" i="15"/>
  <c r="C12" i="15"/>
  <c r="A13" i="15"/>
  <c r="B13" i="15"/>
  <c r="C13" i="15"/>
  <c r="A14" i="15"/>
  <c r="B14" i="15"/>
  <c r="C14" i="15"/>
  <c r="A15" i="15"/>
  <c r="B15" i="15"/>
  <c r="C15" i="15"/>
  <c r="A16" i="15"/>
  <c r="B16" i="15"/>
  <c r="C16" i="15"/>
  <c r="A17" i="15"/>
  <c r="B17" i="15"/>
  <c r="C17" i="15"/>
  <c r="A18" i="15"/>
  <c r="B18" i="15"/>
  <c r="C18" i="15"/>
  <c r="A19" i="15"/>
  <c r="B19" i="15"/>
  <c r="C19" i="15"/>
  <c r="A20" i="15"/>
  <c r="B20" i="15"/>
  <c r="C20" i="15"/>
  <c r="A21" i="15"/>
  <c r="B21" i="15"/>
  <c r="C21" i="15"/>
  <c r="A22" i="15"/>
  <c r="B22" i="15"/>
  <c r="C22" i="15"/>
  <c r="A23" i="15"/>
  <c r="B23" i="15"/>
  <c r="C23" i="15"/>
  <c r="A24" i="15"/>
  <c r="B24" i="15"/>
  <c r="C24" i="15"/>
  <c r="A25" i="15"/>
  <c r="B25" i="15"/>
  <c r="C25" i="15"/>
  <c r="A26" i="15"/>
  <c r="B26" i="15"/>
  <c r="C26" i="15"/>
  <c r="A27" i="15"/>
  <c r="B27" i="15"/>
  <c r="C27" i="15"/>
  <c r="A28" i="15"/>
  <c r="B28" i="15"/>
  <c r="C28" i="15"/>
  <c r="A29" i="15"/>
  <c r="B29" i="15"/>
  <c r="C29" i="15"/>
  <c r="A30" i="15"/>
  <c r="B30" i="15"/>
  <c r="C30" i="15"/>
  <c r="A31" i="15"/>
  <c r="B31" i="15"/>
  <c r="C31" i="15"/>
  <c r="A32" i="15"/>
  <c r="B32" i="15"/>
  <c r="C32" i="15"/>
  <c r="A33" i="15"/>
  <c r="B33" i="15"/>
  <c r="C33" i="15"/>
  <c r="A34" i="15"/>
  <c r="B34" i="15"/>
  <c r="C34" i="15"/>
  <c r="A35" i="15"/>
  <c r="B35" i="15"/>
  <c r="C35" i="15"/>
  <c r="A36" i="15"/>
  <c r="B36" i="15"/>
  <c r="C36" i="15"/>
  <c r="A37" i="15"/>
  <c r="B37" i="15"/>
  <c r="C37" i="15"/>
  <c r="A38" i="15"/>
  <c r="B38" i="15"/>
  <c r="C38" i="15"/>
  <c r="A39" i="15"/>
  <c r="B39" i="15"/>
  <c r="C39" i="15"/>
  <c r="A40" i="15"/>
  <c r="B40" i="15"/>
  <c r="C40" i="15"/>
  <c r="A41" i="15"/>
  <c r="B41" i="15"/>
  <c r="C41" i="15"/>
  <c r="A42" i="15"/>
  <c r="B42" i="15"/>
  <c r="C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A66" i="15"/>
  <c r="B66" i="15"/>
  <c r="A67" i="15"/>
  <c r="B67" i="15"/>
  <c r="A68" i="15"/>
  <c r="B68" i="15"/>
  <c r="A69" i="15"/>
  <c r="B69" i="15"/>
  <c r="A70" i="15"/>
  <c r="B70" i="15"/>
  <c r="A71" i="15"/>
  <c r="B71" i="15"/>
  <c r="A72" i="15"/>
  <c r="B72" i="15"/>
  <c r="A73" i="15"/>
  <c r="B73" i="15"/>
  <c r="A74" i="15"/>
  <c r="B74" i="15"/>
  <c r="A75" i="15"/>
  <c r="B75" i="15"/>
  <c r="B3" i="15"/>
  <c r="C3" i="15"/>
  <c r="A3" i="15"/>
  <c r="C2" i="15"/>
  <c r="B2" i="15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K43" i="3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L43" i="11"/>
  <c r="K42" i="3"/>
  <c r="O42" i="11"/>
  <c r="L42" i="11"/>
  <c r="A7" i="12"/>
  <c r="B7" i="12"/>
  <c r="C7" i="12"/>
  <c r="M40" i="11"/>
  <c r="O40" i="11" s="1"/>
  <c r="M39" i="11"/>
  <c r="L40" i="11"/>
  <c r="L39" i="11"/>
  <c r="P44" i="17"/>
  <c r="M55" i="11"/>
  <c r="M54" i="11"/>
  <c r="L45" i="16"/>
  <c r="A35" i="9"/>
  <c r="B35" i="9"/>
  <c r="A36" i="9"/>
  <c r="B36" i="9"/>
  <c r="A37" i="9"/>
  <c r="B37" i="9"/>
  <c r="A38" i="9"/>
  <c r="B38" i="9"/>
  <c r="AH25" i="13"/>
  <c r="AT47" i="19" s="1"/>
  <c r="AD25" i="13"/>
  <c r="AN47" i="19" s="1"/>
  <c r="AF25" i="13"/>
  <c r="AQ47" i="19" s="1"/>
  <c r="AB25" i="13"/>
  <c r="AK47" i="19" s="1"/>
  <c r="T25" i="13"/>
  <c r="Y47" i="19" s="1"/>
  <c r="V25" i="13"/>
  <c r="AB47" i="19" s="1"/>
  <c r="P25" i="13"/>
  <c r="S47" i="19" s="1"/>
  <c r="N25" i="13"/>
  <c r="I24" i="13"/>
  <c r="I25" i="13"/>
  <c r="AC25" i="6"/>
  <c r="Y25" i="6"/>
  <c r="X25" i="6"/>
  <c r="W25" i="6"/>
  <c r="V25" i="6"/>
  <c r="U25" i="6"/>
  <c r="T25" i="6"/>
  <c r="S25" i="6"/>
  <c r="R25" i="6"/>
  <c r="Q25" i="6"/>
  <c r="P25" i="6"/>
  <c r="O25" i="6"/>
  <c r="J25" i="12"/>
  <c r="AL25" i="12"/>
  <c r="AJ25" i="12"/>
  <c r="AH25" i="12"/>
  <c r="AF25" i="12"/>
  <c r="AN25" i="12"/>
  <c r="AB25" i="12"/>
  <c r="X25" i="12"/>
  <c r="Z25" i="12"/>
  <c r="V25" i="12"/>
  <c r="T25" i="12"/>
  <c r="R25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5" i="13"/>
  <c r="B5" i="13"/>
  <c r="C5" i="13"/>
  <c r="A6" i="13"/>
  <c r="B6" i="13"/>
  <c r="C6" i="13"/>
  <c r="A7" i="13"/>
  <c r="B7" i="13"/>
  <c r="C7" i="13"/>
  <c r="A8" i="13"/>
  <c r="B8" i="13"/>
  <c r="A9" i="13"/>
  <c r="B9" i="13"/>
  <c r="C9" i="13"/>
  <c r="A4" i="6"/>
  <c r="B4" i="6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A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U32" i="11"/>
  <c r="U31" i="11"/>
  <c r="U30" i="11"/>
  <c r="U29" i="11"/>
  <c r="U28" i="11"/>
  <c r="U27" i="11"/>
  <c r="U26" i="11"/>
  <c r="T32" i="11"/>
  <c r="T31" i="11"/>
  <c r="T30" i="11"/>
  <c r="T29" i="11"/>
  <c r="T28" i="11"/>
  <c r="T27" i="11"/>
  <c r="T26" i="11"/>
  <c r="O2" i="22" s="1"/>
  <c r="L32" i="11"/>
  <c r="M32" i="11" s="1"/>
  <c r="O32" i="11" s="1"/>
  <c r="L31" i="11"/>
  <c r="M31" i="11"/>
  <c r="O31" i="11" s="1"/>
  <c r="L30" i="11"/>
  <c r="M30" i="11"/>
  <c r="O30" i="11" s="1"/>
  <c r="L29" i="11"/>
  <c r="M29" i="11"/>
  <c r="O29" i="11" s="1"/>
  <c r="L28" i="11"/>
  <c r="M28" i="11"/>
  <c r="O28" i="11" s="1"/>
  <c r="L27" i="11"/>
  <c r="M27" i="11"/>
  <c r="O27" i="11" s="1"/>
  <c r="L26" i="11"/>
  <c r="M26" i="11"/>
  <c r="O26" i="11" s="1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K25" i="3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" i="6"/>
  <c r="J24" i="13"/>
  <c r="J46" i="19" s="1"/>
  <c r="L24" i="13"/>
  <c r="P46" i="19" s="1"/>
  <c r="AC24" i="6"/>
  <c r="Z24" i="6"/>
  <c r="Y24" i="6"/>
  <c r="X24" i="6"/>
  <c r="W24" i="6"/>
  <c r="Q24" i="6"/>
  <c r="R24" i="6"/>
  <c r="S24" i="6"/>
  <c r="T24" i="6"/>
  <c r="V24" i="6"/>
  <c r="K24" i="3"/>
  <c r="K7" i="3"/>
  <c r="G23" i="3"/>
  <c r="G22" i="3"/>
  <c r="G21" i="3"/>
  <c r="L23" i="11"/>
  <c r="N23" i="11"/>
  <c r="L22" i="11"/>
  <c r="N22" i="11" s="1"/>
  <c r="R22" i="12"/>
  <c r="R23" i="12"/>
  <c r="R21" i="12"/>
  <c r="L21" i="11"/>
  <c r="R20" i="12"/>
  <c r="R19" i="12"/>
  <c r="A7" i="4"/>
  <c r="B7" i="4"/>
  <c r="C7" i="4"/>
  <c r="D7" i="4"/>
  <c r="Z18" i="13"/>
  <c r="AH36" i="19" s="1"/>
  <c r="Z18" i="6"/>
  <c r="Y18" i="6"/>
  <c r="X18" i="6"/>
  <c r="W18" i="6"/>
  <c r="V18" i="6"/>
  <c r="G7" i="13"/>
  <c r="H15" i="19" s="1"/>
  <c r="AB16" i="6"/>
  <c r="AB15" i="6"/>
  <c r="AB14" i="6"/>
  <c r="AB13" i="6"/>
  <c r="Z17" i="6"/>
  <c r="Y17" i="6"/>
  <c r="X17" i="6"/>
  <c r="W17" i="6"/>
  <c r="V17" i="6"/>
  <c r="D6" i="12"/>
  <c r="D8" i="12"/>
  <c r="N4" i="13"/>
  <c r="N3" i="13"/>
  <c r="F4" i="13"/>
  <c r="G31" i="19" s="1"/>
  <c r="G4" i="13"/>
  <c r="H31" i="19" s="1"/>
  <c r="A4" i="13"/>
  <c r="B4" i="13"/>
  <c r="C4" i="13"/>
  <c r="R4" i="11"/>
  <c r="O4" i="11"/>
  <c r="G4" i="3"/>
  <c r="Z4" i="12"/>
  <c r="V4" i="12"/>
  <c r="T4" i="12"/>
  <c r="P4" i="12"/>
  <c r="R4" i="12"/>
  <c r="H4" i="12"/>
  <c r="D4" i="12"/>
  <c r="A4" i="12"/>
  <c r="B4" i="12"/>
  <c r="C4" i="12"/>
  <c r="A4" i="3"/>
  <c r="B4" i="3"/>
  <c r="C4" i="3"/>
  <c r="A4" i="4"/>
  <c r="B4" i="4"/>
  <c r="C4" i="4"/>
  <c r="D4" i="4"/>
  <c r="Z3" i="12"/>
  <c r="V3" i="12"/>
  <c r="T3" i="12"/>
  <c r="P3" i="12"/>
  <c r="R3" i="12" s="1"/>
  <c r="N3" i="12"/>
  <c r="L3" i="12"/>
  <c r="G8" i="13"/>
  <c r="H13" i="19" s="1"/>
  <c r="G6" i="13"/>
  <c r="H14" i="19" s="1"/>
  <c r="G3" i="13"/>
  <c r="H30" i="19" s="1"/>
  <c r="F3" i="13"/>
  <c r="G30" i="19" s="1"/>
  <c r="C3" i="13"/>
  <c r="B3" i="13"/>
  <c r="A3" i="13"/>
  <c r="C2" i="13"/>
  <c r="B2" i="13"/>
  <c r="A2" i="13"/>
  <c r="Y3" i="6"/>
  <c r="V3" i="6"/>
  <c r="U3" i="6"/>
  <c r="T3" i="6"/>
  <c r="S3" i="6"/>
  <c r="Q3" i="6"/>
  <c r="P3" i="6"/>
  <c r="O3" i="6"/>
  <c r="E3" i="6"/>
  <c r="H6" i="12"/>
  <c r="H8" i="12"/>
  <c r="H9" i="12"/>
  <c r="H10" i="12"/>
  <c r="H11" i="12"/>
  <c r="H12" i="12"/>
  <c r="H13" i="12"/>
  <c r="H42" i="19" s="1"/>
  <c r="H14" i="12"/>
  <c r="H43" i="19" s="1"/>
  <c r="H15" i="12"/>
  <c r="H44" i="19" s="1"/>
  <c r="H16" i="12"/>
  <c r="H41" i="19" s="1"/>
  <c r="H3" i="12"/>
  <c r="D9" i="12"/>
  <c r="D10" i="12"/>
  <c r="D11" i="12"/>
  <c r="D12" i="12"/>
  <c r="D13" i="12"/>
  <c r="G42" i="19" s="1"/>
  <c r="D14" i="12"/>
  <c r="G43" i="19" s="1"/>
  <c r="D15" i="12"/>
  <c r="G44" i="19" s="1"/>
  <c r="D16" i="12"/>
  <c r="G41" i="19" s="1"/>
  <c r="D3" i="12"/>
  <c r="A3" i="12"/>
  <c r="B3" i="12"/>
  <c r="C3" i="12"/>
  <c r="A5" i="12"/>
  <c r="B5" i="12"/>
  <c r="C5" i="12"/>
  <c r="A6" i="12"/>
  <c r="B6" i="12"/>
  <c r="C6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C2" i="12"/>
  <c r="B2" i="12"/>
  <c r="A2" i="12"/>
  <c r="G15" i="3"/>
  <c r="G14" i="3"/>
  <c r="G13" i="3"/>
  <c r="M13" i="11"/>
  <c r="O13" i="11"/>
  <c r="B3" i="9"/>
  <c r="B2" i="9"/>
  <c r="B3" i="6"/>
  <c r="C2" i="6"/>
  <c r="B2" i="6"/>
  <c r="C3" i="5"/>
  <c r="C2" i="5"/>
  <c r="C3" i="3"/>
  <c r="C5" i="3"/>
  <c r="C2" i="3"/>
  <c r="M14" i="11"/>
  <c r="O14" i="11"/>
  <c r="M15" i="11"/>
  <c r="O15" i="11"/>
  <c r="M16" i="11"/>
  <c r="O16" i="11"/>
  <c r="R13" i="11"/>
  <c r="R14" i="11"/>
  <c r="R15" i="11"/>
  <c r="R16" i="11"/>
  <c r="B3" i="5"/>
  <c r="B2" i="5"/>
  <c r="B3" i="3"/>
  <c r="B5" i="3"/>
  <c r="B2" i="3"/>
  <c r="B3" i="4"/>
  <c r="C3" i="4"/>
  <c r="D3" i="4"/>
  <c r="B5" i="4"/>
  <c r="C5" i="4"/>
  <c r="D5" i="4"/>
  <c r="B6" i="4"/>
  <c r="C6" i="4"/>
  <c r="D6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D19" i="4"/>
  <c r="B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C2" i="4"/>
  <c r="D2" i="4"/>
  <c r="B2" i="4"/>
  <c r="A3" i="9"/>
  <c r="A3" i="5"/>
  <c r="A5" i="3"/>
  <c r="A3" i="3"/>
  <c r="A5" i="4"/>
  <c r="A6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3" i="4"/>
  <c r="R10" i="11"/>
  <c r="R11" i="11"/>
  <c r="R12" i="11"/>
  <c r="R9" i="11"/>
  <c r="K6" i="3"/>
  <c r="R3" i="11"/>
  <c r="G3" i="3"/>
  <c r="R44" i="12"/>
  <c r="R47" i="11"/>
  <c r="M56" i="11"/>
  <c r="M46" i="11"/>
  <c r="O46" i="11" s="1"/>
  <c r="G46" i="3" s="1"/>
  <c r="O39" i="11"/>
  <c r="R53" i="11"/>
  <c r="M53" i="11"/>
  <c r="M57" i="11"/>
  <c r="P45" i="17" l="1"/>
  <c r="G5" i="21"/>
  <c r="G3" i="21"/>
  <c r="G2" i="21"/>
  <c r="G6" i="21"/>
  <c r="G4" i="21"/>
  <c r="I2" i="22"/>
  <c r="R50" i="11"/>
  <c r="P50" i="11" s="1"/>
  <c r="O101" i="11"/>
  <c r="C3" i="21"/>
  <c r="C6" i="21"/>
  <c r="C5" i="21"/>
  <c r="C2" i="21"/>
  <c r="C4" i="21"/>
  <c r="J2" i="22"/>
  <c r="P2" i="22"/>
  <c r="L49" i="11"/>
  <c r="H2" i="22"/>
  <c r="B9" i="20"/>
  <c r="B11" i="20"/>
  <c r="B12" i="20"/>
  <c r="B16" i="20"/>
  <c r="B13" i="20"/>
  <c r="B17" i="20"/>
  <c r="B5" i="20"/>
  <c r="B7" i="20"/>
  <c r="B6" i="20"/>
  <c r="B8" i="20"/>
  <c r="B10" i="20"/>
  <c r="B14" i="20"/>
  <c r="B15" i="20"/>
  <c r="B3" i="20"/>
  <c r="B4" i="20"/>
  <c r="L115" i="18"/>
  <c r="L113" i="18"/>
  <c r="L112" i="18"/>
  <c r="L114" i="18"/>
  <c r="R49" i="11" l="1"/>
  <c r="M2" i="22" s="1"/>
  <c r="P49" i="11"/>
  <c r="K2" i="22" s="1"/>
  <c r="G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S2" authorId="0" shapeId="0" xr:uid="{02E56B7A-8779-4E60-9BE2-629DB07E299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3" authorId="0" shapeId="0" xr:uid="{1790E74C-CE75-4DEE-B77D-3F9608CD71F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4" authorId="0" shapeId="0" xr:uid="{D861E775-CB62-42C2-862B-BBE09E776AC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5" authorId="0" shapeId="0" xr:uid="{B4C2CFEC-6F61-4CF0-B124-00E163DBA93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6" authorId="0" shapeId="0" xr:uid="{7E4E3194-38C2-044C-8A43-4F539E2CDF2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D9" authorId="0" shapeId="0" xr:uid="{3F2F81E1-A893-7045-A862-434703F8E2F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fertilized</t>
        </r>
      </text>
    </comment>
    <comment ref="F25" authorId="0" shapeId="0" xr:uid="{141C3DE5-35AF-F544-9E5B-F368A4F1663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25" authorId="0" shapeId="0" xr:uid="{4D21FCC7-B0A7-2E42-BA0E-DF29848185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25" authorId="0" shapeId="0" xr:uid="{1865B5A3-6B5E-9046-BEB0-CD31E92A4E3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J26" authorId="0" shapeId="0" xr:uid="{C16BB5F2-779C-7747-A10E-A578F5BA62A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26" authorId="0" shapeId="0" xr:uid="{8004D2BB-EE77-544D-92B3-C6C1C58FC2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S35" authorId="0" shapeId="0" xr:uid="{6E15B785-9D73-294D-BE8A-2219D279283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F38" authorId="0" shapeId="0" xr:uid="{77C794FD-18EF-484A-9F3B-C9405F2AD6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38" authorId="0" shapeId="0" xr:uid="{B5277B39-85DB-0F46-9823-F7DA548944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38" authorId="0" shapeId="0" xr:uid="{0533B337-4D18-BB4D-8510-4A49EE79977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F39" authorId="0" shapeId="0" xr:uid="{1894AD52-4007-7644-8D32-15F97E9F0AD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39" authorId="0" shapeId="0" xr:uid="{F308909B-C8C0-364F-9B44-34D6345765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39" authorId="0" shapeId="0" xr:uid="{C474B2FA-12F1-1842-BD32-63EA833F47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S40" authorId="0" shapeId="0" xr:uid="{D22809DB-45E6-3841-B2C8-1D4BA5CFD8F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D36" authorId="0" shapeId="0" xr:uid="{2B4B3EB2-D651-624D-AC96-378127B8945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microelements to reach same conc as Std_E2</t>
        </r>
      </text>
    </comment>
    <comment ref="D37" authorId="0" shapeId="0" xr:uid="{3561ED20-2E10-D34A-8F94-90601936BB8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NPK and microelements to reach same conc as Std_E2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M76" authorId="0" shapeId="0" xr:uid="{2D324232-2A88-3F41-A3A2-A4A7F1CDCFF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for pH adjustment</t>
        </r>
      </text>
    </comment>
    <comment ref="M77" authorId="0" shapeId="0" xr:uid="{0833B52C-F33D-9D47-A896-054BE44909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addition for pH adjustment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M78" authorId="0" shapeId="0" xr:uid="{72C164E0-8DB0-D74B-A5D3-56CEA2A2286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addition for pH adjustment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09" authorId="1" shapeId="0" xr:uid="{DD28181C-168F-2B45-984B-2EAFE9790C01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0" authorId="1" shapeId="0" xr:uid="{41947A13-7A1C-D346-856B-24B740A34EA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1" authorId="1" shapeId="0" xr:uid="{787BFE42-FF4C-0242-AD36-0DF534E9EC9C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2" authorId="1" shapeId="0" xr:uid="{37BE583D-741E-A745-BFDB-2FD9AF1235C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J46" authorId="0" shapeId="0" xr:uid="{5A818A3F-54BA-964D-86DF-CBFDFE5EA5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L46" authorId="0" shapeId="0" xr:uid="{3B3FB8EC-8E84-924D-B2CC-D253AC09BB2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O100" authorId="0" shapeId="0" xr:uid="{2BBA5DD7-D29B-C444-A831-0ED6A867B31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depletion</t>
        </r>
      </text>
    </comment>
    <comment ref="W100" authorId="0" shapeId="0" xr:uid="{902FDCD2-962B-AE40-A67C-4383DFC8E55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depletion?
</t>
        </r>
      </text>
    </comment>
    <comment ref="Y100" authorId="0" shapeId="0" xr:uid="{EAEBAEF7-45A0-B14C-AD0E-B7270C6C446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depletion</t>
        </r>
      </text>
    </comment>
    <comment ref="W101" authorId="0" shapeId="0" xr:uid="{2AD8851E-0446-1B42-A16E-0662F5BF0CC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? or depletion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N2" authorId="0" shapeId="0" xr:uid="{33C2FB8E-D014-9C42-8335-E22544B1F8F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O2" authorId="0" shapeId="0" xr:uid="{64248EEA-0F8F-794C-973A-16871139ED3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P2" authorId="0" shapeId="0" xr:uid="{412A5FCD-8C5C-D64D-A30F-0C41A4B88CD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Q2" authorId="0" shapeId="0" xr:uid="{6CF268C2-4B31-F245-9F2B-C74578DC142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87FF3339-968F-D542-A662-513495E5C8A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47BEB6AB-1216-AB4E-ACC8-389DBB134B9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T2" authorId="0" shapeId="0" xr:uid="{BE03AE17-3534-B343-8A8A-CF5A40111ED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AB839FBC-C740-144E-847F-C832EE46027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3B3C7C3A-A179-CA49-AF34-A7A081E57F1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17E3BF88-D5BE-064B-8EF9-4E0926ABE47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4B86584A-585F-0349-B0B1-CCDBB3C2F69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0" shapeId="0" xr:uid="{4DCA0013-0BD5-6043-BEA7-A6BBF30BBED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0" shapeId="0" xr:uid="{558BFCCE-F4D7-7243-9B8E-56DEDC4997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0" shapeId="0" xr:uid="{E4D717B4-BE58-2943-B758-023A9944E0D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H2" authorId="0" shapeId="0" xr:uid="{415B43A1-6320-924D-A905-190A2A0842C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I2" authorId="0" shapeId="0" xr:uid="{6B79DD28-2E4D-344D-B860-FB3CE709FBA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2" authorId="0" shapeId="0" xr:uid="{E680B5F5-4B47-A940-86B6-26D7DF3DAEC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2" authorId="0" shapeId="0" xr:uid="{117AE646-2963-9F4C-8F7E-78F195B8172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2" authorId="0" shapeId="0" xr:uid="{455ED66B-6503-DF4D-9957-A92D702DF51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M2" authorId="0" shapeId="0" xr:uid="{C948CEB8-7A66-E24D-BF2D-AB48F82A33F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7EA29E3A-BEC4-1B48-A52A-729B8311B46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8C7D162B-8193-2A4C-A8C4-438886F4701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T2" authorId="0" shapeId="0" xr:uid="{37B21808-94E5-4242-A0A5-5C37B86077E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AABDDF0D-2C14-CE4A-9BBF-1FA4D919699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EEA8B173-55F8-8D49-BAF8-06A70891F2F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23ED894B-00DA-464C-923E-56069E88DCD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501874D2-3FEA-1E43-8E65-2E377B34AB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C2" authorId="0" shapeId="0" xr:uid="{6E205E75-5AF7-804B-B684-D76A40BEA6A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continuous/on-demand</t>
        </r>
      </text>
    </comment>
    <comment ref="L2" authorId="0" shapeId="0" xr:uid="{E8790EC8-3A4D-8042-A37C-D4CF8311D8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initial fresh weight</t>
        </r>
      </text>
    </comment>
    <comment ref="M2" authorId="0" shapeId="0" xr:uid="{E3157343-6D1A-8B4F-9D40-1413CEDBF46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initial biomass; total fresh plant biomass in the system</t>
        </r>
      </text>
    </comment>
    <comment ref="N2" authorId="0" shapeId="0" xr:uid="{8C90F63A-44E7-684D-B19A-576919EE37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Fresh total biomass at harvest (total plant or fruit weight)</t>
        </r>
      </text>
    </comment>
    <comment ref="O2" authorId="0" shapeId="0" xr:uid="{1360AF18-30E1-A64B-AC24-83BD15266F5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total biomass at harvest</t>
        </r>
      </text>
    </comment>
    <comment ref="P2" authorId="0" shapeId="0" xr:uid="{B127B38A-27B1-5940-8A00-81FE2EA3CC4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fresh weight of individual plant</t>
        </r>
      </text>
    </comment>
    <comment ref="Q2" authorId="0" shapeId="0" xr:uid="{B4912F2B-A3BB-2A4C-BBB8-7E13958A5A1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height of green part of plant</t>
        </r>
      </text>
    </comment>
    <comment ref="Y2" authorId="0" shapeId="0" xr:uid="{31334183-79F7-B14F-9B12-954BAFE4DD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Z2" authorId="0" shapeId="0" xr:uid="{7590FA10-A7EE-834D-9BDA-F594E30D170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A2" authorId="0" shapeId="0" xr:uid="{E272DAFF-566A-C94A-8E0A-C8C92FD903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B2" authorId="0" shapeId="0" xr:uid="{7FDCDDBD-C054-5A46-9CB3-2D7207567CC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C2" authorId="0" shapeId="0" xr:uid="{9077C767-DD86-1141-A69A-ED358B02D01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D2" authorId="0" shapeId="0" xr:uid="{129E1536-5A2E-704A-A471-6D00647799A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I2" authorId="0" shapeId="0" xr:uid="{0956AFE1-EFE5-E843-8ADC-48CD8910F1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J2" authorId="0" shapeId="0" xr:uid="{04A8F968-D531-2940-9631-972F1E7FED3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K2" authorId="0" shapeId="0" xr:uid="{2FACC065-9F90-AB4D-B4C0-A9B0AF9EBF4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L2" authorId="0" shapeId="0" xr:uid="{8D2379DA-19E3-1B48-AF5A-E2721ACF145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M2" authorId="0" shapeId="0" xr:uid="{1EFD3D65-0EAA-F043-9E2B-A5ECA838C08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N2" authorId="0" shapeId="0" xr:uid="{1EBE5525-AFEB-F146-A84E-93DC7F307DB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O2" authorId="0" shapeId="0" xr:uid="{D8B5C25C-0F4F-734D-BCEA-06496241430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Axel Tellbuscher</author>
  </authors>
  <commentList>
    <comment ref="B13" authorId="0" shapeId="0" xr:uid="{1CCB97C5-208A-419A-B272-5571432D4FC6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some outlier</t>
        </r>
      </text>
    </comment>
    <comment ref="B14" authorId="0" shapeId="0" xr:uid="{6B25094E-8C3B-43B3-AEB2-CB42FAA09690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  <comment ref="B16" authorId="0" shapeId="0" xr:uid="{C0D0381F-79B4-466B-B867-2F6419127F30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  <comment ref="B17" authorId="0" shapeId="0" xr:uid="{0D78067B-0C04-4E38-A8C6-BF55287F9918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B3" authorId="0" shapeId="0" xr:uid="{119C48BD-F53C-C843-B3ED-3742932D4F2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treatments also reported in Goddek2018</t>
        </r>
      </text>
    </comment>
    <comment ref="A4" authorId="0" shapeId="0" xr:uid="{B437E639-4D5C-7040-9CEB-E01BE878396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 remineralisation data analogously to Delaide</t>
        </r>
      </text>
    </comment>
    <comment ref="B4" authorId="0" shapeId="0" xr:uid="{758358B1-DDDD-8748-9066-884FDE9F10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treatments also reported in Delaide2018</t>
        </r>
      </text>
    </comment>
    <comment ref="A10" authorId="0" shapeId="0" xr:uid="{7FCDF755-C25A-B74A-A0B1-F1031FF0399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recalculate</t>
        </r>
      </text>
    </comment>
    <comment ref="F10" authorId="1" shapeId="0" xr:uid="{DC4C5E54-9CFD-0F4D-B076-77FC442632C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feed data taken from Tetreault2021b</t>
        </r>
      </text>
    </comment>
    <comment ref="A11" authorId="0" shapeId="0" xr:uid="{93A9216D-03E4-474B-B3FA-F7E9273B877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recalculate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2" authorId="1" shapeId="0" xr:uid="{A10247B3-3677-5042-8E22-0D1D56CBDD6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experiment conducted in a non-stringent way
</t>
        </r>
        <r>
          <rPr>
            <sz val="10"/>
            <color rgb="FF000000"/>
            <rFont val="Tahoma"/>
            <family val="2"/>
          </rPr>
          <t xml:space="preserve">- source water not characterised
</t>
        </r>
        <r>
          <rPr>
            <sz val="10"/>
            <color rgb="FF000000"/>
            <rFont val="Tahoma"/>
            <family val="2"/>
          </rPr>
          <t>- mortality too high</t>
        </r>
      </text>
    </comment>
    <comment ref="B19" authorId="0" shapeId="0" xr:uid="{18C57DA9-8E5D-B244-95F1-E66BF4A5A6D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diet with low N and low P leads to better plant growth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R2" authorId="0" shapeId="0" xr:uid="{A5723437-717A-D045-9DE5-E73AA06C8C31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%/day</t>
        </r>
      </text>
    </comment>
    <comment ref="A17" authorId="1" shapeId="0" xr:uid="{D64582DF-A127-5B46-B1B3-32BE28B15A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from Delaide2019</t>
        </r>
      </text>
    </comment>
    <comment ref="A18" authorId="1" shapeId="0" xr:uid="{812A6F84-6FB1-D841-91E1-81C4914ACF8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3" authorId="1" shapeId="0" xr:uid="{12A67D23-2C97-9C4A-BFC6-634EC8E25BA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BE0587C5-1CA0-F647-8C10-ABC0EE01F51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5" authorId="1" shapeId="0" xr:uid="{FD82CC13-65E1-DF47-9B0F-B78B108DACC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6" authorId="1" shapeId="0" xr:uid="{0F7FC6D3-10B2-8B47-B2B5-66129134A7B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9412255F-71F5-6543-BCD6-92D0B13CF8D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540F3DA7-5D2C-AA40-A060-9B9C455B82E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42" authorId="1" shapeId="0" xr:uid="{96928FD8-B5E4-2844-8DBC-9B5CC887005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1x splitter tank
</t>
        </r>
        <r>
          <rPr>
            <sz val="10"/>
            <color rgb="FF000000"/>
            <rFont val="Tahoma"/>
            <family val="2"/>
          </rPr>
          <t>2x biofilter not taken into account</t>
        </r>
      </text>
    </comment>
    <comment ref="M42" authorId="1" shapeId="0" xr:uid="{30C1CE46-DA18-B748-949A-4D2D6720BE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during growth</t>
        </r>
      </text>
    </comment>
    <comment ref="K43" authorId="1" shapeId="0" xr:uid="{E53CE924-1004-8648-991B-3C7216EB840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1x splitter tank
</t>
        </r>
        <r>
          <rPr>
            <sz val="10"/>
            <color rgb="FF000000"/>
            <rFont val="Tahoma"/>
            <family val="2"/>
          </rPr>
          <t>2x biofilter not taken into account</t>
        </r>
      </text>
    </comment>
    <comment ref="M43" authorId="1" shapeId="0" xr:uid="{933ADE4B-BB8C-C24B-9B1C-6FDF02B05E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during growth</t>
        </r>
      </text>
    </comment>
    <comment ref="C45" authorId="1" shapeId="0" xr:uid="{FC982E74-7571-E941-BB09-B3C9D7959E4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hydroponic system</t>
        </r>
      </text>
    </comment>
    <comment ref="G46" authorId="1" shapeId="0" xr:uid="{243E799D-DB94-2B4B-9056-17D0A2C6772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6" authorId="1" shapeId="0" xr:uid="{D67F562C-0135-2B41-8AE1-06EFE35DAD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47" authorId="1" shapeId="0" xr:uid="{EE669FE5-A8D0-9047-BED1-0D37AFF14A0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7" authorId="1" shapeId="0" xr:uid="{9A554DCB-0350-2343-99DB-26B794FD07B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48" authorId="1" shapeId="0" xr:uid="{D028D599-7CDD-E144-82FF-B1B67ED46A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8" authorId="1" shapeId="0" xr:uid="{9466B279-ED9C-1343-8656-A7103ECE39E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M49" authorId="1" shapeId="0" xr:uid="{BE650DA5-6B1E-A741-8C21-64A10363B09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mean instead of initial </t>
        </r>
        <r>
          <rPr>
            <sz val="10"/>
            <color rgb="FF000000"/>
            <rFont val="Calibri"/>
            <family val="2"/>
            <scheme val="minor"/>
          </rPr>
          <t>stocking density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O49" authorId="1" shapeId="0" xr:uid="{16A19BA3-8722-3C4A-B699-51F4A7D00FD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related to rearing part only</t>
        </r>
      </text>
    </comment>
    <comment ref="M50" authorId="1" shapeId="0" xr:uid="{0E3213EE-B2BF-B745-98D3-C1B3CA29458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mean instead of initial </t>
        </r>
        <r>
          <rPr>
            <sz val="10"/>
            <color rgb="FF000000"/>
            <rFont val="Calibri"/>
            <family val="2"/>
          </rPr>
          <t xml:space="preserve">stocking density </t>
        </r>
      </text>
    </comment>
    <comment ref="O50" authorId="1" shapeId="0" xr:uid="{63E54124-4D39-144C-8632-75E957829C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Biomass related to rearing part only
</t>
        </r>
      </text>
    </comment>
    <comment ref="G56" authorId="1" shapeId="0" xr:uid="{FC939A30-2C83-D244-84EC-1C77D820092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staged stocking</t>
        </r>
      </text>
    </comment>
    <comment ref="K56" authorId="1" shapeId="0" xr:uid="{E4FA7999-4DE7-AD4D-BC36-F10153A0DC6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57" authorId="1" shapeId="0" xr:uid="{85842A09-73E4-F541-B41D-C2D3240E6E2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average; staged stocking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57" authorId="1" shapeId="0" xr:uid="{DDD78E39-B2E7-B740-932F-F14EA912FD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58" authorId="1" shapeId="0" xr:uid="{498DE63E-2963-FF47-A5CB-093D9780635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average; staged stocking
</t>
        </r>
      </text>
    </comment>
    <comment ref="K58" authorId="1" shapeId="0" xr:uid="{3D87DC3F-F211-E545-8104-89144A7AD8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59" authorId="1" shapeId="0" xr:uid="{39E20C41-8562-0345-8A8F-426C1C9439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0" authorId="1" shapeId="0" xr:uid="{F803639B-34F4-0646-97A5-538D7781E4B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1" authorId="1" shapeId="0" xr:uid="{2FC340DF-9AF8-0E4B-9E45-6DA4CF1A5C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2" authorId="1" shapeId="0" xr:uid="{388EFC4E-8846-224F-965D-174F254E1F5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3" authorId="1" shapeId="0" xr:uid="{549AE0FA-BFC5-5A44-977D-45359A69C96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4" authorId="1" shapeId="0" xr:uid="{66D68AA1-B848-944F-AE3C-87686113C5B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I2" authorId="0" shapeId="0" xr:uid="{615DB3C7-0A00-4649-9376-2C52135CF76E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electric conductivity at 25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A17" authorId="1" shapeId="0" xr:uid="{F6E7F444-7833-2A42-B999-2DD5D74919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80% rain water, 20% tap water; data assumed to be 100% tap water</t>
        </r>
      </text>
    </comment>
    <comment ref="A18" authorId="1" shapeId="0" xr:uid="{35102B97-7104-194D-9272-DAC3267BFDD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80% rain water, 20% tap water; 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3" authorId="1" shapeId="0" xr:uid="{2BED168F-EABE-9F4C-82FF-E774AB05D7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46BE2C9A-5101-6E43-865C-5EF1E171289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D4EE5EE0-1B0E-A544-86AF-FFA2444CB1A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6" authorId="1" shapeId="0" xr:uid="{EFF3420A-3323-3147-8A83-E88E82402B8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23B9E949-C889-824D-8E5C-B4BFCB9EBB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BB789906-07BD-9643-82A9-A8B7EA15B2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4" authorId="1" shapeId="0" xr:uid="{57B5A81D-BC69-F042-B47C-050EDC95B1A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5" authorId="1" shapeId="0" xr:uid="{ECACFEAF-F489-D74C-AD7B-69F3A256C7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F2" authorId="0" shapeId="0" xr:uid="{2E4BB7F9-89B3-1C40-9AC5-EB7BE490550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%BW</t>
        </r>
      </text>
    </comment>
    <comment ref="G2" authorId="0" shapeId="0" xr:uid="{0635906C-08AD-9949-8B79-D1E3525F655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take adjustment of amount of feed fed after intermittent BW determination into account </t>
        </r>
      </text>
    </comment>
    <comment ref="H2" authorId="0" shapeId="0" xr:uid="{FFF1A420-DF88-FE4A-B50F-446C3C1EDF1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</t>
        </r>
      </text>
    </comment>
    <comment ref="I2" authorId="0" shapeId="0" xr:uid="{7B444C6C-0E5D-8142-B84F-3B36908E14D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J2" authorId="0" shapeId="0" xr:uid="{BD0967C3-7C3B-CD48-9B06-223CF5ED7708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K2" authorId="0" shapeId="0" xr:uid="{A60ADF76-D78B-AD43-9C91-1D8F6529E68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L2" authorId="0" shapeId="0" xr:uid="{2C02ECB7-F364-324C-9864-A7DA23A3528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M2" authorId="0" shapeId="0" xr:uid="{7ECAE479-9D39-6649-8498-9CF272C07FE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U2" authorId="1" shapeId="0" xr:uid="{CE0E423D-14FC-3747-AF23-C79DC9B91D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V2" authorId="1" shapeId="0" xr:uid="{482342BB-5EC8-0C45-91D0-1ED3E5F85B6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W2" authorId="1" shapeId="0" xr:uid="{EBED9111-D315-ED45-92A7-BE32E3CF05D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1" shapeId="0" xr:uid="{85A5D1CB-BF11-CB4D-BD3E-BAC5883B168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1" shapeId="0" xr:uid="{B7B67007-DF10-114C-9EBE-B5E0AB3AA4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1" shapeId="0" xr:uid="{53F8CF26-C137-5645-9FB6-68B94B5AFB7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1" shapeId="0" xr:uid="{572AF17D-E75D-324D-8B5E-8ABCA3009F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G13" authorId="0" shapeId="0" xr:uid="{38FAE1E3-6586-754C-8E5C-BD23D79EC11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total amount of feed given</t>
        </r>
      </text>
    </comment>
    <comment ref="G14" authorId="0" shapeId="0" xr:uid="{4B1F6F69-1E42-E54D-9270-B50D6C05E6D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 of total amount of feed given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15" authorId="0" shapeId="0" xr:uid="{AE2E6D5C-3442-6249-A0E2-EC00C1042028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 of total amount of feed given
</t>
        </r>
      </text>
    </comment>
    <comment ref="G16" authorId="0" shapeId="0" xr:uid="{349B0946-AC13-E840-BD1E-712053AD573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 of total amount of feed given
</t>
        </r>
      </text>
    </comment>
    <comment ref="A17" authorId="1" shapeId="0" xr:uid="{B99F8B2A-2438-E241-8857-657BC4D224F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from Delaide2019</t>
        </r>
      </text>
    </comment>
    <comment ref="A18" authorId="1" shapeId="0" xr:uid="{68AEF510-B160-0F46-AEB0-7EC0D6F5118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F21" authorId="1" shapeId="0" xr:uid="{680B02D0-39B7-204F-AAB0-473139B2CB5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rough average
</t>
        </r>
      </text>
    </comment>
    <comment ref="F22" authorId="1" shapeId="0" xr:uid="{0E5B2B77-F025-EF42-B195-FAA9FD5A2CB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rough average</t>
        </r>
      </text>
    </comment>
    <comment ref="F23" authorId="1" shapeId="0" xr:uid="{78E65ADB-56D2-FB48-A88D-E8ED15A5957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rough average</t>
        </r>
      </text>
    </comment>
    <comment ref="A33" authorId="1" shapeId="0" xr:uid="{9CBFC691-FAD3-054C-9A10-BE2C3910593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994BA5F6-BA90-C44D-BD12-F7B9360AF75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01E82479-A162-6149-8A9C-D865690C2B1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6" authorId="1" shapeId="0" xr:uid="{040F5FA2-BFEE-384F-83EF-B658A96BB29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BE29AD45-4633-A545-84ED-F4DB816EE3C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B2F303D6-7A3E-4843-BA04-15E0D8649AA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6" authorId="1" shapeId="0" xr:uid="{0BC2CDB2-C0B6-A942-B2C5-EAA1136BE4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7" authorId="1" shapeId="0" xr:uid="{637675B7-3DFE-3F44-8C31-D32D63F372B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8" authorId="1" shapeId="0" xr:uid="{2B6D0F7E-FF9A-A249-BDBE-ECBB6F95928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9" authorId="1" shapeId="0" xr:uid="{85780A80-5E41-4045-8164-C06A5E4F10C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0" authorId="1" shapeId="0" xr:uid="{DD8A373E-9369-954C-BEC9-F61C9B9BD00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6" authorId="1" shapeId="0" xr:uid="{9E067DE9-DF07-9A43-A82C-7AC0EB977D8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7" authorId="1" shapeId="0" xr:uid="{CAE5F2FF-E9C3-3648-94C7-8481D367D0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58" authorId="1" shapeId="0" xr:uid="{8ACFB362-4E35-1248-B9A2-2848DFCE308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65" authorId="1" shapeId="0" xr:uid="{36D442C9-35ED-624C-AAE1-C35535320FD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66" authorId="1" shapeId="0" xr:uid="{9113313D-359D-6C4C-A05D-52A2D48D618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G67" authorId="1" shapeId="0" xr:uid="{F0C130B5-6961-7140-9ABB-4B663DE0ED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questionable; totalV instead of rearingV used in publication</t>
        </r>
      </text>
    </comment>
    <comment ref="G68" authorId="1" shapeId="0" xr:uid="{7C5E6E23-A9D7-434F-9BC8-F736F59E39F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questionable; totalV instead of rearingV used in publication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69" authorId="1" shapeId="0" xr:uid="{582C5B43-DED1-F946-92A4-80C1EFBB6CA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questionable; totalV instead of rearingV used in publication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09" authorId="0" shapeId="0" xr:uid="{DB6C544F-B594-E949-9FD0-DD171B081BF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0" authorId="0" shapeId="0" xr:uid="{65A1292F-08D0-8846-9BFD-E8499974C2E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1" authorId="0" shapeId="0" xr:uid="{E40D0C59-0730-7B48-ABD4-78FA59DAFBF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2" authorId="0" shapeId="0" xr:uid="{188FCF3F-BC16-3B4F-8C99-EF05C277F5AF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L3" authorId="0" shapeId="0" xr:uid="{1173D173-35C4-E345-950C-A33F811897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3" authorId="0" shapeId="0" xr:uid="{2D09F494-CC3B-874E-BF00-2ACDB9D7B2C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3" authorId="0" shapeId="0" xr:uid="{E75718F6-E3AE-3940-814E-733E80C86A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T3" authorId="0" shapeId="0" xr:uid="{711FB6C2-C9D2-FE42-836C-BD51D22EFA2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3" authorId="0" shapeId="0" xr:uid="{B4F32B1D-EB0D-6541-94C8-401892F554C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3" authorId="0" shapeId="0" xr:uid="{5803A4B2-A335-4841-9790-D601F3774F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L4" authorId="0" shapeId="0" xr:uid="{A3F798F1-0B6A-2346-A82C-7216059DBD4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4" authorId="0" shapeId="0" xr:uid="{0C48DD5C-23BD-3A48-8AD7-84A3409B7D1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4" authorId="0" shapeId="0" xr:uid="{5D08A16D-6E78-4D45-B233-98E7AC1078A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4" authorId="0" shapeId="0" xr:uid="{11CA6BFF-77F6-FB41-97C5-30AE5A8EFD0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4" authorId="0" shapeId="0" xr:uid="{44FA1316-C575-9147-85EF-4B9F77F849B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4" authorId="0" shapeId="0" xr:uid="{06BA7F21-4740-3049-83BB-4B7A0AC0AD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J6" authorId="0" shapeId="0" xr:uid="{5116AEEE-39F7-5C44-AF10-2DF330186C4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J7" authorId="0" shapeId="0" xr:uid="{E7542ABE-060F-F34D-AEC4-F756DEBDCF5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J8" authorId="0" shapeId="0" xr:uid="{B5A6AF08-F2C4-C54D-B227-4241B71361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V24" authorId="1" shapeId="0" xr:uid="{0A47DA2C-3CB0-C946-A342-F22D8770ED75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K2CO3 as buffer</t>
        </r>
      </text>
    </comment>
    <comment ref="AF24" authorId="1" shapeId="0" xr:uid="{9C8B7FBD-2AFA-5B4D-92B4-7DE93003FA2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chelated Fe</t>
        </r>
      </text>
    </comment>
    <comment ref="D42" authorId="1" shapeId="0" xr:uid="{19D74D43-9001-B147-AC4C-041B11B128F5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fish tank</t>
        </r>
      </text>
    </comment>
    <comment ref="D43" authorId="1" shapeId="0" xr:uid="{C0647045-9066-8D49-9031-6E54C85FF2D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fish tank</t>
        </r>
      </text>
    </comment>
    <comment ref="L93" authorId="0" shapeId="0" xr:uid="{ADB1EC5E-5A30-6F40-933A-09CA39AC4E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93" authorId="0" shapeId="0" xr:uid="{F82DEFAB-89AC-014C-AA8E-7FE482C6C66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93" authorId="0" shapeId="0" xr:uid="{7AE2F6AB-9E57-1749-87C7-BC4078FC0B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T93" authorId="0" shapeId="0" xr:uid="{2ECCA7FB-CBA6-B544-B359-3F2D212FAF7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93" authorId="0" shapeId="0" xr:uid="{E76EF814-AF34-1D4C-B50D-12ACCCAA761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93" authorId="0" shapeId="0" xr:uid="{521727B8-D6AE-C543-A60D-9ABF934465B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O2" authorId="0" shapeId="0" xr:uid="{A587E571-6703-EA40-BD86-EEE6CB64B5F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P2" authorId="0" shapeId="0" xr:uid="{594EA74C-9046-E747-9354-77E752D96A6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Q2" authorId="0" shapeId="0" xr:uid="{DE2ED057-5523-F543-9CAC-5E3D7C490AF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B617CE5C-C2C8-D14D-87EF-0623C35835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822316BB-243E-0442-9E91-E187069D61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T2" authorId="0" shapeId="0" xr:uid="{97FBF315-89C3-4B4B-8033-04A332E7B62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FBE29B48-E2B3-7A41-A9C4-476FCFA41B8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8F82B487-A428-6E4C-B596-C8F1A75705A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7E09D760-F705-8B42-AA8A-DA4EDB9D4A3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B7993ECA-E8B7-AD4E-A5CA-A06A2DDE9D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0" shapeId="0" xr:uid="{8F86C203-766D-A040-9DE4-A55180A82C2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0" shapeId="0" xr:uid="{48891B93-F8FA-8944-AFA6-590BD75CE2B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0" shapeId="0" xr:uid="{2F820F5B-9B1B-B64F-AFAA-6FBDE224013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B2" authorId="0" shapeId="0" xr:uid="{90A43C8E-91AF-2C40-9755-9A470445C2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4" authorId="1" shapeId="0" xr:uid="{7E47B17A-C70C-234D-B32B-57405405D51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K2CO3 as buffer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68" authorId="0" shapeId="0" xr:uid="{697E1AAC-5DC6-2241-BEA6-6E778938D1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Sampling date: 23.11.2015</t>
        </r>
      </text>
    </comment>
    <comment ref="C69" authorId="0" shapeId="0" xr:uid="{A39F6D29-D21B-5448-BA81-58FCD94FB93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Sampling date: 5.11.2015</t>
        </r>
      </text>
    </comment>
    <comment ref="F83" authorId="0" shapeId="0" xr:uid="{6E012818-7D41-954B-AB1A-5FCF8FA7F9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4" authorId="0" shapeId="0" xr:uid="{D5C79914-04F5-1648-962B-A1CA8B4DEC7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5" authorId="0" shapeId="0" xr:uid="{9F70BA71-4CA1-9F42-AE0A-E831B80EF84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6" authorId="0" shapeId="0" xr:uid="{150E3DF9-5FC2-9944-83C3-8C46C9F1363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7" authorId="0" shapeId="0" xr:uid="{78731F1B-6BD7-CF4C-AE4E-F2541BF8E62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8" authorId="0" shapeId="0" xr:uid="{560DC97E-BE28-4B4F-9864-AE847557DA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9" authorId="0" shapeId="0" xr:uid="{25EF6B4B-AF78-E74A-9227-571CE336E2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90" authorId="0" shapeId="0" xr:uid="{98A43340-8332-6C49-8703-3739E97741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91" authorId="0" shapeId="0" xr:uid="{08E5399F-BCBB-7144-B1F3-3522A046607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D109" authorId="1" shapeId="0" xr:uid="{C5E9F07C-B5D4-9A43-8F30-9FD5287EE51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0" authorId="1" shapeId="0" xr:uid="{83491919-CEC3-974E-9C1D-C2E53C4FB3B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1" authorId="1" shapeId="0" xr:uid="{13510EB9-69DF-6B49-9D24-A195A631AFC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2" authorId="1" shapeId="0" xr:uid="{D089830C-ED7C-A448-8EFC-CB891D5A084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N5" authorId="0" shapeId="0" xr:uid="{B3ABA73A-A0BB-E74B-A553-E5A3F25F2F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NUTtotal
</t>
        </r>
        <r>
          <rPr>
            <sz val="10"/>
            <color rgb="FF000000"/>
            <rFont val="Tahoma"/>
            <family val="2"/>
          </rPr>
          <t xml:space="preserve"> = TSStotal * yNUT (mg/g)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cNUT(mg/L) = </t>
        </r>
        <r>
          <rPr>
            <sz val="10"/>
            <color rgb="FF000000"/>
            <rFont val="Tahoma"/>
            <family val="2"/>
          </rPr>
          <t xml:space="preserve">NUTtotal * %Recovery / V flowthrough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 flowthrough = duration(d)/hydraulic retention time * V reactor</t>
        </r>
      </text>
    </comment>
    <comment ref="P5" authorId="0" shapeId="0" xr:uid="{99E0A4A6-C5C1-D74E-A4F4-4146DDD89F5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5" authorId="0" shapeId="0" xr:uid="{EB497F72-39CC-1543-BF92-5F0784354E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5" authorId="0" shapeId="0" xr:uid="{32DC34AE-A948-BB43-A68A-8423DDFE53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V5" authorId="0" shapeId="0" xr:uid="{D6B6AE71-610F-504E-98D1-58AB557B827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Z5" authorId="0" shapeId="0" xr:uid="{E8335BB4-0F0A-5241-83E7-0A2AD3BBA9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D5" authorId="0" shapeId="0" xr:uid="{F9F42185-0A24-E548-B875-3609D0A350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F5" authorId="0" shapeId="0" xr:uid="{AADD8BED-41DC-1B45-9C24-BB69515B446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H5" authorId="0" shapeId="0" xr:uid="{98695C24-211E-DE46-ACA4-B037D8BD4BD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J5" authorId="0" shapeId="0" xr:uid="{0276AE85-D366-A94A-B18A-A631F2E04D3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F6" authorId="0" shapeId="0" xr:uid="{155D5263-F05D-7444-886B-9B1E5CA0D8B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EGSB reactor</t>
        </r>
      </text>
    </comment>
    <comment ref="F7" authorId="0" shapeId="0" xr:uid="{5F0F38D4-207B-3B44-B04A-5F4E31965DE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EGSB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8" authorId="0" shapeId="0" xr:uid="{76246A43-3868-774F-AA4A-1D70172EE9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EGSB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24" authorId="1" shapeId="0" xr:uid="{55B16658-2D8A-ED45-A8FD-0902F9A006C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K2CO3 as buffer
</t>
        </r>
      </text>
    </comment>
    <comment ref="A33" authorId="1" shapeId="0" xr:uid="{702E8609-AA1F-3B42-901D-5B496475DE2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from mmol/L into mg/L necessary</t>
        </r>
      </text>
    </comment>
    <comment ref="A34" authorId="1" shapeId="0" xr:uid="{F8E82051-D466-2A44-943D-BB7326AA179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conversion from mmol/L into mg/L necessary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12D6C926-04AA-E54E-BFA3-1D9DA7C82E2A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conversion from mmol/L into mg/L necessary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92" authorId="0" shapeId="0" xr:uid="{0ACCBECD-69B0-FA41-8CDF-5F0DE4A32FC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P92" authorId="0" shapeId="0" xr:uid="{22F9F180-C2EC-F940-AAE9-18DFA10ABC4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92" authorId="0" shapeId="0" xr:uid="{E374DE8F-D538-934F-BF80-B0F55E5977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92" authorId="0" shapeId="0" xr:uid="{64E8D4EF-93A9-0241-9EB6-7BFA350DC38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92" authorId="0" shapeId="0" xr:uid="{EC7C72BC-7556-A34C-9C96-EBAE670B82B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92" authorId="0" shapeId="0" xr:uid="{F02DC574-9FBC-F548-87E3-3D8E55822D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D92" authorId="0" shapeId="0" xr:uid="{D87FD691-0AD4-564E-BFCD-80A45F71EF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F92" authorId="0" shapeId="0" xr:uid="{F44278D6-1613-C64B-A04B-BA68FB0B50B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92" authorId="0" shapeId="0" xr:uid="{52695EC3-29CF-F949-A480-38DA890AB1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J92" authorId="0" shapeId="0" xr:uid="{B6C31FE2-F84B-8B45-A9A4-B5FDE54F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<sst xmlns="http://schemas.openxmlformats.org/spreadsheetml/2006/main" count="2933" uniqueCount="616">
  <si>
    <t>Macronutrients</t>
  </si>
  <si>
    <t>Micronutrients</t>
  </si>
  <si>
    <t>Reference_ID</t>
  </si>
  <si>
    <t>%DM</t>
  </si>
  <si>
    <t>%CP</t>
  </si>
  <si>
    <t>%CL</t>
  </si>
  <si>
    <t>%NFE</t>
  </si>
  <si>
    <t>%Ash</t>
  </si>
  <si>
    <t>%Fibre</t>
  </si>
  <si>
    <t>%P</t>
  </si>
  <si>
    <t>Fe_(mg/g)</t>
  </si>
  <si>
    <t>Zn_(mg/g)</t>
  </si>
  <si>
    <t>Cu_(mg/g)</t>
  </si>
  <si>
    <t>Mn_(mg/g)</t>
  </si>
  <si>
    <t>B_(mg/g)</t>
  </si>
  <si>
    <t>Mo_(mg/g)</t>
  </si>
  <si>
    <t>Ni_(mg/g)</t>
  </si>
  <si>
    <t>Monsees2017</t>
  </si>
  <si>
    <t>Aller Float 37/10 2 mm</t>
  </si>
  <si>
    <t>Species</t>
  </si>
  <si>
    <t>P_(mg/g)</t>
  </si>
  <si>
    <t>K_(mg/g)</t>
  </si>
  <si>
    <t>Ca_(mg/g)</t>
  </si>
  <si>
    <t>Mg_(mg/g)</t>
  </si>
  <si>
    <t>S_(mg/g)</t>
  </si>
  <si>
    <t>Delaide2018</t>
  </si>
  <si>
    <t>Goddek2018</t>
  </si>
  <si>
    <t>Sheets</t>
  </si>
  <si>
    <t>Seawright1998</t>
  </si>
  <si>
    <t>Proximate Composition</t>
  </si>
  <si>
    <t>K</t>
  </si>
  <si>
    <t>Ca</t>
  </si>
  <si>
    <t>Mg</t>
  </si>
  <si>
    <t>S</t>
  </si>
  <si>
    <t>Ntank</t>
  </si>
  <si>
    <t>Nfish</t>
  </si>
  <si>
    <t>closestTreatmentPlant</t>
  </si>
  <si>
    <t>Wasserwerk Friedrichshagen</t>
  </si>
  <si>
    <t>yearAnalysis</t>
  </si>
  <si>
    <t>Potential of aquacultural sludge treatment for aquaponics: evaluation of nutrient mobilization under aerobic and anaerobic conditions</t>
  </si>
  <si>
    <t>inputWater</t>
  </si>
  <si>
    <t>inputFeed</t>
  </si>
  <si>
    <t>fishRetention</t>
  </si>
  <si>
    <t>sludgeRetention</t>
  </si>
  <si>
    <t>plantRetention</t>
  </si>
  <si>
    <t>Title</t>
  </si>
  <si>
    <t>pH</t>
  </si>
  <si>
    <t>A methodology to quantify the aerobic and anaerobic sludge digestion performance for nutrient recycling in aquaponics</t>
  </si>
  <si>
    <t>Nutrient mineralization and organic matter reduction performance of RASbased sludge in sequential UASB-EGSB reactors</t>
  </si>
  <si>
    <t>Omegabaars Grower</t>
  </si>
  <si>
    <t>C-3 Carpe F</t>
  </si>
  <si>
    <t>plant-based</t>
  </si>
  <si>
    <t>Germany</t>
  </si>
  <si>
    <t>Switzerland</t>
  </si>
  <si>
    <t>Netherlands</t>
  </si>
  <si>
    <t>Belgium</t>
  </si>
  <si>
    <t>Berlin</t>
  </si>
  <si>
    <t>Zuerich</t>
  </si>
  <si>
    <t>Wageningen</t>
  </si>
  <si>
    <t>Liege</t>
  </si>
  <si>
    <t>IGB</t>
  </si>
  <si>
    <t>WUR</t>
  </si>
  <si>
    <t>ULiege</t>
  </si>
  <si>
    <t>Hemicellulose</t>
  </si>
  <si>
    <t>Cellulose</t>
  </si>
  <si>
    <t>Lignin</t>
  </si>
  <si>
    <t>Nutrient dynamics in integrated aquaculture–hydroponics systems</t>
  </si>
  <si>
    <t>Plant</t>
  </si>
  <si>
    <t>Cultivar</t>
  </si>
  <si>
    <t>Jericho</t>
  </si>
  <si>
    <t>Seattle</t>
  </si>
  <si>
    <t>USA</t>
  </si>
  <si>
    <t>UW</t>
  </si>
  <si>
    <t>duration_(d)</t>
  </si>
  <si>
    <t>Rangen 3.2 mm</t>
  </si>
  <si>
    <t>Fe_(mg/kg)</t>
  </si>
  <si>
    <t>Zn_(mg/kg)</t>
  </si>
  <si>
    <t>Cu_(mg/kg)</t>
  </si>
  <si>
    <t>Mn_(mg/kg)</t>
  </si>
  <si>
    <t>B_(mg/kg)</t>
  </si>
  <si>
    <t>Mo_(mg/kg)</t>
  </si>
  <si>
    <t>Ni_(mg/kg)</t>
  </si>
  <si>
    <t>Other</t>
  </si>
  <si>
    <t>K_(mg/L)</t>
  </si>
  <si>
    <t>Ca_(mg/L)</t>
  </si>
  <si>
    <t>Mg_(mg/L)</t>
  </si>
  <si>
    <t>Fe_(mg/L)</t>
  </si>
  <si>
    <t>Cu_(mg/L)</t>
  </si>
  <si>
    <t>Mn_(mg/L)</t>
  </si>
  <si>
    <t>B_(mg/L)</t>
  </si>
  <si>
    <t>Na_(mg/L)</t>
  </si>
  <si>
    <t>Cl_(mg/L)</t>
  </si>
  <si>
    <t>&lt;0.05</t>
  </si>
  <si>
    <t>&lt;10</t>
  </si>
  <si>
    <t>&lt;0.005</t>
  </si>
  <si>
    <t>&lt;0.01</t>
  </si>
  <si>
    <t>&lt;0.003</t>
  </si>
  <si>
    <t>Fish Feeds in Aquaponics and Beyond: A Novel Concept to Evaluate Protein Sources in Diets for Circular Multitrophic Food Production Systems</t>
  </si>
  <si>
    <t>Treatment_ID</t>
  </si>
  <si>
    <t>FM</t>
  </si>
  <si>
    <t>BSF</t>
  </si>
  <si>
    <t>PBM</t>
  </si>
  <si>
    <t>PM</t>
  </si>
  <si>
    <t>n_Treatment</t>
  </si>
  <si>
    <t>n_Replicate</t>
  </si>
  <si>
    <t>animal-based</t>
  </si>
  <si>
    <t>insect-based</t>
  </si>
  <si>
    <t>Na_(mg/kg)</t>
  </si>
  <si>
    <t>Survival</t>
  </si>
  <si>
    <t>FBW_g</t>
  </si>
  <si>
    <t>FBM_g</t>
  </si>
  <si>
    <t>feces</t>
  </si>
  <si>
    <t>sludge</t>
  </si>
  <si>
    <t>Sample</t>
  </si>
  <si>
    <t>references</t>
  </si>
  <si>
    <t>rearing</t>
  </si>
  <si>
    <t>Temperature_(degC)</t>
  </si>
  <si>
    <t>EC_(µS/cm)</t>
  </si>
  <si>
    <t>NH4-N_(mg/L)</t>
  </si>
  <si>
    <t>NO3-N(mg/L)</t>
  </si>
  <si>
    <t>TIN_(mg/L)</t>
  </si>
  <si>
    <t>PO4-P_(mg/L)</t>
  </si>
  <si>
    <t>SO4-S_(mg/L)</t>
  </si>
  <si>
    <t>Zn_(mg/L)</t>
  </si>
  <si>
    <t>NO3-N_const</t>
  </si>
  <si>
    <t>TIN_const</t>
  </si>
  <si>
    <t>NH4-N_const</t>
  </si>
  <si>
    <t>PO4-P_const</t>
  </si>
  <si>
    <t>K_const</t>
  </si>
  <si>
    <t>Mg_const</t>
  </si>
  <si>
    <t>Ca_const</t>
  </si>
  <si>
    <t>SO4-S_const</t>
  </si>
  <si>
    <t>B_const</t>
  </si>
  <si>
    <t>Na_const</t>
  </si>
  <si>
    <t>Fe_const</t>
  </si>
  <si>
    <t>Cu_const</t>
  </si>
  <si>
    <t>Mn_const</t>
  </si>
  <si>
    <t>Zn_const</t>
  </si>
  <si>
    <t>increase</t>
  </si>
  <si>
    <t>const</t>
  </si>
  <si>
    <t>NO2-N_(mg/L)</t>
  </si>
  <si>
    <t>NO2-N_const</t>
  </si>
  <si>
    <t>aerobic</t>
  </si>
  <si>
    <t>anaerobic</t>
  </si>
  <si>
    <t>Type_Remin</t>
  </si>
  <si>
    <t>decrease</t>
  </si>
  <si>
    <t>waterRemineralisation</t>
  </si>
  <si>
    <t>Panana2021</t>
  </si>
  <si>
    <t>Pikeperch</t>
  </si>
  <si>
    <t>Rumbeke-Beitem</t>
  </si>
  <si>
    <t>Inagro</t>
  </si>
  <si>
    <t>Na_(mg/g)</t>
  </si>
  <si>
    <t>pH+</t>
  </si>
  <si>
    <t>pH-</t>
  </si>
  <si>
    <t>pH-Induced</t>
  </si>
  <si>
    <t>pH-Natural</t>
  </si>
  <si>
    <t>Goddek2016</t>
  </si>
  <si>
    <t>The Effect of Anaerobic and Aerobic Fish Sludge Supernatant on Hydroponic Lettuce</t>
  </si>
  <si>
    <t>AER</t>
  </si>
  <si>
    <t>ANA</t>
  </si>
  <si>
    <t>Nile tilapia</t>
  </si>
  <si>
    <t>Wädenswill</t>
  </si>
  <si>
    <t>ZHAW</t>
  </si>
  <si>
    <t>Hokovit Tilapia Vegi feed</t>
  </si>
  <si>
    <t>Monsees2017b</t>
  </si>
  <si>
    <t>Decoupled systems on trial: Eliminating bottlenecks to improve aquaponic processes</t>
  </si>
  <si>
    <t>RAS A</t>
  </si>
  <si>
    <t>Tetreault2021</t>
  </si>
  <si>
    <t>Towards a Capture and Reuse Model for Aquaculture Effluent as a Hydroponic Nutrient Solution Using Aerobic Microbial Reactors</t>
  </si>
  <si>
    <t>KFRAG</t>
  </si>
  <si>
    <t>Madbury</t>
  </si>
  <si>
    <t>capitata</t>
  </si>
  <si>
    <t>Latuca sativa</t>
  </si>
  <si>
    <t>Finfish Silver floating 3 mm</t>
  </si>
  <si>
    <t>TSS_(g/L)</t>
  </si>
  <si>
    <t>Waedenswill</t>
  </si>
  <si>
    <t>Tetreault2021b</t>
  </si>
  <si>
    <t>Anaerobic Mineralization of Recirculating Aquaculture Drum Screen Efﬂuent for Use as a Naturally-Derived Nutrient Solution in Hydroponic Cropping Systems</t>
  </si>
  <si>
    <t>AER1</t>
  </si>
  <si>
    <t>ANA1</t>
  </si>
  <si>
    <t>Siqwepu2020</t>
  </si>
  <si>
    <r>
      <t xml:space="preserve">Evaluation of chelated iron and iron sulfate in the diet of African catfish, </t>
    </r>
    <r>
      <rPr>
        <i/>
        <sz val="12"/>
        <color theme="1"/>
        <rFont val="Calibri"/>
        <family val="2"/>
        <scheme val="minor"/>
      </rPr>
      <t>Clarias gariepinus</t>
    </r>
    <r>
      <rPr>
        <sz val="12"/>
        <color theme="1"/>
        <rFont val="Calibri"/>
        <family val="2"/>
        <scheme val="minor"/>
      </rPr>
      <t xml:space="preserve"> to enhance iron excretion for application in integrated aquaponics systems</t>
    </r>
  </si>
  <si>
    <t>African catfish</t>
  </si>
  <si>
    <t>Control</t>
  </si>
  <si>
    <t>Delaide2021</t>
  </si>
  <si>
    <t>Suitability of supernatant of aerobic and anaerobic pikeperch (Sander lucioperca L.) sludge treatments as a water source for hydroponic production of lettuce (Lactuca sativa L. var. capitata)</t>
  </si>
  <si>
    <t>FeSO4-20</t>
  </si>
  <si>
    <t>FeSO4-30</t>
  </si>
  <si>
    <t>FeSO4-60</t>
  </si>
  <si>
    <t>FeAA-5</t>
  </si>
  <si>
    <t>FeAA-10</t>
  </si>
  <si>
    <t>FeAA-20</t>
  </si>
  <si>
    <t>South Africa</t>
  </si>
  <si>
    <t>Stellenbosch</t>
  </si>
  <si>
    <t>Wegevallen Experimental Facility</t>
  </si>
  <si>
    <t>selfmade</t>
  </si>
  <si>
    <t>TOC_(mg/L)</t>
  </si>
  <si>
    <t>TOC_const</t>
  </si>
  <si>
    <t>TOC_(g/g)</t>
  </si>
  <si>
    <t>TN_(g/g)</t>
  </si>
  <si>
    <t>AE</t>
  </si>
  <si>
    <t>AEC</t>
  </si>
  <si>
    <t>Std_E1</t>
  </si>
  <si>
    <t>AE-NPK</t>
  </si>
  <si>
    <t>AN-NPK</t>
  </si>
  <si>
    <t>Std_E2</t>
  </si>
  <si>
    <t>Atique2022</t>
  </si>
  <si>
    <t>Zhu2022</t>
  </si>
  <si>
    <t>Carbon dynamics and energy recovery in a novel near-zero waste aquaponics system with onsite anaerobic treatment</t>
  </si>
  <si>
    <t>Is Aquaponics Beneﬁcial in Terms of Fish and Plant Growth and Water Quality in Comparison to Separate Recirculating Aquaculture and Hydroponic Systems?</t>
  </si>
  <si>
    <t>Rainbow trout</t>
  </si>
  <si>
    <t>RAS</t>
  </si>
  <si>
    <t>Aquaponic</t>
  </si>
  <si>
    <t>Hydroponic</t>
  </si>
  <si>
    <t>Tarvaala Bioeconomy campus</t>
  </si>
  <si>
    <t>Finland</t>
  </si>
  <si>
    <t>System</t>
  </si>
  <si>
    <t>Vsystem</t>
  </si>
  <si>
    <t>Coupling</t>
  </si>
  <si>
    <t>Spearmint (Mentha spicata) Cultivation in Decoupled Aquaponics with Three Hydro-Components (Grow Pipes, Raft, Gravel) and African Catﬁsh (Clarias gariepinus) Production in Northern Germany</t>
  </si>
  <si>
    <t>Suhl2016</t>
  </si>
  <si>
    <t>Advanced aquaponics: Evaluation of intensive tomato production in aquaponics vs. conventional hydroponics</t>
  </si>
  <si>
    <t>Medina2016</t>
  </si>
  <si>
    <t>Assessing plant growth, water quality and economic effects from application of a plant-based aquafeed in a recirculating aquaponic system</t>
  </si>
  <si>
    <t>Delaide2019</t>
  </si>
  <si>
    <t>Eﬀect of wastewater from a pikeperch (Sander lucioperca L.) recirculated aquaculture system on hydroponic tomato production and quality</t>
  </si>
  <si>
    <t>Schmautz2016</t>
  </si>
  <si>
    <t>Tomato Productivity and Quality in Aquaponics: Comparison of Three Hydroponic Methods</t>
  </si>
  <si>
    <t>Knaus2022</t>
  </si>
  <si>
    <t>Israel</t>
  </si>
  <si>
    <t>Beersheba</t>
  </si>
  <si>
    <t>Sede Boqer Campus of Ben-Gurion University of Negev</t>
  </si>
  <si>
    <t>Zemach Extrufeed Catfish Grower  3 mm</t>
  </si>
  <si>
    <t>sludgeRaw</t>
  </si>
  <si>
    <t>Skretting</t>
  </si>
  <si>
    <t>AP</t>
  </si>
  <si>
    <t>Type_Manipulation</t>
  </si>
  <si>
    <t>Fertilizer</t>
  </si>
  <si>
    <t>on-demand</t>
  </si>
  <si>
    <t>Solanum lycopersicum</t>
  </si>
  <si>
    <t>Foundation</t>
  </si>
  <si>
    <t>waterRASout</t>
  </si>
  <si>
    <t>waterPlantsIn</t>
  </si>
  <si>
    <t>Cl_const</t>
  </si>
  <si>
    <t>Aerobic treatment and acidification of pikeperch (Sander lucioperca L.) sludge for nutrient recovery</t>
  </si>
  <si>
    <t>EbbFlow</t>
  </si>
  <si>
    <t>FloatingRaft</t>
  </si>
  <si>
    <t>GrowPipe</t>
  </si>
  <si>
    <t>Rostock</t>
  </si>
  <si>
    <t>FishGlassHouse</t>
  </si>
  <si>
    <t>Skretting ME-4.5 Meerval 44-14</t>
  </si>
  <si>
    <t>Ebb-Flow</t>
  </si>
  <si>
    <t>Floating Raft</t>
  </si>
  <si>
    <t>Grow Pipe</t>
  </si>
  <si>
    <t>Mentha spicata</t>
  </si>
  <si>
    <t>Nplants</t>
  </si>
  <si>
    <t>IBM_g</t>
  </si>
  <si>
    <t>IFW_g</t>
  </si>
  <si>
    <t>FBMH_g</t>
  </si>
  <si>
    <t>DBMH_g</t>
  </si>
  <si>
    <t>lengthRoot_cm</t>
  </si>
  <si>
    <t>lengthShoot_cm</t>
  </si>
  <si>
    <t>weightRoot_g</t>
  </si>
  <si>
    <t>weightShoot_g</t>
  </si>
  <si>
    <t>countLeaf</t>
  </si>
  <si>
    <t>weightPlant_g</t>
  </si>
  <si>
    <t>height_Plant</t>
  </si>
  <si>
    <t>Abtshagen</t>
  </si>
  <si>
    <t>Pureza</t>
  </si>
  <si>
    <t>waterHydroponic</t>
  </si>
  <si>
    <t>areaLeaf_(m2/plant)</t>
  </si>
  <si>
    <t>Class</t>
  </si>
  <si>
    <t>Fruit</t>
  </si>
  <si>
    <t>Leafy green</t>
  </si>
  <si>
    <t>Alternative</t>
  </si>
  <si>
    <t>Blue tilapia</t>
  </si>
  <si>
    <t>Miami</t>
  </si>
  <si>
    <t>Florida International University</t>
  </si>
  <si>
    <t>Amaranthus tricolor</t>
  </si>
  <si>
    <t>weightLeaf_g</t>
  </si>
  <si>
    <t>NFT</t>
  </si>
  <si>
    <t>Raft</t>
  </si>
  <si>
    <t>Drip</t>
  </si>
  <si>
    <t>Drip irrigation</t>
  </si>
  <si>
    <t>Nutrient film technique</t>
  </si>
  <si>
    <t>Gardenberry F1</t>
  </si>
  <si>
    <t>Basil (Ocimum basilicum) Cultivation in Decoupled Aquaponics with Three Hydro-Components (Grow Pipes, Raft, Gravel) and African Catﬁsh (Clarias gariepinus) Production in Northern Germany</t>
  </si>
  <si>
    <t>Knaus2020</t>
  </si>
  <si>
    <t>Pasch2021</t>
  </si>
  <si>
    <t>Pasch2021a</t>
  </si>
  <si>
    <t>Growth of Basil (Ocimum basilicum) in Aeroponics, DRF, and Raft Systems with Effluents of African Catfish (Clarias gariepinus) in Decoupled Aquaponics (s.s.)</t>
  </si>
  <si>
    <t>Growth of Basil (Ocimum basilicum) in DRF, Raft, and Grow Pipes with Effluents of African Catfish (Clarias gariepinus) in Decoupled Aquaponics</t>
  </si>
  <si>
    <t>Gravel</t>
  </si>
  <si>
    <t>NO2-N(mg/L)</t>
  </si>
  <si>
    <t>Delaide2017</t>
  </si>
  <si>
    <t>Knaus2017</t>
  </si>
  <si>
    <t>Gravel Substrate</t>
  </si>
  <si>
    <t>Ocium basalicum</t>
  </si>
  <si>
    <t>Aeroponics</t>
  </si>
  <si>
    <t>DRF</t>
  </si>
  <si>
    <t>Dynamic Root Floating</t>
  </si>
  <si>
    <t>Alltech Coppens Special Pro EF 4.5 mm</t>
  </si>
  <si>
    <t>Plant and ﬁsh production performance, nutrient mass balances, energy and water use of the PAFF Box, a small-scale aquaponic system</t>
  </si>
  <si>
    <t>Gembloux</t>
  </si>
  <si>
    <t>PAFF Box University of Liege</t>
  </si>
  <si>
    <t>permanent</t>
  </si>
  <si>
    <t>Lettuce</t>
  </si>
  <si>
    <t>Basil</t>
  </si>
  <si>
    <t>Grosse Blonde Paresseuse</t>
  </si>
  <si>
    <t>Variety</t>
  </si>
  <si>
    <t>Grand Vert</t>
  </si>
  <si>
    <t>&lt;0.15</t>
  </si>
  <si>
    <t>&lt;0.02</t>
  </si>
  <si>
    <t>&lt;5</t>
  </si>
  <si>
    <t>&lt;0.3</t>
  </si>
  <si>
    <t>&lt;0.04</t>
  </si>
  <si>
    <t>&lt;20</t>
  </si>
  <si>
    <t>&lt;0.002</t>
  </si>
  <si>
    <t>&lt;0.004</t>
  </si>
  <si>
    <t>&lt;0.1</t>
  </si>
  <si>
    <t>Wasserwerk Rostock</t>
  </si>
  <si>
    <t>Wasserwerk Abtshagen</t>
  </si>
  <si>
    <t>Water Tower Roeselare</t>
  </si>
  <si>
    <t>&lt;0.0004</t>
  </si>
  <si>
    <t>&lt;0.0005</t>
  </si>
  <si>
    <t>&lt;0.0002</t>
  </si>
  <si>
    <t>Saarijärvi</t>
  </si>
  <si>
    <t>Lunda2019</t>
  </si>
  <si>
    <t>Knaus2017a</t>
  </si>
  <si>
    <t>Effects of ﬁsh biology on ebb and ﬂow aquaponical cultured herbs in northern Germany (Mecklenburg Western Pomerania)</t>
  </si>
  <si>
    <t>Effects of the ﬁsh species choice on vegetables in aquaponics under spring-summer conditions in northern Germany (Mecklenburg Western Pomerania)</t>
  </si>
  <si>
    <t>Understanding nutrient throughput of operational RAS farm effluents to support semi-commercial aquaponics: Easy upgrade possible beyond controversies</t>
  </si>
  <si>
    <t>FROV</t>
  </si>
  <si>
    <t>ANAPARTNERS</t>
  </si>
  <si>
    <t>ROKYTNO</t>
  </si>
  <si>
    <t>Budweis</t>
  </si>
  <si>
    <t>Prague</t>
  </si>
  <si>
    <t>Rokytno</t>
  </si>
  <si>
    <t>Czech Republic</t>
  </si>
  <si>
    <t>Anapartners s.r.o.</t>
  </si>
  <si>
    <t>Fish farm Bohemia s.r.o.</t>
  </si>
  <si>
    <t>TN_(mg/g)</t>
  </si>
  <si>
    <t>Source</t>
  </si>
  <si>
    <t>Unit I</t>
  </si>
  <si>
    <t>Unit II</t>
  </si>
  <si>
    <t>Aller Float 37/10 3 mm</t>
  </si>
  <si>
    <t>Monsees2019</t>
  </si>
  <si>
    <t xml:space="preserve">number </t>
  </si>
  <si>
    <t>Common Carp</t>
  </si>
  <si>
    <t>Rodgers2022</t>
  </si>
  <si>
    <t>Complementary Nutrients in Decoupled Aquaponics Enhance Basil Performance</t>
  </si>
  <si>
    <t>Lettuce (Lactuca sativa, variety Salanova) production in decoupled aquaponic systems: Same yield and similar quality as in conventional hydroponic systems but drastically reduced greenhouse gas emissions by saving inorganic fertilizer</t>
  </si>
  <si>
    <t>Aller Sana Float</t>
  </si>
  <si>
    <t>APunt</t>
  </si>
  <si>
    <t>APdis</t>
  </si>
  <si>
    <t>Cerozi2020</t>
  </si>
  <si>
    <t>Fulvic acid increases iron bioavailability in aquaponic systems: Theoretical designs and practical considerations to prevent iron deﬁciency in plants</t>
  </si>
  <si>
    <t>CON</t>
  </si>
  <si>
    <t>DAP</t>
  </si>
  <si>
    <t>DAP+</t>
  </si>
  <si>
    <t>growthPeriod_d</t>
  </si>
  <si>
    <t>Ocimum basalicum</t>
  </si>
  <si>
    <t>Koi carp</t>
  </si>
  <si>
    <t>Aquatic Nutrition Blackwater Creek Farms Max Growth Koi 4 mm floating</t>
  </si>
  <si>
    <t>Purina Aquamax Grower 400</t>
  </si>
  <si>
    <t>Khiari2019</t>
  </si>
  <si>
    <t>Aerobic bioconversion of aquaculture solid waste into liquid fertilizer: Effects of bioprocess parameters on kinetics of nitrogen mineralization</t>
  </si>
  <si>
    <t>30_5.5</t>
  </si>
  <si>
    <t>30_6.0</t>
  </si>
  <si>
    <t>30_6.5</t>
  </si>
  <si>
    <t>35_5.5</t>
  </si>
  <si>
    <t>35_6.0</t>
  </si>
  <si>
    <t>35_6.5</t>
  </si>
  <si>
    <t>40_5.5</t>
  </si>
  <si>
    <t>40_6.0</t>
  </si>
  <si>
    <t>40_6.5</t>
  </si>
  <si>
    <t xml:space="preserve"> </t>
  </si>
  <si>
    <t>ANR</t>
  </si>
  <si>
    <t>Exp2_aerated</t>
  </si>
  <si>
    <t>Exp2_unaerated</t>
  </si>
  <si>
    <t>Exp1_anaerobic</t>
  </si>
  <si>
    <t>Cellulose_mgg</t>
  </si>
  <si>
    <t>Hemicellulose_mgg</t>
  </si>
  <si>
    <t>Lignin_mgg</t>
  </si>
  <si>
    <t>TOC_mgg</t>
  </si>
  <si>
    <t>Uliege_aerobic</t>
  </si>
  <si>
    <t>Roosta2013</t>
  </si>
  <si>
    <t>Iran</t>
  </si>
  <si>
    <t>STF-3</t>
  </si>
  <si>
    <t>Roosta2014</t>
  </si>
  <si>
    <t>MINERAL NUTRIENT CONTENT OF TOMATO PLANTS IN AQUAPONIC AND HYDROPONIC SYSTEMS: EFFECT OF FOLIAR APPLICATION OF SOME MACRO- AND MICRO-NUTRIENTS</t>
  </si>
  <si>
    <t>COMPARISON OF THE VEGETATIVE GROWTH, ECO-PHYSIOLOGICAL CHARACTERISTICS AND MINERAL NUTRIENT CONTENT OF BASIL PLANTS IN DIFFERENT IRRIGATION RATIOS OF HYDROPONIC:AQUAPONIC SOLUTIONS</t>
  </si>
  <si>
    <t>Yang2020</t>
  </si>
  <si>
    <t>Characterizing Nutrient Composition and Concentration in Tomato-, Basil-, and Lettuce-Based Aquaponic and Hydroponic Systems</t>
  </si>
  <si>
    <t>Rafsanjan</t>
  </si>
  <si>
    <t>tap</t>
  </si>
  <si>
    <t>well</t>
  </si>
  <si>
    <t>Grass carp</t>
  </si>
  <si>
    <t>Silver carp</t>
  </si>
  <si>
    <t>Rep1</t>
  </si>
  <si>
    <t>Rep2</t>
  </si>
  <si>
    <t>Rep3</t>
  </si>
  <si>
    <t>Anderson2017</t>
  </si>
  <si>
    <t>osmosis</t>
  </si>
  <si>
    <t>West Lafayette</t>
  </si>
  <si>
    <t>Purina AquaMax Sport Fish 500</t>
  </si>
  <si>
    <t>pH_management</t>
  </si>
  <si>
    <t>Na</t>
  </si>
  <si>
    <t>TRUE</t>
  </si>
  <si>
    <t>-</t>
  </si>
  <si>
    <t>AP_Tomato</t>
  </si>
  <si>
    <t>AP_Basil</t>
  </si>
  <si>
    <t>AP_Lettuce</t>
  </si>
  <si>
    <t>HP_Tomato</t>
  </si>
  <si>
    <t>HP_Lettuce</t>
  </si>
  <si>
    <t>HP_Basil</t>
  </si>
  <si>
    <t>H5</t>
  </si>
  <si>
    <t>H7</t>
  </si>
  <si>
    <t>A7</t>
  </si>
  <si>
    <t>Sr_mgkg</t>
  </si>
  <si>
    <t>Ba_mgkg</t>
  </si>
  <si>
    <t>Cr_mgkg</t>
  </si>
  <si>
    <t>V_mgkg</t>
  </si>
  <si>
    <t>Pb_mgkg</t>
  </si>
  <si>
    <t>Cd_mgkg</t>
  </si>
  <si>
    <t>Co_mgkg</t>
  </si>
  <si>
    <t>Ti_mgkg</t>
  </si>
  <si>
    <t>As_mgkg</t>
  </si>
  <si>
    <t>end</t>
  </si>
  <si>
    <t>Danaher2013</t>
  </si>
  <si>
    <t>Blanchard2020</t>
  </si>
  <si>
    <t>Pantanella2012</t>
  </si>
  <si>
    <t>AQUAPONICS VS. HYDROPONICS: PRODUCTION AND QUALITY OF LETTUCE CROP </t>
  </si>
  <si>
    <t>Rakocy2004</t>
  </si>
  <si>
    <t>AQUAPONIC PRODUCTION OF TILAPIA AND BASIL: COMPARING A BATCH AND STAGGERED CROPPING SYSTEM</t>
  </si>
  <si>
    <t>Pinero2020</t>
  </si>
  <si>
    <t>Eﬀect of pH on Cucumber Growth and Nutrient Availability in a Decoupled Aquaponic System with Minimal Solids Removal</t>
  </si>
  <si>
    <t>Alternative solids removal for warm water recirculating raft aquaponic systems</t>
  </si>
  <si>
    <t>Growth and Tissue Elemental Composition Response of Butterhead Lettuce (Lactuca sativa, cv. Flandria) to Hydroponic and Aquaponic Conditions</t>
  </si>
  <si>
    <t>pH7</t>
  </si>
  <si>
    <t>pH6.5</t>
  </si>
  <si>
    <t>pH5.8</t>
  </si>
  <si>
    <t>pH5</t>
  </si>
  <si>
    <t>B_belowLimit</t>
  </si>
  <si>
    <t>Fe_belowLimit</t>
  </si>
  <si>
    <t>FALSE</t>
  </si>
  <si>
    <t>Cu_belowLimit</t>
  </si>
  <si>
    <t>Mn_belowLimit</t>
  </si>
  <si>
    <t>Zn_belowLimit</t>
  </si>
  <si>
    <t>experiment</t>
  </si>
  <si>
    <t>coupling</t>
  </si>
  <si>
    <t>remineralisation</t>
  </si>
  <si>
    <t>aquaponics</t>
  </si>
  <si>
    <t>sampling_day</t>
  </si>
  <si>
    <t>sampling</t>
  </si>
  <si>
    <t>fertilizer</t>
  </si>
  <si>
    <t>pH_Na</t>
  </si>
  <si>
    <t>pH_K</t>
  </si>
  <si>
    <t>pH_Ca</t>
  </si>
  <si>
    <t>hydroponics</t>
  </si>
  <si>
    <t>aquaculture</t>
  </si>
  <si>
    <t>Deep flow technique</t>
  </si>
  <si>
    <t>Lactuca sativa</t>
  </si>
  <si>
    <t>Lactuca sativa longifolia</t>
  </si>
  <si>
    <t>rain</t>
  </si>
  <si>
    <t>Dutch bucket</t>
  </si>
  <si>
    <t>remineralization</t>
  </si>
  <si>
    <t>Clay gravel</t>
  </si>
  <si>
    <t>water_source</t>
  </si>
  <si>
    <t>fish_species</t>
  </si>
  <si>
    <t>plant_species</t>
  </si>
  <si>
    <t>plant_cultivation</t>
  </si>
  <si>
    <t>Include</t>
  </si>
  <si>
    <t>Chelator</t>
  </si>
  <si>
    <t>chelator</t>
  </si>
  <si>
    <t>days</t>
  </si>
  <si>
    <t>temp_degC</t>
  </si>
  <si>
    <t>EC_uScm</t>
  </si>
  <si>
    <t>NH4_belowLimit</t>
  </si>
  <si>
    <t>N-NH4_mgL</t>
  </si>
  <si>
    <t>N-NO2_mgL</t>
  </si>
  <si>
    <t>N-NO3_mgL</t>
  </si>
  <si>
    <t>P-PO4_mgL</t>
  </si>
  <si>
    <t>K_mgL</t>
  </si>
  <si>
    <t>Ca_mgL</t>
  </si>
  <si>
    <t>Mg_mgL</t>
  </si>
  <si>
    <t>S-SO4_mgL</t>
  </si>
  <si>
    <t>B_mgL</t>
  </si>
  <si>
    <t>Fe_mgL</t>
  </si>
  <si>
    <t>Mn_mgL</t>
  </si>
  <si>
    <t>Cu_mgL</t>
  </si>
  <si>
    <t>Zn_mgL</t>
  </si>
  <si>
    <t>Mo_mgL</t>
  </si>
  <si>
    <t>Ni_mgL</t>
  </si>
  <si>
    <t>Na_mgL</t>
  </si>
  <si>
    <t>N-NO2_const</t>
  </si>
  <si>
    <t>N-NH4_const</t>
  </si>
  <si>
    <t>N-NO3_const</t>
  </si>
  <si>
    <t>P-PO4_const</t>
  </si>
  <si>
    <t>S-SO4_const</t>
  </si>
  <si>
    <t>Mo_const</t>
  </si>
  <si>
    <t>Ni_const</t>
  </si>
  <si>
    <t>NO2_belowLimit</t>
  </si>
  <si>
    <t>NO3_belowLimit</t>
  </si>
  <si>
    <t>PO4_belowLimit</t>
  </si>
  <si>
    <t>K_belowLimit</t>
  </si>
  <si>
    <t>Ca_belowLimit</t>
  </si>
  <si>
    <t>Mg_belowLimit</t>
  </si>
  <si>
    <t>SO4_belowLimit</t>
  </si>
  <si>
    <t>Mo_belowLimit</t>
  </si>
  <si>
    <t>Ni_belowLimit</t>
  </si>
  <si>
    <t>Na_belowLimit</t>
  </si>
  <si>
    <t>source</t>
  </si>
  <si>
    <t>waterREMIN</t>
  </si>
  <si>
    <t>waterRAS</t>
  </si>
  <si>
    <t>waterHYDRO</t>
  </si>
  <si>
    <t>RAS C+Hydro C</t>
  </si>
  <si>
    <t>RAS D/Hydro D</t>
  </si>
  <si>
    <t>waterTRANS</t>
  </si>
  <si>
    <t>waterAVERAGE</t>
  </si>
  <si>
    <t>Averages</t>
  </si>
  <si>
    <t>NO3-N</t>
  </si>
  <si>
    <t>NO2-N</t>
  </si>
  <si>
    <t>NH4-N</t>
  </si>
  <si>
    <t>PO4-P</t>
  </si>
  <si>
    <t>SO4-S</t>
  </si>
  <si>
    <t>B</t>
  </si>
  <si>
    <t>Fe</t>
  </si>
  <si>
    <t>Mn</t>
  </si>
  <si>
    <t>Cu</t>
  </si>
  <si>
    <t>Zn</t>
  </si>
  <si>
    <t>Mo</t>
  </si>
  <si>
    <t>Ni</t>
  </si>
  <si>
    <t>EC</t>
  </si>
  <si>
    <t>SD</t>
  </si>
  <si>
    <t>condition</t>
  </si>
  <si>
    <t>100S</t>
  </si>
  <si>
    <t>50F50D</t>
  </si>
  <si>
    <t>50F50D+S</t>
  </si>
  <si>
    <t>50F50D+F</t>
  </si>
  <si>
    <t>Pinero2021</t>
  </si>
  <si>
    <t>Pinero2022</t>
  </si>
  <si>
    <t>Pinero2023</t>
  </si>
  <si>
    <t>Spain</t>
  </si>
  <si>
    <t>Ithaca</t>
  </si>
  <si>
    <t>Piel de Sapo</t>
  </si>
  <si>
    <t>Bravura</t>
  </si>
  <si>
    <t>IBW_g</t>
  </si>
  <si>
    <t>duration_d</t>
  </si>
  <si>
    <t>Vtank_m3</t>
  </si>
  <si>
    <t>Vmisc_m3</t>
  </si>
  <si>
    <t>Vtot_m3</t>
  </si>
  <si>
    <t>density_kgm3</t>
  </si>
  <si>
    <t>totBiomass_kg</t>
  </si>
  <si>
    <t>exchV_m3</t>
  </si>
  <si>
    <t>exchFreq_d</t>
  </si>
  <si>
    <t>exchRate</t>
  </si>
  <si>
    <t>T_degC</t>
  </si>
  <si>
    <t>O2_mgL</t>
  </si>
  <si>
    <t>site</t>
  </si>
  <si>
    <t>city</t>
  </si>
  <si>
    <t>country</t>
  </si>
  <si>
    <t>ec_µScm</t>
  </si>
  <si>
    <t>NH4_mgL</t>
  </si>
  <si>
    <t>NO2_mgL</t>
  </si>
  <si>
    <t>NO3-N_mgL</t>
  </si>
  <si>
    <t>PO4_mgL</t>
  </si>
  <si>
    <t>SO4-S_mgL</t>
  </si>
  <si>
    <t>Zn_µgL</t>
  </si>
  <si>
    <t>Cl_mgL</t>
  </si>
  <si>
    <t>feed_name</t>
  </si>
  <si>
    <t>feed_category</t>
  </si>
  <si>
    <t>FR</t>
  </si>
  <si>
    <t>feed_kgd</t>
  </si>
  <si>
    <t>DM</t>
  </si>
  <si>
    <t>CP</t>
  </si>
  <si>
    <t>CL</t>
  </si>
  <si>
    <t>NFE</t>
  </si>
  <si>
    <t>Ash</t>
  </si>
  <si>
    <t>Fibre</t>
  </si>
  <si>
    <t>GE_MJkg</t>
  </si>
  <si>
    <t>DE_MGkg</t>
  </si>
  <si>
    <t>P_gkg</t>
  </si>
  <si>
    <t>K_gkg</t>
  </si>
  <si>
    <t>Ca_gkg</t>
  </si>
  <si>
    <t>Mg_gkg</t>
  </si>
  <si>
    <t>S_gkg</t>
  </si>
  <si>
    <t>Fe_mgkg</t>
  </si>
  <si>
    <t>Zn_mgkg</t>
  </si>
  <si>
    <t>Cu_mgkg</t>
  </si>
  <si>
    <t>Mn_mgkg</t>
  </si>
  <si>
    <t>B_mgkg</t>
  </si>
  <si>
    <t>Mo_mgkg</t>
  </si>
  <si>
    <t>Ni_mgkg</t>
  </si>
  <si>
    <t>Na_mgkg</t>
  </si>
  <si>
    <t>Cl_mgkg</t>
  </si>
  <si>
    <t>Al_mgkg</t>
  </si>
  <si>
    <r>
      <t>Differential Effects of Aquaponic Production System on Melon (</t>
    </r>
    <r>
      <rPr>
        <i/>
        <sz val="12"/>
        <color rgb="FF000000"/>
        <rFont val="Calibri"/>
        <family val="2"/>
        <scheme val="minor"/>
      </rPr>
      <t>Cucumis melo</t>
    </r>
    <r>
      <rPr>
        <sz val="12"/>
        <color rgb="FF000000"/>
        <rFont val="Calibri"/>
        <family val="2"/>
        <scheme val="minor"/>
      </rPr>
      <t> L.) Fruit Quality</t>
    </r>
  </si>
  <si>
    <t>Shaw2022b</t>
  </si>
  <si>
    <t>Shaw2022a</t>
  </si>
  <si>
    <t>Toward Feeds for Circular Multitrophic Food Production Systems: Holistically Evaluating Growth Performance and Nutrient Excretion of African Catfish Fed Fish Meal-Free Diets in Comparison to Nile Tilapia</t>
  </si>
  <si>
    <t>sludgeRAW</t>
  </si>
  <si>
    <t>feedIN</t>
  </si>
  <si>
    <t>waterIN</t>
  </si>
  <si>
    <t>statistic</t>
  </si>
  <si>
    <t>average</t>
  </si>
  <si>
    <t>mean</t>
  </si>
  <si>
    <t>number</t>
  </si>
  <si>
    <t>min</t>
  </si>
  <si>
    <t>max</t>
  </si>
  <si>
    <t>N mean</t>
  </si>
  <si>
    <t>N SD</t>
  </si>
  <si>
    <t>N min</t>
  </si>
  <si>
    <t>N max</t>
  </si>
  <si>
    <t>Canada</t>
  </si>
  <si>
    <t>Auburn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</si>
</sst>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%"/>
    <numFmt numFmtId="167" formatCode="0.0%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10" fontId="0" fillId="0" borderId="0" xfId="0" applyNumberFormat="1"/>
    <xf numFmtId="0" fontId="1" fillId="0" borderId="0" xfId="0" applyFont="1" applyAlignment="1">
      <alignment textRotation="90"/>
    </xf>
    <xf numFmtId="0" fontId="0" fillId="3" borderId="0" xfId="0" applyFill="1"/>
    <xf numFmtId="0" fontId="0" fillId="0" borderId="3" xfId="0" applyBorder="1"/>
    <xf numFmtId="0" fontId="8" fillId="0" borderId="0" xfId="0" applyFont="1"/>
    <xf numFmtId="0" fontId="9" fillId="0" borderId="0" xfId="0" applyFont="1"/>
    <xf numFmtId="10" fontId="0" fillId="0" borderId="3" xfId="0" applyNumberFormat="1" applyBorder="1"/>
    <xf numFmtId="0" fontId="7" fillId="0" borderId="3" xfId="0" applyFont="1" applyBorder="1"/>
    <xf numFmtId="0" fontId="0" fillId="2" borderId="3" xfId="0" applyFill="1" applyBorder="1"/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10" fontId="0" fillId="2" borderId="3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2" borderId="8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3" borderId="3" xfId="0" applyFill="1" applyBorder="1"/>
    <xf numFmtId="0" fontId="0" fillId="3" borderId="4" xfId="0" applyFill="1" applyBorder="1"/>
    <xf numFmtId="0" fontId="0" fillId="3" borderId="7" xfId="0" applyFill="1" applyBorder="1"/>
    <xf numFmtId="10" fontId="0" fillId="0" borderId="8" xfId="0" applyNumberFormat="1" applyBorder="1"/>
    <xf numFmtId="0" fontId="0" fillId="0" borderId="14" xfId="0" applyBorder="1"/>
    <xf numFmtId="10" fontId="0" fillId="0" borderId="4" xfId="0" applyNumberFormat="1" applyBorder="1"/>
    <xf numFmtId="0" fontId="1" fillId="0" borderId="7" xfId="0" applyFont="1" applyBorder="1"/>
    <xf numFmtId="10" fontId="0" fillId="0" borderId="7" xfId="0" applyNumberFormat="1" applyBorder="1"/>
    <xf numFmtId="10" fontId="0" fillId="0" borderId="1" xfId="0" applyNumberFormat="1" applyBorder="1"/>
    <xf numFmtId="10" fontId="0" fillId="0" borderId="9" xfId="0" applyNumberFormat="1" applyBorder="1"/>
    <xf numFmtId="0" fontId="1" fillId="3" borderId="11" xfId="0" applyFont="1" applyFill="1" applyBorder="1"/>
    <xf numFmtId="164" fontId="0" fillId="0" borderId="1" xfId="0" applyNumberFormat="1" applyBorder="1"/>
    <xf numFmtId="164" fontId="0" fillId="0" borderId="4" xfId="0" applyNumberFormat="1" applyBorder="1"/>
    <xf numFmtId="165" fontId="0" fillId="2" borderId="4" xfId="0" applyNumberFormat="1" applyFill="1" applyBorder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10" fontId="0" fillId="4" borderId="3" xfId="0" applyNumberFormat="1" applyFill="1" applyBorder="1"/>
    <xf numFmtId="10" fontId="0" fillId="4" borderId="7" xfId="0" applyNumberFormat="1" applyFill="1" applyBorder="1"/>
    <xf numFmtId="10" fontId="0" fillId="4" borderId="4" xfId="0" applyNumberFormat="1" applyFill="1" applyBorder="1"/>
    <xf numFmtId="0" fontId="0" fillId="4" borderId="7" xfId="0" applyFill="1" applyBorder="1"/>
    <xf numFmtId="0" fontId="0" fillId="4" borderId="8" xfId="0" applyFill="1" applyBorder="1"/>
    <xf numFmtId="9" fontId="0" fillId="4" borderId="3" xfId="0" applyNumberFormat="1" applyFill="1" applyBorder="1"/>
    <xf numFmtId="0" fontId="0" fillId="0" borderId="15" xfId="0" applyBorder="1"/>
    <xf numFmtId="10" fontId="0" fillId="0" borderId="15" xfId="0" applyNumberFormat="1" applyBorder="1"/>
    <xf numFmtId="0" fontId="0" fillId="4" borderId="15" xfId="0" applyFill="1" applyBorder="1"/>
    <xf numFmtId="10" fontId="0" fillId="4" borderId="15" xfId="0" applyNumberFormat="1" applyFill="1" applyBorder="1"/>
    <xf numFmtId="10" fontId="0" fillId="4" borderId="0" xfId="0" applyNumberFormat="1" applyFill="1"/>
    <xf numFmtId="0" fontId="0" fillId="3" borderId="15" xfId="0" applyFill="1" applyBorder="1"/>
    <xf numFmtId="10" fontId="0" fillId="3" borderId="15" xfId="0" applyNumberFormat="1" applyFill="1" applyBorder="1"/>
    <xf numFmtId="10" fontId="0" fillId="3" borderId="0" xfId="0" applyNumberFormat="1" applyFill="1"/>
    <xf numFmtId="0" fontId="1" fillId="0" borderId="16" xfId="0" applyFont="1" applyBorder="1"/>
    <xf numFmtId="0" fontId="0" fillId="0" borderId="2" xfId="0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11" fontId="0" fillId="3" borderId="3" xfId="0" applyNumberFormat="1" applyFill="1" applyBorder="1"/>
    <xf numFmtId="0" fontId="0" fillId="5" borderId="0" xfId="0" applyFill="1"/>
    <xf numFmtId="0" fontId="2" fillId="0" borderId="3" xfId="0" applyFont="1" applyBorder="1" applyAlignment="1">
      <alignment horizontal="center"/>
    </xf>
    <xf numFmtId="0" fontId="0" fillId="2" borderId="0" xfId="0" applyFill="1"/>
    <xf numFmtId="0" fontId="1" fillId="0" borderId="5" xfId="0" applyFont="1" applyBorder="1"/>
    <xf numFmtId="0" fontId="0" fillId="2" borderId="4" xfId="0" applyFill="1" applyBorder="1"/>
    <xf numFmtId="11" fontId="0" fillId="0" borderId="0" xfId="0" applyNumberFormat="1"/>
    <xf numFmtId="11" fontId="0" fillId="0" borderId="3" xfId="0" applyNumberFormat="1" applyBorder="1"/>
    <xf numFmtId="11" fontId="0" fillId="0" borderId="7" xfId="0" applyNumberFormat="1" applyBorder="1"/>
    <xf numFmtId="11" fontId="0" fillId="0" borderId="15" xfId="0" applyNumberFormat="1" applyBorder="1"/>
    <xf numFmtId="9" fontId="0" fillId="0" borderId="3" xfId="0" applyNumberFormat="1" applyBorder="1"/>
    <xf numFmtId="0" fontId="0" fillId="0" borderId="17" xfId="0" applyBorder="1"/>
    <xf numFmtId="0" fontId="0" fillId="6" borderId="4" xfId="0" applyFill="1" applyBorder="1"/>
    <xf numFmtId="0" fontId="0" fillId="0" borderId="18" xfId="0" applyBorder="1"/>
    <xf numFmtId="0" fontId="0" fillId="6" borderId="3" xfId="0" applyFill="1" applyBorder="1"/>
    <xf numFmtId="11" fontId="0" fillId="6" borderId="3" xfId="0" applyNumberFormat="1" applyFill="1" applyBorder="1"/>
    <xf numFmtId="10" fontId="7" fillId="0" borderId="7" xfId="0" applyNumberFormat="1" applyFont="1" applyBorder="1"/>
    <xf numFmtId="166" fontId="0" fillId="0" borderId="3" xfId="0" applyNumberFormat="1" applyBorder="1"/>
    <xf numFmtId="9" fontId="7" fillId="0" borderId="3" xfId="0" applyNumberFormat="1" applyFont="1" applyBorder="1"/>
    <xf numFmtId="0" fontId="0" fillId="2" borderId="5" xfId="0" applyFill="1" applyBorder="1"/>
    <xf numFmtId="0" fontId="0" fillId="6" borderId="0" xfId="0" applyFill="1"/>
    <xf numFmtId="9" fontId="0" fillId="0" borderId="8" xfId="0" applyNumberFormat="1" applyBorder="1"/>
    <xf numFmtId="0" fontId="7" fillId="0" borderId="0" xfId="0" applyFont="1"/>
    <xf numFmtId="0" fontId="0" fillId="0" borderId="19" xfId="0" applyBorder="1"/>
    <xf numFmtId="0" fontId="1" fillId="0" borderId="20" xfId="0" applyFont="1" applyBorder="1"/>
    <xf numFmtId="0" fontId="0" fillId="0" borderId="21" xfId="0" applyBorder="1"/>
    <xf numFmtId="0" fontId="0" fillId="3" borderId="19" xfId="0" applyFill="1" applyBorder="1"/>
    <xf numFmtId="0" fontId="0" fillId="4" borderId="19" xfId="0" applyFill="1" applyBorder="1"/>
    <xf numFmtId="10" fontId="0" fillId="3" borderId="3" xfId="0" applyNumberFormat="1" applyFill="1" applyBorder="1"/>
    <xf numFmtId="0" fontId="1" fillId="0" borderId="13" xfId="0" applyFont="1" applyBorder="1"/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2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Fill="1" applyBorder="1"/>
    <xf numFmtId="1" fontId="0" fillId="2" borderId="3" xfId="0" applyNumberFormat="1" applyFill="1" applyBorder="1"/>
    <xf numFmtId="2" fontId="0" fillId="2" borderId="3" xfId="0" applyNumberFormat="1" applyFill="1" applyBorder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460378533209498E-2"/>
                  <c:y val="-7.026384859787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waterAVERAGE!$G$2:$G$43</c:f>
              <c:numCache>
                <c:formatCode>General</c:formatCode>
                <c:ptCount val="42"/>
                <c:pt idx="0">
                  <c:v>6.3</c:v>
                </c:pt>
                <c:pt idx="1">
                  <c:v>6.4</c:v>
                </c:pt>
                <c:pt idx="2">
                  <c:v>6.7</c:v>
                </c:pt>
                <c:pt idx="3">
                  <c:v>6.9</c:v>
                </c:pt>
                <c:pt idx="4">
                  <c:v>6.55</c:v>
                </c:pt>
                <c:pt idx="5">
                  <c:v>6.54</c:v>
                </c:pt>
                <c:pt idx="6">
                  <c:v>6.65</c:v>
                </c:pt>
                <c:pt idx="7">
                  <c:v>7.85</c:v>
                </c:pt>
                <c:pt idx="8">
                  <c:v>6.8</c:v>
                </c:pt>
                <c:pt idx="9">
                  <c:v>8.4</c:v>
                </c:pt>
                <c:pt idx="10">
                  <c:v>8.5</c:v>
                </c:pt>
                <c:pt idx="11">
                  <c:v>7.2</c:v>
                </c:pt>
                <c:pt idx="12">
                  <c:v>7.4</c:v>
                </c:pt>
                <c:pt idx="13">
                  <c:v>7.4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4">
                  <c:v>5.8</c:v>
                </c:pt>
                <c:pt idx="25">
                  <c:v>6.74</c:v>
                </c:pt>
                <c:pt idx="26">
                  <c:v>7.53</c:v>
                </c:pt>
                <c:pt idx="27">
                  <c:v>7.64</c:v>
                </c:pt>
                <c:pt idx="28">
                  <c:v>7</c:v>
                </c:pt>
                <c:pt idx="29">
                  <c:v>7</c:v>
                </c:pt>
                <c:pt idx="31">
                  <c:v>7.25</c:v>
                </c:pt>
                <c:pt idx="32">
                  <c:v>7.25</c:v>
                </c:pt>
                <c:pt idx="33">
                  <c:v>5.8</c:v>
                </c:pt>
                <c:pt idx="34">
                  <c:v>6.3</c:v>
                </c:pt>
                <c:pt idx="35">
                  <c:v>6.8</c:v>
                </c:pt>
                <c:pt idx="36">
                  <c:v>6</c:v>
                </c:pt>
                <c:pt idx="38">
                  <c:v>5.8</c:v>
                </c:pt>
                <c:pt idx="39">
                  <c:v>7.67</c:v>
                </c:pt>
                <c:pt idx="40">
                  <c:v>7.86</c:v>
                </c:pt>
                <c:pt idx="41">
                  <c:v>7.9</c:v>
                </c:pt>
              </c:numCache>
            </c:numRef>
          </c:xVal>
          <c:yVal>
            <c:numRef>
              <c:f>waterAVERAGE!$Y$2:$Y$43</c:f>
              <c:numCache>
                <c:formatCode>General</c:formatCode>
                <c:ptCount val="42"/>
                <c:pt idx="0">
                  <c:v>187</c:v>
                </c:pt>
                <c:pt idx="1">
                  <c:v>188</c:v>
                </c:pt>
                <c:pt idx="2">
                  <c:v>186</c:v>
                </c:pt>
                <c:pt idx="3">
                  <c:v>187</c:v>
                </c:pt>
                <c:pt idx="4">
                  <c:v>63.607793800000003</c:v>
                </c:pt>
                <c:pt idx="7">
                  <c:v>143.19999999999999</c:v>
                </c:pt>
                <c:pt idx="8">
                  <c:v>7.35</c:v>
                </c:pt>
                <c:pt idx="9">
                  <c:v>12</c:v>
                </c:pt>
                <c:pt idx="10">
                  <c:v>8</c:v>
                </c:pt>
                <c:pt idx="11">
                  <c:v>120</c:v>
                </c:pt>
                <c:pt idx="12">
                  <c:v>50</c:v>
                </c:pt>
                <c:pt idx="13">
                  <c:v>90</c:v>
                </c:pt>
                <c:pt idx="23">
                  <c:v>176.2</c:v>
                </c:pt>
                <c:pt idx="24">
                  <c:v>275</c:v>
                </c:pt>
                <c:pt idx="25">
                  <c:v>88.53</c:v>
                </c:pt>
                <c:pt idx="26">
                  <c:v>84.3</c:v>
                </c:pt>
                <c:pt idx="27">
                  <c:v>234.76</c:v>
                </c:pt>
                <c:pt idx="31">
                  <c:v>136.80000000000001</c:v>
                </c:pt>
                <c:pt idx="32">
                  <c:v>149.30000000000001</c:v>
                </c:pt>
                <c:pt idx="33">
                  <c:v>318.7</c:v>
                </c:pt>
                <c:pt idx="34">
                  <c:v>316.81</c:v>
                </c:pt>
                <c:pt idx="35">
                  <c:v>461.41</c:v>
                </c:pt>
                <c:pt idx="36">
                  <c:v>262.83</c:v>
                </c:pt>
                <c:pt idx="37">
                  <c:v>291.69</c:v>
                </c:pt>
                <c:pt idx="38">
                  <c:v>49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E-462A-942D-C9F99AD48187}"/>
            </c:ext>
          </c:extLst>
        </c:ser>
        <c:ser>
          <c:idx val="1"/>
          <c:order val="1"/>
          <c:tx>
            <c:v>PO4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waterAVERAGE!$G$5:$G$43</c:f>
              <c:numCache>
                <c:formatCode>General</c:formatCode>
                <c:ptCount val="39"/>
                <c:pt idx="0">
                  <c:v>6.9</c:v>
                </c:pt>
                <c:pt idx="1">
                  <c:v>6.55</c:v>
                </c:pt>
                <c:pt idx="2">
                  <c:v>6.54</c:v>
                </c:pt>
                <c:pt idx="3">
                  <c:v>6.65</c:v>
                </c:pt>
                <c:pt idx="4">
                  <c:v>7.85</c:v>
                </c:pt>
                <c:pt idx="5">
                  <c:v>6.8</c:v>
                </c:pt>
                <c:pt idx="6">
                  <c:v>8.4</c:v>
                </c:pt>
                <c:pt idx="7">
                  <c:v>8.5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1">
                  <c:v>5.8</c:v>
                </c:pt>
                <c:pt idx="22">
                  <c:v>6.74</c:v>
                </c:pt>
                <c:pt idx="23">
                  <c:v>7.53</c:v>
                </c:pt>
                <c:pt idx="24">
                  <c:v>7.64</c:v>
                </c:pt>
                <c:pt idx="25">
                  <c:v>7</c:v>
                </c:pt>
                <c:pt idx="26">
                  <c:v>7</c:v>
                </c:pt>
                <c:pt idx="28">
                  <c:v>7.25</c:v>
                </c:pt>
                <c:pt idx="29">
                  <c:v>7.25</c:v>
                </c:pt>
                <c:pt idx="30">
                  <c:v>5.8</c:v>
                </c:pt>
                <c:pt idx="31">
                  <c:v>6.3</c:v>
                </c:pt>
                <c:pt idx="32">
                  <c:v>6.8</c:v>
                </c:pt>
                <c:pt idx="33">
                  <c:v>6</c:v>
                </c:pt>
                <c:pt idx="35">
                  <c:v>5.8</c:v>
                </c:pt>
                <c:pt idx="36">
                  <c:v>7.67</c:v>
                </c:pt>
                <c:pt idx="37">
                  <c:v>7.86</c:v>
                </c:pt>
                <c:pt idx="38">
                  <c:v>7.9</c:v>
                </c:pt>
              </c:numCache>
            </c:numRef>
          </c:xVal>
          <c:yVal>
            <c:numRef>
              <c:f>waterAVERAGE!$T$2:$T$43</c:f>
              <c:numCache>
                <c:formatCode>General</c:formatCode>
                <c:ptCount val="42"/>
                <c:pt idx="9">
                  <c:v>0</c:v>
                </c:pt>
                <c:pt idx="10">
                  <c:v>0</c:v>
                </c:pt>
                <c:pt idx="2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E-462A-942D-C9F99AD48187}"/>
            </c:ext>
          </c:extLst>
        </c:ser>
        <c:ser>
          <c:idx val="2"/>
          <c:order val="2"/>
          <c:tx>
            <c:v>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573115553108072E-3"/>
                  <c:y val="-4.2684290502468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waterAVERAGE!$G$5:$G$41</c:f>
              <c:numCache>
                <c:formatCode>General</c:formatCode>
                <c:ptCount val="37"/>
                <c:pt idx="0">
                  <c:v>6.9</c:v>
                </c:pt>
                <c:pt idx="1">
                  <c:v>6.55</c:v>
                </c:pt>
                <c:pt idx="2">
                  <c:v>6.54</c:v>
                </c:pt>
                <c:pt idx="3">
                  <c:v>6.65</c:v>
                </c:pt>
                <c:pt idx="4">
                  <c:v>7.85</c:v>
                </c:pt>
                <c:pt idx="5">
                  <c:v>6.8</c:v>
                </c:pt>
                <c:pt idx="6">
                  <c:v>8.4</c:v>
                </c:pt>
                <c:pt idx="7">
                  <c:v>8.5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1">
                  <c:v>5.8</c:v>
                </c:pt>
                <c:pt idx="22">
                  <c:v>6.74</c:v>
                </c:pt>
                <c:pt idx="23">
                  <c:v>7.53</c:v>
                </c:pt>
                <c:pt idx="24">
                  <c:v>7.64</c:v>
                </c:pt>
                <c:pt idx="25">
                  <c:v>7</c:v>
                </c:pt>
                <c:pt idx="26">
                  <c:v>7</c:v>
                </c:pt>
                <c:pt idx="28">
                  <c:v>7.25</c:v>
                </c:pt>
                <c:pt idx="29">
                  <c:v>7.25</c:v>
                </c:pt>
                <c:pt idx="30">
                  <c:v>5.8</c:v>
                </c:pt>
                <c:pt idx="31">
                  <c:v>6.3</c:v>
                </c:pt>
                <c:pt idx="32">
                  <c:v>6.8</c:v>
                </c:pt>
                <c:pt idx="33">
                  <c:v>6</c:v>
                </c:pt>
                <c:pt idx="35">
                  <c:v>5.8</c:v>
                </c:pt>
                <c:pt idx="36">
                  <c:v>7.67</c:v>
                </c:pt>
              </c:numCache>
            </c:numRef>
          </c:xVal>
          <c:yVal>
            <c:numRef>
              <c:f>waterAVERAGE!$AB$5:$AB$41</c:f>
              <c:numCache>
                <c:formatCode>General</c:formatCode>
                <c:ptCount val="37"/>
                <c:pt idx="0">
                  <c:v>20</c:v>
                </c:pt>
                <c:pt idx="1">
                  <c:v>15.375343000000001</c:v>
                </c:pt>
                <c:pt idx="2">
                  <c:v>17.602890476190474</c:v>
                </c:pt>
                <c:pt idx="3">
                  <c:v>10.952433333333333</c:v>
                </c:pt>
                <c:pt idx="4">
                  <c:v>17.04</c:v>
                </c:pt>
                <c:pt idx="5">
                  <c:v>1.0900000000000001</c:v>
                </c:pt>
                <c:pt idx="8">
                  <c:v>40</c:v>
                </c:pt>
                <c:pt idx="9">
                  <c:v>10</c:v>
                </c:pt>
                <c:pt idx="10">
                  <c:v>20</c:v>
                </c:pt>
                <c:pt idx="20">
                  <c:v>26.8</c:v>
                </c:pt>
                <c:pt idx="21">
                  <c:v>40</c:v>
                </c:pt>
                <c:pt idx="22">
                  <c:v>30.82</c:v>
                </c:pt>
                <c:pt idx="23">
                  <c:v>8.92</c:v>
                </c:pt>
                <c:pt idx="24">
                  <c:v>41.17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16.2</c:v>
                </c:pt>
                <c:pt idx="29">
                  <c:v>19.7</c:v>
                </c:pt>
                <c:pt idx="30">
                  <c:v>56</c:v>
                </c:pt>
                <c:pt idx="31">
                  <c:v>14.13</c:v>
                </c:pt>
                <c:pt idx="32">
                  <c:v>32.44</c:v>
                </c:pt>
                <c:pt idx="33">
                  <c:v>18.03</c:v>
                </c:pt>
                <c:pt idx="34">
                  <c:v>24.93</c:v>
                </c:pt>
                <c:pt idx="35">
                  <c:v>17.899999999999999</c:v>
                </c:pt>
                <c:pt idx="3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E-462A-942D-C9F99AD4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91903"/>
        <c:axId val="705894815"/>
      </c:scatterChart>
      <c:valAx>
        <c:axId val="705891903"/>
        <c:scaling>
          <c:orientation val="minMax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894815"/>
        <c:crosses val="autoZero"/>
        <c:crossBetween val="midCat"/>
      </c:valAx>
      <c:valAx>
        <c:axId val="70589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8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3124200</xdr:colOff>
      <xdr:row>35</xdr:row>
      <xdr:rowOff>12700</xdr:rowOff>
    </xdr:from>
    <xdr:to>
      <xdr:col>15</xdr:col>
      <xdr:colOff>812800</xdr:colOff>
      <xdr:row>38</xdr:row>
      <xdr:rowOff>88900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D1ACB9E-366B-5A46-BF8B-DC280CE41709}"/>
            </a:ext>
          </a:extLst>
        </xdr:cNvPr>
        <xdr:cNvSpPr txBox="1"/>
      </xdr:nvSpPr>
      <xdr:spPr>
        <a:xfrm>
          <a:off x="3949700" y="10248900"/>
          <a:ext cx="115570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EITHER:</a:t>
          </a:r>
          <a:r>
            <a:rPr lang="de-DE" sz="1800" b="1" baseline="0"/>
            <a:t> </a:t>
          </a:r>
          <a:r>
            <a:rPr lang="de-DE" sz="1800" b="1"/>
            <a:t>concentration of a nutrient reached in the supernatant of remineralisation</a:t>
          </a:r>
          <a:r>
            <a:rPr lang="de-DE" sz="1800" b="1" baseline="0"/>
            <a:t> reactors at the end of the experiment</a:t>
          </a:r>
          <a:endParaRPr lang="de-DE" sz="1800" b="1"/>
        </a:p>
        <a:p>
          <a:r>
            <a:rPr lang="de-DE" sz="1800" b="1"/>
            <a:t>OR: trend of the</a:t>
          </a:r>
          <a:r>
            <a:rPr lang="de-DE" sz="1800" b="1" baseline="0"/>
            <a:t> nutrient at the end of the experiment</a:t>
          </a:r>
          <a:endParaRPr lang="de-DE" sz="1800" b="1"/>
        </a:p>
      </xdr:txBody>
    </xdr:sp>
    <xdr:clientData/>
  </xdr:twoCellAnchor>
  <xdr:twoCellAnchor>
    <xdr:from>
      <xdr:col>2</xdr:col>
      <xdr:colOff>0</xdr:colOff>
      <xdr:row>23</xdr:row>
      <xdr:rowOff>12700</xdr:rowOff>
    </xdr:from>
    <xdr:to>
      <xdr:col>16</xdr:col>
      <xdr:colOff>50800</xdr:colOff>
      <xdr:row>25</xdr:row>
      <xdr:rowOff>228600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A48237E1-2544-1445-AB2D-C80A9C26351C}"/>
            </a:ext>
          </a:extLst>
        </xdr:cNvPr>
        <xdr:cNvSpPr txBox="1"/>
      </xdr:nvSpPr>
      <xdr:spPr>
        <a:xfrm>
          <a:off x="3962400" y="4965700"/>
          <a:ext cx="11607800" cy="876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-</a:t>
          </a:r>
          <a:r>
            <a:rPr lang="de-DE" sz="1800" b="1" baseline="0"/>
            <a:t> concentration of substances in source water</a:t>
          </a:r>
        </a:p>
        <a:p>
          <a:r>
            <a:rPr lang="de-DE" sz="1800" b="1" baseline="0">
              <a:solidFill>
                <a:srgbClr val="FF0000"/>
              </a:solidFill>
            </a:rPr>
            <a:t>- if not given in publication, usage of tap water is assumed and analysis results from closest water treatment plant taken!</a:t>
          </a:r>
          <a:endParaRPr lang="de-DE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3124200</xdr:colOff>
      <xdr:row>27</xdr:row>
      <xdr:rowOff>0</xdr:rowOff>
    </xdr:from>
    <xdr:to>
      <xdr:col>15</xdr:col>
      <xdr:colOff>812800</xdr:colOff>
      <xdr:row>29</xdr:row>
      <xdr:rowOff>215900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89E05D8E-03E3-E34B-A12C-3B5B93CEFAA4}"/>
            </a:ext>
          </a:extLst>
        </xdr:cNvPr>
        <xdr:cNvSpPr txBox="1"/>
      </xdr:nvSpPr>
      <xdr:spPr>
        <a:xfrm>
          <a:off x="3949700" y="6273800"/>
          <a:ext cx="11557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- nutrient concentration in the rearing water or initial supernatant</a:t>
          </a:r>
          <a:r>
            <a:rPr lang="de-DE" sz="1800" b="1" baseline="0"/>
            <a:t> in the remineralisation reactor (t0)</a:t>
          </a:r>
        </a:p>
        <a:p>
          <a:r>
            <a:rPr lang="de-DE" sz="1800" b="1" baseline="0">
              <a:solidFill>
                <a:srgbClr val="FF0000"/>
              </a:solidFill>
            </a:rPr>
            <a:t>- increase/const/decrease indicates behavior that is resulting from accumulation via feed input</a:t>
          </a:r>
          <a:endParaRPr lang="de-DE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15</xdr:col>
      <xdr:colOff>736600</xdr:colOff>
      <xdr:row>33</xdr:row>
      <xdr:rowOff>215900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AA2DCF5-3DCD-0140-BA1A-6352EBCF81B8}"/>
            </a:ext>
          </a:extLst>
        </xdr:cNvPr>
        <xdr:cNvSpPr txBox="1"/>
      </xdr:nvSpPr>
      <xdr:spPr>
        <a:xfrm>
          <a:off x="3962400" y="8915400"/>
          <a:ext cx="114681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the fresh sludge used for remineralisation experiments</a:t>
          </a:r>
        </a:p>
      </xdr:txBody>
    </xdr:sp>
    <xdr:clientData/>
  </xdr:twoCellAnchor>
  <xdr:twoCellAnchor>
    <xdr:from>
      <xdr:col>2</xdr:col>
      <xdr:colOff>0</xdr:colOff>
      <xdr:row>47</xdr:row>
      <xdr:rowOff>0</xdr:rowOff>
    </xdr:from>
    <xdr:to>
      <xdr:col>15</xdr:col>
      <xdr:colOff>736600</xdr:colOff>
      <xdr:row>49</xdr:row>
      <xdr:rowOff>215901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F9D55CB-9470-E64A-B531-8F09EF74B1BF}"/>
            </a:ext>
          </a:extLst>
        </xdr:cNvPr>
        <xdr:cNvSpPr txBox="1"/>
      </xdr:nvSpPr>
      <xdr:spPr>
        <a:xfrm>
          <a:off x="3962400" y="13208000"/>
          <a:ext cx="11523133" cy="8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digested sludge</a:t>
          </a:r>
        </a:p>
      </xdr:txBody>
    </xdr:sp>
    <xdr:clientData/>
  </xdr:twoCellAnchor>
  <xdr:twoCellAnchor>
    <xdr:from>
      <xdr:col>2</xdr:col>
      <xdr:colOff>16933</xdr:colOff>
      <xdr:row>39</xdr:row>
      <xdr:rowOff>33866</xdr:rowOff>
    </xdr:from>
    <xdr:to>
      <xdr:col>15</xdr:col>
      <xdr:colOff>753533</xdr:colOff>
      <xdr:row>42</xdr:row>
      <xdr:rowOff>152400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C603D2A4-9446-EF4F-8AB0-768B49767175}"/>
            </a:ext>
          </a:extLst>
        </xdr:cNvPr>
        <xdr:cNvSpPr txBox="1"/>
      </xdr:nvSpPr>
      <xdr:spPr>
        <a:xfrm>
          <a:off x="3979333" y="10532533"/>
          <a:ext cx="11523133" cy="1134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</a:t>
          </a:r>
          <a:r>
            <a:rPr lang="de-DE" sz="1800" b="1" baseline="0"/>
            <a:t> water that is entering the hydroponic part</a:t>
          </a:r>
        </a:p>
        <a:p>
          <a:r>
            <a:rPr lang="de-DE" sz="1800" b="1" baseline="0"/>
            <a:t>- if no further treatment: waterRemineralisation == waterPlantsIn</a:t>
          </a:r>
        </a:p>
        <a:p>
          <a:r>
            <a:rPr lang="de-DE" sz="1800" b="1" baseline="0"/>
            <a:t>- if further treatment, e.g. addition of fertilizers: waterRemineralisation != waterPlantsIn</a:t>
          </a:r>
          <a:endParaRPr lang="de-DE" sz="1800" b="1"/>
        </a:p>
      </xdr:txBody>
    </xdr:sp>
    <xdr:clientData/>
  </xdr:twoCellAnchor>
  <xdr:twoCellAnchor>
    <xdr:from>
      <xdr:col>2</xdr:col>
      <xdr:colOff>0</xdr:colOff>
      <xdr:row>43</xdr:row>
      <xdr:rowOff>1</xdr:rowOff>
    </xdr:from>
    <xdr:to>
      <xdr:col>15</xdr:col>
      <xdr:colOff>736600</xdr:colOff>
      <xdr:row>45</xdr:row>
      <xdr:rowOff>215901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8BD5420-3B7A-B548-97D9-DF7175403B44}"/>
            </a:ext>
          </a:extLst>
        </xdr:cNvPr>
        <xdr:cNvSpPr txBox="1"/>
      </xdr:nvSpPr>
      <xdr:spPr>
        <a:xfrm>
          <a:off x="3962400" y="11853334"/>
          <a:ext cx="11523133" cy="8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water in hydroponic part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 b="1" baseline="0">
              <a:solidFill>
                <a:srgbClr val="FF0000"/>
              </a:solidFill>
            </a:rPr>
            <a:t>- increase/const/decrease indicates behavior that is resulting from nutrient uptake by plants</a:t>
          </a:r>
          <a:endParaRPr lang="de-DE" sz="1800" b="1">
            <a:solidFill>
              <a:srgbClr val="FF0000"/>
            </a:solidFill>
          </a:endParaRPr>
        </a:p>
        <a:p>
          <a:endParaRPr lang="de-DE" sz="1800" b="1"/>
        </a:p>
      </xdr:txBody>
    </xdr:sp>
    <xdr:clientData/>
  </xdr:twoCellAnchor>
  <xdr:twoCellAnchor>
    <xdr:from>
      <xdr:col>5</xdr:col>
      <xdr:colOff>321733</xdr:colOff>
      <xdr:row>60</xdr:row>
      <xdr:rowOff>160866</xdr:rowOff>
    </xdr:from>
    <xdr:to>
      <xdr:col>7</xdr:col>
      <xdr:colOff>474133</xdr:colOff>
      <xdr:row>66</xdr:row>
      <xdr:rowOff>59266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78BED59-7DFD-3DCF-C117-CC82FAE26D1F}"/>
            </a:ext>
            <a:ext uri="{147F2762-F138-4A5C-976F-8EAC2B608ADB}">
              <a16:predDERef xmlns:a16="http://schemas.microsoft.com/office/drawing/2014/main" pred="{08BD5420-3B7A-B548-97D9-DF7175403B44}"/>
            </a:ext>
          </a:extLst>
        </xdr:cNvPr>
        <xdr:cNvSpPr/>
      </xdr:nvSpPr>
      <xdr:spPr>
        <a:xfrm>
          <a:off x="6858000" y="16890999"/>
          <a:ext cx="1828800" cy="182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waterRAS</a:t>
          </a:r>
          <a:endParaRPr lang="de-DE"/>
        </a:p>
      </xdr:txBody>
    </xdr:sp>
    <xdr:clientData/>
  </xdr:twoCellAnchor>
  <xdr:twoCellAnchor>
    <xdr:from>
      <xdr:col>10</xdr:col>
      <xdr:colOff>364067</xdr:colOff>
      <xdr:row>60</xdr:row>
      <xdr:rowOff>101601</xdr:rowOff>
    </xdr:from>
    <xdr:to>
      <xdr:col>12</xdr:col>
      <xdr:colOff>516467</xdr:colOff>
      <xdr:row>66</xdr:row>
      <xdr:rowOff>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C0BCDBA-3925-5843-B92A-9A659A459B4D}"/>
            </a:ext>
            <a:ext uri="{147F2762-F138-4A5C-976F-8EAC2B608ADB}">
              <a16:predDERef xmlns:a16="http://schemas.microsoft.com/office/drawing/2014/main" pred="{978BED59-7DFD-3DCF-C117-CC82FAE26D1F}"/>
            </a:ext>
          </a:extLst>
        </xdr:cNvPr>
        <xdr:cNvSpPr/>
      </xdr:nvSpPr>
      <xdr:spPr>
        <a:xfrm>
          <a:off x="11091334" y="16831734"/>
          <a:ext cx="1828800" cy="182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waterRemineralisation</a:t>
          </a:r>
          <a:endParaRPr lang="de-DE"/>
        </a:p>
      </xdr:txBody>
    </xdr:sp>
    <xdr:clientData/>
  </xdr:twoCellAnchor>
  <xdr:twoCellAnchor>
    <xdr:from>
      <xdr:col>15</xdr:col>
      <xdr:colOff>482600</xdr:colOff>
      <xdr:row>60</xdr:row>
      <xdr:rowOff>101601</xdr:rowOff>
    </xdr:from>
    <xdr:to>
      <xdr:col>17</xdr:col>
      <xdr:colOff>635000</xdr:colOff>
      <xdr:row>66</xdr:row>
      <xdr:rowOff>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FBCFCCD-18A5-1141-810C-E341DE2F2B7B}"/>
            </a:ext>
            <a:ext uri="{147F2762-F138-4A5C-976F-8EAC2B608ADB}">
              <a16:predDERef xmlns:a16="http://schemas.microsoft.com/office/drawing/2014/main" pred="{CC0BCDBA-3925-5843-B92A-9A659A459B4D}"/>
            </a:ext>
          </a:extLst>
        </xdr:cNvPr>
        <xdr:cNvSpPr/>
      </xdr:nvSpPr>
      <xdr:spPr>
        <a:xfrm>
          <a:off x="15400867" y="16831734"/>
          <a:ext cx="1828800" cy="18288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waterHydroponics</a:t>
          </a:r>
          <a:endParaRPr lang="de-DE"/>
        </a:p>
      </xdr:txBody>
    </xdr:sp>
    <xdr:clientData/>
  </xdr:twoCellAnchor>
  <xdr:twoCellAnchor>
    <xdr:from>
      <xdr:col>7</xdr:col>
      <xdr:colOff>714924</xdr:colOff>
      <xdr:row>61</xdr:row>
      <xdr:rowOff>167300</xdr:rowOff>
    </xdr:from>
    <xdr:to>
      <xdr:col>10</xdr:col>
      <xdr:colOff>157140</xdr:colOff>
      <xdr:row>64</xdr:row>
      <xdr:rowOff>171364</xdr:rowOff>
    </xdr:to>
    <xdr:sp macro="" textlink="">
      <xdr:nvSpPr>
        <xdr:cNvPr id="12" name="Pfeil: nach rechts 11">
          <a:extLst>
            <a:ext uri="{FF2B5EF4-FFF2-40B4-BE49-F238E27FC236}">
              <a16:creationId xmlns:a16="http://schemas.microsoft.com/office/drawing/2014/main" id="{23AEF6B0-C12F-CBA7-E4C8-5BCE4C6CA10A}"/>
            </a:ext>
            <a:ext uri="{147F2762-F138-4A5C-976F-8EAC2B608ADB}">
              <a16:predDERef xmlns:a16="http://schemas.microsoft.com/office/drawing/2014/main" pred="{4FBCFCCD-18A5-1141-810C-E341DE2F2B7B}"/>
            </a:ext>
          </a:extLst>
        </xdr:cNvPr>
        <xdr:cNvSpPr/>
      </xdr:nvSpPr>
      <xdr:spPr>
        <a:xfrm>
          <a:off x="8927591" y="17219167"/>
          <a:ext cx="1956816" cy="969264"/>
        </a:xfrm>
        <a:prstGeom prst="rightArrow">
          <a:avLst>
            <a:gd name="adj1" fmla="val 50000"/>
            <a:gd name="adj2" fmla="val 517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/>
        </a:p>
      </xdr:txBody>
    </xdr:sp>
    <xdr:clientData/>
  </xdr:twoCellAnchor>
  <xdr:twoCellAnchor>
    <xdr:from>
      <xdr:col>12</xdr:col>
      <xdr:colOff>762000</xdr:colOff>
      <xdr:row>61</xdr:row>
      <xdr:rowOff>152399</xdr:rowOff>
    </xdr:from>
    <xdr:to>
      <xdr:col>15</xdr:col>
      <xdr:colOff>204216</xdr:colOff>
      <xdr:row>64</xdr:row>
      <xdr:rowOff>156463</xdr:rowOff>
    </xdr:to>
    <xdr:sp macro="" textlink="">
      <xdr:nvSpPr>
        <xdr:cNvPr id="13" name="Pfeil: nach rechts 12">
          <a:extLst>
            <a:ext uri="{FF2B5EF4-FFF2-40B4-BE49-F238E27FC236}">
              <a16:creationId xmlns:a16="http://schemas.microsoft.com/office/drawing/2014/main" id="{63F9044A-9F62-7741-A14A-A7FAD9F2BBC1}"/>
            </a:ext>
            <a:ext uri="{147F2762-F138-4A5C-976F-8EAC2B608ADB}">
              <a16:predDERef xmlns:a16="http://schemas.microsoft.com/office/drawing/2014/main" pred="{23AEF6B0-C12F-CBA7-E4C8-5BCE4C6CA10A}"/>
            </a:ext>
          </a:extLst>
        </xdr:cNvPr>
        <xdr:cNvSpPr/>
      </xdr:nvSpPr>
      <xdr:spPr>
        <a:xfrm>
          <a:off x="13165667" y="17204266"/>
          <a:ext cx="1956816" cy="969264"/>
        </a:xfrm>
        <a:prstGeom prst="rightArrow">
          <a:avLst>
            <a:gd name="adj1" fmla="val 50000"/>
            <a:gd name="adj2" fmla="val 517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16</xdr:col>
      <xdr:colOff>50800</xdr:colOff>
      <xdr:row>10</xdr:row>
      <xdr:rowOff>38100</xdr:rowOff>
    </xdr:to>
    <xdr:sp macro="" textlink="">
      <xdr:nvSpPr>
        <xdr:cNvPr id="14" name="Textfeld 2">
          <a:extLst>
            <a:ext uri="{FF2B5EF4-FFF2-40B4-BE49-F238E27FC236}">
              <a16:creationId xmlns:a16="http://schemas.microsoft.com/office/drawing/2014/main" id="{2F6615F5-CC27-47AB-9585-728148520FDD}"/>
            </a:ext>
          </a:extLst>
        </xdr:cNvPr>
        <xdr:cNvSpPr txBox="1"/>
      </xdr:nvSpPr>
      <xdr:spPr>
        <a:xfrm>
          <a:off x="3962400" y="990600"/>
          <a:ext cx="11607800" cy="2349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 baseline="0"/>
            <a:t>Dataset: Concentrations of substances accumulated water</a:t>
          </a:r>
        </a:p>
        <a:p>
          <a:r>
            <a:rPr lang="de-DE" sz="1800" b="0" baseline="0"/>
            <a:t>- data from experiments using permanently coupled systems are not taken into account because free concentrations might have been lowered due to plant uptake</a:t>
          </a:r>
        </a:p>
        <a:p>
          <a:r>
            <a:rPr lang="de-DE" sz="1800" b="0" baseline="0"/>
            <a:t>- If average concentration reported, accumulation duration is divided by 2</a:t>
          </a:r>
        </a:p>
        <a:p>
          <a:r>
            <a:rPr lang="de-DE" sz="1800" b="0" baseline="0"/>
            <a:t>- If multiple hydroponic treatments were fed with the same water, only one observation is taken into account</a:t>
          </a:r>
        </a:p>
        <a:p>
          <a:r>
            <a:rPr lang="de-DE" sz="1800" b="0" baseline="0"/>
            <a:t>- treatments with additional fertilizer are only taken into account if chelators were explicitly excluded </a:t>
          </a:r>
        </a:p>
        <a:p>
          <a:r>
            <a:rPr lang="de-DE" sz="1800" b="0" baseline="0"/>
            <a:t>- treatments with pH control substances including K, Ca, and P are included due to the fact that the free concentration is expected not to be altered</a:t>
          </a:r>
          <a:endParaRPr lang="de-DE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</xdr:row>
      <xdr:rowOff>47624</xdr:rowOff>
    </xdr:from>
    <xdr:to>
      <xdr:col>15</xdr:col>
      <xdr:colOff>295275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8D916-0146-937B-FB44-022F4BCB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B421E-3016-4993-8813-5FAFECEBF423}" name="Table1" displayName="Table1" ref="A1:BE48" totalsRowShown="0" headerRowDxfId="3">
  <autoFilter ref="A1:BE48" xr:uid="{713B421E-3016-4993-8813-5FAFECEBF423}"/>
  <sortState xmlns:xlrd2="http://schemas.microsoft.com/office/spreadsheetml/2017/richdata2" ref="A2:BE47">
    <sortCondition ref="A1:A47"/>
  </sortState>
  <tableColumns count="57">
    <tableColumn id="1" xr3:uid="{DFF8DB59-8302-48F9-8982-D4E1D541B6E0}" name="Reference_ID">
      <calculatedColumnFormula>general!A65</calculatedColumnFormula>
    </tableColumn>
    <tableColumn id="2" xr3:uid="{E7420BEA-85B7-454F-AA1C-47B8E9724228}" name="Treatment_ID">
      <calculatedColumnFormula>general!B65</calculatedColumnFormula>
    </tableColumn>
    <tableColumn id="3" xr3:uid="{97CD4C2D-4C72-4317-A8FE-70DC5FA02DC1}" name="Include">
      <calculatedColumnFormula>IF(general!D65="permanent","No","Yes")</calculatedColumnFormula>
    </tableColumn>
    <tableColumn id="4" xr3:uid="{F5200A27-EC74-4602-BF8B-51B9E3FDA3D2}" name="source"/>
    <tableColumn id="57" xr3:uid="{F50C87FD-240E-1C43-8925-888A9540EFF4}" name="condition"/>
    <tableColumn id="5" xr3:uid="{3497E03C-47F7-4443-95AB-BE02AF28A337}" name="days"/>
    <tableColumn id="6" xr3:uid="{B6AC91C9-8ED6-4905-B39C-9B08B094801B}" name="pH">
      <calculatedColumnFormula>waterTRANS!F66</calculatedColumnFormula>
    </tableColumn>
    <tableColumn id="7" xr3:uid="{7F11901E-CA45-41D1-861E-ED1369AA8FE0}" name="temp_degC"/>
    <tableColumn id="8" xr3:uid="{2EACA7C9-A983-4E98-B526-86D91FA0363A}" name="EC_uScm"/>
    <tableColumn id="9" xr3:uid="{006ABE10-8887-424F-8451-C003FF3ECBBB}" name="N-NH4_mgL"/>
    <tableColumn id="10" xr3:uid="{9DE826BC-4D3E-4F39-876D-666695FB93D6}" name="N-NH4_const"/>
    <tableColumn id="11" xr3:uid="{CCF53D6E-DD15-4680-830A-C26633199B7F}" name="NH4_belowLimit"/>
    <tableColumn id="12" xr3:uid="{2CBFC775-2EC1-4661-8B00-E0135FFC8916}" name="N-NO2_mgL"/>
    <tableColumn id="13" xr3:uid="{31556EB3-7578-4C57-8F9B-6219CFE8CF43}" name="N-NO2_const"/>
    <tableColumn id="14" xr3:uid="{5BA56F57-4D4F-442F-B4BC-FBC6A4ACCB0F}" name="NO2_belowLimit"/>
    <tableColumn id="15" xr3:uid="{7950AB79-F0CC-437D-9EBE-0C8719D2F414}" name="N-NO3_mgL">
      <calculatedColumnFormula>waterTRANS!K66</calculatedColumnFormula>
    </tableColumn>
    <tableColumn id="16" xr3:uid="{40C29300-E717-453C-A4F6-99174129F4D4}" name="N-NO3_const"/>
    <tableColumn id="17" xr3:uid="{0B4D9676-DEFB-421B-A7DA-E7739B085718}" name="NO3_belowLimit"/>
    <tableColumn id="18" xr3:uid="{86D50955-364A-478D-A5F8-002EA456A850}" name="P-PO4_mgL">
      <calculatedColumnFormula>waterTRANS!M66</calculatedColumnFormula>
    </tableColumn>
    <tableColumn id="19" xr3:uid="{D2748ED5-027E-40F9-9B8E-5CE1B44448EA}" name="P-PO4_const"/>
    <tableColumn id="20" xr3:uid="{18B7BD05-B15E-4050-94A0-4CCA3A7389EE}" name="PO4_belowLimit"/>
    <tableColumn id="21" xr3:uid="{C0EA4199-AF1D-4736-BAE4-4341C074A822}" name="K_mgL">
      <calculatedColumnFormula>waterTRANS!N66</calculatedColumnFormula>
    </tableColumn>
    <tableColumn id="22" xr3:uid="{50CD1A30-86E1-4DD6-9C09-79598240E18F}" name="K_const"/>
    <tableColumn id="23" xr3:uid="{D5A81A92-8EAA-4508-8A67-FC60EF3895C7}" name="K_belowLimit"/>
    <tableColumn id="24" xr3:uid="{213AEE39-63CD-4819-B0DF-15EEDD617510}" name="Ca_mgL">
      <calculatedColumnFormula>waterTRANS!O66</calculatedColumnFormula>
    </tableColumn>
    <tableColumn id="25" xr3:uid="{CA3D18A5-26B1-4164-8198-0007C5043642}" name="Ca_const"/>
    <tableColumn id="26" xr3:uid="{850E79BC-D59A-4F68-BAB3-B08A81B8DB41}" name="Ca_belowLimit"/>
    <tableColumn id="27" xr3:uid="{6BE4413A-DE64-43F5-BE21-B38FFB08C3D9}" name="Mg_mgL">
      <calculatedColumnFormula>waterTRANS!P66</calculatedColumnFormula>
    </tableColumn>
    <tableColumn id="28" xr3:uid="{20559470-D440-4D81-8DE5-73D25E4DA532}" name="Mg_const"/>
    <tableColumn id="29" xr3:uid="{195ACBA6-017B-46E2-A08F-76B948D4C908}" name="Mg_belowLimit"/>
    <tableColumn id="30" xr3:uid="{1E7B640F-0F10-4995-9D51-081372711AEB}" name="S-SO4_mgL">
      <calculatedColumnFormula>waterTRANS!Q66</calculatedColumnFormula>
    </tableColumn>
    <tableColumn id="31" xr3:uid="{19956582-7DC6-4CA1-806C-46DE66E496EF}" name="S-SO4_const"/>
    <tableColumn id="32" xr3:uid="{53E2F6FE-ADE1-4E52-A76B-6E27A10A6CDB}" name="SO4_belowLimit"/>
    <tableColumn id="33" xr3:uid="{FDDE42A1-64F0-486B-910B-B91D96B32CCE}" name="B_mgL">
      <calculatedColumnFormula>waterTRANS!R66</calculatedColumnFormula>
    </tableColumn>
    <tableColumn id="34" xr3:uid="{03C36701-0F4B-433B-804A-0B3B1D6DB98E}" name="B_const"/>
    <tableColumn id="35" xr3:uid="{3E0C24CC-3499-4F4A-90BB-AD9355D96BE9}" name="B_belowLimit"/>
    <tableColumn id="36" xr3:uid="{7F6ADCDE-87FD-40CD-8710-F8B610514EFD}" name="Fe_mgL">
      <calculatedColumnFormula>waterTRANS!S66</calculatedColumnFormula>
    </tableColumn>
    <tableColumn id="37" xr3:uid="{309FD34D-64CC-4E46-966C-DF6889C0E914}" name="Fe_const"/>
    <tableColumn id="38" xr3:uid="{4F41F061-7431-4A35-AA41-2ED14ECE807F}" name="Fe_belowLimit"/>
    <tableColumn id="39" xr3:uid="{CA5AFA98-2E7D-45E7-9829-0413D92F177E}" name="Mn_mgL">
      <calculatedColumnFormula>waterTRANS!U66</calculatedColumnFormula>
    </tableColumn>
    <tableColumn id="40" xr3:uid="{270AC036-9586-4D03-84C6-3BF09A2D9B61}" name="Mn_const"/>
    <tableColumn id="41" xr3:uid="{B4A46A2E-4948-49B9-86C9-74D4907C3FCF}" name="Mn_belowLimit"/>
    <tableColumn id="42" xr3:uid="{E098B946-4A4C-4497-8A4D-DC5910417BA1}" name="Cu_mgL">
      <calculatedColumnFormula>waterTRANS!T66</calculatedColumnFormula>
    </tableColumn>
    <tableColumn id="43" xr3:uid="{C3273556-DAE7-4D81-AAB4-01AD49662B2C}" name="Cu_const"/>
    <tableColumn id="44" xr3:uid="{83A2FAA3-3B96-4530-A808-430C58886700}" name="Cu_belowLimit"/>
    <tableColumn id="45" xr3:uid="{B9F5B234-4CFA-42B4-80FD-4BF80FC938C0}" name="Zn_mgL">
      <calculatedColumnFormula>waterTRANS!V66</calculatedColumnFormula>
    </tableColumn>
    <tableColumn id="46" xr3:uid="{D6D54816-7375-40F8-B5BB-CB1BDFC97564}" name="Zn_const"/>
    <tableColumn id="47" xr3:uid="{109C9CE7-F292-4864-8A67-AE45122895AA}" name="Zn_belowLimit"/>
    <tableColumn id="48" xr3:uid="{97ACBBB4-38BF-4B95-9B4D-A3C0CAC9874F}" name="Mo_mgL"/>
    <tableColumn id="49" xr3:uid="{44303203-9678-4094-8F3F-18830A642B67}" name="Mo_const"/>
    <tableColumn id="50" xr3:uid="{A5DD2572-240A-42FB-AB84-807F23207BDB}" name="Mo_belowLimit"/>
    <tableColumn id="51" xr3:uid="{0ECA403E-5C0C-4D1B-A183-B1D516F16C5D}" name="Ni_mgL"/>
    <tableColumn id="52" xr3:uid="{201045F7-7BC1-4B3B-B059-64E9319322FE}" name="Ni_const"/>
    <tableColumn id="53" xr3:uid="{8E634AE5-EA40-48B4-92EA-30D16961D580}" name="Ni_belowLimit"/>
    <tableColumn id="54" xr3:uid="{652693F5-C0F1-4924-944F-15716A2AC724}" name="Na_mgL">
      <calculatedColumnFormula>waterTRANS!W66</calculatedColumnFormula>
    </tableColumn>
    <tableColumn id="55" xr3:uid="{41CF938F-AB19-4AF0-82CB-055CA608527E}" name="Na_const"/>
    <tableColumn id="56" xr3:uid="{49A4EC3D-CD32-48D5-BD2C-998C9D345EE2}" name="Na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D080-E7F3-F14B-88E6-A815E53A292D}">
  <sheetPr>
    <tabColor rgb="FFFF0000"/>
  </sheetPr>
  <dimension ref="B1:B56"/>
  <sheetViews>
    <sheetView topLeftCell="B10" zoomScale="75" workbookViewId="0">
      <selection activeCell="B20" sqref="B20"/>
    </sheetView>
  </sheetViews>
  <sheetFormatPr baseColWidth="10" defaultColWidth="10.83203125" defaultRowHeight="26" x14ac:dyDescent="0.3"/>
  <cols>
    <col min="2" max="2" width="41.1640625" style="9" customWidth="1"/>
  </cols>
  <sheetData>
    <row r="1" spans="2:2" x14ac:dyDescent="0.3">
      <c r="B1" s="8" t="s">
        <v>27</v>
      </c>
    </row>
    <row r="2" spans="2:2" x14ac:dyDescent="0.3">
      <c r="B2" s="8"/>
    </row>
    <row r="3" spans="2:2" x14ac:dyDescent="0.3">
      <c r="B3" s="8"/>
    </row>
    <row r="4" spans="2:2" x14ac:dyDescent="0.3">
      <c r="B4" s="9" t="s">
        <v>519</v>
      </c>
    </row>
    <row r="5" spans="2:2" x14ac:dyDescent="0.3">
      <c r="B5" s="8"/>
    </row>
    <row r="6" spans="2:2" x14ac:dyDescent="0.3">
      <c r="B6" s="8"/>
    </row>
    <row r="7" spans="2:2" x14ac:dyDescent="0.3">
      <c r="B7" s="8"/>
    </row>
    <row r="8" spans="2:2" x14ac:dyDescent="0.3">
      <c r="B8" s="8"/>
    </row>
    <row r="9" spans="2:2" x14ac:dyDescent="0.3">
      <c r="B9" s="8"/>
    </row>
    <row r="12" spans="2:2" x14ac:dyDescent="0.3">
      <c r="B12" s="9" t="s">
        <v>114</v>
      </c>
    </row>
    <row r="16" spans="2:2" x14ac:dyDescent="0.3">
      <c r="B16" s="9" t="s">
        <v>115</v>
      </c>
    </row>
    <row r="20" spans="2:2" x14ac:dyDescent="0.3">
      <c r="B20" s="9" t="s">
        <v>602</v>
      </c>
    </row>
    <row r="24" spans="2:2" x14ac:dyDescent="0.3">
      <c r="B24" s="9" t="s">
        <v>603</v>
      </c>
    </row>
    <row r="28" spans="2:2" x14ac:dyDescent="0.3">
      <c r="B28" s="9" t="s">
        <v>514</v>
      </c>
    </row>
    <row r="32" spans="2:2" x14ac:dyDescent="0.3">
      <c r="B32" s="9" t="s">
        <v>601</v>
      </c>
    </row>
    <row r="36" spans="2:2" x14ac:dyDescent="0.3">
      <c r="B36" s="9" t="s">
        <v>513</v>
      </c>
    </row>
    <row r="40" spans="2:2" x14ac:dyDescent="0.3">
      <c r="B40" s="9" t="s">
        <v>518</v>
      </c>
    </row>
    <row r="44" spans="2:2" x14ac:dyDescent="0.3">
      <c r="B44" s="9" t="s">
        <v>515</v>
      </c>
    </row>
    <row r="48" spans="2:2" x14ac:dyDescent="0.3">
      <c r="B48" s="9" t="s">
        <v>43</v>
      </c>
    </row>
    <row r="52" spans="2:2" x14ac:dyDescent="0.3">
      <c r="B52" s="9" t="s">
        <v>42</v>
      </c>
    </row>
    <row r="56" spans="2:2" x14ac:dyDescent="0.3">
      <c r="B56" s="9" t="s">
        <v>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FAFB-61CD-804F-85A0-AD07F7922EEC}">
  <dimension ref="A1:AI10"/>
  <sheetViews>
    <sheetView zoomScale="130" zoomScaleNormal="130" workbookViewId="0">
      <selection activeCell="G15" sqref="G15"/>
    </sheetView>
  </sheetViews>
  <sheetFormatPr baseColWidth="10" defaultRowHeight="16" x14ac:dyDescent="0.2"/>
  <cols>
    <col min="10" max="13" width="11.6640625" bestFit="1" customWidth="1"/>
    <col min="14" max="14" width="12.6640625" bestFit="1" customWidth="1"/>
    <col min="15" max="16" width="11.6640625" bestFit="1" customWidth="1"/>
    <col min="17" max="17" width="13.83203125" bestFit="1" customWidth="1"/>
    <col min="18" max="18" width="12.6640625" bestFit="1" customWidth="1"/>
    <col min="19" max="19" width="11.6640625" bestFit="1" customWidth="1"/>
    <col min="20" max="21" width="12.6640625" bestFit="1" customWidth="1"/>
    <col min="22" max="23" width="11.6640625" bestFit="1" customWidth="1"/>
    <col min="24" max="24" width="14.83203125" bestFit="1" customWidth="1"/>
    <col min="25" max="25" width="11" bestFit="1" customWidth="1"/>
    <col min="26" max="26" width="13.83203125" bestFit="1" customWidth="1"/>
    <col min="27" max="34" width="11.6640625" bestFit="1" customWidth="1"/>
    <col min="35" max="35" width="11" bestFit="1" customWidth="1"/>
  </cols>
  <sheetData>
    <row r="1" spans="1:35" s="2" customFormat="1" x14ac:dyDescent="0.2">
      <c r="A1" s="2" t="s">
        <v>604</v>
      </c>
      <c r="B1" s="2" t="str">
        <f>feedIN!F2</f>
        <v>FR</v>
      </c>
      <c r="C1" s="2" t="str">
        <f>feedIN!G2</f>
        <v>feed_kgd</v>
      </c>
      <c r="D1" s="2" t="str">
        <f>feedIN!H2</f>
        <v>DM</v>
      </c>
      <c r="E1" s="2" t="str">
        <f>feedIN!I2</f>
        <v>CP</v>
      </c>
      <c r="F1" s="2" t="str">
        <f>feedIN!J2</f>
        <v>CL</v>
      </c>
      <c r="G1" s="2" t="str">
        <f>feedIN!K2</f>
        <v>NFE</v>
      </c>
      <c r="H1" s="2" t="str">
        <f>feedIN!L2</f>
        <v>Ash</v>
      </c>
      <c r="I1" s="2" t="str">
        <f>feedIN!M2</f>
        <v>Fibre</v>
      </c>
      <c r="J1" s="2" t="str">
        <f>feedIN!N2</f>
        <v>GE_MJkg</v>
      </c>
      <c r="K1" s="2" t="str">
        <f>feedIN!O2</f>
        <v>DE_MGkg</v>
      </c>
      <c r="L1" s="2" t="str">
        <f>feedIN!P2</f>
        <v>P_gkg</v>
      </c>
      <c r="M1" s="2" t="str">
        <f>feedIN!Q2</f>
        <v>K_gkg</v>
      </c>
      <c r="N1" s="2" t="str">
        <f>feedIN!R2</f>
        <v>Ca_gkg</v>
      </c>
      <c r="O1" s="2" t="str">
        <f>feedIN!S2</f>
        <v>Mg_gkg</v>
      </c>
      <c r="P1" s="2" t="str">
        <f>feedIN!T2</f>
        <v>S_gkg</v>
      </c>
      <c r="Q1" s="2" t="str">
        <f>feedIN!U2</f>
        <v>Fe_mgkg</v>
      </c>
      <c r="R1" s="2" t="str">
        <f>feedIN!V2</f>
        <v>Zn_mgkg</v>
      </c>
      <c r="S1" s="2" t="str">
        <f>feedIN!W2</f>
        <v>Cu_mgkg</v>
      </c>
      <c r="T1" s="2" t="str">
        <f>feedIN!X2</f>
        <v>Mn_mgkg</v>
      </c>
      <c r="U1" s="2" t="str">
        <f>feedIN!Y2</f>
        <v>B_mgkg</v>
      </c>
      <c r="V1" s="2" t="str">
        <f>feedIN!Z2</f>
        <v>Mo_mgkg</v>
      </c>
      <c r="W1" s="2" t="str">
        <f>feedIN!AA2</f>
        <v>Ni_mgkg</v>
      </c>
      <c r="X1" s="2" t="str">
        <f>feedIN!AB2</f>
        <v>Na_mgkg</v>
      </c>
      <c r="Y1" s="2" t="str">
        <f>feedIN!AC2</f>
        <v>Cl_mgkg</v>
      </c>
      <c r="Z1" s="2" t="str">
        <f>feedIN!AD2</f>
        <v>Al_mgkg</v>
      </c>
      <c r="AA1" s="2" t="str">
        <f>feedIN!AE2</f>
        <v>Sr_mgkg</v>
      </c>
      <c r="AB1" s="2" t="str">
        <f>feedIN!AF2</f>
        <v>Ba_mgkg</v>
      </c>
      <c r="AC1" s="2" t="str">
        <f>feedIN!AG2</f>
        <v>As_mgkg</v>
      </c>
      <c r="AD1" s="2" t="str">
        <f>feedIN!AH2</f>
        <v>Cr_mgkg</v>
      </c>
      <c r="AE1" s="2" t="str">
        <f>feedIN!AI2</f>
        <v>V_mgkg</v>
      </c>
      <c r="AF1" s="2" t="str">
        <f>feedIN!AJ2</f>
        <v>Pb_mgkg</v>
      </c>
      <c r="AG1" s="2" t="str">
        <f>feedIN!AK2</f>
        <v>Cd_mgkg</v>
      </c>
      <c r="AH1" s="2" t="str">
        <f>feedIN!AL2</f>
        <v>Co_mgkg</v>
      </c>
      <c r="AI1" s="2" t="str">
        <f>feedIN!AM2</f>
        <v>Ti_mgkg</v>
      </c>
    </row>
    <row r="2" spans="1:35" x14ac:dyDescent="0.2">
      <c r="A2" t="s">
        <v>607</v>
      </c>
      <c r="B2">
        <f>COUNT(feedIN!F3:F196)</f>
        <v>54</v>
      </c>
      <c r="C2">
        <f>COUNT(feedIN!G3:G196)</f>
        <v>26</v>
      </c>
      <c r="D2">
        <f>COUNT(feedIN!H3:H25,H33:H200)</f>
        <v>18</v>
      </c>
      <c r="E2">
        <f>COUNT(feedIN!I3:I25,I33:I200)</f>
        <v>20</v>
      </c>
      <c r="F2">
        <f>COUNT(feedIN!J3:J196)</f>
        <v>78</v>
      </c>
      <c r="G2">
        <f>COUNT(feedIN!K3:K196)</f>
        <v>44</v>
      </c>
      <c r="H2">
        <f>COUNT(feedIN!L3:L196)</f>
        <v>58</v>
      </c>
      <c r="I2">
        <f>COUNT(feedIN!M3:M196)</f>
        <v>66</v>
      </c>
      <c r="J2">
        <f>COUNT(feedIN!N3:N196)</f>
        <v>8</v>
      </c>
      <c r="K2">
        <f>COUNT(feedIN!O3:O196)</f>
        <v>11</v>
      </c>
      <c r="L2">
        <f>COUNT(feedIN!P3:P196)</f>
        <v>62</v>
      </c>
      <c r="M2">
        <f>COUNT(feedIN!Q3:Q196)</f>
        <v>16</v>
      </c>
      <c r="N2">
        <f>COUNT(feedIN!R3:R196)</f>
        <v>30</v>
      </c>
      <c r="O2">
        <f>COUNT(feedIN!S3:S196)</f>
        <v>19</v>
      </c>
      <c r="P2">
        <f>COUNT(feedIN!T3:T196)</f>
        <v>12</v>
      </c>
      <c r="Q2">
        <f>COUNT(feedIN!U3:U196)</f>
        <v>29</v>
      </c>
      <c r="R2">
        <f>COUNT(feedIN!V3:V196)</f>
        <v>29</v>
      </c>
      <c r="S2">
        <f>COUNT(feedIN!W3:W196)</f>
        <v>29</v>
      </c>
      <c r="T2">
        <f>COUNT(feedIN!X3:X196)</f>
        <v>29</v>
      </c>
      <c r="U2">
        <f>COUNT(feedIN!Y3:Y196)</f>
        <v>8</v>
      </c>
      <c r="V2">
        <f>COUNT(feedIN!Z3:Z196)</f>
        <v>6</v>
      </c>
      <c r="W2">
        <f>COUNT(feedIN!AA3:AA196)</f>
        <v>8</v>
      </c>
      <c r="X2">
        <f>COUNT(feedIN!AB3:AB196)</f>
        <v>27</v>
      </c>
      <c r="Y2">
        <f>COUNT(feedIN!AC3:AC196)</f>
        <v>0</v>
      </c>
      <c r="Z2">
        <f>COUNT(feedIN!AD3:AD196)</f>
        <v>6</v>
      </c>
      <c r="AA2">
        <f>COUNT(feedIN!AE3:AE196)</f>
        <v>4</v>
      </c>
      <c r="AB2">
        <f>COUNT(feedIN!AF3:AF196)</f>
        <v>4</v>
      </c>
      <c r="AC2">
        <f>COUNT(feedIN!AG3:AG196)</f>
        <v>4</v>
      </c>
      <c r="AD2">
        <f>COUNT(feedIN!AH3:AH196)</f>
        <v>4</v>
      </c>
      <c r="AE2">
        <f>COUNT(feedIN!AI3:AI196)</f>
        <v>4</v>
      </c>
      <c r="AF2">
        <f>COUNT(feedIN!AJ3:AJ196)</f>
        <v>4</v>
      </c>
      <c r="AG2">
        <f>COUNT(feedIN!AK3:AK196)</f>
        <v>4</v>
      </c>
      <c r="AH2">
        <f>COUNT(feedIN!AL3:AL196)</f>
        <v>4</v>
      </c>
      <c r="AI2">
        <f>COUNT(feedIN!AM3:AM196)</f>
        <v>0</v>
      </c>
    </row>
    <row r="3" spans="1:35" x14ac:dyDescent="0.2">
      <c r="A3" t="s">
        <v>608</v>
      </c>
      <c r="B3" s="4">
        <f>MIN(feedIN!F3:F196)</f>
        <v>6.4999999999999997E-3</v>
      </c>
      <c r="C3" s="93">
        <f>MIN(feedIN!G3:G196)</f>
        <v>1.0387755102040817E-2</v>
      </c>
      <c r="D3" s="4">
        <f>MIN(feedIN!H3:H196)</f>
        <v>0.88</v>
      </c>
      <c r="E3" s="4">
        <f>MIN(feedIN!I3:I196)</f>
        <v>0.32</v>
      </c>
      <c r="F3" s="4">
        <f>MIN(feedIN!J3:J196)</f>
        <v>4.6800000000000001E-2</v>
      </c>
      <c r="G3" s="4">
        <f>MIN(feedIN!K3:K196)</f>
        <v>0.23549999999999999</v>
      </c>
      <c r="H3" s="4">
        <f>MIN(feedIN!L3:L196)</f>
        <v>4.3499999999999997E-2</v>
      </c>
      <c r="I3" s="4">
        <f>MIN(feedIN!M3:M196)</f>
        <v>1.4E-2</v>
      </c>
      <c r="J3">
        <f>MIN(feedIN!N3:N196)</f>
        <v>19.399999999999999</v>
      </c>
      <c r="K3">
        <f>MIN(feedIN!O3:O196)</f>
        <v>16.3</v>
      </c>
      <c r="L3">
        <f>MIN(feedIN!P3:P196)</f>
        <v>0.97</v>
      </c>
      <c r="M3">
        <f>MIN(feedIN!Q3:Q196)</f>
        <v>0.96</v>
      </c>
      <c r="N3">
        <f>MIN(feedIN!R3:R196)</f>
        <v>1.17</v>
      </c>
      <c r="O3">
        <f>MIN(feedIN!S3:S196)</f>
        <v>0.14000000000000001</v>
      </c>
      <c r="P3">
        <f>MIN(feedIN!T3:T196)</f>
        <v>0.1024</v>
      </c>
      <c r="Q3">
        <f>MIN(feedIN!U3:U196)</f>
        <v>40</v>
      </c>
      <c r="R3">
        <f>MIN(feedIN!V3:V196)</f>
        <v>55</v>
      </c>
      <c r="S3">
        <f>MIN(feedIN!W3:W196)</f>
        <v>5</v>
      </c>
      <c r="T3">
        <f>MIN(feedIN!X3:X196)</f>
        <v>5</v>
      </c>
      <c r="U3">
        <f>MIN(feedIN!Y3:Y196)</f>
        <v>5.9</v>
      </c>
      <c r="V3">
        <f>MIN(feedIN!Z3:Z196)</f>
        <v>0.5</v>
      </c>
      <c r="W3">
        <f>MIN(feedIN!AA3:AA196)</f>
        <v>0.46</v>
      </c>
      <c r="X3">
        <f>MIN(feedIN!AB3:AB196)</f>
        <v>2</v>
      </c>
      <c r="Y3">
        <f>MIN(feedIN!AC3:AC196)</f>
        <v>0</v>
      </c>
      <c r="Z3">
        <f>MIN(feedIN!AD3:AD196)</f>
        <v>0</v>
      </c>
      <c r="AA3">
        <f>MIN(feedIN!AE3:AE196)</f>
        <v>269</v>
      </c>
      <c r="AB3">
        <f>MIN(feedIN!AF3:AF196)</f>
        <v>15</v>
      </c>
      <c r="AC3">
        <f>MIN(feedIN!AG3:AG196)</f>
        <v>4.2</v>
      </c>
      <c r="AD3">
        <f>MIN(feedIN!AH3:AH196)</f>
        <v>1.7</v>
      </c>
      <c r="AE3">
        <f>MIN(feedIN!AI3:AI196)</f>
        <v>1.2</v>
      </c>
      <c r="AF3">
        <f>MIN(feedIN!AJ3:AJ196)</f>
        <v>1.1000000000000001</v>
      </c>
      <c r="AG3">
        <f>MIN(feedIN!AK3:AK196)</f>
        <v>0.7</v>
      </c>
      <c r="AH3">
        <f>MIN(feedIN!AL3:AL196)</f>
        <v>0.5</v>
      </c>
      <c r="AI3">
        <f>MIN(feedIN!AM3:AM196)</f>
        <v>0</v>
      </c>
    </row>
    <row r="4" spans="1:35" x14ac:dyDescent="0.2">
      <c r="A4" t="s">
        <v>605</v>
      </c>
      <c r="B4" s="4">
        <f>AVERAGE(feedIN!F3:F196)</f>
        <v>2.2823703703703711E-2</v>
      </c>
      <c r="C4" s="93">
        <f>AVERAGE(feedIN!G3:G196)</f>
        <v>147.4898862548001</v>
      </c>
      <c r="D4" s="4">
        <f>AVERAGE(feedIN!H3:H196)</f>
        <v>0.9421770833333335</v>
      </c>
      <c r="E4" s="4">
        <f>AVERAGE(feedIN!I3:I196)</f>
        <v>0.4164529411764708</v>
      </c>
      <c r="F4" s="4">
        <f>AVERAGE(feedIN!J3:J196)</f>
        <v>0.11506153846153842</v>
      </c>
      <c r="G4" s="4">
        <f>AVERAGE(feedIN!K3:K196)</f>
        <v>0.34349999999999992</v>
      </c>
      <c r="H4" s="4">
        <f>AVERAGE(feedIN!L3:L196)</f>
        <v>8.267241379310343E-2</v>
      </c>
      <c r="I4" s="4">
        <f>AVERAGE(feedIN!M3:M196)</f>
        <v>3.1469696969696967E-2</v>
      </c>
      <c r="J4" s="93">
        <f>AVERAGE(feedIN!N3:N196)</f>
        <v>19.924999999999997</v>
      </c>
      <c r="K4" s="93">
        <f>AVERAGE(feedIN!O3:O196)</f>
        <v>17.390909090909091</v>
      </c>
      <c r="L4" s="93">
        <f>AVERAGE(feedIN!P3:P196)</f>
        <v>8.5453225806451609</v>
      </c>
      <c r="M4" s="93">
        <f>AVERAGE(feedIN!Q3:Q196)</f>
        <v>6.828125</v>
      </c>
      <c r="N4" s="93">
        <f>AVERAGE(feedIN!R3:R196)</f>
        <v>15.766999999999999</v>
      </c>
      <c r="O4" s="93">
        <f>AVERAGE(feedIN!S3:S196)</f>
        <v>1.9273684210526318</v>
      </c>
      <c r="P4" s="93">
        <f>AVERAGE(feedIN!T3:T196)</f>
        <v>3.9697333333333327</v>
      </c>
      <c r="Q4" s="93">
        <f>AVERAGE(feedIN!U3:U196)</f>
        <v>285.57241379310346</v>
      </c>
      <c r="R4" s="93">
        <f>AVERAGE(feedIN!V3:V196)</f>
        <v>180.77931034482756</v>
      </c>
      <c r="S4" s="93">
        <f>AVERAGE(feedIN!W3:W196)</f>
        <v>14.131034482758619</v>
      </c>
      <c r="T4" s="93">
        <f>AVERAGE(feedIN!X3:X196)</f>
        <v>69.579310344827576</v>
      </c>
      <c r="U4" s="93">
        <f>AVERAGE(feedIN!Y3:Y196)</f>
        <v>17.074999999999999</v>
      </c>
      <c r="V4" s="93">
        <f>AVERAGE(feedIN!Z3:Z196)</f>
        <v>1.71</v>
      </c>
      <c r="W4" s="93">
        <f>AVERAGE(feedIN!AA3:AA196)</f>
        <v>0.85875000000000001</v>
      </c>
      <c r="X4" s="93">
        <f>AVERAGE(feedIN!AB3:AB196)</f>
        <v>2697.6499259259263</v>
      </c>
      <c r="Y4" s="93" t="e">
        <f>AVERAGE(feedIN!AC3:AC196)</f>
        <v>#DIV/0!</v>
      </c>
      <c r="Z4" s="93">
        <f>AVERAGE(feedIN!AD3:AD196)</f>
        <v>188.66666666666666</v>
      </c>
      <c r="AA4" s="93">
        <f>AVERAGE(feedIN!AE3:AE196)</f>
        <v>269</v>
      </c>
      <c r="AB4" s="93">
        <f>AVERAGE(feedIN!AF3:AF196)</f>
        <v>15</v>
      </c>
      <c r="AC4" s="93">
        <f>AVERAGE(feedIN!AG3:AG196)</f>
        <v>4.2</v>
      </c>
      <c r="AD4" s="93">
        <f>AVERAGE(feedIN!AH3:AH196)</f>
        <v>1.7</v>
      </c>
      <c r="AE4" s="93">
        <f>AVERAGE(feedIN!AI3:AI196)</f>
        <v>1.2</v>
      </c>
      <c r="AF4" s="93">
        <f>AVERAGE(feedIN!AJ3:AJ196)</f>
        <v>1.1000000000000001</v>
      </c>
      <c r="AG4" s="93">
        <f>AVERAGE(feedIN!AK3:AK196)</f>
        <v>0.7</v>
      </c>
      <c r="AH4" s="93">
        <f>AVERAGE(feedIN!AL3:AL196)</f>
        <v>0.5</v>
      </c>
      <c r="AI4" s="93" t="e">
        <f>AVERAGE(feedIN!AM3:AM196)</f>
        <v>#DIV/0!</v>
      </c>
    </row>
    <row r="5" spans="1:35" x14ac:dyDescent="0.2">
      <c r="A5" t="s">
        <v>534</v>
      </c>
      <c r="B5" s="95">
        <f>STDEV(feedIN!F3:F196)</f>
        <v>1.5914983126304336E-2</v>
      </c>
      <c r="C5" s="94">
        <f>STDEV(feedIN!G3:G196)</f>
        <v>705.24988846175427</v>
      </c>
      <c r="D5" s="95">
        <f>STDEV(feedIN!H3:H196)</f>
        <v>4.647001888467276E-2</v>
      </c>
      <c r="E5" s="95">
        <f>STDEV(feedIN!I3:I196)</f>
        <v>6.5760189484278739E-2</v>
      </c>
      <c r="F5" s="95">
        <f>STDEV(feedIN!J3:J196)</f>
        <v>2.8011696215601317E-2</v>
      </c>
      <c r="G5" s="95">
        <f>STDEV(feedIN!K3:K196)</f>
        <v>5.6870313504847045E-2</v>
      </c>
      <c r="H5" s="95">
        <f>STDEV(feedIN!L3:L196)</f>
        <v>2.1448745868571213E-2</v>
      </c>
      <c r="I5" s="95">
        <f>STDEV(feedIN!M3:M196)</f>
        <v>1.1545188404325632E-2</v>
      </c>
      <c r="J5" s="94">
        <f>STDEV(feedIN!N3:N196)</f>
        <v>0.32403703492039432</v>
      </c>
      <c r="K5" s="94">
        <f>STDEV(feedIN!O3:O196)</f>
        <v>0.56825090489069185</v>
      </c>
      <c r="L5" s="94">
        <f>STDEV(feedIN!P3:P196)</f>
        <v>5.2934644881852666</v>
      </c>
      <c r="M5" s="94">
        <f>STDEV(feedIN!Q3:Q196)</f>
        <v>4.8549839941377071</v>
      </c>
      <c r="N5" s="94">
        <f>STDEV(feedIN!R3:R196)</f>
        <v>12.722044714751553</v>
      </c>
      <c r="O5" s="94">
        <f>STDEV(feedIN!S3:S196)</f>
        <v>1.3240776332781123</v>
      </c>
      <c r="P5" s="94">
        <f>STDEV(feedIN!T3:T196)</f>
        <v>2.0020238547908278</v>
      </c>
      <c r="Q5" s="94">
        <f>STDEV(feedIN!U3:U196)</f>
        <v>294.3757789150165</v>
      </c>
      <c r="R5" s="94">
        <f>STDEV(feedIN!V3:V196)</f>
        <v>98.307841495515476</v>
      </c>
      <c r="S5" s="94">
        <f>STDEV(feedIN!W3:W196)</f>
        <v>10.568690398945771</v>
      </c>
      <c r="T5" s="94">
        <f>STDEV(feedIN!X3:X196)</f>
        <v>59.944309746096508</v>
      </c>
      <c r="U5" s="94">
        <f>STDEV(feedIN!Y3:Y196)</f>
        <v>11.680845125980522</v>
      </c>
      <c r="V5" s="94">
        <f>STDEV(feedIN!Z3:Z196)</f>
        <v>1.8745239395643896</v>
      </c>
      <c r="W5" s="94">
        <f>STDEV(feedIN!AA3:AA196)</f>
        <v>0.25016780082862095</v>
      </c>
      <c r="X5" s="94">
        <f>STDEV(feedIN!AB3:AB196)</f>
        <v>2177.3809085350481</v>
      </c>
      <c r="Y5" s="94" t="e">
        <f>STDEV(feedIN!AC3:AC196)</f>
        <v>#DIV/0!</v>
      </c>
      <c r="Z5" s="94">
        <f>STDEV(feedIN!AD3:AD196)</f>
        <v>146.14057159689321</v>
      </c>
      <c r="AA5" s="94">
        <f>STDEV(feedIN!AE3:AE196)</f>
        <v>0</v>
      </c>
      <c r="AB5" s="94">
        <f>STDEV(feedIN!AF3:AF196)</f>
        <v>0</v>
      </c>
      <c r="AC5" s="94">
        <f>STDEV(feedIN!AG3:AG196)</f>
        <v>0</v>
      </c>
      <c r="AD5" s="94">
        <f>STDEV(feedIN!AH3:AH196)</f>
        <v>0</v>
      </c>
      <c r="AE5" s="94">
        <f>STDEV(feedIN!AI3:AI196)</f>
        <v>0</v>
      </c>
      <c r="AF5" s="94">
        <f>STDEV(feedIN!AJ3:AJ196)</f>
        <v>0</v>
      </c>
      <c r="AG5" s="94">
        <f>STDEV(feedIN!AK3:AK196)</f>
        <v>0</v>
      </c>
      <c r="AH5" s="94">
        <f>STDEV(feedIN!AL3:AL196)</f>
        <v>0</v>
      </c>
      <c r="AI5" s="94" t="e">
        <f>STDEV(feedIN!AM3:AM196)</f>
        <v>#DIV/0!</v>
      </c>
    </row>
    <row r="6" spans="1:35" x14ac:dyDescent="0.2">
      <c r="A6" t="s">
        <v>609</v>
      </c>
      <c r="B6" s="4">
        <f>MAX(feedIN!F3:F196)</f>
        <v>6.4500000000000002E-2</v>
      </c>
      <c r="C6">
        <f>MAX(feedIN!G3:G196)</f>
        <v>3599.8199999999993</v>
      </c>
      <c r="D6" s="4">
        <f>MAX(feedIN!H3:H196)</f>
        <v>1</v>
      </c>
      <c r="E6" s="4">
        <f>MAX(feedIN!I3:I196)</f>
        <v>0.56000000000000005</v>
      </c>
      <c r="F6" s="4">
        <f>MAX(feedIN!J3:J196)</f>
        <v>0.16</v>
      </c>
      <c r="G6" s="4">
        <f>MAX(feedIN!K3:K196)</f>
        <v>0.47199999999999998</v>
      </c>
      <c r="H6" s="4">
        <f>MAX(feedIN!L3:L196)</f>
        <v>0.13</v>
      </c>
      <c r="I6" s="4">
        <f>MAX(feedIN!M3:M196)</f>
        <v>8.0500000000000002E-2</v>
      </c>
      <c r="J6">
        <f>MAX(feedIN!N3:N196)</f>
        <v>20.100000000000001</v>
      </c>
      <c r="K6" s="93">
        <f>MAX(feedIN!O3:O196)</f>
        <v>17.899999999999999</v>
      </c>
      <c r="L6">
        <f>MAX(feedIN!P3:P196)</f>
        <v>19.12</v>
      </c>
      <c r="M6">
        <f>MAX(feedIN!Q3:Q196)</f>
        <v>12.63</v>
      </c>
      <c r="N6">
        <f>MAX(feedIN!R3:R196)</f>
        <v>41</v>
      </c>
      <c r="O6">
        <f>MAX(feedIN!S3:S196)</f>
        <v>3.5449999999999999</v>
      </c>
      <c r="P6">
        <f>MAX(feedIN!T3:T196)</f>
        <v>5.6230000000000002</v>
      </c>
      <c r="Q6">
        <f>MAX(feedIN!U3:U196)</f>
        <v>850</v>
      </c>
      <c r="R6">
        <f>MAX(feedIN!V3:V196)</f>
        <v>384</v>
      </c>
      <c r="S6">
        <f>MAX(feedIN!W3:W196)</f>
        <v>46.5</v>
      </c>
      <c r="T6">
        <f>MAX(feedIN!X3:X196)</f>
        <v>242</v>
      </c>
      <c r="U6">
        <f>MAX(feedIN!Y3:Y196)</f>
        <v>28</v>
      </c>
      <c r="V6">
        <f>MAX(feedIN!Z3:Z196)</f>
        <v>4.13</v>
      </c>
      <c r="W6">
        <f>MAX(feedIN!AA3:AA196)</f>
        <v>1.1499999999999999</v>
      </c>
      <c r="X6">
        <f>MAX(feedIN!AB3:AB196)</f>
        <v>6000</v>
      </c>
      <c r="Y6">
        <f>MAX(feedIN!AC3:AC196)</f>
        <v>0</v>
      </c>
      <c r="Z6">
        <f>MAX(feedIN!AD3:AD196)</f>
        <v>283</v>
      </c>
      <c r="AA6">
        <f>MAX(feedIN!AE3:AE196)</f>
        <v>269</v>
      </c>
      <c r="AB6">
        <f>MAX(feedIN!AF3:AF196)</f>
        <v>15</v>
      </c>
      <c r="AC6">
        <f>MAX(feedIN!AG3:AG196)</f>
        <v>4.2</v>
      </c>
      <c r="AD6">
        <f>MAX(feedIN!AH3:AH196)</f>
        <v>1.7</v>
      </c>
      <c r="AE6">
        <f>MAX(feedIN!AI3:AI196)</f>
        <v>1.2</v>
      </c>
      <c r="AF6">
        <f>MAX(feedIN!AJ3:AJ196)</f>
        <v>1.1000000000000001</v>
      </c>
      <c r="AG6">
        <f>MAX(feedIN!AK3:AK196)</f>
        <v>0.7</v>
      </c>
      <c r="AH6">
        <f>MAX(feedIN!AL3:AL196)</f>
        <v>0.5</v>
      </c>
      <c r="AI6">
        <f>MAX(feedIN!AM3:AM196)</f>
        <v>0</v>
      </c>
    </row>
    <row r="7" spans="1:35" x14ac:dyDescent="0.2">
      <c r="D7" t="s">
        <v>612</v>
      </c>
      <c r="E7">
        <f>1000*E3/6.25</f>
        <v>51.2</v>
      </c>
    </row>
    <row r="8" spans="1:35" x14ac:dyDescent="0.2">
      <c r="D8" t="s">
        <v>610</v>
      </c>
      <c r="E8">
        <f>1000*E4/6.25</f>
        <v>66.632470588235321</v>
      </c>
    </row>
    <row r="9" spans="1:35" x14ac:dyDescent="0.2">
      <c r="D9" t="s">
        <v>611</v>
      </c>
      <c r="E9">
        <f>1000*E5/6.25</f>
        <v>10.521630317484599</v>
      </c>
    </row>
    <row r="10" spans="1:35" x14ac:dyDescent="0.2">
      <c r="D10" t="s">
        <v>613</v>
      </c>
      <c r="E10">
        <f>1000*E6/6.25</f>
        <v>89.6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CED1-D0F9-E843-AC79-0956CE9AD43A}">
  <sheetPr>
    <tabColor theme="7" tint="-0.249977111117893"/>
  </sheetPr>
  <dimension ref="A1:AO116"/>
  <sheetViews>
    <sheetView zoomScale="130" zoomScaleNormal="130" workbookViewId="0">
      <pane xSplit="3" ySplit="2" topLeftCell="M70" activePane="bottomRight" state="frozen"/>
      <selection pane="topRight" activeCell="D1" sqref="D1"/>
      <selection pane="bottomLeft" activeCell="A3" sqref="A3"/>
      <selection pane="bottomRight" activeCell="A117" sqref="A117:XFD120"/>
    </sheetView>
  </sheetViews>
  <sheetFormatPr baseColWidth="10" defaultColWidth="10.83203125" defaultRowHeight="16" x14ac:dyDescent="0.2"/>
  <cols>
    <col min="1" max="1" width="14.5" style="7" customWidth="1"/>
    <col min="2" max="2" width="11.33203125" style="7" customWidth="1"/>
    <col min="3" max="3" width="13.1640625" style="13" customWidth="1"/>
    <col min="4" max="4" width="10.83203125" style="17"/>
    <col min="5" max="7" width="10.83203125" style="86"/>
    <col min="8" max="8" width="18.33203125" style="7" customWidth="1"/>
    <col min="9" max="9" width="10.83203125" style="13"/>
    <col min="10" max="11" width="10.83203125" style="60"/>
    <col min="12" max="12" width="10.83203125" style="17"/>
    <col min="13" max="41" width="10.83203125" style="7"/>
  </cols>
  <sheetData>
    <row r="1" spans="1:41" x14ac:dyDescent="0.2">
      <c r="D1" s="97" t="s">
        <v>406</v>
      </c>
      <c r="E1" s="97"/>
      <c r="F1" s="97"/>
      <c r="G1" s="98"/>
    </row>
    <row r="2" spans="1:41" s="25" customFormat="1" ht="17" thickBot="1" x14ac:dyDescent="0.25">
      <c r="A2" s="22" t="str">
        <f>rearing!A2</f>
        <v>Reference_ID</v>
      </c>
      <c r="B2" s="22" t="str">
        <f>rearing!B2</f>
        <v>Species</v>
      </c>
      <c r="C2" s="23" t="str">
        <f>rearing!C2</f>
        <v>Treatment_ID</v>
      </c>
      <c r="D2" s="24" t="s">
        <v>46</v>
      </c>
      <c r="E2" s="87" t="s">
        <v>407</v>
      </c>
      <c r="F2" s="87" t="s">
        <v>30</v>
      </c>
      <c r="G2" s="87" t="s">
        <v>31</v>
      </c>
      <c r="H2" s="22" t="s">
        <v>116</v>
      </c>
      <c r="I2" s="23" t="s">
        <v>117</v>
      </c>
      <c r="J2" s="58" t="s">
        <v>196</v>
      </c>
      <c r="K2" s="58" t="s">
        <v>197</v>
      </c>
      <c r="L2" s="24" t="s">
        <v>118</v>
      </c>
      <c r="M2" s="22" t="s">
        <v>126</v>
      </c>
      <c r="N2" s="22" t="s">
        <v>140</v>
      </c>
      <c r="O2" s="22" t="s">
        <v>141</v>
      </c>
      <c r="P2" s="22" t="s">
        <v>119</v>
      </c>
      <c r="Q2" s="22" t="s">
        <v>124</v>
      </c>
      <c r="R2" s="22" t="s">
        <v>120</v>
      </c>
      <c r="S2" s="22" t="s">
        <v>125</v>
      </c>
      <c r="T2" s="22" t="s">
        <v>121</v>
      </c>
      <c r="U2" s="22" t="s">
        <v>127</v>
      </c>
      <c r="V2" s="22" t="s">
        <v>83</v>
      </c>
      <c r="W2" s="22" t="s">
        <v>128</v>
      </c>
      <c r="X2" s="22" t="s">
        <v>84</v>
      </c>
      <c r="Y2" s="22" t="s">
        <v>130</v>
      </c>
      <c r="Z2" s="22" t="s">
        <v>85</v>
      </c>
      <c r="AA2" s="22" t="s">
        <v>129</v>
      </c>
      <c r="AB2" s="22" t="s">
        <v>122</v>
      </c>
      <c r="AC2" s="22" t="s">
        <v>131</v>
      </c>
      <c r="AD2" s="22" t="s">
        <v>89</v>
      </c>
      <c r="AE2" s="22" t="s">
        <v>132</v>
      </c>
      <c r="AF2" s="22" t="s">
        <v>86</v>
      </c>
      <c r="AG2" s="22" t="s">
        <v>134</v>
      </c>
      <c r="AH2" s="22" t="s">
        <v>87</v>
      </c>
      <c r="AI2" s="22" t="s">
        <v>135</v>
      </c>
      <c r="AJ2" s="22" t="s">
        <v>88</v>
      </c>
      <c r="AK2" s="22" t="s">
        <v>136</v>
      </c>
      <c r="AL2" s="22" t="s">
        <v>123</v>
      </c>
      <c r="AM2" s="22" t="s">
        <v>137</v>
      </c>
      <c r="AN2" s="22" t="s">
        <v>90</v>
      </c>
      <c r="AO2" s="22" t="s">
        <v>133</v>
      </c>
    </row>
    <row r="3" spans="1:41" x14ac:dyDescent="0.2">
      <c r="A3" s="18" t="str">
        <f>rearing!A3</f>
        <v>Monsees2017</v>
      </c>
      <c r="B3" s="18" t="str">
        <f>rearing!B3</f>
        <v>Nile tilapia</v>
      </c>
      <c r="C3" s="19" t="str">
        <f>rearing!C3</f>
        <v>Exp2_aerated</v>
      </c>
      <c r="D3" s="20">
        <f>rearing!U3</f>
        <v>7</v>
      </c>
      <c r="E3" s="88"/>
      <c r="F3" s="88"/>
      <c r="G3" s="88"/>
      <c r="H3" s="18">
        <f>rearing!S3</f>
        <v>26</v>
      </c>
      <c r="I3" s="19"/>
      <c r="J3" s="59"/>
      <c r="K3" s="59"/>
      <c r="L3" s="20">
        <f>AVERAGE(0.2,0.4,0.4)</f>
        <v>0.33333333333333331</v>
      </c>
      <c r="M3" s="18"/>
      <c r="N3" s="18">
        <f>AVERAGE(0.2,0.1)</f>
        <v>0.15000000000000002</v>
      </c>
      <c r="O3" s="18"/>
      <c r="P3" s="18">
        <f>AVERAGE(63,50,52.5)</f>
        <v>55.166666666666664</v>
      </c>
      <c r="Q3" s="18"/>
      <c r="R3" s="21">
        <f>SUM(L3+N3+P3)</f>
        <v>55.65</v>
      </c>
      <c r="S3" s="18"/>
      <c r="T3" s="18">
        <f>(AVERAGE(8,7.9,9.5)*0.33)</f>
        <v>2.794</v>
      </c>
      <c r="U3" s="18"/>
      <c r="V3" s="18">
        <f>AVERAGE(26.5,24.5,27)</f>
        <v>26</v>
      </c>
      <c r="W3" s="18"/>
      <c r="X3" s="18"/>
      <c r="Y3" s="18"/>
      <c r="Z3" s="18">
        <f>AVERAGE(63,62.6,70.4)</f>
        <v>65.333333333333329</v>
      </c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x14ac:dyDescent="0.2">
      <c r="A4" s="7" t="str">
        <f>rearing!A4</f>
        <v>Monsees2017</v>
      </c>
      <c r="B4" s="7" t="str">
        <f>rearing!B4</f>
        <v>Nile tilapia</v>
      </c>
      <c r="C4" s="13" t="str">
        <f>rearing!C4</f>
        <v>Exp2_unaerated</v>
      </c>
      <c r="D4" s="17">
        <f>rearing!U4</f>
        <v>7</v>
      </c>
      <c r="H4" s="7">
        <f>rearing!S4</f>
        <v>26</v>
      </c>
      <c r="L4" s="20">
        <f>AVERAGE(0.2,0.4,0.4)</f>
        <v>0.33333333333333331</v>
      </c>
      <c r="N4" s="18">
        <f>AVERAGE(0.2,0.1)</f>
        <v>0.15000000000000002</v>
      </c>
      <c r="P4" s="7">
        <f>AVERAGE(63,50,52.5)</f>
        <v>55.166666666666664</v>
      </c>
      <c r="R4" s="12">
        <f>SUM(L4+N4+P4)</f>
        <v>55.65</v>
      </c>
      <c r="T4" s="7">
        <f>(AVERAGE(8,7.9,9.5)*0.33)</f>
        <v>2.794</v>
      </c>
      <c r="V4" s="7">
        <f>AVERAGE(26.5,24.5,27)</f>
        <v>26</v>
      </c>
      <c r="Z4" s="7">
        <f>AVERAGE(63,62.6,70.4)</f>
        <v>65.333333333333329</v>
      </c>
    </row>
    <row r="5" spans="1:41" x14ac:dyDescent="0.2">
      <c r="A5" s="7" t="str">
        <f>rearing!A5</f>
        <v>Delaide2018</v>
      </c>
      <c r="B5" s="7" t="str">
        <f>rearing!B5</f>
        <v>Nile tilapia</v>
      </c>
      <c r="C5" s="13" t="str">
        <f>rearing!C5</f>
        <v>AER</v>
      </c>
    </row>
    <row r="6" spans="1:41" x14ac:dyDescent="0.2">
      <c r="A6" s="7" t="str">
        <f>rearing!A6</f>
        <v>Goddek2018</v>
      </c>
      <c r="B6" s="7" t="str">
        <f>rearing!B6</f>
        <v>African catfish</v>
      </c>
      <c r="C6" s="13" t="str">
        <f>rearing!C6</f>
        <v>pH+</v>
      </c>
      <c r="D6" s="17">
        <f>rearing!U7</f>
        <v>6.86</v>
      </c>
      <c r="H6" s="7">
        <f>rearing!S7</f>
        <v>28</v>
      </c>
      <c r="I6" s="13">
        <v>2626</v>
      </c>
      <c r="J6" s="82">
        <f>14.21/4.15</f>
        <v>3.4240963855421684</v>
      </c>
      <c r="R6" s="7">
        <v>53.8</v>
      </c>
      <c r="T6" s="7">
        <v>17.13</v>
      </c>
      <c r="V6" s="7">
        <v>16.579999999999998</v>
      </c>
      <c r="X6" s="7">
        <v>26.62</v>
      </c>
      <c r="Z6" s="7">
        <v>7.41</v>
      </c>
      <c r="AB6" s="7">
        <v>7.42</v>
      </c>
      <c r="AD6" s="7">
        <v>0.03</v>
      </c>
      <c r="AF6" s="7">
        <v>0.03</v>
      </c>
      <c r="AH6" s="7">
        <v>0.01</v>
      </c>
      <c r="AJ6" s="7">
        <v>0.09</v>
      </c>
      <c r="AL6" s="7">
        <v>0.1</v>
      </c>
    </row>
    <row r="7" spans="1:41" x14ac:dyDescent="0.2">
      <c r="A7" s="7" t="str">
        <f>rearing!A7</f>
        <v>Goddek2018</v>
      </c>
      <c r="B7" s="7" t="str">
        <f>rearing!B7</f>
        <v>African catfish</v>
      </c>
      <c r="C7" s="13" t="str">
        <f>rearing!C7</f>
        <v>pH-</v>
      </c>
      <c r="D7" s="17">
        <f>rearing!U8</f>
        <v>6.48</v>
      </c>
      <c r="H7" s="7">
        <f>rearing!S8</f>
        <v>28</v>
      </c>
      <c r="I7" s="13">
        <v>2626</v>
      </c>
      <c r="J7" s="82">
        <f>14.21/4.15</f>
        <v>3.4240963855421684</v>
      </c>
      <c r="R7" s="7">
        <v>53.8</v>
      </c>
      <c r="T7" s="7">
        <v>17.13</v>
      </c>
      <c r="V7" s="7">
        <v>16.579999999999998</v>
      </c>
      <c r="X7" s="7">
        <v>26.62</v>
      </c>
      <c r="Z7" s="7">
        <v>7.41</v>
      </c>
      <c r="AB7" s="7">
        <v>7.42</v>
      </c>
      <c r="AD7" s="7">
        <v>0.03</v>
      </c>
      <c r="AF7" s="7">
        <v>0.03</v>
      </c>
      <c r="AH7" s="7">
        <v>0.01</v>
      </c>
      <c r="AJ7" s="7">
        <v>0.09</v>
      </c>
      <c r="AL7" s="7">
        <v>0.1</v>
      </c>
    </row>
    <row r="8" spans="1:41" x14ac:dyDescent="0.2">
      <c r="A8" s="7" t="str">
        <f>rearing!A8</f>
        <v>Goddek2018</v>
      </c>
      <c r="B8" s="7" t="str">
        <f>rearing!B8</f>
        <v>Nile tilapia</v>
      </c>
      <c r="C8" s="13" t="str">
        <f>rearing!C8</f>
        <v>Uliege_aerobic</v>
      </c>
      <c r="D8" s="17">
        <f>rearing!U8</f>
        <v>6.48</v>
      </c>
      <c r="H8" s="7">
        <f>rearing!S8</f>
        <v>28</v>
      </c>
      <c r="I8" s="13">
        <v>1607</v>
      </c>
      <c r="J8" s="82">
        <f>9.89/4.15</f>
        <v>2.383132530120482</v>
      </c>
      <c r="R8" s="7">
        <v>33.06</v>
      </c>
      <c r="T8" s="7">
        <v>43.85</v>
      </c>
      <c r="V8" s="7">
        <v>36.65</v>
      </c>
      <c r="X8" s="7">
        <v>173.35</v>
      </c>
      <c r="Z8" s="7">
        <v>39.35</v>
      </c>
      <c r="AB8" s="7">
        <v>243.3</v>
      </c>
      <c r="AD8" s="7">
        <v>6.4000000000000001E-2</v>
      </c>
      <c r="AF8" s="7">
        <v>0.1</v>
      </c>
      <c r="AH8" s="7">
        <v>0.01</v>
      </c>
      <c r="AJ8" s="7">
        <v>0.28000000000000003</v>
      </c>
      <c r="AL8" s="7">
        <v>0.02</v>
      </c>
    </row>
    <row r="9" spans="1:41" x14ac:dyDescent="0.2">
      <c r="A9" s="7" t="str">
        <f>rearing!A9</f>
        <v>Seawright1998</v>
      </c>
      <c r="B9" s="7" t="str">
        <f>rearing!B9</f>
        <v>Nile tilapia</v>
      </c>
      <c r="C9" s="13">
        <f>rearing!C9</f>
        <v>1</v>
      </c>
      <c r="D9" s="17">
        <f>rearing!U9</f>
        <v>0</v>
      </c>
      <c r="E9" s="86" t="s">
        <v>408</v>
      </c>
      <c r="F9" s="86" t="s">
        <v>445</v>
      </c>
      <c r="G9" s="86" t="s">
        <v>445</v>
      </c>
      <c r="H9" s="7">
        <f>rearing!S9</f>
        <v>0</v>
      </c>
    </row>
    <row r="10" spans="1:41" x14ac:dyDescent="0.2">
      <c r="A10" s="7" t="str">
        <f>rearing!A10</f>
        <v>Seawright1998</v>
      </c>
      <c r="B10" s="7" t="str">
        <f>rearing!B10</f>
        <v>Nile tilapia</v>
      </c>
      <c r="C10" s="13">
        <f>rearing!C10</f>
        <v>2</v>
      </c>
      <c r="D10" s="17">
        <f>rearing!U10</f>
        <v>0</v>
      </c>
      <c r="E10" s="86" t="s">
        <v>408</v>
      </c>
      <c r="F10" s="86" t="s">
        <v>445</v>
      </c>
      <c r="G10" s="86" t="s">
        <v>445</v>
      </c>
      <c r="H10" s="7">
        <f>rearing!S10</f>
        <v>0</v>
      </c>
    </row>
    <row r="11" spans="1:41" x14ac:dyDescent="0.2">
      <c r="A11" s="7" t="str">
        <f>rearing!A11</f>
        <v>Seawright1998</v>
      </c>
      <c r="B11" s="7" t="str">
        <f>rearing!B11</f>
        <v>Nile tilapia</v>
      </c>
      <c r="C11" s="13">
        <f>rearing!C11</f>
        <v>3</v>
      </c>
      <c r="D11" s="17">
        <f>rearing!U11</f>
        <v>0</v>
      </c>
      <c r="E11" s="86" t="s">
        <v>408</v>
      </c>
      <c r="F11" s="86" t="s">
        <v>445</v>
      </c>
      <c r="G11" s="86" t="s">
        <v>445</v>
      </c>
      <c r="H11" s="7">
        <f>rearing!S11</f>
        <v>0</v>
      </c>
    </row>
    <row r="12" spans="1:41" x14ac:dyDescent="0.2">
      <c r="A12" s="7" t="str">
        <f>rearing!A12</f>
        <v>Seawright1998</v>
      </c>
      <c r="B12" s="7" t="str">
        <f>rearing!B12</f>
        <v>Nile tilapia</v>
      </c>
      <c r="C12" s="13">
        <f>rearing!C12</f>
        <v>4</v>
      </c>
      <c r="D12" s="17">
        <f>rearing!U12</f>
        <v>0</v>
      </c>
      <c r="E12" s="86" t="s">
        <v>408</v>
      </c>
      <c r="F12" s="86" t="s">
        <v>445</v>
      </c>
      <c r="G12" s="86" t="s">
        <v>445</v>
      </c>
      <c r="H12" s="7">
        <f>rearing!S12</f>
        <v>0</v>
      </c>
    </row>
    <row r="13" spans="1:41" x14ac:dyDescent="0.2">
      <c r="A13" s="7" t="str">
        <f>rearing!A13</f>
        <v>Shaw2022a</v>
      </c>
      <c r="B13" s="7" t="str">
        <f>rearing!B13</f>
        <v>Nile tilapia</v>
      </c>
      <c r="C13" s="13" t="str">
        <f>rearing!C13</f>
        <v>FM</v>
      </c>
      <c r="D13" s="17">
        <f>rearing!U13</f>
        <v>7.86</v>
      </c>
      <c r="H13" s="7">
        <f>rearing!S13</f>
        <v>26.6</v>
      </c>
      <c r="I13" s="13">
        <v>995</v>
      </c>
      <c r="R13" s="7">
        <v>50</v>
      </c>
      <c r="S13" s="7" t="s">
        <v>138</v>
      </c>
      <c r="T13" s="7">
        <v>4.2</v>
      </c>
      <c r="U13" s="7" t="s">
        <v>138</v>
      </c>
      <c r="V13" s="7">
        <v>15</v>
      </c>
      <c r="W13" s="7" t="s">
        <v>138</v>
      </c>
      <c r="X13" s="7">
        <v>125</v>
      </c>
      <c r="Y13" s="7" t="s">
        <v>139</v>
      </c>
      <c r="Z13" s="7">
        <v>15</v>
      </c>
      <c r="AA13" s="7" t="s">
        <v>139</v>
      </c>
      <c r="AB13" s="7">
        <v>65</v>
      </c>
      <c r="AC13" s="7" t="s">
        <v>139</v>
      </c>
      <c r="AD13" s="7">
        <v>7.0000000000000007E-2</v>
      </c>
      <c r="AE13" s="7" t="s">
        <v>138</v>
      </c>
      <c r="AF13" s="7">
        <v>0.05</v>
      </c>
      <c r="AG13" s="7" t="s">
        <v>139</v>
      </c>
      <c r="AH13" s="7">
        <v>0.02</v>
      </c>
      <c r="AI13" s="7" t="s">
        <v>138</v>
      </c>
      <c r="AJ13" s="7">
        <v>4.0000000000000001E-3</v>
      </c>
      <c r="AK13" s="7" t="s">
        <v>139</v>
      </c>
      <c r="AL13" s="7">
        <v>1.4999999999999999E-2</v>
      </c>
      <c r="AM13" s="7" t="s">
        <v>138</v>
      </c>
    </row>
    <row r="14" spans="1:41" x14ac:dyDescent="0.2">
      <c r="A14" s="7" t="str">
        <f>rearing!A14</f>
        <v>Shaw2022a</v>
      </c>
      <c r="B14" s="7" t="str">
        <f>rearing!B14</f>
        <v>Nile tilapia</v>
      </c>
      <c r="C14" s="13" t="str">
        <f>rearing!C14</f>
        <v>BSF</v>
      </c>
      <c r="D14" s="17">
        <f>rearing!U14</f>
        <v>7.9</v>
      </c>
      <c r="H14" s="7">
        <f>rearing!S14</f>
        <v>26.6</v>
      </c>
      <c r="I14" s="13">
        <v>1006</v>
      </c>
      <c r="R14" s="7">
        <v>55</v>
      </c>
      <c r="S14" s="7" t="s">
        <v>138</v>
      </c>
      <c r="T14" s="7">
        <v>3</v>
      </c>
      <c r="U14" s="7" t="s">
        <v>138</v>
      </c>
      <c r="V14" s="7">
        <v>23</v>
      </c>
      <c r="W14" s="7" t="s">
        <v>138</v>
      </c>
      <c r="X14" s="7">
        <v>125</v>
      </c>
      <c r="Y14" s="7" t="s">
        <v>139</v>
      </c>
      <c r="Z14" s="7">
        <v>18</v>
      </c>
      <c r="AA14" s="7" t="s">
        <v>139</v>
      </c>
      <c r="AB14" s="7">
        <v>65</v>
      </c>
      <c r="AC14" s="7" t="s">
        <v>139</v>
      </c>
      <c r="AD14" s="7">
        <v>7.0000000000000007E-2</v>
      </c>
      <c r="AE14" s="7" t="s">
        <v>138</v>
      </c>
      <c r="AF14" s="7">
        <v>0.05</v>
      </c>
      <c r="AG14" s="7" t="s">
        <v>139</v>
      </c>
      <c r="AH14" s="7">
        <v>2.8000000000000001E-2</v>
      </c>
      <c r="AI14" s="7" t="s">
        <v>138</v>
      </c>
      <c r="AJ14" s="7">
        <v>4.0000000000000001E-3</v>
      </c>
      <c r="AK14" s="7" t="s">
        <v>139</v>
      </c>
      <c r="AL14" s="7">
        <v>0.03</v>
      </c>
      <c r="AM14" s="7" t="s">
        <v>138</v>
      </c>
    </row>
    <row r="15" spans="1:41" x14ac:dyDescent="0.2">
      <c r="A15" s="7" t="str">
        <f>rearing!A15</f>
        <v>Shaw2022a</v>
      </c>
      <c r="B15" s="7" t="str">
        <f>rearing!B15</f>
        <v>Nile tilapia</v>
      </c>
      <c r="C15" s="13" t="str">
        <f>rearing!C15</f>
        <v>PBM</v>
      </c>
      <c r="D15" s="17">
        <f>rearing!U15</f>
        <v>8.09</v>
      </c>
      <c r="H15" s="7">
        <f>rearing!S15</f>
        <v>26.6</v>
      </c>
      <c r="I15" s="13">
        <v>965</v>
      </c>
      <c r="R15" s="7">
        <v>30</v>
      </c>
      <c r="S15" s="7" t="s">
        <v>138</v>
      </c>
      <c r="T15" s="7">
        <v>1.5</v>
      </c>
      <c r="U15" s="7" t="s">
        <v>138</v>
      </c>
      <c r="V15" s="7">
        <v>15</v>
      </c>
      <c r="W15" s="7" t="s">
        <v>138</v>
      </c>
      <c r="X15" s="7">
        <v>125</v>
      </c>
      <c r="Y15" s="7" t="s">
        <v>139</v>
      </c>
      <c r="Z15" s="7">
        <v>15</v>
      </c>
      <c r="AA15" s="7" t="s">
        <v>139</v>
      </c>
      <c r="AB15" s="7">
        <v>65</v>
      </c>
      <c r="AC15" s="7" t="s">
        <v>139</v>
      </c>
      <c r="AD15" s="7">
        <v>7.0000000000000007E-2</v>
      </c>
      <c r="AE15" s="7" t="s">
        <v>138</v>
      </c>
      <c r="AF15" s="7">
        <v>0.05</v>
      </c>
      <c r="AG15" s="7" t="s">
        <v>139</v>
      </c>
      <c r="AH15" s="7">
        <v>1.4999999999999999E-2</v>
      </c>
      <c r="AI15" s="7" t="s">
        <v>138</v>
      </c>
      <c r="AJ15" s="7">
        <v>4.0000000000000001E-3</v>
      </c>
      <c r="AK15" s="7" t="s">
        <v>139</v>
      </c>
      <c r="AL15" s="7">
        <v>5.0000000000000001E-3</v>
      </c>
      <c r="AM15" s="7" t="s">
        <v>139</v>
      </c>
    </row>
    <row r="16" spans="1:41" x14ac:dyDescent="0.2">
      <c r="A16" s="7" t="str">
        <f>rearing!A16</f>
        <v>Shaw2022a</v>
      </c>
      <c r="B16" s="7" t="str">
        <f>rearing!B16</f>
        <v>Nile tilapia</v>
      </c>
      <c r="C16" s="13" t="str">
        <f>rearing!C16</f>
        <v>PM</v>
      </c>
      <c r="D16" s="17">
        <f>rearing!U16</f>
        <v>7.67</v>
      </c>
      <c r="H16" s="7">
        <f>rearing!S16</f>
        <v>26.7</v>
      </c>
      <c r="I16" s="13">
        <v>1005</v>
      </c>
      <c r="R16" s="7">
        <v>60</v>
      </c>
      <c r="S16" s="7" t="s">
        <v>138</v>
      </c>
      <c r="T16" s="7">
        <v>4.8</v>
      </c>
      <c r="U16" s="7" t="s">
        <v>138</v>
      </c>
      <c r="V16" s="7">
        <v>15</v>
      </c>
      <c r="W16" s="7" t="s">
        <v>138</v>
      </c>
      <c r="X16" s="7">
        <v>125</v>
      </c>
      <c r="Y16" s="7" t="s">
        <v>139</v>
      </c>
      <c r="Z16" s="7">
        <v>15</v>
      </c>
      <c r="AA16" s="7" t="s">
        <v>139</v>
      </c>
      <c r="AB16" s="7">
        <v>65</v>
      </c>
      <c r="AC16" s="7" t="s">
        <v>139</v>
      </c>
      <c r="AD16" s="7">
        <v>7.0000000000000007E-2</v>
      </c>
      <c r="AE16" s="7" t="s">
        <v>138</v>
      </c>
      <c r="AF16" s="7">
        <v>0.05</v>
      </c>
      <c r="AG16" s="7" t="s">
        <v>139</v>
      </c>
      <c r="AH16" s="7">
        <v>1.4999999999999999E-2</v>
      </c>
      <c r="AI16" s="7" t="s">
        <v>138</v>
      </c>
      <c r="AJ16" s="7">
        <v>4.0000000000000001E-3</v>
      </c>
      <c r="AK16" s="7" t="s">
        <v>139</v>
      </c>
      <c r="AL16" s="7">
        <v>4.4999999999999998E-2</v>
      </c>
      <c r="AM16" s="7" t="s">
        <v>138</v>
      </c>
    </row>
    <row r="17" spans="1:41" x14ac:dyDescent="0.2">
      <c r="A17" s="7" t="str">
        <f>rearing!A17</f>
        <v>Panana2021</v>
      </c>
      <c r="B17" s="7" t="str">
        <f>rearing!B17</f>
        <v>Pikeperch</v>
      </c>
      <c r="C17" s="13" t="str">
        <f>rearing!C17</f>
        <v>pH-Natural</v>
      </c>
    </row>
    <row r="18" spans="1:41" x14ac:dyDescent="0.2">
      <c r="A18" s="7" t="str">
        <f>rearing!A18</f>
        <v>Panana2021</v>
      </c>
      <c r="B18" s="7" t="str">
        <f>rearing!B18</f>
        <v>Pikeperch</v>
      </c>
      <c r="C18" s="13" t="str">
        <f>rearing!C18</f>
        <v>pH-Induced</v>
      </c>
    </row>
    <row r="19" spans="1:41" s="6" customFormat="1" x14ac:dyDescent="0.2">
      <c r="A19" s="26" t="str">
        <f>rearing!A19</f>
        <v>Goddek2016</v>
      </c>
      <c r="B19" s="26" t="str">
        <f>rearing!B19</f>
        <v>Nile tilapia</v>
      </c>
      <c r="C19" s="27" t="str">
        <f>rearing!C19</f>
        <v>AER</v>
      </c>
      <c r="D19" s="28"/>
      <c r="E19" s="89"/>
      <c r="F19" s="89"/>
      <c r="G19" s="89"/>
      <c r="H19" s="26"/>
      <c r="I19" s="27"/>
      <c r="J19" s="61"/>
      <c r="K19" s="61"/>
      <c r="L19" s="28">
        <v>0.39</v>
      </c>
      <c r="M19" s="26"/>
      <c r="N19" s="26">
        <v>0.06</v>
      </c>
      <c r="O19" s="26"/>
      <c r="P19" s="26">
        <v>20.286000000000001</v>
      </c>
      <c r="Q19" s="26"/>
      <c r="R19" s="26">
        <f>SUM(L19+N19+P19)</f>
        <v>20.736000000000001</v>
      </c>
      <c r="S19" s="26"/>
      <c r="T19" s="26">
        <v>0.66</v>
      </c>
      <c r="U19" s="26"/>
      <c r="V19" s="26">
        <v>9</v>
      </c>
      <c r="W19" s="26"/>
      <c r="X19" s="26">
        <v>10.8</v>
      </c>
      <c r="Y19" s="26"/>
      <c r="Z19" s="26">
        <v>5.6</v>
      </c>
      <c r="AA19" s="26"/>
      <c r="AB19" s="26">
        <v>2.2770000000000001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>
        <v>3.4</v>
      </c>
      <c r="AO19" s="26"/>
    </row>
    <row r="20" spans="1:41" s="6" customFormat="1" x14ac:dyDescent="0.2">
      <c r="A20" s="26" t="str">
        <f>rearing!A20</f>
        <v>Goddek2016</v>
      </c>
      <c r="B20" s="26" t="str">
        <f>rearing!B20</f>
        <v>Nile tilapia</v>
      </c>
      <c r="C20" s="27" t="str">
        <f>rearing!C20</f>
        <v>ANA</v>
      </c>
      <c r="D20" s="28"/>
      <c r="E20" s="89"/>
      <c r="F20" s="89"/>
      <c r="G20" s="89"/>
      <c r="H20" s="26"/>
      <c r="I20" s="27"/>
      <c r="J20" s="61"/>
      <c r="K20" s="61"/>
      <c r="L20" s="28">
        <v>0.39</v>
      </c>
      <c r="M20" s="26"/>
      <c r="N20" s="26">
        <v>0.06</v>
      </c>
      <c r="O20" s="26"/>
      <c r="P20" s="26">
        <v>20.286000000000001</v>
      </c>
      <c r="Q20" s="26"/>
      <c r="R20" s="26">
        <f>SUM(L20+N20+P20)</f>
        <v>20.736000000000001</v>
      </c>
      <c r="S20" s="26"/>
      <c r="T20" s="26">
        <v>0.66</v>
      </c>
      <c r="U20" s="26"/>
      <c r="V20" s="26">
        <v>9</v>
      </c>
      <c r="W20" s="26"/>
      <c r="X20" s="26">
        <v>10.8</v>
      </c>
      <c r="Y20" s="26"/>
      <c r="Z20" s="26">
        <v>5.6</v>
      </c>
      <c r="AA20" s="26"/>
      <c r="AB20" s="26">
        <v>2.2770000000000001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>
        <v>3.4</v>
      </c>
      <c r="AO20" s="26"/>
    </row>
    <row r="21" spans="1:41" x14ac:dyDescent="0.2">
      <c r="A21" s="7" t="str">
        <f>rearing!A21</f>
        <v>Monsees2017b</v>
      </c>
      <c r="B21" s="7" t="str">
        <f>rearing!B21</f>
        <v>Nile tilapia</v>
      </c>
      <c r="C21" s="13" t="str">
        <f>rearing!C21</f>
        <v>RAS A</v>
      </c>
      <c r="D21" s="17">
        <f>AVERAGE(7.1,7.4)</f>
        <v>7.25</v>
      </c>
      <c r="E21" s="86" t="s">
        <v>445</v>
      </c>
      <c r="F21" s="86" t="s">
        <v>445</v>
      </c>
      <c r="G21" s="86" t="s">
        <v>408</v>
      </c>
      <c r="L21" s="17">
        <v>7.0000000000000007E-2</v>
      </c>
      <c r="M21" s="7" t="s">
        <v>139</v>
      </c>
      <c r="N21" s="7">
        <v>0.05</v>
      </c>
      <c r="O21" s="7" t="s">
        <v>139</v>
      </c>
      <c r="P21" s="7">
        <v>65.900000000000006</v>
      </c>
      <c r="Q21" s="7" t="s">
        <v>138</v>
      </c>
      <c r="R21" s="7">
        <f>SUM(L21+N21+P21)</f>
        <v>66.02000000000001</v>
      </c>
      <c r="T21" s="7">
        <v>1.8480000000000001</v>
      </c>
      <c r="U21" s="7" t="s">
        <v>145</v>
      </c>
      <c r="V21" s="7">
        <v>17</v>
      </c>
      <c r="W21" s="7" t="s">
        <v>139</v>
      </c>
      <c r="X21" s="7">
        <v>136.80000000000001</v>
      </c>
      <c r="Y21" s="7" t="s">
        <v>138</v>
      </c>
      <c r="Z21" s="7">
        <v>16.2</v>
      </c>
      <c r="AA21" s="7" t="s">
        <v>138</v>
      </c>
      <c r="AB21" s="7">
        <v>52.8</v>
      </c>
      <c r="AC21" s="7" t="s">
        <v>139</v>
      </c>
      <c r="AF21" s="7">
        <v>0.01</v>
      </c>
      <c r="AG21" s="7" t="s">
        <v>139</v>
      </c>
    </row>
    <row r="22" spans="1:41" x14ac:dyDescent="0.2">
      <c r="A22" s="7" t="str">
        <f>rearing!A22</f>
        <v>Monsees2017b</v>
      </c>
      <c r="B22" s="7" t="str">
        <f>rearing!B22</f>
        <v>Nile tilapia</v>
      </c>
      <c r="C22" s="13" t="str">
        <f>rearing!C22</f>
        <v>RAS C+Hydro C</v>
      </c>
      <c r="D22" s="17">
        <f>AVERAGE(7.1,7.4)</f>
        <v>7.25</v>
      </c>
      <c r="E22" s="86" t="s">
        <v>445</v>
      </c>
      <c r="F22" s="86" t="s">
        <v>445</v>
      </c>
      <c r="G22" s="86" t="s">
        <v>408</v>
      </c>
      <c r="L22" s="17">
        <v>0.06</v>
      </c>
      <c r="M22" s="7" t="s">
        <v>139</v>
      </c>
      <c r="N22" s="7">
        <v>0.05</v>
      </c>
      <c r="O22" s="7" t="s">
        <v>139</v>
      </c>
      <c r="P22" s="7">
        <v>72.8</v>
      </c>
      <c r="Q22" s="7" t="s">
        <v>138</v>
      </c>
      <c r="R22" s="7">
        <f t="shared" ref="R22:R23" si="0">SUM(L22+N22+P22)</f>
        <v>72.91</v>
      </c>
      <c r="T22" s="7">
        <v>2.0790000000000002</v>
      </c>
      <c r="U22" s="7" t="s">
        <v>145</v>
      </c>
      <c r="V22" s="7">
        <v>27.3</v>
      </c>
      <c r="W22" s="7" t="s">
        <v>139</v>
      </c>
      <c r="X22" s="7">
        <v>149.19999999999999</v>
      </c>
      <c r="Y22" s="7" t="s">
        <v>138</v>
      </c>
      <c r="Z22" s="7">
        <v>20.399999999999999</v>
      </c>
      <c r="AA22" s="7" t="s">
        <v>138</v>
      </c>
      <c r="AB22" s="7">
        <v>62.7</v>
      </c>
      <c r="AC22" s="7" t="s">
        <v>139</v>
      </c>
      <c r="AF22" s="7">
        <v>0.01</v>
      </c>
      <c r="AG22" s="7" t="s">
        <v>139</v>
      </c>
    </row>
    <row r="23" spans="1:41" x14ac:dyDescent="0.2">
      <c r="A23" s="7" t="str">
        <f>rearing!A23</f>
        <v>Monsees2017b</v>
      </c>
      <c r="B23" s="7" t="str">
        <f>rearing!B23</f>
        <v>Nile tilapia</v>
      </c>
      <c r="C23" s="13" t="str">
        <f>rearing!C23</f>
        <v>RAS D/Hydro D</v>
      </c>
      <c r="D23" s="17">
        <f>AVERAGE(7.1,7.4)</f>
        <v>7.25</v>
      </c>
      <c r="E23" s="86" t="s">
        <v>445</v>
      </c>
      <c r="F23" s="86" t="s">
        <v>445</v>
      </c>
      <c r="G23" s="86" t="s">
        <v>408</v>
      </c>
      <c r="L23" s="17">
        <v>0.05</v>
      </c>
      <c r="M23" s="7" t="s">
        <v>139</v>
      </c>
      <c r="N23" s="7">
        <v>0.05</v>
      </c>
      <c r="O23" s="7" t="s">
        <v>139</v>
      </c>
      <c r="P23" s="7">
        <v>100.8</v>
      </c>
      <c r="Q23" s="7" t="s">
        <v>138</v>
      </c>
      <c r="R23" s="7">
        <f t="shared" si="0"/>
        <v>100.89999999999999</v>
      </c>
      <c r="T23" s="7">
        <v>3.1680000000000001</v>
      </c>
      <c r="U23" s="7" t="s">
        <v>145</v>
      </c>
      <c r="V23" s="7">
        <v>29.8</v>
      </c>
      <c r="W23" s="7" t="s">
        <v>138</v>
      </c>
      <c r="X23" s="7">
        <v>149.30000000000001</v>
      </c>
      <c r="Y23" s="7" t="s">
        <v>138</v>
      </c>
      <c r="Z23" s="7">
        <v>19.7</v>
      </c>
      <c r="AA23" s="7" t="s">
        <v>138</v>
      </c>
      <c r="AB23" s="7">
        <v>60.488999999999997</v>
      </c>
      <c r="AC23" s="7" t="s">
        <v>138</v>
      </c>
      <c r="AF23" s="7">
        <v>0.01</v>
      </c>
      <c r="AG23" s="7" t="s">
        <v>139</v>
      </c>
    </row>
    <row r="24" spans="1:41" x14ac:dyDescent="0.2">
      <c r="A24" s="7" t="str">
        <f>rearing!A24</f>
        <v>Tetreault2021</v>
      </c>
      <c r="B24" s="7" t="str">
        <f>rearing!B24</f>
        <v>Nile tilapia</v>
      </c>
      <c r="C24" s="13" t="str">
        <f>rearing!C24</f>
        <v>AER1</v>
      </c>
      <c r="D24" s="17">
        <v>7.3</v>
      </c>
      <c r="E24" s="86" t="s">
        <v>445</v>
      </c>
      <c r="F24" s="86" t="s">
        <v>408</v>
      </c>
      <c r="G24" s="86" t="s">
        <v>445</v>
      </c>
      <c r="H24" s="7">
        <v>21.1</v>
      </c>
      <c r="R24" s="7">
        <v>167.66</v>
      </c>
      <c r="T24" s="7">
        <v>2.6</v>
      </c>
      <c r="V24" s="7">
        <v>400.43</v>
      </c>
      <c r="X24" s="7">
        <v>28.2</v>
      </c>
      <c r="Z24" s="7">
        <v>21.43</v>
      </c>
      <c r="AD24" s="7">
        <v>0.23</v>
      </c>
      <c r="AF24" s="7">
        <v>1.79</v>
      </c>
      <c r="AH24" s="7">
        <v>8.9999999999999993E-3</v>
      </c>
      <c r="AJ24" s="7">
        <v>0.26</v>
      </c>
      <c r="AL24" s="7">
        <v>0.89315999999999995</v>
      </c>
      <c r="AN24" s="7">
        <v>34.299999999999997</v>
      </c>
    </row>
    <row r="25" spans="1:41" x14ac:dyDescent="0.2">
      <c r="A25" s="7" t="str">
        <f>rearing!A25</f>
        <v>Tetreault2021b</v>
      </c>
      <c r="B25" s="7" t="str">
        <f>rearing!B25</f>
        <v>Nile tilapia</v>
      </c>
      <c r="C25" s="13" t="str">
        <f>rearing!C25</f>
        <v>ANA1</v>
      </c>
      <c r="J25" s="60">
        <f>151*18.83%</f>
        <v>28.433299999999999</v>
      </c>
      <c r="R25" s="7">
        <f>143*88.54%</f>
        <v>126.61220000000002</v>
      </c>
      <c r="T25" s="7">
        <f>5.13*31.76%</f>
        <v>1.6292879999999998</v>
      </c>
      <c r="V25" s="7">
        <f>303*99.96%</f>
        <v>302.87879999999996</v>
      </c>
      <c r="X25" s="7">
        <f>21.3*72.8%</f>
        <v>15.506399999999999</v>
      </c>
      <c r="Z25" s="7">
        <f>17.6*96.93%</f>
        <v>17.059680000000004</v>
      </c>
      <c r="AB25" s="7">
        <f>23.2*99.61%</f>
        <v>23.10952</v>
      </c>
      <c r="AF25" s="7">
        <f>1.78*87.74%</f>
        <v>1.5617719999999999</v>
      </c>
      <c r="AH25" s="7">
        <f>0.15*80.04%</f>
        <v>0.12006000000000001</v>
      </c>
      <c r="AJ25" s="7">
        <f>0.16*80.43%</f>
        <v>0.128688</v>
      </c>
      <c r="AL25" s="7">
        <f>0.74*94.2%</f>
        <v>0.69708000000000003</v>
      </c>
      <c r="AN25" s="7">
        <f>34.6*99.62%</f>
        <v>34.468520000000005</v>
      </c>
    </row>
    <row r="26" spans="1:41" s="40" customFormat="1" x14ac:dyDescent="0.2">
      <c r="A26" s="41" t="str">
        <f>rearing!A26</f>
        <v>Siqwepu2020</v>
      </c>
      <c r="B26" s="41" t="str">
        <f>rearing!B26</f>
        <v>African catfish</v>
      </c>
      <c r="C26" s="42" t="str">
        <f>rearing!C26</f>
        <v>FeSO4-20</v>
      </c>
      <c r="D26" s="47"/>
      <c r="E26" s="90"/>
      <c r="F26" s="90"/>
      <c r="G26" s="90"/>
      <c r="H26" s="41"/>
      <c r="I26" s="42"/>
      <c r="J26" s="62"/>
      <c r="K26" s="62"/>
      <c r="L26" s="47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</row>
    <row r="27" spans="1:41" s="40" customFormat="1" x14ac:dyDescent="0.2">
      <c r="A27" s="41" t="str">
        <f>rearing!A27</f>
        <v>Siqwepu2020</v>
      </c>
      <c r="B27" s="41" t="str">
        <f>rearing!B27</f>
        <v>African catfish</v>
      </c>
      <c r="C27" s="42" t="str">
        <f>rearing!C27</f>
        <v>FeSO4-30</v>
      </c>
      <c r="D27" s="47"/>
      <c r="E27" s="90"/>
      <c r="F27" s="90"/>
      <c r="G27" s="90"/>
      <c r="H27" s="41"/>
      <c r="I27" s="42"/>
      <c r="J27" s="62"/>
      <c r="K27" s="62"/>
      <c r="L27" s="47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</row>
    <row r="28" spans="1:41" s="40" customFormat="1" x14ac:dyDescent="0.2">
      <c r="A28" s="41" t="str">
        <f>rearing!A28</f>
        <v>Siqwepu2020</v>
      </c>
      <c r="B28" s="41" t="str">
        <f>rearing!B28</f>
        <v>African catfish</v>
      </c>
      <c r="C28" s="42" t="str">
        <f>rearing!C28</f>
        <v>FeSO4-60</v>
      </c>
      <c r="D28" s="47"/>
      <c r="E28" s="90"/>
      <c r="F28" s="90"/>
      <c r="G28" s="90"/>
      <c r="H28" s="41"/>
      <c r="I28" s="42"/>
      <c r="J28" s="62"/>
      <c r="K28" s="62"/>
      <c r="L28" s="47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</row>
    <row r="29" spans="1:41" s="40" customFormat="1" x14ac:dyDescent="0.2">
      <c r="A29" s="41" t="str">
        <f>rearing!A29</f>
        <v>Siqwepu2020</v>
      </c>
      <c r="B29" s="41" t="str">
        <f>rearing!B29</f>
        <v>African catfish</v>
      </c>
      <c r="C29" s="42" t="str">
        <f>rearing!C29</f>
        <v>FeAA-5</v>
      </c>
      <c r="D29" s="47"/>
      <c r="E29" s="90"/>
      <c r="F29" s="90"/>
      <c r="G29" s="90"/>
      <c r="H29" s="41"/>
      <c r="I29" s="42"/>
      <c r="J29" s="62"/>
      <c r="K29" s="62"/>
      <c r="L29" s="47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</row>
    <row r="30" spans="1:41" s="40" customFormat="1" x14ac:dyDescent="0.2">
      <c r="A30" s="41" t="str">
        <f>rearing!A30</f>
        <v>Siqwepu2020</v>
      </c>
      <c r="B30" s="41" t="str">
        <f>rearing!B30</f>
        <v>African catfish</v>
      </c>
      <c r="C30" s="42" t="str">
        <f>rearing!C30</f>
        <v>FeAA-10</v>
      </c>
      <c r="D30" s="47"/>
      <c r="E30" s="90"/>
      <c r="F30" s="90"/>
      <c r="G30" s="90"/>
      <c r="H30" s="41"/>
      <c r="I30" s="42"/>
      <c r="J30" s="62"/>
      <c r="K30" s="62"/>
      <c r="L30" s="47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</row>
    <row r="31" spans="1:41" s="40" customFormat="1" x14ac:dyDescent="0.2">
      <c r="A31" s="41" t="str">
        <f>rearing!A31</f>
        <v>Siqwepu2020</v>
      </c>
      <c r="B31" s="41" t="str">
        <f>rearing!B31</f>
        <v>African catfish</v>
      </c>
      <c r="C31" s="42" t="str">
        <f>rearing!C31</f>
        <v>FeAA-20</v>
      </c>
      <c r="D31" s="47"/>
      <c r="E31" s="90"/>
      <c r="F31" s="90"/>
      <c r="G31" s="90"/>
      <c r="H31" s="41"/>
      <c r="I31" s="42"/>
      <c r="J31" s="62"/>
      <c r="K31" s="62"/>
      <c r="L31" s="47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</row>
    <row r="32" spans="1:41" s="40" customFormat="1" x14ac:dyDescent="0.2">
      <c r="A32" s="41" t="str">
        <f>rearing!A32</f>
        <v>Siqwepu2020</v>
      </c>
      <c r="B32" s="41" t="str">
        <f>rearing!B32</f>
        <v>African catfish</v>
      </c>
      <c r="C32" s="42" t="str">
        <f>rearing!C32</f>
        <v>Control</v>
      </c>
      <c r="D32" s="47"/>
      <c r="E32" s="90"/>
      <c r="F32" s="90"/>
      <c r="G32" s="90"/>
      <c r="H32" s="41"/>
      <c r="I32" s="42"/>
      <c r="J32" s="62"/>
      <c r="K32" s="62"/>
      <c r="L32" s="47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</row>
    <row r="33" spans="1:40" x14ac:dyDescent="0.2">
      <c r="A33" s="7" t="str">
        <f>rearing!A33</f>
        <v>Delaide2021</v>
      </c>
      <c r="B33" s="7" t="str">
        <f>rearing!B33</f>
        <v>Pikeperch</v>
      </c>
      <c r="C33" s="13" t="str">
        <f>rearing!C33</f>
        <v>AE</v>
      </c>
      <c r="E33" s="86" t="s">
        <v>445</v>
      </c>
      <c r="F33" s="86" t="s">
        <v>445</v>
      </c>
      <c r="G33" s="86" t="s">
        <v>445</v>
      </c>
    </row>
    <row r="34" spans="1:40" x14ac:dyDescent="0.2">
      <c r="A34" s="7" t="str">
        <f>rearing!A34</f>
        <v>Delaide2021</v>
      </c>
      <c r="B34" s="7" t="str">
        <f>rearing!B34</f>
        <v>Pikeperch</v>
      </c>
      <c r="C34" s="13" t="str">
        <f>rearing!C34</f>
        <v>AEC</v>
      </c>
      <c r="E34" s="86" t="s">
        <v>445</v>
      </c>
      <c r="F34" s="86" t="s">
        <v>445</v>
      </c>
      <c r="G34" s="86" t="s">
        <v>445</v>
      </c>
    </row>
    <row r="35" spans="1:40" x14ac:dyDescent="0.2">
      <c r="A35" s="7" t="str">
        <f>rearing!A35</f>
        <v>Delaide2021</v>
      </c>
      <c r="B35" s="7" t="str">
        <f>rearing!B35</f>
        <v>Pikeperch</v>
      </c>
      <c r="C35" s="13" t="str">
        <f>rearing!C35</f>
        <v>Std_E1</v>
      </c>
      <c r="E35" s="86" t="s">
        <v>445</v>
      </c>
      <c r="F35" s="86" t="s">
        <v>445</v>
      </c>
      <c r="G35" s="86" t="s">
        <v>445</v>
      </c>
    </row>
    <row r="36" spans="1:40" x14ac:dyDescent="0.2">
      <c r="A36" s="7" t="str">
        <f>rearing!A36</f>
        <v>Delaide2021</v>
      </c>
      <c r="B36" s="7" t="str">
        <f>rearing!B36</f>
        <v>Pikeperch</v>
      </c>
      <c r="C36" s="13" t="str">
        <f>rearing!C36</f>
        <v>AE-NPK</v>
      </c>
      <c r="E36" s="86" t="s">
        <v>445</v>
      </c>
      <c r="F36" s="86" t="s">
        <v>445</v>
      </c>
      <c r="G36" s="86" t="s">
        <v>445</v>
      </c>
    </row>
    <row r="37" spans="1:40" x14ac:dyDescent="0.2">
      <c r="A37" s="7" t="str">
        <f>rearing!A37</f>
        <v>Delaide2021</v>
      </c>
      <c r="B37" s="7" t="str">
        <f>rearing!B37</f>
        <v>Pikeperch</v>
      </c>
      <c r="C37" s="13" t="str">
        <f>rearing!C37</f>
        <v>AN-NPK</v>
      </c>
      <c r="E37" s="86" t="s">
        <v>445</v>
      </c>
      <c r="F37" s="86" t="s">
        <v>445</v>
      </c>
      <c r="G37" s="86" t="s">
        <v>445</v>
      </c>
    </row>
    <row r="38" spans="1:40" x14ac:dyDescent="0.2">
      <c r="A38" s="7" t="str">
        <f>rearing!A38</f>
        <v>Delaide2021</v>
      </c>
      <c r="B38" s="7" t="str">
        <f>rearing!B38</f>
        <v>Pikeperch</v>
      </c>
      <c r="C38" s="13" t="str">
        <f>rearing!C38</f>
        <v>Std_E2</v>
      </c>
      <c r="E38" s="86" t="s">
        <v>445</v>
      </c>
      <c r="F38" s="86" t="s">
        <v>445</v>
      </c>
      <c r="G38" s="86" t="s">
        <v>445</v>
      </c>
    </row>
    <row r="39" spans="1:40" x14ac:dyDescent="0.2">
      <c r="A39" s="7" t="str">
        <f>rearing!A39</f>
        <v>Atique2022</v>
      </c>
      <c r="B39" s="7" t="str">
        <f>rearing!B39</f>
        <v>Rainbow trout</v>
      </c>
      <c r="C39" s="13" t="str">
        <f>rearing!C39</f>
        <v>RAS</v>
      </c>
    </row>
    <row r="40" spans="1:40" x14ac:dyDescent="0.2">
      <c r="A40" s="7" t="str">
        <f>rearing!A40</f>
        <v>Atique2022</v>
      </c>
      <c r="B40" s="7" t="str">
        <f>rearing!B40</f>
        <v>Rainbow trout</v>
      </c>
      <c r="C40" s="13" t="str">
        <f>rearing!C40</f>
        <v>Aquaponic</v>
      </c>
    </row>
    <row r="41" spans="1:40" x14ac:dyDescent="0.2">
      <c r="A41" s="7" t="str">
        <f>rearing!A41</f>
        <v>Atique2022</v>
      </c>
      <c r="B41" s="7" t="str">
        <f>rearing!B41</f>
        <v>Rainbow trout</v>
      </c>
      <c r="C41" s="13" t="str">
        <f>rearing!C41</f>
        <v>Hydroponic</v>
      </c>
    </row>
    <row r="42" spans="1:40" x14ac:dyDescent="0.2">
      <c r="A42" s="7" t="str">
        <f>rearing!A42</f>
        <v>Zhu2022</v>
      </c>
      <c r="B42" s="7" t="str">
        <f>rearing!B42</f>
        <v>African catfish</v>
      </c>
      <c r="C42" s="13" t="str">
        <f>rearing!C42</f>
        <v>Aquaponic</v>
      </c>
      <c r="D42" s="17">
        <v>7.18</v>
      </c>
      <c r="H42" s="7">
        <v>28.1</v>
      </c>
      <c r="I42" s="13">
        <v>1110</v>
      </c>
      <c r="L42" s="17">
        <v>0.56000000000000005</v>
      </c>
      <c r="N42" s="7">
        <v>0.05</v>
      </c>
      <c r="P42" s="7">
        <v>79</v>
      </c>
      <c r="R42" s="7">
        <f t="shared" ref="R42" si="1">SUM(L42+N42+P42)</f>
        <v>79.61</v>
      </c>
      <c r="T42" s="7">
        <v>17</v>
      </c>
    </row>
    <row r="43" spans="1:40" x14ac:dyDescent="0.2">
      <c r="A43" s="7" t="str">
        <f>rearing!A43</f>
        <v>Zhu2022</v>
      </c>
      <c r="B43" s="7" t="str">
        <f>rearing!B43</f>
        <v>African catfish</v>
      </c>
      <c r="C43" s="13" t="str">
        <f>rearing!C43</f>
        <v>Hydroponic</v>
      </c>
      <c r="D43" s="17">
        <v>7.18</v>
      </c>
    </row>
    <row r="44" spans="1:40" x14ac:dyDescent="0.2">
      <c r="A44" s="7" t="str">
        <f>rearing!A44</f>
        <v>Delaide2019</v>
      </c>
      <c r="B44" s="7" t="str">
        <f>rearing!B44</f>
        <v>Pikeperch</v>
      </c>
      <c r="C44" s="13" t="str">
        <f>rearing!C44</f>
        <v>AP</v>
      </c>
      <c r="D44" s="17">
        <v>7.85</v>
      </c>
      <c r="L44" s="17">
        <f>0.26*(14)</f>
        <v>3.64</v>
      </c>
      <c r="P44" s="7">
        <f>1.52*(14)</f>
        <v>21.28</v>
      </c>
      <c r="R44" s="7">
        <f t="shared" ref="R44" si="2">SUM(L44+N44+P44)</f>
        <v>24.92</v>
      </c>
      <c r="T44" s="7">
        <f>0.07*31</f>
        <v>2.1700000000000004</v>
      </c>
      <c r="V44" s="7">
        <f>0.3*39</f>
        <v>11.7</v>
      </c>
      <c r="X44" s="7">
        <f>3.58*40</f>
        <v>143.19999999999999</v>
      </c>
      <c r="Z44" s="7">
        <f>0.71*24</f>
        <v>17.04</v>
      </c>
      <c r="AB44" s="7">
        <f>1.03*32</f>
        <v>32.96</v>
      </c>
      <c r="AD44" s="7">
        <f>6.07*0.001*11</f>
        <v>6.677000000000001E-2</v>
      </c>
      <c r="AF44" s="7">
        <f>1.04*0.001*56</f>
        <v>5.8240000000000007E-2</v>
      </c>
      <c r="AH44" s="7">
        <f>0.15*0.001*64</f>
        <v>9.5999999999999992E-3</v>
      </c>
      <c r="AJ44" s="7">
        <f>0.62*0.001*55</f>
        <v>3.4099999999999998E-2</v>
      </c>
      <c r="AL44" s="7">
        <f>0.73*0.001*65</f>
        <v>4.7449999999999999E-2</v>
      </c>
      <c r="AN44" s="7">
        <f>3.82*23</f>
        <v>87.86</v>
      </c>
    </row>
    <row r="45" spans="1:40" x14ac:dyDescent="0.2">
      <c r="A45" s="7" t="str">
        <f>rearing!A45</f>
        <v>Delaide2019</v>
      </c>
      <c r="B45" s="7" t="str">
        <f>rearing!B45</f>
        <v>Pikeperch</v>
      </c>
      <c r="C45" s="13" t="str">
        <f>rearing!C45</f>
        <v>Control</v>
      </c>
    </row>
    <row r="46" spans="1:40" x14ac:dyDescent="0.2">
      <c r="A46" s="7" t="str">
        <f>rearing!A46</f>
        <v>Knaus2022</v>
      </c>
      <c r="B46" s="7" t="str">
        <f>rearing!B46</f>
        <v>African catfish</v>
      </c>
      <c r="C46" s="13" t="str">
        <f>rearing!C46</f>
        <v>EbbFlow</v>
      </c>
    </row>
    <row r="47" spans="1:40" x14ac:dyDescent="0.2">
      <c r="A47" s="7" t="str">
        <f>rearing!A47</f>
        <v>Knaus2022</v>
      </c>
      <c r="B47" s="7" t="str">
        <f>rearing!B47</f>
        <v>African catfish</v>
      </c>
      <c r="C47" s="13" t="str">
        <f>rearing!C47</f>
        <v>FloatingRaft</v>
      </c>
    </row>
    <row r="48" spans="1:40" x14ac:dyDescent="0.2">
      <c r="A48" s="7" t="str">
        <f>rearing!A48</f>
        <v>Knaus2022</v>
      </c>
      <c r="B48" s="7" t="str">
        <f>rearing!B48</f>
        <v>African catfish</v>
      </c>
      <c r="C48" s="13" t="str">
        <f>rearing!C48</f>
        <v>GrowPipe</v>
      </c>
    </row>
    <row r="49" spans="1:40" x14ac:dyDescent="0.2">
      <c r="A49" s="7" t="str">
        <f>rearing!A49</f>
        <v>Suhl2016</v>
      </c>
      <c r="B49" s="7" t="str">
        <f>rearing!B49</f>
        <v>Nile tilapia</v>
      </c>
      <c r="C49" s="13" t="str">
        <f>rearing!C49</f>
        <v>Aquaponic</v>
      </c>
      <c r="L49" s="17">
        <v>24.2</v>
      </c>
      <c r="P49" s="7">
        <v>14.6</v>
      </c>
      <c r="R49" s="12">
        <f t="shared" ref="R49" si="3">SUM(L49+N49+P49)</f>
        <v>38.799999999999997</v>
      </c>
      <c r="T49" s="7">
        <v>8</v>
      </c>
      <c r="V49" s="7">
        <v>30.2</v>
      </c>
      <c r="X49" s="7">
        <v>89.3</v>
      </c>
      <c r="Z49" s="7">
        <v>13.9</v>
      </c>
      <c r="AB49" s="7">
        <v>38.5</v>
      </c>
      <c r="AN49" s="7">
        <v>26</v>
      </c>
    </row>
    <row r="50" spans="1:40" x14ac:dyDescent="0.2">
      <c r="A50" s="7" t="str">
        <f>rearing!A50</f>
        <v>Suhl2016</v>
      </c>
      <c r="B50" s="7" t="str">
        <f>rearing!B50</f>
        <v>Nile tilapia</v>
      </c>
      <c r="C50" s="13" t="str">
        <f>rearing!C50</f>
        <v>Hydroponic</v>
      </c>
      <c r="L50" s="17">
        <v>24.2</v>
      </c>
      <c r="P50" s="7">
        <v>14.6</v>
      </c>
      <c r="R50" s="12">
        <f t="shared" ref="R50:R52" si="4">SUM(L50+N50+P50)</f>
        <v>38.799999999999997</v>
      </c>
      <c r="T50" s="7">
        <v>8</v>
      </c>
      <c r="V50" s="7">
        <v>30.2</v>
      </c>
      <c r="X50" s="7">
        <v>89.3</v>
      </c>
      <c r="Z50" s="7">
        <v>13.9</v>
      </c>
      <c r="AB50" s="7">
        <v>38.5</v>
      </c>
      <c r="AN50" s="7">
        <v>26</v>
      </c>
    </row>
    <row r="51" spans="1:40" x14ac:dyDescent="0.2">
      <c r="A51" s="7" t="str">
        <f>rearing!A51</f>
        <v>Medina2016</v>
      </c>
      <c r="B51" s="7" t="str">
        <f>rearing!B51</f>
        <v>Blue tilapia</v>
      </c>
      <c r="C51" s="13" t="str">
        <f>rearing!C51</f>
        <v>Control</v>
      </c>
      <c r="L51" s="7">
        <v>0.3</v>
      </c>
      <c r="M51" s="7" t="s">
        <v>139</v>
      </c>
      <c r="P51" s="7">
        <v>140</v>
      </c>
      <c r="Q51" s="7" t="s">
        <v>138</v>
      </c>
      <c r="R51" s="12">
        <f t="shared" si="4"/>
        <v>140.30000000000001</v>
      </c>
      <c r="T51" s="7">
        <v>0.89</v>
      </c>
      <c r="U51" s="7" t="s">
        <v>138</v>
      </c>
    </row>
    <row r="52" spans="1:40" x14ac:dyDescent="0.2">
      <c r="A52" s="7" t="str">
        <f>rearing!A52</f>
        <v>Medina2016</v>
      </c>
      <c r="B52" s="7" t="str">
        <f>rearing!B52</f>
        <v>Blue tilapia</v>
      </c>
      <c r="C52" s="13" t="str">
        <f>rearing!C52</f>
        <v>Alternative</v>
      </c>
      <c r="L52" s="7">
        <v>0.3</v>
      </c>
      <c r="M52" s="7" t="s">
        <v>139</v>
      </c>
      <c r="P52" s="7">
        <v>90</v>
      </c>
      <c r="Q52" s="7" t="s">
        <v>138</v>
      </c>
      <c r="R52" s="12">
        <f t="shared" si="4"/>
        <v>90.3</v>
      </c>
      <c r="T52" s="7">
        <v>0.89</v>
      </c>
      <c r="U52" s="7" t="s">
        <v>138</v>
      </c>
    </row>
    <row r="53" spans="1:40" x14ac:dyDescent="0.2">
      <c r="A53" s="7" t="str">
        <f>rearing!A53</f>
        <v>Schmautz2016</v>
      </c>
      <c r="B53" s="7" t="str">
        <f>rearing!B53</f>
        <v>Nile tilapia</v>
      </c>
      <c r="C53" s="13" t="str">
        <f>rearing!C53</f>
        <v>NFT</v>
      </c>
    </row>
    <row r="54" spans="1:40" x14ac:dyDescent="0.2">
      <c r="A54" s="7" t="str">
        <f>rearing!A54</f>
        <v>Schmautz2016</v>
      </c>
      <c r="B54" s="7" t="str">
        <f>rearing!B54</f>
        <v>Nile tilapia</v>
      </c>
      <c r="C54" s="13" t="str">
        <f>rearing!C54</f>
        <v>Raft</v>
      </c>
    </row>
    <row r="55" spans="1:40" x14ac:dyDescent="0.2">
      <c r="A55" s="7" t="str">
        <f>rearing!A55</f>
        <v>Schmautz2016</v>
      </c>
      <c r="B55" s="7" t="str">
        <f>rearing!B55</f>
        <v>Nile tilapia</v>
      </c>
      <c r="C55" s="13" t="str">
        <f>rearing!C55</f>
        <v>Drip</v>
      </c>
    </row>
    <row r="56" spans="1:40" x14ac:dyDescent="0.2">
      <c r="A56" s="7" t="str">
        <f>rearing!A56</f>
        <v>Knaus2020</v>
      </c>
      <c r="B56" s="7" t="str">
        <f>rearing!B56</f>
        <v>African catfish</v>
      </c>
      <c r="C56" s="13" t="str">
        <f>rearing!C56</f>
        <v>GrowPipe</v>
      </c>
    </row>
    <row r="57" spans="1:40" x14ac:dyDescent="0.2">
      <c r="A57" s="7" t="str">
        <f>rearing!A57</f>
        <v>Knaus2020</v>
      </c>
      <c r="B57" s="7" t="str">
        <f>rearing!B57</f>
        <v>African catfish</v>
      </c>
      <c r="C57" s="13" t="str">
        <f>rearing!C57</f>
        <v>Raft</v>
      </c>
    </row>
    <row r="58" spans="1:40" x14ac:dyDescent="0.2">
      <c r="A58" s="7" t="str">
        <f>rearing!A58</f>
        <v>Knaus2020</v>
      </c>
      <c r="B58" s="7" t="str">
        <f>rearing!B58</f>
        <v>African catfish</v>
      </c>
      <c r="C58" s="13" t="str">
        <f>rearing!C58</f>
        <v>Gravel</v>
      </c>
    </row>
    <row r="59" spans="1:40" x14ac:dyDescent="0.2">
      <c r="A59" s="7" t="str">
        <f>rearing!A59</f>
        <v>Pasch2021</v>
      </c>
      <c r="B59" s="7" t="str">
        <f>rearing!B59</f>
        <v>African catfish</v>
      </c>
      <c r="C59" s="13" t="str">
        <f>rearing!C59</f>
        <v>Aeroponics</v>
      </c>
    </row>
    <row r="60" spans="1:40" x14ac:dyDescent="0.2">
      <c r="A60" s="7" t="str">
        <f>rearing!A60</f>
        <v>Pasch2021</v>
      </c>
      <c r="B60" s="7" t="str">
        <f>rearing!B60</f>
        <v>African catfish</v>
      </c>
      <c r="C60" s="13" t="str">
        <f>rearing!C60</f>
        <v>DRF</v>
      </c>
    </row>
    <row r="61" spans="1:40" x14ac:dyDescent="0.2">
      <c r="A61" s="7" t="str">
        <f>rearing!A61</f>
        <v>Pasch2021</v>
      </c>
      <c r="B61" s="7" t="str">
        <f>rearing!B61</f>
        <v>African catfish</v>
      </c>
      <c r="C61" s="13" t="str">
        <f>rearing!C61</f>
        <v>Raft</v>
      </c>
    </row>
    <row r="62" spans="1:40" x14ac:dyDescent="0.2">
      <c r="A62" s="7" t="str">
        <f>rearing!A62</f>
        <v>Pasch2021a</v>
      </c>
      <c r="B62" s="7" t="str">
        <f>rearing!B62</f>
        <v>African catfish</v>
      </c>
      <c r="C62" s="13" t="str">
        <f>rearing!C62</f>
        <v>DRF</v>
      </c>
    </row>
    <row r="63" spans="1:40" x14ac:dyDescent="0.2">
      <c r="A63" s="7" t="str">
        <f>rearing!A63</f>
        <v>Pasch2021a</v>
      </c>
      <c r="B63" s="7" t="str">
        <f>rearing!B63</f>
        <v>African catfish</v>
      </c>
      <c r="C63" s="13" t="str">
        <f>rearing!C63</f>
        <v>Raft</v>
      </c>
    </row>
    <row r="64" spans="1:40" x14ac:dyDescent="0.2">
      <c r="A64" s="7" t="str">
        <f>rearing!A64</f>
        <v>Pasch2021a</v>
      </c>
      <c r="B64" s="7" t="str">
        <f>rearing!B64</f>
        <v>African catfish</v>
      </c>
      <c r="C64" s="13" t="str">
        <f>rearing!C64</f>
        <v>GrowPipe</v>
      </c>
    </row>
    <row r="65" spans="1:38" x14ac:dyDescent="0.2">
      <c r="A65" s="7" t="str">
        <f>rearing!A65</f>
        <v>Delaide2017</v>
      </c>
      <c r="B65" s="7" t="str">
        <f>rearing!B65</f>
        <v>Nile tilapia</v>
      </c>
      <c r="C65" s="13" t="str">
        <f>rearing!C65</f>
        <v>Lettuce</v>
      </c>
    </row>
    <row r="66" spans="1:38" x14ac:dyDescent="0.2">
      <c r="A66" s="7" t="str">
        <f>rearing!A66</f>
        <v>Delaide2017</v>
      </c>
      <c r="B66" s="7" t="str">
        <f>rearing!B66</f>
        <v>Nile tilapia</v>
      </c>
      <c r="C66" s="13" t="str">
        <f>rearing!C66</f>
        <v>Basil</v>
      </c>
    </row>
    <row r="67" spans="1:38" x14ac:dyDescent="0.2">
      <c r="A67" s="7" t="str">
        <f>rearing!A67</f>
        <v>Lunda2019</v>
      </c>
      <c r="B67" s="7">
        <f>rearing!B67</f>
        <v>0</v>
      </c>
      <c r="C67" s="13" t="str">
        <f>rearing!C67</f>
        <v>FROV</v>
      </c>
      <c r="D67" s="17">
        <v>6.74</v>
      </c>
      <c r="H67" s="7">
        <v>24.7</v>
      </c>
      <c r="I67" s="13">
        <v>1700</v>
      </c>
      <c r="R67">
        <v>350</v>
      </c>
      <c r="T67">
        <v>2.29</v>
      </c>
      <c r="V67">
        <v>43.28</v>
      </c>
      <c r="X67">
        <v>88.53</v>
      </c>
      <c r="Z67">
        <v>30.82</v>
      </c>
      <c r="AB67" s="76">
        <v>18.3</v>
      </c>
      <c r="AD67">
        <v>0.04</v>
      </c>
      <c r="AF67">
        <v>0.96</v>
      </c>
      <c r="AH67">
        <v>0.02</v>
      </c>
      <c r="AL67">
        <v>0.1</v>
      </c>
    </row>
    <row r="68" spans="1:38" x14ac:dyDescent="0.2">
      <c r="A68" s="7" t="str">
        <f>rearing!A68</f>
        <v>Lunda2019</v>
      </c>
      <c r="B68" s="7">
        <f>rearing!B68</f>
        <v>0</v>
      </c>
      <c r="C68" s="13" t="str">
        <f>rearing!C68</f>
        <v>ANAPARTNERS</v>
      </c>
      <c r="D68" s="17">
        <v>7.53</v>
      </c>
      <c r="H68" s="7">
        <v>23.1</v>
      </c>
      <c r="I68" s="13">
        <v>2000</v>
      </c>
      <c r="R68">
        <v>673</v>
      </c>
      <c r="T68">
        <v>1.79</v>
      </c>
      <c r="V68">
        <v>18.399999999999999</v>
      </c>
      <c r="X68">
        <v>84.3</v>
      </c>
      <c r="Z68">
        <v>8.92</v>
      </c>
      <c r="AB68" s="76">
        <v>19.559999999999999</v>
      </c>
      <c r="AD68">
        <v>0.05</v>
      </c>
      <c r="AF68">
        <v>0.33</v>
      </c>
      <c r="AH68">
        <v>0.01</v>
      </c>
      <c r="AL68">
        <v>0.12</v>
      </c>
    </row>
    <row r="69" spans="1:38" x14ac:dyDescent="0.2">
      <c r="A69" s="7" t="str">
        <f>rearing!A69</f>
        <v>Lunda2019</v>
      </c>
      <c r="B69" s="7">
        <f>rearing!B69</f>
        <v>0</v>
      </c>
      <c r="C69" s="13" t="str">
        <f>rearing!C69</f>
        <v>ROKYTNO</v>
      </c>
      <c r="D69" s="17">
        <v>7.64</v>
      </c>
      <c r="H69" s="7">
        <v>22.4</v>
      </c>
      <c r="I69" s="13">
        <v>2300</v>
      </c>
      <c r="R69">
        <v>2907</v>
      </c>
      <c r="T69">
        <v>2.94</v>
      </c>
      <c r="V69">
        <v>109.1</v>
      </c>
      <c r="X69">
        <v>234.76</v>
      </c>
      <c r="Z69">
        <v>41.17</v>
      </c>
      <c r="AB69" s="76">
        <v>90.26</v>
      </c>
      <c r="AD69">
        <v>0.42</v>
      </c>
      <c r="AF69">
        <v>14.32</v>
      </c>
      <c r="AH69">
        <v>0.41</v>
      </c>
      <c r="AL69">
        <v>4</v>
      </c>
    </row>
    <row r="70" spans="1:38" x14ac:dyDescent="0.2">
      <c r="A70" s="7" t="str">
        <f>rearing!A70</f>
        <v>Knaus2017</v>
      </c>
      <c r="B70" s="7" t="str">
        <f>rearing!B70</f>
        <v>Nile tilapia</v>
      </c>
      <c r="C70" s="13" t="str">
        <f>rearing!C70</f>
        <v>Unit I</v>
      </c>
    </row>
    <row r="71" spans="1:38" x14ac:dyDescent="0.2">
      <c r="A71" s="7" t="str">
        <f>rearing!A71</f>
        <v>Knaus2017</v>
      </c>
      <c r="B71" s="7" t="str">
        <f>rearing!B71</f>
        <v>Nile tilapia</v>
      </c>
      <c r="C71" s="13" t="str">
        <f>rearing!C71</f>
        <v>Unit I</v>
      </c>
    </row>
    <row r="72" spans="1:38" x14ac:dyDescent="0.2">
      <c r="A72" s="7" t="str">
        <f>rearing!A72</f>
        <v>Knaus2017</v>
      </c>
      <c r="B72" s="7" t="str">
        <f>rearing!B72</f>
        <v>African catfish</v>
      </c>
      <c r="C72" s="13" t="str">
        <f>rearing!C72</f>
        <v>Unit II</v>
      </c>
    </row>
    <row r="73" spans="1:38" x14ac:dyDescent="0.2">
      <c r="A73" s="7" t="str">
        <f>rearing!A73</f>
        <v>Knaus2017</v>
      </c>
      <c r="B73" s="7" t="str">
        <f>rearing!B73</f>
        <v>African catfish</v>
      </c>
      <c r="C73" s="13" t="str">
        <f>rearing!C73</f>
        <v>Unit II</v>
      </c>
    </row>
    <row r="74" spans="1:38" x14ac:dyDescent="0.2">
      <c r="A74" s="7" t="str">
        <f>rearing!A74</f>
        <v>Knaus2017a</v>
      </c>
      <c r="B74" s="7" t="str">
        <f>rearing!B74</f>
        <v>Nile tilapia</v>
      </c>
      <c r="C74" s="13" t="str">
        <f>rearing!C74</f>
        <v>Unit I</v>
      </c>
      <c r="D74" s="17">
        <v>7.8</v>
      </c>
      <c r="H74" s="7">
        <v>27.3</v>
      </c>
      <c r="I74" s="13">
        <v>613.20000000000005</v>
      </c>
      <c r="L74" s="17">
        <v>0.24</v>
      </c>
      <c r="N74" s="7">
        <v>0.02</v>
      </c>
      <c r="P74" s="7">
        <v>7.16</v>
      </c>
      <c r="T74" s="7">
        <v>1.55</v>
      </c>
    </row>
    <row r="75" spans="1:38" x14ac:dyDescent="0.2">
      <c r="A75" s="7" t="str">
        <f>rearing!A75</f>
        <v>Knaus2017a</v>
      </c>
      <c r="B75" s="7" t="str">
        <f>rearing!B75</f>
        <v>Common Carp</v>
      </c>
      <c r="C75" s="13" t="str">
        <f>rearing!C75</f>
        <v>Unit II</v>
      </c>
      <c r="D75" s="17">
        <v>7.8</v>
      </c>
      <c r="H75" s="7">
        <v>27.1</v>
      </c>
      <c r="I75" s="13">
        <v>588.79999999999995</v>
      </c>
      <c r="L75" s="17">
        <v>0.27</v>
      </c>
      <c r="N75" s="7">
        <v>0.03</v>
      </c>
      <c r="P75" s="7">
        <v>9.24</v>
      </c>
      <c r="T75" s="7">
        <v>1.71</v>
      </c>
    </row>
    <row r="76" spans="1:38" x14ac:dyDescent="0.2">
      <c r="A76" s="7" t="str">
        <f>rearing!A76</f>
        <v>Monsees2019</v>
      </c>
      <c r="B76" s="7" t="str">
        <f>rearing!B76</f>
        <v>Nile tilapia</v>
      </c>
      <c r="C76" s="13" t="str">
        <f>rearing!C76</f>
        <v>Control</v>
      </c>
      <c r="D76" s="17">
        <v>7.2</v>
      </c>
      <c r="E76" s="86" t="s">
        <v>445</v>
      </c>
      <c r="F76" s="86" t="s">
        <v>445</v>
      </c>
      <c r="G76" s="86" t="s">
        <v>408</v>
      </c>
      <c r="H76" s="7">
        <v>25</v>
      </c>
    </row>
    <row r="77" spans="1:38" x14ac:dyDescent="0.2">
      <c r="A77" s="7" t="str">
        <f>rearing!A77</f>
        <v>Monsees2019</v>
      </c>
      <c r="B77" s="7" t="str">
        <f>rearing!B77</f>
        <v>Nile tilapia</v>
      </c>
      <c r="C77" s="13" t="str">
        <f>rearing!C77</f>
        <v>APunt</v>
      </c>
      <c r="D77" s="17">
        <v>7.2</v>
      </c>
      <c r="E77" s="86" t="s">
        <v>445</v>
      </c>
      <c r="F77" s="86" t="s">
        <v>445</v>
      </c>
      <c r="G77" s="86" t="s">
        <v>408</v>
      </c>
      <c r="H77" s="7">
        <v>25</v>
      </c>
    </row>
    <row r="78" spans="1:38" x14ac:dyDescent="0.2">
      <c r="A78" s="7" t="str">
        <f>rearing!A78</f>
        <v>Monsees2019</v>
      </c>
      <c r="B78" s="7" t="str">
        <f>rearing!B78</f>
        <v>Nile tilapia</v>
      </c>
      <c r="C78" s="13" t="str">
        <f>rearing!C78</f>
        <v>APdis</v>
      </c>
      <c r="D78" s="17">
        <v>7.2</v>
      </c>
      <c r="E78" s="86" t="s">
        <v>445</v>
      </c>
      <c r="F78" s="86" t="s">
        <v>445</v>
      </c>
      <c r="G78" s="86" t="s">
        <v>408</v>
      </c>
      <c r="H78" s="7">
        <v>25</v>
      </c>
    </row>
    <row r="79" spans="1:38" x14ac:dyDescent="0.2">
      <c r="A79" s="7" t="str">
        <f>rearing!A79</f>
        <v>Rodgers2022</v>
      </c>
      <c r="B79" s="7" t="str">
        <f>rearing!B79</f>
        <v>Koi carp</v>
      </c>
      <c r="C79" s="13" t="str">
        <f>rearing!C79</f>
        <v>CON</v>
      </c>
    </row>
    <row r="80" spans="1:38" x14ac:dyDescent="0.2">
      <c r="A80" s="7" t="str">
        <f>rearing!A80</f>
        <v>Rodgers2022</v>
      </c>
      <c r="B80" s="7" t="str">
        <f>rearing!B80</f>
        <v>Koi carp</v>
      </c>
      <c r="C80" s="13" t="str">
        <f>rearing!C80</f>
        <v>DAP</v>
      </c>
    </row>
    <row r="81" spans="1:26" x14ac:dyDescent="0.2">
      <c r="A81" s="7" t="str">
        <f>rearing!A81</f>
        <v>Rodgers2022</v>
      </c>
      <c r="B81" s="7" t="str">
        <f>rearing!B81</f>
        <v>Koi carp</v>
      </c>
      <c r="C81" s="13" t="str">
        <f>rearing!C81</f>
        <v>DAP+</v>
      </c>
    </row>
    <row r="82" spans="1:26" x14ac:dyDescent="0.2">
      <c r="A82" s="7" t="str">
        <f>rearing!A82</f>
        <v>Cerozi2020</v>
      </c>
      <c r="B82" s="7" t="str">
        <f>rearing!B82</f>
        <v>Blue tilapia</v>
      </c>
      <c r="C82" s="13" t="str">
        <f>rearing!C82</f>
        <v>System</v>
      </c>
    </row>
    <row r="83" spans="1:26" x14ac:dyDescent="0.2">
      <c r="A83" s="7" t="str">
        <f>rearing!A83</f>
        <v>Khiari2019</v>
      </c>
      <c r="B83" s="7" t="str">
        <f>rearing!B83</f>
        <v>Nile tilapia</v>
      </c>
      <c r="C83" s="13" t="str">
        <f>rearing!C83</f>
        <v>30_5.5</v>
      </c>
    </row>
    <row r="84" spans="1:26" x14ac:dyDescent="0.2">
      <c r="A84" s="7" t="str">
        <f>rearing!A84</f>
        <v>Khiari2019</v>
      </c>
      <c r="B84" s="7" t="str">
        <f>rearing!B84</f>
        <v>Nile tilapia</v>
      </c>
      <c r="C84" s="13" t="str">
        <f>rearing!C84</f>
        <v>30_6.0</v>
      </c>
    </row>
    <row r="85" spans="1:26" x14ac:dyDescent="0.2">
      <c r="A85" s="7" t="str">
        <f>rearing!A85</f>
        <v>Khiari2019</v>
      </c>
      <c r="B85" s="7" t="str">
        <f>rearing!B85</f>
        <v>Nile tilapia</v>
      </c>
      <c r="C85" s="13" t="str">
        <f>rearing!C85</f>
        <v>30_6.5</v>
      </c>
    </row>
    <row r="86" spans="1:26" x14ac:dyDescent="0.2">
      <c r="A86" s="7" t="str">
        <f>rearing!A86</f>
        <v>Khiari2019</v>
      </c>
      <c r="B86" s="7" t="str">
        <f>rearing!B86</f>
        <v>Nile tilapia</v>
      </c>
      <c r="C86" s="13" t="str">
        <f>rearing!C86</f>
        <v>35_5.5</v>
      </c>
    </row>
    <row r="87" spans="1:26" x14ac:dyDescent="0.2">
      <c r="A87" s="7" t="str">
        <f>rearing!A87</f>
        <v>Khiari2019</v>
      </c>
      <c r="B87" s="7" t="str">
        <f>rearing!B87</f>
        <v>Nile tilapia</v>
      </c>
      <c r="C87" s="13" t="str">
        <f>rearing!C87</f>
        <v>35_6.0</v>
      </c>
    </row>
    <row r="88" spans="1:26" x14ac:dyDescent="0.2">
      <c r="A88" s="7" t="str">
        <f>rearing!A88</f>
        <v>Khiari2019</v>
      </c>
      <c r="B88" s="7" t="str">
        <f>rearing!B88</f>
        <v>Nile tilapia</v>
      </c>
      <c r="C88" s="13" t="str">
        <f>rearing!C88</f>
        <v>35_6.5</v>
      </c>
    </row>
    <row r="89" spans="1:26" x14ac:dyDescent="0.2">
      <c r="A89" s="7" t="str">
        <f>rearing!A89</f>
        <v>Khiari2019</v>
      </c>
      <c r="B89" s="7" t="str">
        <f>rearing!B89</f>
        <v>Nile tilapia</v>
      </c>
      <c r="C89" s="13" t="str">
        <f>rearing!C89</f>
        <v>40_5.5</v>
      </c>
    </row>
    <row r="90" spans="1:26" x14ac:dyDescent="0.2">
      <c r="A90" s="7" t="str">
        <f>rearing!A90</f>
        <v>Khiari2019</v>
      </c>
      <c r="B90" s="7" t="str">
        <f>rearing!B90</f>
        <v>Nile tilapia</v>
      </c>
      <c r="C90" s="13" t="str">
        <f>rearing!C90</f>
        <v>40_6.0</v>
      </c>
    </row>
    <row r="91" spans="1:26" x14ac:dyDescent="0.2">
      <c r="A91" s="7" t="str">
        <f>rearing!A91</f>
        <v>Khiari2019</v>
      </c>
      <c r="B91" s="7" t="str">
        <f>rearing!B91</f>
        <v>Nile tilapia</v>
      </c>
      <c r="C91" s="13" t="str">
        <f>rearing!C91</f>
        <v>40_6.5</v>
      </c>
    </row>
    <row r="92" spans="1:26" x14ac:dyDescent="0.2">
      <c r="A92" s="7" t="str">
        <f>rearing!A92</f>
        <v>Delaide2018</v>
      </c>
      <c r="B92" s="7" t="str">
        <f>rearing!B92</f>
        <v>Nile tilapia</v>
      </c>
      <c r="C92" s="13" t="str">
        <f>rearing!C92</f>
        <v>ANR</v>
      </c>
    </row>
    <row r="93" spans="1:26" x14ac:dyDescent="0.2">
      <c r="A93" s="7" t="str">
        <f>rearing!A93</f>
        <v>Monsees2017</v>
      </c>
      <c r="B93" s="7" t="str">
        <f>rearing!B93</f>
        <v>Nile tilapia</v>
      </c>
      <c r="C93" s="13" t="str">
        <f>rearing!C93</f>
        <v>Exp1_anaerobic</v>
      </c>
      <c r="D93" s="20">
        <f>rearing!U93</f>
        <v>7</v>
      </c>
      <c r="E93" s="88"/>
      <c r="F93" s="88"/>
      <c r="G93" s="88"/>
      <c r="H93" s="18">
        <f>rearing!S93</f>
        <v>26</v>
      </c>
      <c r="I93" s="19"/>
      <c r="J93" s="59"/>
      <c r="K93" s="59"/>
      <c r="L93" s="20">
        <f>AVERAGE(0.2,0.4,0.4)</f>
        <v>0.33333333333333331</v>
      </c>
      <c r="M93" s="18"/>
      <c r="N93" s="18">
        <f>AVERAGE(0.2,0.1)</f>
        <v>0.15000000000000002</v>
      </c>
      <c r="O93" s="18"/>
      <c r="P93" s="18">
        <f>AVERAGE(63,50,52.5)</f>
        <v>55.166666666666664</v>
      </c>
      <c r="Q93" s="18"/>
      <c r="R93" s="21">
        <f>SUM(L93+N93+P93)</f>
        <v>55.65</v>
      </c>
      <c r="S93" s="18"/>
      <c r="T93" s="18">
        <f>(AVERAGE(8,7.9,9.5)*0.33)</f>
        <v>2.794</v>
      </c>
      <c r="U93" s="18"/>
      <c r="V93" s="18">
        <f>AVERAGE(26.5,24.5,27)</f>
        <v>26</v>
      </c>
      <c r="W93" s="18"/>
      <c r="X93" s="18"/>
      <c r="Y93" s="18"/>
      <c r="Z93" s="18">
        <f>AVERAGE(63,62.6,70.4)</f>
        <v>65.333333333333329</v>
      </c>
    </row>
    <row r="94" spans="1:26" x14ac:dyDescent="0.2">
      <c r="A94" s="7" t="str">
        <f>rearing!A94</f>
        <v>Roosta2013</v>
      </c>
      <c r="B94" s="7" t="str">
        <f>rearing!B94</f>
        <v>Common Carp</v>
      </c>
      <c r="C94" s="13" t="str">
        <f>rearing!C94</f>
        <v>Rep1</v>
      </c>
    </row>
    <row r="95" spans="1:26" x14ac:dyDescent="0.2">
      <c r="A95" s="7" t="str">
        <f>rearing!A95</f>
        <v>Roosta2013</v>
      </c>
      <c r="B95" s="7" t="str">
        <f>rearing!B95</f>
        <v>Grass carp</v>
      </c>
      <c r="C95" s="13" t="str">
        <f>rearing!C95</f>
        <v>Rep2</v>
      </c>
    </row>
    <row r="96" spans="1:26" x14ac:dyDescent="0.2">
      <c r="A96" s="7" t="str">
        <f>rearing!A96</f>
        <v>Roosta2013</v>
      </c>
      <c r="B96" s="7" t="str">
        <f>rearing!B96</f>
        <v>Silver carp</v>
      </c>
      <c r="C96" s="13" t="str">
        <f>rearing!C96</f>
        <v>Rep3</v>
      </c>
    </row>
    <row r="97" spans="1:40" x14ac:dyDescent="0.2">
      <c r="A97" s="7" t="str">
        <f>rearing!A97</f>
        <v>Roosta2014</v>
      </c>
      <c r="B97" s="7" t="str">
        <f>rearing!B97</f>
        <v>Common Carp</v>
      </c>
      <c r="C97" s="13" t="str">
        <f>rearing!C97</f>
        <v>Rep1</v>
      </c>
      <c r="D97" s="17">
        <v>7.6</v>
      </c>
      <c r="H97" s="7">
        <v>25.7</v>
      </c>
      <c r="I97" s="13">
        <v>540</v>
      </c>
      <c r="N97" s="7">
        <v>1.69</v>
      </c>
      <c r="P97" s="7">
        <v>34.6</v>
      </c>
      <c r="T97" s="7">
        <v>7.98</v>
      </c>
      <c r="V97" s="7">
        <v>26.7</v>
      </c>
      <c r="X97" s="7">
        <v>34.200000000000003</v>
      </c>
      <c r="AF97" s="7">
        <v>0.21</v>
      </c>
      <c r="AH97" s="7">
        <v>4.2000000000000003E-2</v>
      </c>
      <c r="AL97" s="7">
        <v>0.37</v>
      </c>
      <c r="AN97" s="7" t="s">
        <v>376</v>
      </c>
    </row>
    <row r="98" spans="1:40" x14ac:dyDescent="0.2">
      <c r="A98" s="7" t="str">
        <f>rearing!A98</f>
        <v>Roosta2014</v>
      </c>
      <c r="B98" s="7" t="str">
        <f>rearing!B98</f>
        <v>Grass carp</v>
      </c>
      <c r="C98" s="13" t="str">
        <f>rearing!C98</f>
        <v>Rep2</v>
      </c>
    </row>
    <row r="99" spans="1:40" x14ac:dyDescent="0.2">
      <c r="A99" s="7" t="str">
        <f>rearing!A99</f>
        <v>Roosta2014</v>
      </c>
      <c r="B99" s="7" t="str">
        <f>rearing!B99</f>
        <v>Silver carp</v>
      </c>
      <c r="C99" s="13" t="str">
        <f>rearing!C99</f>
        <v>Rep3</v>
      </c>
    </row>
    <row r="100" spans="1:40" x14ac:dyDescent="0.2">
      <c r="A100" s="7" t="str">
        <f>rearing!A100</f>
        <v>Yang2020</v>
      </c>
      <c r="B100" s="7" t="str">
        <f>rearing!B100</f>
        <v>Nile tilapia</v>
      </c>
      <c r="C100" s="13" t="str">
        <f>rearing!C100</f>
        <v>AP_Tomato</v>
      </c>
      <c r="D100" s="17">
        <v>6.9</v>
      </c>
      <c r="E100" s="86" t="s">
        <v>408</v>
      </c>
      <c r="F100" s="86" t="s">
        <v>408</v>
      </c>
      <c r="G100" s="86" t="s">
        <v>408</v>
      </c>
      <c r="L100" s="17">
        <v>1.8</v>
      </c>
      <c r="N100" s="7">
        <v>0.8</v>
      </c>
      <c r="P100" s="7">
        <v>60.5</v>
      </c>
      <c r="R100" s="21">
        <f>SUM(L100+N100+P100)</f>
        <v>63.1</v>
      </c>
      <c r="T100" s="7">
        <v>30.1</v>
      </c>
      <c r="V100" s="7">
        <v>29.2</v>
      </c>
      <c r="X100" s="7">
        <v>12.1</v>
      </c>
      <c r="Z100" s="7">
        <v>0.6</v>
      </c>
      <c r="AB100" s="7">
        <v>218.1</v>
      </c>
      <c r="AN100" s="7">
        <v>61.9</v>
      </c>
    </row>
    <row r="101" spans="1:40" x14ac:dyDescent="0.2">
      <c r="A101" s="7" t="str">
        <f>rearing!A101</f>
        <v>Yang2020</v>
      </c>
      <c r="B101" s="7" t="str">
        <f>rearing!B101</f>
        <v>Nile tilapia</v>
      </c>
      <c r="C101" s="13" t="str">
        <f>rearing!C101</f>
        <v>AP_Basil</v>
      </c>
      <c r="D101" s="17">
        <v>6.9</v>
      </c>
      <c r="E101" s="86" t="s">
        <v>408</v>
      </c>
      <c r="F101" s="86" t="s">
        <v>408</v>
      </c>
      <c r="G101" s="86" t="s">
        <v>408</v>
      </c>
      <c r="L101" s="17">
        <v>1.7</v>
      </c>
      <c r="N101" s="7">
        <v>0.9</v>
      </c>
      <c r="P101" s="7">
        <v>108</v>
      </c>
      <c r="R101" s="21">
        <f>SUM(L101+N101+P101)</f>
        <v>110.6</v>
      </c>
      <c r="T101" s="7">
        <v>33</v>
      </c>
      <c r="V101" s="7">
        <v>82.3</v>
      </c>
      <c r="X101" s="7">
        <v>22.6</v>
      </c>
      <c r="Z101" s="7">
        <v>1.9</v>
      </c>
      <c r="AB101" s="7">
        <v>267.8</v>
      </c>
      <c r="AN101" s="7">
        <v>76.7</v>
      </c>
    </row>
    <row r="102" spans="1:40" x14ac:dyDescent="0.2">
      <c r="A102" s="7" t="str">
        <f>rearing!A102</f>
        <v>Yang2020</v>
      </c>
      <c r="B102" s="7" t="str">
        <f>rearing!B102</f>
        <v>Nile tilapia</v>
      </c>
      <c r="C102" s="13" t="str">
        <f>rearing!C102</f>
        <v>AP_Lettuce</v>
      </c>
      <c r="D102" s="17">
        <v>6.9</v>
      </c>
      <c r="E102" s="86" t="s">
        <v>408</v>
      </c>
      <c r="F102" s="86" t="s">
        <v>408</v>
      </c>
      <c r="G102" s="86" t="s">
        <v>408</v>
      </c>
      <c r="L102" s="17">
        <v>1.8</v>
      </c>
      <c r="N102" s="7">
        <v>0.8</v>
      </c>
      <c r="P102" s="7">
        <v>161.6</v>
      </c>
      <c r="R102" s="21">
        <f>SUM(L102+N102+P102)</f>
        <v>164.2</v>
      </c>
      <c r="T102" s="7">
        <v>27.1</v>
      </c>
      <c r="V102" s="7">
        <v>114.1</v>
      </c>
      <c r="X102" s="7">
        <v>20.399999999999999</v>
      </c>
      <c r="Z102" s="7">
        <v>2.4</v>
      </c>
      <c r="AB102" s="7">
        <v>235.8</v>
      </c>
      <c r="AN102" s="7">
        <v>70</v>
      </c>
    </row>
    <row r="103" spans="1:40" x14ac:dyDescent="0.2">
      <c r="A103" s="7" t="str">
        <f>rearing!A103</f>
        <v>Yang2020</v>
      </c>
      <c r="B103" s="7">
        <f>rearing!B103</f>
        <v>0</v>
      </c>
      <c r="C103" s="13" t="str">
        <f>rearing!C103</f>
        <v>HP_Tomato</v>
      </c>
    </row>
    <row r="104" spans="1:40" x14ac:dyDescent="0.2">
      <c r="A104" s="7" t="str">
        <f>rearing!A104</f>
        <v>Yang2020</v>
      </c>
      <c r="B104" s="7">
        <f>rearing!B104</f>
        <v>0</v>
      </c>
      <c r="C104" s="13" t="str">
        <f>rearing!C104</f>
        <v>HP_Basil</v>
      </c>
    </row>
    <row r="105" spans="1:40" x14ac:dyDescent="0.2">
      <c r="A105" s="7" t="str">
        <f>rearing!A105</f>
        <v>Yang2020</v>
      </c>
      <c r="B105" s="7">
        <f>rearing!B105</f>
        <v>0</v>
      </c>
      <c r="C105" s="13" t="str">
        <f>rearing!C105</f>
        <v>HP_Lettuce</v>
      </c>
    </row>
    <row r="106" spans="1:40" x14ac:dyDescent="0.2">
      <c r="A106" s="7" t="str">
        <f>rearing!A106</f>
        <v>Anderson2017</v>
      </c>
      <c r="B106" s="7">
        <f>rearing!B106</f>
        <v>0</v>
      </c>
      <c r="C106" s="13" t="str">
        <f>rearing!C106</f>
        <v>H5</v>
      </c>
    </row>
    <row r="107" spans="1:40" x14ac:dyDescent="0.2">
      <c r="A107" s="7" t="str">
        <f>rearing!A107</f>
        <v>Anderson2017</v>
      </c>
      <c r="B107" s="7">
        <f>rearing!B107</f>
        <v>0</v>
      </c>
      <c r="C107" s="13" t="str">
        <f>rearing!C107</f>
        <v>H7</v>
      </c>
    </row>
    <row r="108" spans="1:40" x14ac:dyDescent="0.2">
      <c r="A108" s="7" t="str">
        <f>rearing!A108</f>
        <v>Anderson2017</v>
      </c>
      <c r="B108" s="7" t="str">
        <f>rearing!B108</f>
        <v>Koi carp</v>
      </c>
      <c r="C108" s="13" t="str">
        <f>rearing!C108</f>
        <v>A7</v>
      </c>
    </row>
    <row r="109" spans="1:40" x14ac:dyDescent="0.2">
      <c r="A109" s="7" t="str">
        <f>rearing!A109</f>
        <v>Blanchard2020</v>
      </c>
      <c r="B109" s="7" t="str">
        <f>rearing!B109</f>
        <v>Nile tilapia</v>
      </c>
      <c r="C109" s="13" t="str">
        <f>rearing!C109</f>
        <v>pH7</v>
      </c>
      <c r="E109" s="86" t="s">
        <v>445</v>
      </c>
      <c r="F109" s="86" t="s">
        <v>445</v>
      </c>
      <c r="G109" s="86" t="s">
        <v>408</v>
      </c>
    </row>
    <row r="110" spans="1:40" x14ac:dyDescent="0.2">
      <c r="A110" s="7" t="str">
        <f>rearing!A110</f>
        <v>Blanchard2020</v>
      </c>
      <c r="B110" s="7" t="str">
        <f>rearing!B110</f>
        <v>Nile tilapia</v>
      </c>
      <c r="C110" s="13" t="str">
        <f>rearing!C110</f>
        <v>pH6.5</v>
      </c>
      <c r="E110" s="86" t="s">
        <v>445</v>
      </c>
      <c r="F110" s="86" t="s">
        <v>445</v>
      </c>
      <c r="G110" s="86" t="s">
        <v>408</v>
      </c>
    </row>
    <row r="111" spans="1:40" x14ac:dyDescent="0.2">
      <c r="A111" s="7" t="str">
        <f>rearing!A111</f>
        <v>Blanchard2020</v>
      </c>
      <c r="B111" s="7" t="str">
        <f>rearing!B111</f>
        <v>Nile tilapia</v>
      </c>
      <c r="C111" s="13" t="str">
        <f>rearing!C111</f>
        <v>pH5.8</v>
      </c>
      <c r="E111" s="86" t="s">
        <v>445</v>
      </c>
      <c r="F111" s="86" t="s">
        <v>445</v>
      </c>
      <c r="G111" s="86" t="s">
        <v>408</v>
      </c>
    </row>
    <row r="112" spans="1:40" x14ac:dyDescent="0.2">
      <c r="A112" s="7" t="str">
        <f>rearing!A112</f>
        <v>Blanchard2020</v>
      </c>
      <c r="B112" s="7" t="str">
        <f>rearing!B112</f>
        <v>Nile tilapia</v>
      </c>
      <c r="C112" s="13" t="str">
        <f>rearing!C112</f>
        <v>pH5</v>
      </c>
      <c r="E112" s="86" t="s">
        <v>445</v>
      </c>
      <c r="F112" s="86" t="s">
        <v>445</v>
      </c>
      <c r="G112" s="86" t="s">
        <v>408</v>
      </c>
    </row>
    <row r="113" spans="1:3" x14ac:dyDescent="0.2">
      <c r="A113" s="7" t="str">
        <f>rearing!A113</f>
        <v>Pinero2020</v>
      </c>
      <c r="B113" s="7" t="str">
        <f>rearing!B113</f>
        <v>Nile tilapia</v>
      </c>
      <c r="C113" s="13" t="str">
        <f>rearing!C113</f>
        <v>100S</v>
      </c>
    </row>
    <row r="114" spans="1:3" x14ac:dyDescent="0.2">
      <c r="A114" s="7" t="str">
        <f>rearing!A114</f>
        <v>Pinero2021</v>
      </c>
      <c r="B114" s="7" t="str">
        <f>rearing!B114</f>
        <v>Nile tilapia</v>
      </c>
      <c r="C114" s="13" t="str">
        <f>rearing!C114</f>
        <v>50F50D</v>
      </c>
    </row>
    <row r="115" spans="1:3" x14ac:dyDescent="0.2">
      <c r="A115" s="7" t="str">
        <f>rearing!A115</f>
        <v>Pinero2022</v>
      </c>
      <c r="B115" s="7" t="str">
        <f>rearing!B115</f>
        <v>Nile tilapia</v>
      </c>
      <c r="C115" s="13" t="str">
        <f>rearing!C115</f>
        <v>50F50D+S</v>
      </c>
    </row>
    <row r="116" spans="1:3" x14ac:dyDescent="0.2">
      <c r="A116" s="7" t="str">
        <f>rearing!A116</f>
        <v>Pinero2023</v>
      </c>
      <c r="B116" s="7" t="str">
        <f>rearing!B116</f>
        <v>Nile tilapia</v>
      </c>
      <c r="C116" s="13" t="str">
        <f>rearing!C116</f>
        <v>50F50D+F</v>
      </c>
    </row>
  </sheetData>
  <mergeCells count="1">
    <mergeCell ref="D1:G1"/>
  </mergeCells>
  <pageMargins left="0.7" right="0.7" top="0.78740157499999996" bottom="0.78740157499999996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269A-E378-2D4D-990F-88D687978FB5}">
  <sheetPr>
    <tabColor theme="7" tint="-0.249977111117893"/>
  </sheetPr>
  <dimension ref="A1:AC116"/>
  <sheetViews>
    <sheetView zoomScale="75" zoomScaleNormal="130" workbookViewId="0">
      <pane xSplit="3" ySplit="2" topLeftCell="I102" activePane="bottomRight" state="frozen"/>
      <selection pane="topRight" activeCell="D1" sqref="D1"/>
      <selection pane="bottomLeft" activeCell="A3" sqref="A3"/>
      <selection pane="bottomRight" activeCell="A117" sqref="A117:XFD123"/>
    </sheetView>
  </sheetViews>
  <sheetFormatPr baseColWidth="10" defaultColWidth="10.83203125" defaultRowHeight="16" x14ac:dyDescent="0.2"/>
  <cols>
    <col min="1" max="14" width="14" style="7" customWidth="1"/>
    <col min="15" max="21" width="10.83203125" style="7"/>
    <col min="22" max="22" width="12.1640625" style="7" bestFit="1" customWidth="1"/>
    <col min="23" max="29" width="10.83203125" style="7"/>
  </cols>
  <sheetData>
    <row r="1" spans="1:29" ht="24" x14ac:dyDescent="0.3">
      <c r="O1" s="96"/>
      <c r="P1" s="96"/>
      <c r="Q1" s="96"/>
      <c r="R1" s="96"/>
      <c r="S1" s="96"/>
      <c r="T1" s="96"/>
      <c r="U1" s="96"/>
      <c r="V1" s="96" t="s">
        <v>1</v>
      </c>
      <c r="W1" s="96"/>
      <c r="X1" s="96"/>
      <c r="Y1" s="96"/>
      <c r="Z1" s="96"/>
      <c r="AA1" s="96"/>
      <c r="AB1" s="96"/>
    </row>
    <row r="2" spans="1:29" s="25" customFormat="1" ht="17" thickBot="1" x14ac:dyDescent="0.25">
      <c r="A2" s="22" t="s">
        <v>2</v>
      </c>
      <c r="B2" s="22" t="str">
        <f>rearing!B2</f>
        <v>Species</v>
      </c>
      <c r="C2" s="22" t="str">
        <f>rearing!C2</f>
        <v>Treatment_ID</v>
      </c>
      <c r="D2" s="22" t="s">
        <v>113</v>
      </c>
      <c r="E2" s="22" t="s">
        <v>174</v>
      </c>
      <c r="F2" s="22" t="s">
        <v>3</v>
      </c>
      <c r="G2" s="22" t="s">
        <v>4</v>
      </c>
      <c r="H2" s="22" t="s">
        <v>5</v>
      </c>
      <c r="I2" s="22" t="s">
        <v>6</v>
      </c>
      <c r="J2" s="22" t="s">
        <v>7</v>
      </c>
      <c r="K2" s="22" t="s">
        <v>8</v>
      </c>
      <c r="L2" s="22" t="s">
        <v>382</v>
      </c>
      <c r="M2" s="22" t="s">
        <v>381</v>
      </c>
      <c r="N2" s="22" t="s">
        <v>383</v>
      </c>
      <c r="O2" s="22" t="s">
        <v>384</v>
      </c>
      <c r="P2" s="22" t="s">
        <v>341</v>
      </c>
      <c r="Q2" s="22" t="s">
        <v>20</v>
      </c>
      <c r="R2" s="22" t="s">
        <v>21</v>
      </c>
      <c r="S2" s="22" t="s">
        <v>22</v>
      </c>
      <c r="T2" s="22" t="s">
        <v>23</v>
      </c>
      <c r="U2" s="22" t="s">
        <v>24</v>
      </c>
      <c r="V2" s="22" t="s">
        <v>10</v>
      </c>
      <c r="W2" s="22" t="s">
        <v>11</v>
      </c>
      <c r="X2" s="22" t="s">
        <v>12</v>
      </c>
      <c r="Y2" s="22" t="s">
        <v>13</v>
      </c>
      <c r="Z2" s="22" t="s">
        <v>14</v>
      </c>
      <c r="AA2" s="22" t="s">
        <v>15</v>
      </c>
      <c r="AB2" s="22" t="s">
        <v>16</v>
      </c>
      <c r="AC2" s="22" t="s">
        <v>151</v>
      </c>
    </row>
    <row r="3" spans="1:29" x14ac:dyDescent="0.2">
      <c r="A3" s="18" t="str">
        <f>rearing!A3</f>
        <v>Monsees2017</v>
      </c>
      <c r="B3" s="18" t="str">
        <f>rearing!B3</f>
        <v>Nile tilapia</v>
      </c>
      <c r="C3" s="18" t="str">
        <f>rearing!C3</f>
        <v>Exp2_aerated</v>
      </c>
      <c r="D3" s="18" t="s">
        <v>112</v>
      </c>
      <c r="E3" s="18">
        <f>AVERAGE(1.23,1.14,1.65)</f>
        <v>1.3399999999999999</v>
      </c>
      <c r="F3" s="84">
        <v>1</v>
      </c>
      <c r="G3" s="18"/>
      <c r="H3" s="29"/>
      <c r="I3" s="18"/>
      <c r="J3" s="18"/>
      <c r="K3" s="18"/>
      <c r="L3" s="18"/>
      <c r="M3" s="18"/>
      <c r="N3" s="18"/>
      <c r="O3" s="18">
        <f>AVERAGE(355.9,376.1,365.4,339.5)</f>
        <v>359.22500000000002</v>
      </c>
      <c r="P3" s="18">
        <f>AVERAGE(38.7,40.8,40,44.3)</f>
        <v>40.950000000000003</v>
      </c>
      <c r="Q3" s="18">
        <f>AVERAGE(31.27,25.46,28.84,35.92)</f>
        <v>30.372500000000002</v>
      </c>
      <c r="R3" s="18"/>
      <c r="S3" s="18">
        <f>AVERAGE(56.35,47.77,50.51,70.01)</f>
        <v>56.16</v>
      </c>
      <c r="T3" s="18">
        <f>AVERAGE(3.32,3.3,3.25,3.22)</f>
        <v>3.2725</v>
      </c>
      <c r="U3" s="18">
        <f>AVERAGE(6.75,6.04,5.86,7.53)</f>
        <v>6.5449999999999999</v>
      </c>
      <c r="V3" s="18">
        <f>AVERAGE(3.69,2.84,2.95,3.38)</f>
        <v>3.2149999999999999</v>
      </c>
      <c r="W3" s="18"/>
      <c r="X3" s="18"/>
      <c r="Y3" s="18">
        <f>AVERAGE(0.27,0.23,0.21,0.27)</f>
        <v>0.245</v>
      </c>
      <c r="Z3" s="18"/>
      <c r="AA3" s="18"/>
      <c r="AB3" s="18"/>
      <c r="AC3" s="18"/>
    </row>
    <row r="4" spans="1:29" x14ac:dyDescent="0.2">
      <c r="A4" s="18" t="str">
        <f>rearing!A4</f>
        <v>Monsees2017</v>
      </c>
      <c r="B4" s="18" t="str">
        <f>rearing!B4</f>
        <v>Nile tilapia</v>
      </c>
      <c r="C4" s="18" t="str">
        <f>rearing!C4</f>
        <v>Exp2_unaerated</v>
      </c>
      <c r="D4" s="11" t="s">
        <v>112</v>
      </c>
      <c r="E4" s="18">
        <f>AVERAGE(1.23,1.14,1.65)</f>
        <v>1.3399999999999999</v>
      </c>
      <c r="F4" s="84">
        <v>1</v>
      </c>
      <c r="G4" s="18"/>
      <c r="H4" s="29"/>
      <c r="I4" s="18"/>
      <c r="J4" s="18"/>
      <c r="K4" s="18"/>
      <c r="L4" s="18"/>
      <c r="M4" s="18"/>
      <c r="N4" s="18"/>
      <c r="O4" s="18">
        <f>AVERAGE(355.9,376.1,365.4,339.5)</f>
        <v>359.22500000000002</v>
      </c>
      <c r="P4" s="18">
        <f>AVERAGE(38.7,40.8,40,44.3)</f>
        <v>40.950000000000003</v>
      </c>
      <c r="Q4" s="18">
        <f>AVERAGE(31.27,25.46,28.84,35.92)</f>
        <v>30.372500000000002</v>
      </c>
      <c r="R4" s="18"/>
      <c r="S4" s="18">
        <f>AVERAGE(56.35,47.77,50.51,70.01)</f>
        <v>56.16</v>
      </c>
      <c r="T4" s="18">
        <f>AVERAGE(3.32,3.3,3.25,3.22)</f>
        <v>3.2725</v>
      </c>
      <c r="U4" s="18">
        <f>AVERAGE(6.75,6.04,5.86,7.53)</f>
        <v>6.5449999999999999</v>
      </c>
      <c r="V4" s="18">
        <f>AVERAGE(3.69,2.84,2.95,3.38)</f>
        <v>3.2149999999999999</v>
      </c>
      <c r="W4" s="18"/>
      <c r="X4" s="18"/>
      <c r="Y4" s="18">
        <f>AVERAGE(0.27,0.23,0.21,0.27)</f>
        <v>0.245</v>
      </c>
    </row>
    <row r="5" spans="1:29" x14ac:dyDescent="0.2">
      <c r="A5" s="18" t="str">
        <f>rearing!A5</f>
        <v>Delaide2018</v>
      </c>
      <c r="B5" s="18" t="str">
        <f>rearing!B5</f>
        <v>Nile tilapia</v>
      </c>
      <c r="C5" s="18" t="str">
        <f>rearing!C5</f>
        <v>AER</v>
      </c>
      <c r="D5" s="11" t="s">
        <v>112</v>
      </c>
      <c r="E5" s="7">
        <v>12.2</v>
      </c>
      <c r="F5" s="81">
        <v>1</v>
      </c>
      <c r="G5" s="11"/>
      <c r="H5" s="10"/>
      <c r="P5" s="7">
        <v>16.5</v>
      </c>
      <c r="Q5" s="7">
        <v>17.07</v>
      </c>
      <c r="R5" s="7">
        <v>1.85</v>
      </c>
      <c r="S5" s="7">
        <v>37.53</v>
      </c>
      <c r="T5" s="7">
        <v>2.96</v>
      </c>
      <c r="U5" s="7">
        <v>5.29</v>
      </c>
      <c r="V5" s="7">
        <v>2.4</v>
      </c>
      <c r="W5" s="7">
        <v>2.7</v>
      </c>
      <c r="X5" s="7">
        <v>1.0900000000000001</v>
      </c>
      <c r="Y5" s="7">
        <v>1.63</v>
      </c>
      <c r="Z5" s="7">
        <v>0.05</v>
      </c>
      <c r="AA5" s="7">
        <v>0.01</v>
      </c>
      <c r="AC5" s="7">
        <v>0.7</v>
      </c>
    </row>
    <row r="6" spans="1:29" x14ac:dyDescent="0.2">
      <c r="A6" s="18" t="str">
        <f>rearing!A6</f>
        <v>Goddek2018</v>
      </c>
      <c r="B6" s="18" t="str">
        <f>rearing!B6</f>
        <v>African catfish</v>
      </c>
      <c r="C6" s="18" t="str">
        <f>rearing!C6</f>
        <v>pH+</v>
      </c>
      <c r="D6" s="11" t="s">
        <v>112</v>
      </c>
      <c r="E6" s="7">
        <v>10.77</v>
      </c>
      <c r="F6" s="81">
        <v>1</v>
      </c>
      <c r="G6" s="11"/>
      <c r="H6" s="10">
        <v>1.9099999999999999E-2</v>
      </c>
      <c r="L6" s="7">
        <v>292.10000000000002</v>
      </c>
      <c r="M6" s="7">
        <v>205.2</v>
      </c>
      <c r="N6" s="7">
        <v>39.4</v>
      </c>
      <c r="P6" s="7">
        <v>177.07</v>
      </c>
      <c r="Q6" s="7">
        <v>149.78</v>
      </c>
      <c r="R6" s="7">
        <v>27.01</v>
      </c>
      <c r="S6" s="7">
        <v>273.95999999999998</v>
      </c>
      <c r="T6" s="7">
        <v>20.329999999999998</v>
      </c>
      <c r="V6" s="7">
        <v>9.9</v>
      </c>
      <c r="W6" s="7">
        <v>7.1</v>
      </c>
      <c r="X6" s="7">
        <v>0.43</v>
      </c>
      <c r="Y6" s="7">
        <v>2.3199999999999998</v>
      </c>
      <c r="Z6" s="7">
        <v>0.85</v>
      </c>
    </row>
    <row r="7" spans="1:29" x14ac:dyDescent="0.2">
      <c r="A7" s="18" t="str">
        <f>rearing!A7</f>
        <v>Goddek2018</v>
      </c>
      <c r="B7" s="18" t="str">
        <f>rearing!B7</f>
        <v>African catfish</v>
      </c>
      <c r="C7" s="18" t="str">
        <f>rearing!C7</f>
        <v>pH-</v>
      </c>
      <c r="D7" s="11" t="s">
        <v>112</v>
      </c>
      <c r="E7" s="7">
        <v>10.77</v>
      </c>
      <c r="F7" s="81">
        <v>1</v>
      </c>
      <c r="G7" s="11"/>
      <c r="H7" s="10">
        <v>1.9099999999999999E-2</v>
      </c>
      <c r="L7" s="7">
        <v>292.10000000000002</v>
      </c>
      <c r="M7" s="7">
        <v>205.2</v>
      </c>
      <c r="N7" s="7">
        <v>39.4</v>
      </c>
      <c r="P7" s="7">
        <v>177.07</v>
      </c>
      <c r="Q7" s="7">
        <v>149.78</v>
      </c>
      <c r="R7" s="7">
        <v>27.01</v>
      </c>
      <c r="S7" s="7">
        <v>273.95999999999998</v>
      </c>
      <c r="T7" s="7">
        <v>20.329999999999998</v>
      </c>
      <c r="V7" s="7">
        <v>9.9</v>
      </c>
      <c r="W7" s="7">
        <v>7.1</v>
      </c>
      <c r="X7" s="7">
        <v>0.43</v>
      </c>
      <c r="Y7" s="7">
        <v>2.3199999999999998</v>
      </c>
      <c r="Z7" s="7">
        <v>0.85</v>
      </c>
    </row>
    <row r="8" spans="1:29" x14ac:dyDescent="0.2">
      <c r="A8" s="18" t="str">
        <f>rearing!A8</f>
        <v>Goddek2018</v>
      </c>
      <c r="B8" s="18" t="str">
        <f>rearing!B8</f>
        <v>Nile tilapia</v>
      </c>
      <c r="C8" s="18" t="str">
        <f>rearing!C8</f>
        <v>Uliege_aerobic</v>
      </c>
      <c r="D8" s="7" t="s">
        <v>112</v>
      </c>
      <c r="E8" s="7">
        <v>8.6</v>
      </c>
      <c r="F8" s="81">
        <v>1</v>
      </c>
      <c r="H8" s="10">
        <v>8.1000000000000003E-2</v>
      </c>
      <c r="L8" s="7">
        <v>54.6</v>
      </c>
      <c r="M8" s="7">
        <v>123.1</v>
      </c>
      <c r="N8" s="7">
        <v>80.2</v>
      </c>
      <c r="P8" s="7">
        <v>362.63</v>
      </c>
      <c r="Q8" s="7">
        <v>133.19</v>
      </c>
      <c r="R8" s="7">
        <v>8.26</v>
      </c>
      <c r="S8" s="7">
        <v>239.09</v>
      </c>
      <c r="T8" s="7">
        <v>21.97</v>
      </c>
      <c r="V8" s="7">
        <v>18.690000000000001</v>
      </c>
      <c r="W8" s="7">
        <v>4.91</v>
      </c>
      <c r="X8" s="7">
        <v>0.69</v>
      </c>
      <c r="Y8" s="7">
        <v>1.37</v>
      </c>
      <c r="Z8" s="7">
        <v>0.53</v>
      </c>
    </row>
    <row r="9" spans="1:29" x14ac:dyDescent="0.2">
      <c r="A9" s="18" t="str">
        <f>rearing!A9</f>
        <v>Seawright1998</v>
      </c>
      <c r="B9" s="18" t="str">
        <f>rearing!B9</f>
        <v>Nile tilapia</v>
      </c>
      <c r="C9" s="18">
        <f>rearing!C9</f>
        <v>1</v>
      </c>
      <c r="H9" s="10"/>
    </row>
    <row r="10" spans="1:29" x14ac:dyDescent="0.2">
      <c r="A10" s="18" t="str">
        <f>rearing!A10</f>
        <v>Seawright1998</v>
      </c>
      <c r="B10" s="18" t="str">
        <f>rearing!B10</f>
        <v>Nile tilapia</v>
      </c>
      <c r="C10" s="18">
        <f>rearing!C10</f>
        <v>2</v>
      </c>
      <c r="H10" s="10"/>
    </row>
    <row r="11" spans="1:29" x14ac:dyDescent="0.2">
      <c r="A11" s="18" t="str">
        <f>rearing!A11</f>
        <v>Seawright1998</v>
      </c>
      <c r="B11" s="18" t="str">
        <f>rearing!B11</f>
        <v>Nile tilapia</v>
      </c>
      <c r="C11" s="18">
        <f>rearing!C11</f>
        <v>3</v>
      </c>
      <c r="H11" s="10"/>
    </row>
    <row r="12" spans="1:29" x14ac:dyDescent="0.2">
      <c r="A12" s="18" t="str">
        <f>rearing!A12</f>
        <v>Seawright1998</v>
      </c>
      <c r="B12" s="18" t="str">
        <f>rearing!B12</f>
        <v>Nile tilapia</v>
      </c>
      <c r="C12" s="18">
        <f>rearing!C12</f>
        <v>4</v>
      </c>
    </row>
    <row r="13" spans="1:29" x14ac:dyDescent="0.2">
      <c r="A13" s="18" t="str">
        <f>rearing!A13</f>
        <v>Shaw2022a</v>
      </c>
      <c r="B13" s="18" t="str">
        <f>rearing!B13</f>
        <v>Nile tilapia</v>
      </c>
      <c r="C13" s="18" t="str">
        <f>rearing!C13</f>
        <v>FM</v>
      </c>
      <c r="D13" s="7" t="s">
        <v>111</v>
      </c>
      <c r="F13" s="10">
        <v>1</v>
      </c>
      <c r="G13" s="10">
        <v>0.1535</v>
      </c>
      <c r="H13" s="10">
        <v>0.14749999999999999</v>
      </c>
      <c r="I13" s="10">
        <v>0.45179999999999998</v>
      </c>
      <c r="J13" s="10">
        <v>0.21829999999999999</v>
      </c>
      <c r="K13" s="10">
        <v>2.9000000000000001E-2</v>
      </c>
      <c r="Q13" s="7">
        <v>28.96</v>
      </c>
      <c r="R13" s="7">
        <v>0.7</v>
      </c>
      <c r="S13" s="7">
        <v>64.569999999999993</v>
      </c>
      <c r="T13" s="7">
        <v>2.58</v>
      </c>
      <c r="U13" s="7">
        <v>2.85</v>
      </c>
      <c r="V13" s="7">
        <v>1.0900000000000001</v>
      </c>
      <c r="W13" s="7">
        <v>0.28000000000000003</v>
      </c>
      <c r="X13" s="7">
        <v>0.05</v>
      </c>
      <c r="Y13" s="7">
        <v>0.16</v>
      </c>
      <c r="AB13" s="7">
        <f>3.04/1000</f>
        <v>3.0400000000000002E-3</v>
      </c>
    </row>
    <row r="14" spans="1:29" x14ac:dyDescent="0.2">
      <c r="A14" s="18" t="str">
        <f>rearing!A14</f>
        <v>Shaw2022a</v>
      </c>
      <c r="B14" s="18" t="str">
        <f>rearing!B14</f>
        <v>Nile tilapia</v>
      </c>
      <c r="C14" s="18" t="str">
        <f>rearing!C14</f>
        <v>BSF</v>
      </c>
      <c r="D14" s="7" t="s">
        <v>111</v>
      </c>
      <c r="F14" s="10">
        <v>1</v>
      </c>
      <c r="G14" s="10">
        <v>0.26579999999999998</v>
      </c>
      <c r="H14" s="10">
        <v>0.33900000000000002</v>
      </c>
      <c r="I14" s="10">
        <v>0.26279999999999998</v>
      </c>
      <c r="J14" s="10">
        <v>0.1048</v>
      </c>
      <c r="K14" s="10">
        <v>2.7799999999999998E-2</v>
      </c>
      <c r="Q14" s="7">
        <v>12.55</v>
      </c>
      <c r="R14" s="7">
        <v>0.68</v>
      </c>
      <c r="S14" s="7">
        <v>24.96</v>
      </c>
      <c r="T14" s="7">
        <v>2.0499999999999998</v>
      </c>
      <c r="U14" s="7">
        <v>2.46</v>
      </c>
      <c r="V14" s="7">
        <v>0.53</v>
      </c>
      <c r="W14" s="7">
        <v>0.45</v>
      </c>
      <c r="X14" s="7">
        <v>0.06</v>
      </c>
      <c r="Y14" s="7">
        <v>0.48</v>
      </c>
      <c r="AB14" s="7">
        <f>1.87/1000</f>
        <v>1.8700000000000001E-3</v>
      </c>
    </row>
    <row r="15" spans="1:29" x14ac:dyDescent="0.2">
      <c r="A15" s="18" t="str">
        <f>rearing!A15</f>
        <v>Shaw2022a</v>
      </c>
      <c r="B15" s="18" t="str">
        <f>rearing!B15</f>
        <v>Nile tilapia</v>
      </c>
      <c r="C15" s="18" t="str">
        <f>rearing!C15</f>
        <v>PBM</v>
      </c>
      <c r="D15" s="7" t="s">
        <v>111</v>
      </c>
      <c r="F15" s="10">
        <v>1</v>
      </c>
      <c r="G15" s="10">
        <v>0.5343</v>
      </c>
      <c r="H15" s="10">
        <v>0.1108</v>
      </c>
      <c r="I15" s="10">
        <v>0.26929999999999998</v>
      </c>
      <c r="J15" s="10">
        <v>6.1800000000000001E-2</v>
      </c>
      <c r="K15" s="10">
        <v>2.4E-2</v>
      </c>
      <c r="Q15" s="7">
        <v>9.43</v>
      </c>
      <c r="R15" s="7">
        <v>0.38</v>
      </c>
      <c r="S15" s="7">
        <v>13.45</v>
      </c>
      <c r="T15" s="7">
        <v>1.34</v>
      </c>
      <c r="U15" s="7">
        <v>5</v>
      </c>
      <c r="V15" s="7">
        <v>1.83</v>
      </c>
      <c r="W15" s="7">
        <v>0.13</v>
      </c>
      <c r="X15" s="7">
        <v>0.03</v>
      </c>
      <c r="Y15" s="7">
        <v>0.08</v>
      </c>
      <c r="AB15" s="7">
        <f>1.55/1000</f>
        <v>1.5499999999999999E-3</v>
      </c>
    </row>
    <row r="16" spans="1:29" x14ac:dyDescent="0.2">
      <c r="A16" s="18" t="str">
        <f>rearing!A16</f>
        <v>Shaw2022a</v>
      </c>
      <c r="B16" s="18" t="str">
        <f>rearing!B16</f>
        <v>Nile tilapia</v>
      </c>
      <c r="C16" s="18" t="str">
        <f>rearing!C16</f>
        <v>PM</v>
      </c>
      <c r="D16" s="7" t="s">
        <v>111</v>
      </c>
      <c r="F16" s="10">
        <v>1</v>
      </c>
      <c r="G16" s="10">
        <v>0.17230000000000001</v>
      </c>
      <c r="H16" s="10">
        <v>0.14330000000000001</v>
      </c>
      <c r="I16" s="10">
        <v>0.44</v>
      </c>
      <c r="J16" s="10">
        <v>0.214</v>
      </c>
      <c r="K16" s="10">
        <v>3.0499999999999999E-2</v>
      </c>
      <c r="Q16" s="7">
        <v>28.17</v>
      </c>
      <c r="R16" s="7">
        <v>0.56000000000000005</v>
      </c>
      <c r="S16" s="7">
        <v>65.959999999999994</v>
      </c>
      <c r="T16" s="7">
        <v>1.99</v>
      </c>
      <c r="U16" s="7">
        <v>2.95</v>
      </c>
      <c r="V16" s="7">
        <v>0.5</v>
      </c>
      <c r="W16" s="7">
        <v>0.32</v>
      </c>
      <c r="X16" s="7">
        <v>0.06</v>
      </c>
      <c r="Y16" s="7">
        <v>0.15</v>
      </c>
      <c r="AB16" s="7">
        <f>2.41/1000</f>
        <v>2.4100000000000002E-3</v>
      </c>
    </row>
    <row r="17" spans="1:29" x14ac:dyDescent="0.2">
      <c r="A17" s="18" t="str">
        <f>rearing!A17</f>
        <v>Panana2021</v>
      </c>
      <c r="B17" s="18" t="str">
        <f>rearing!B17</f>
        <v>Pikeperch</v>
      </c>
      <c r="C17" s="18" t="str">
        <f>rearing!C17</f>
        <v>pH-Natural</v>
      </c>
      <c r="D17" s="7" t="s">
        <v>112</v>
      </c>
      <c r="F17" s="10">
        <v>1.2749999999999999E-2</v>
      </c>
      <c r="P17" s="7">
        <f>687.75/1000</f>
        <v>0.68774999999999997</v>
      </c>
      <c r="Q17" s="7">
        <v>0.58699999999999997</v>
      </c>
      <c r="R17" s="7">
        <v>2.1999999999999999E-2</v>
      </c>
      <c r="S17" s="7">
        <v>2.1259999999999999</v>
      </c>
      <c r="T17" s="7">
        <v>5.8999999999999997E-2</v>
      </c>
      <c r="U17" s="7">
        <v>0.151</v>
      </c>
      <c r="V17" s="7">
        <f>40/1000</f>
        <v>0.04</v>
      </c>
      <c r="W17" s="7">
        <f>17/1000</f>
        <v>1.7000000000000001E-2</v>
      </c>
      <c r="X17" s="7">
        <f>0.98/1000</f>
        <v>9.7999999999999997E-4</v>
      </c>
      <c r="Y17" s="7">
        <f>2.9/1000</f>
        <v>2.8999999999999998E-3</v>
      </c>
      <c r="Z17" s="7">
        <f>0.54/1000</f>
        <v>5.4000000000000001E-4</v>
      </c>
      <c r="AC17" s="7">
        <v>0.21299999999999999</v>
      </c>
    </row>
    <row r="18" spans="1:29" x14ac:dyDescent="0.2">
      <c r="A18" s="18" t="str">
        <f>rearing!A18</f>
        <v>Panana2021</v>
      </c>
      <c r="B18" s="18" t="str">
        <f>rearing!B18</f>
        <v>Pikeperch</v>
      </c>
      <c r="C18" s="18" t="str">
        <f>rearing!C18</f>
        <v>pH-Induced</v>
      </c>
      <c r="D18" s="7" t="s">
        <v>112</v>
      </c>
      <c r="F18" s="10">
        <v>1.2749999999999999E-2</v>
      </c>
      <c r="P18" s="7">
        <f>687.75/1000</f>
        <v>0.68774999999999997</v>
      </c>
      <c r="Q18" s="7">
        <v>0.58699999999999997</v>
      </c>
      <c r="R18" s="7">
        <v>2.1999999999999999E-2</v>
      </c>
      <c r="S18" s="7">
        <v>2.1259999999999999</v>
      </c>
      <c r="T18" s="7">
        <v>5.8999999999999997E-2</v>
      </c>
      <c r="U18" s="7">
        <v>0.151</v>
      </c>
      <c r="V18" s="7">
        <f>40/1000</f>
        <v>0.04</v>
      </c>
      <c r="W18" s="7">
        <f>17/1000</f>
        <v>1.7000000000000001E-2</v>
      </c>
      <c r="X18" s="7">
        <f>0.98/1000</f>
        <v>9.7999999999999997E-4</v>
      </c>
      <c r="Y18" s="7">
        <f>2.9/1000</f>
        <v>2.8999999999999998E-3</v>
      </c>
      <c r="Z18" s="7">
        <f>0.54/1000</f>
        <v>5.4000000000000001E-4</v>
      </c>
      <c r="AC18" s="7">
        <v>0.21299999999999999</v>
      </c>
    </row>
    <row r="19" spans="1:29" s="6" customFormat="1" x14ac:dyDescent="0.2">
      <c r="A19" s="18" t="str">
        <f>rearing!A19</f>
        <v>Goddek2016</v>
      </c>
      <c r="B19" s="18" t="str">
        <f>rearing!B19</f>
        <v>Nile tilapia</v>
      </c>
      <c r="C19" s="18" t="str">
        <f>rearing!C19</f>
        <v>AER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7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s="6" customFormat="1" x14ac:dyDescent="0.2">
      <c r="A20" s="18" t="str">
        <f>rearing!A20</f>
        <v>Goddek2016</v>
      </c>
      <c r="B20" s="18" t="str">
        <f>rearing!B20</f>
        <v>Nile tilapia</v>
      </c>
      <c r="C20" s="18" t="str">
        <f>rearing!C20</f>
        <v>ANA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7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x14ac:dyDescent="0.2">
      <c r="A21" s="18" t="str">
        <f>rearing!A21</f>
        <v>Monsees2017b</v>
      </c>
      <c r="B21" s="18" t="str">
        <f>rearing!B21</f>
        <v>Nile tilapia</v>
      </c>
      <c r="C21" s="18" t="str">
        <f>rearing!C21</f>
        <v>RAS A</v>
      </c>
    </row>
    <row r="22" spans="1:29" x14ac:dyDescent="0.2">
      <c r="A22" s="18" t="str">
        <f>rearing!A22</f>
        <v>Monsees2017b</v>
      </c>
      <c r="B22" s="18" t="str">
        <f>rearing!B22</f>
        <v>Nile tilapia</v>
      </c>
      <c r="C22" s="18" t="str">
        <f>rearing!C22</f>
        <v>RAS C+Hydro C</v>
      </c>
    </row>
    <row r="23" spans="1:29" x14ac:dyDescent="0.2">
      <c r="A23" s="18" t="str">
        <f>rearing!A23</f>
        <v>Monsees2017b</v>
      </c>
      <c r="B23" s="18" t="str">
        <f>rearing!B23</f>
        <v>Nile tilapia</v>
      </c>
      <c r="C23" s="18" t="str">
        <f>rearing!C23</f>
        <v>RAS D/Hydro D</v>
      </c>
    </row>
    <row r="24" spans="1:29" x14ac:dyDescent="0.2">
      <c r="A24" s="18" t="str">
        <f>rearing!A24</f>
        <v>Tetreault2021</v>
      </c>
      <c r="B24" s="18" t="str">
        <f>rearing!B24</f>
        <v>Nile tilapia</v>
      </c>
      <c r="C24" s="18" t="str">
        <f>rearing!C24</f>
        <v>AER1</v>
      </c>
      <c r="D24" s="7" t="s">
        <v>112</v>
      </c>
      <c r="E24" s="7">
        <v>1.2170000000000001</v>
      </c>
      <c r="P24" s="77">
        <f>0.0063/E24</f>
        <v>5.1766639276910435E-3</v>
      </c>
      <c r="Q24" s="7">
        <f>1.21/E24</f>
        <v>0.99424815119145427</v>
      </c>
      <c r="R24" s="7">
        <f>1.56/E24</f>
        <v>1.2818405916187345</v>
      </c>
      <c r="S24" s="7">
        <f>2.2/E24</f>
        <v>1.8077239112571899</v>
      </c>
      <c r="T24" s="7">
        <f>0.364/E24</f>
        <v>0.29909613804437135</v>
      </c>
      <c r="V24" s="7">
        <f>0.1/E24</f>
        <v>8.2169268693508629E-2</v>
      </c>
      <c r="W24" s="7">
        <f>0.00608/E24</f>
        <v>4.9958915365653249E-3</v>
      </c>
      <c r="X24" s="7">
        <f>0.00918/E24</f>
        <v>7.5431388660640924E-3</v>
      </c>
      <c r="Y24" s="7">
        <f>0.00675/E24</f>
        <v>5.5464256368118322E-3</v>
      </c>
      <c r="Z24" s="7">
        <f>0.0257/E24</f>
        <v>2.1117502054231716E-2</v>
      </c>
      <c r="AC24" s="7">
        <f>0.0966/E24</f>
        <v>7.9375513557929336E-2</v>
      </c>
    </row>
    <row r="25" spans="1:29" x14ac:dyDescent="0.2">
      <c r="A25" s="18" t="str">
        <f>rearing!A25</f>
        <v>Tetreault2021b</v>
      </c>
      <c r="B25" s="18" t="str">
        <f>rearing!B25</f>
        <v>Nile tilapia</v>
      </c>
      <c r="C25" s="18" t="str">
        <f>rearing!C25</f>
        <v>ANA1</v>
      </c>
      <c r="D25" s="7" t="s">
        <v>112</v>
      </c>
      <c r="E25" s="7">
        <v>1.347</v>
      </c>
      <c r="O25" s="7">
        <f>0.151*81.17%/E25</f>
        <v>9.0992353377876756E-2</v>
      </c>
      <c r="P25" s="77">
        <f>0.143*11.46%/E25</f>
        <v>1.2166146993318486E-2</v>
      </c>
      <c r="Q25" s="7">
        <f>5.13*68.24%/E25</f>
        <v>2.5988953229398661</v>
      </c>
      <c r="R25" s="7">
        <f>303*0.04%/E25</f>
        <v>8.9977728285077954E-2</v>
      </c>
      <c r="S25" s="7">
        <f>21.3*27.2%/E25</f>
        <v>4.3011135857461031</v>
      </c>
      <c r="T25" s="7">
        <f>17.6*3.07%/E25</f>
        <v>0.40112843355605049</v>
      </c>
      <c r="U25" s="7">
        <f>23.2*0.39%/E25</f>
        <v>6.7171492204899777E-2</v>
      </c>
      <c r="V25" s="7">
        <f>1.78*12.26%/E25</f>
        <v>0.16201039346696364</v>
      </c>
      <c r="W25" s="7">
        <f>0.74*5.8%/E25</f>
        <v>3.1863400148478098E-2</v>
      </c>
      <c r="X25" s="7">
        <f>0.15*19.96%/E25</f>
        <v>2.2227171492204899E-2</v>
      </c>
      <c r="Y25" s="7">
        <f>0.16*19.57%/E25</f>
        <v>2.324573125463994E-2</v>
      </c>
      <c r="AC25" s="7">
        <f>34.6*0.38%/E25</f>
        <v>9.760950259836676E-2</v>
      </c>
    </row>
    <row r="26" spans="1:29" s="40" customFormat="1" x14ac:dyDescent="0.2">
      <c r="A26" s="18" t="str">
        <f>rearing!A26</f>
        <v>Siqwepu2020</v>
      </c>
      <c r="B26" s="18" t="str">
        <f>rearing!B26</f>
        <v>African catfish</v>
      </c>
      <c r="C26" s="18" t="str">
        <f>rearing!C26</f>
        <v>FeSO4-20</v>
      </c>
      <c r="D26" s="41" t="s">
        <v>111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7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</row>
    <row r="27" spans="1:29" s="40" customFormat="1" x14ac:dyDescent="0.2">
      <c r="A27" s="18" t="str">
        <f>rearing!A27</f>
        <v>Siqwepu2020</v>
      </c>
      <c r="B27" s="18" t="str">
        <f>rearing!B27</f>
        <v>African catfish</v>
      </c>
      <c r="C27" s="18" t="str">
        <f>rearing!C27</f>
        <v>FeSO4-30</v>
      </c>
      <c r="D27" s="41" t="s">
        <v>111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7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</row>
    <row r="28" spans="1:29" s="40" customFormat="1" x14ac:dyDescent="0.2">
      <c r="A28" s="18" t="str">
        <f>rearing!A28</f>
        <v>Siqwepu2020</v>
      </c>
      <c r="B28" s="18" t="str">
        <f>rearing!B28</f>
        <v>African catfish</v>
      </c>
      <c r="C28" s="18" t="str">
        <f>rearing!C28</f>
        <v>FeSO4-60</v>
      </c>
      <c r="D28" s="41" t="s">
        <v>111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7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</row>
    <row r="29" spans="1:29" s="40" customFormat="1" x14ac:dyDescent="0.2">
      <c r="A29" s="18" t="str">
        <f>rearing!A29</f>
        <v>Siqwepu2020</v>
      </c>
      <c r="B29" s="18" t="str">
        <f>rearing!B29</f>
        <v>African catfish</v>
      </c>
      <c r="C29" s="18" t="str">
        <f>rearing!C29</f>
        <v>FeAA-5</v>
      </c>
      <c r="D29" s="41" t="s">
        <v>111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7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</row>
    <row r="30" spans="1:29" s="40" customFormat="1" x14ac:dyDescent="0.2">
      <c r="A30" s="18" t="str">
        <f>rearing!A30</f>
        <v>Siqwepu2020</v>
      </c>
      <c r="B30" s="18" t="str">
        <f>rearing!B30</f>
        <v>African catfish</v>
      </c>
      <c r="C30" s="18" t="str">
        <f>rearing!C30</f>
        <v>FeAA-10</v>
      </c>
      <c r="D30" s="41" t="s">
        <v>111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7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</row>
    <row r="31" spans="1:29" s="40" customFormat="1" x14ac:dyDescent="0.2">
      <c r="A31" s="18" t="str">
        <f>rearing!A31</f>
        <v>Siqwepu2020</v>
      </c>
      <c r="B31" s="18" t="str">
        <f>rearing!B31</f>
        <v>African catfish</v>
      </c>
      <c r="C31" s="18" t="str">
        <f>rearing!C31</f>
        <v>FeAA-20</v>
      </c>
      <c r="D31" s="41" t="s">
        <v>111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7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s="40" customFormat="1" x14ac:dyDescent="0.2">
      <c r="A32" s="18" t="str">
        <f>rearing!A32</f>
        <v>Siqwepu2020</v>
      </c>
      <c r="B32" s="18" t="str">
        <f>rearing!B32</f>
        <v>African catfish</v>
      </c>
      <c r="C32" s="18" t="str">
        <f>rearing!C32</f>
        <v>Control</v>
      </c>
      <c r="D32" s="41" t="s">
        <v>111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7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</row>
    <row r="33" spans="1:29" x14ac:dyDescent="0.2">
      <c r="A33" s="18" t="str">
        <f>rearing!A33</f>
        <v>Delaide2021</v>
      </c>
      <c r="B33" s="18" t="str">
        <f>rearing!B33</f>
        <v>Pikeperch</v>
      </c>
      <c r="C33" s="18" t="str">
        <f>rearing!C33</f>
        <v>AE</v>
      </c>
      <c r="D33" s="7" t="s">
        <v>112</v>
      </c>
      <c r="E33" s="7">
        <v>10</v>
      </c>
    </row>
    <row r="34" spans="1:29" x14ac:dyDescent="0.2">
      <c r="A34" s="18" t="str">
        <f>rearing!A34</f>
        <v>Delaide2021</v>
      </c>
      <c r="B34" s="18" t="str">
        <f>rearing!B34</f>
        <v>Pikeperch</v>
      </c>
      <c r="C34" s="18" t="str">
        <f>rearing!C34</f>
        <v>AEC</v>
      </c>
      <c r="D34" s="7" t="s">
        <v>112</v>
      </c>
      <c r="E34" s="7">
        <v>10</v>
      </c>
    </row>
    <row r="35" spans="1:29" x14ac:dyDescent="0.2">
      <c r="A35" s="18" t="str">
        <f>rearing!A35</f>
        <v>Delaide2021</v>
      </c>
      <c r="B35" s="18" t="str">
        <f>rearing!B35</f>
        <v>Pikeperch</v>
      </c>
      <c r="C35" s="18" t="str">
        <f>rearing!C35</f>
        <v>Std_E1</v>
      </c>
    </row>
    <row r="36" spans="1:29" x14ac:dyDescent="0.2">
      <c r="A36" s="18" t="str">
        <f>rearing!A36</f>
        <v>Delaide2021</v>
      </c>
      <c r="B36" s="18" t="str">
        <f>rearing!B36</f>
        <v>Pikeperch</v>
      </c>
      <c r="C36" s="18" t="str">
        <f>rearing!C36</f>
        <v>AE-NPK</v>
      </c>
    </row>
    <row r="37" spans="1:29" x14ac:dyDescent="0.2">
      <c r="A37" s="18" t="str">
        <f>rearing!A37</f>
        <v>Delaide2021</v>
      </c>
      <c r="B37" s="18" t="str">
        <f>rearing!B37</f>
        <v>Pikeperch</v>
      </c>
      <c r="C37" s="18" t="str">
        <f>rearing!C37</f>
        <v>AN-NPK</v>
      </c>
    </row>
    <row r="38" spans="1:29" x14ac:dyDescent="0.2">
      <c r="A38" s="18" t="str">
        <f>rearing!A38</f>
        <v>Delaide2021</v>
      </c>
      <c r="B38" s="18" t="str">
        <f>rearing!B38</f>
        <v>Pikeperch</v>
      </c>
      <c r="C38" s="18" t="str">
        <f>rearing!C38</f>
        <v>Std_E2</v>
      </c>
    </row>
    <row r="39" spans="1:29" x14ac:dyDescent="0.2">
      <c r="A39" s="18" t="str">
        <f>rearing!A39</f>
        <v>Atique2022</v>
      </c>
      <c r="B39" s="18" t="str">
        <f>rearing!B39</f>
        <v>Rainbow trout</v>
      </c>
      <c r="C39" s="18" t="str">
        <f>rearing!C39</f>
        <v>RAS</v>
      </c>
    </row>
    <row r="40" spans="1:29" x14ac:dyDescent="0.2">
      <c r="A40" s="18" t="str">
        <f>rearing!A40</f>
        <v>Atique2022</v>
      </c>
      <c r="B40" s="18" t="str">
        <f>rearing!B40</f>
        <v>Rainbow trout</v>
      </c>
      <c r="C40" s="18" t="str">
        <f>rearing!C40</f>
        <v>Aquaponic</v>
      </c>
    </row>
    <row r="41" spans="1:29" x14ac:dyDescent="0.2">
      <c r="A41" s="18" t="str">
        <f>rearing!A41</f>
        <v>Atique2022</v>
      </c>
      <c r="B41" s="18" t="str">
        <f>rearing!B41</f>
        <v>Rainbow trout</v>
      </c>
      <c r="C41" s="18" t="str">
        <f>rearing!C41</f>
        <v>Hydroponic</v>
      </c>
    </row>
    <row r="42" spans="1:29" x14ac:dyDescent="0.2">
      <c r="A42" s="18" t="str">
        <f>rearing!A42</f>
        <v>Zhu2022</v>
      </c>
      <c r="B42" s="18" t="str">
        <f>rearing!B42</f>
        <v>African catfish</v>
      </c>
      <c r="C42" s="18" t="str">
        <f>rearing!C42</f>
        <v>Aquaponic</v>
      </c>
      <c r="D42" s="7" t="s">
        <v>112</v>
      </c>
      <c r="E42" s="7">
        <v>2.4849999999999999</v>
      </c>
      <c r="O42" s="7">
        <v>1.1419999999999999</v>
      </c>
      <c r="R42" s="7">
        <v>0.184</v>
      </c>
      <c r="S42" s="7">
        <v>0.13300000000000001</v>
      </c>
      <c r="T42" s="7">
        <v>2.4E-2</v>
      </c>
      <c r="U42" s="7">
        <v>3.9800000000000002E-2</v>
      </c>
      <c r="V42" s="7">
        <v>8.0999999999999996E-3</v>
      </c>
      <c r="W42" s="7">
        <v>8.0000000000000002E-3</v>
      </c>
      <c r="X42" s="7">
        <v>2.0999999999999999E-3</v>
      </c>
      <c r="Y42" s="7">
        <v>1.1000000000000001E-3</v>
      </c>
      <c r="Z42" s="7">
        <v>1.6999999999999999E-3</v>
      </c>
      <c r="AC42" s="7">
        <v>6.4000000000000001E-2</v>
      </c>
    </row>
    <row r="43" spans="1:29" x14ac:dyDescent="0.2">
      <c r="A43" s="18" t="str">
        <f>rearing!A43</f>
        <v>Zhu2022</v>
      </c>
      <c r="B43" s="18" t="str">
        <f>rearing!B43</f>
        <v>African catfish</v>
      </c>
      <c r="C43" s="18" t="str">
        <f>rearing!C43</f>
        <v>Hydroponic</v>
      </c>
      <c r="D43" s="7" t="s">
        <v>112</v>
      </c>
      <c r="E43" s="7">
        <v>50.290999999999997</v>
      </c>
      <c r="R43" s="7">
        <v>1.1379999999999999</v>
      </c>
      <c r="S43" s="7">
        <v>1.075</v>
      </c>
      <c r="T43" s="7">
        <v>0.22900000000000001</v>
      </c>
      <c r="U43" s="7">
        <v>0.16200000000000001</v>
      </c>
      <c r="V43" s="7">
        <v>6.2300000000000001E-2</v>
      </c>
      <c r="W43" s="7">
        <v>6.3499999999999997E-3</v>
      </c>
      <c r="X43" s="7">
        <v>1.4499999999999999E-3</v>
      </c>
      <c r="Y43" s="7">
        <v>3.98E-3</v>
      </c>
      <c r="Z43" s="7">
        <v>2.63E-3</v>
      </c>
      <c r="AC43" s="7">
        <v>0.30599999999999999</v>
      </c>
    </row>
    <row r="44" spans="1:29" x14ac:dyDescent="0.2">
      <c r="A44" s="18" t="str">
        <f>rearing!A44</f>
        <v>Delaide2019</v>
      </c>
      <c r="B44" s="18" t="str">
        <f>rearing!B44</f>
        <v>Pikeperch</v>
      </c>
      <c r="C44" s="18" t="str">
        <f>rearing!C44</f>
        <v>AP</v>
      </c>
    </row>
    <row r="45" spans="1:29" x14ac:dyDescent="0.2">
      <c r="A45" s="18" t="str">
        <f>rearing!A45</f>
        <v>Delaide2019</v>
      </c>
      <c r="B45" s="18" t="str">
        <f>rearing!B45</f>
        <v>Pikeperch</v>
      </c>
      <c r="C45" s="18" t="str">
        <f>rearing!C45</f>
        <v>Control</v>
      </c>
    </row>
    <row r="46" spans="1:29" x14ac:dyDescent="0.2">
      <c r="A46" s="18" t="str">
        <f>rearing!A46</f>
        <v>Knaus2022</v>
      </c>
      <c r="B46" s="18" t="str">
        <f>rearing!B46</f>
        <v>African catfish</v>
      </c>
      <c r="C46" s="18" t="str">
        <f>rearing!C46</f>
        <v>EbbFlow</v>
      </c>
    </row>
    <row r="47" spans="1:29" x14ac:dyDescent="0.2">
      <c r="A47" s="18" t="str">
        <f>rearing!A47</f>
        <v>Knaus2022</v>
      </c>
      <c r="B47" s="18" t="str">
        <f>rearing!B47</f>
        <v>African catfish</v>
      </c>
      <c r="C47" s="18" t="str">
        <f>rearing!C47</f>
        <v>FloatingRaft</v>
      </c>
    </row>
    <row r="48" spans="1:29" x14ac:dyDescent="0.2">
      <c r="A48" s="18" t="str">
        <f>rearing!A48</f>
        <v>Knaus2022</v>
      </c>
      <c r="B48" s="18" t="str">
        <f>rearing!B48</f>
        <v>African catfish</v>
      </c>
      <c r="C48" s="18" t="str">
        <f>rearing!C48</f>
        <v>GrowPipe</v>
      </c>
    </row>
    <row r="49" spans="1:3" x14ac:dyDescent="0.2">
      <c r="A49" s="18" t="str">
        <f>rearing!A49</f>
        <v>Suhl2016</v>
      </c>
      <c r="B49" s="18" t="str">
        <f>rearing!B49</f>
        <v>Nile tilapia</v>
      </c>
      <c r="C49" s="18" t="str">
        <f>rearing!C49</f>
        <v>Aquaponic</v>
      </c>
    </row>
    <row r="50" spans="1:3" x14ac:dyDescent="0.2">
      <c r="A50" s="18" t="str">
        <f>rearing!A50</f>
        <v>Suhl2016</v>
      </c>
      <c r="B50" s="18" t="str">
        <f>rearing!B50</f>
        <v>Nile tilapia</v>
      </c>
      <c r="C50" s="18" t="str">
        <f>rearing!C50</f>
        <v>Hydroponic</v>
      </c>
    </row>
    <row r="51" spans="1:3" x14ac:dyDescent="0.2">
      <c r="A51" s="18" t="str">
        <f>rearing!A51</f>
        <v>Medina2016</v>
      </c>
      <c r="B51" s="18" t="str">
        <f>rearing!B51</f>
        <v>Blue tilapia</v>
      </c>
      <c r="C51" s="18" t="str">
        <f>rearing!C51</f>
        <v>Control</v>
      </c>
    </row>
    <row r="52" spans="1:3" x14ac:dyDescent="0.2">
      <c r="A52" s="18" t="str">
        <f>rearing!A52</f>
        <v>Medina2016</v>
      </c>
      <c r="B52" s="18" t="str">
        <f>rearing!B52</f>
        <v>Blue tilapia</v>
      </c>
      <c r="C52" s="18" t="str">
        <f>rearing!C52</f>
        <v>Alternative</v>
      </c>
    </row>
    <row r="53" spans="1:3" x14ac:dyDescent="0.2">
      <c r="A53" s="18" t="str">
        <f>rearing!A53</f>
        <v>Schmautz2016</v>
      </c>
      <c r="B53" s="18" t="str">
        <f>rearing!B53</f>
        <v>Nile tilapia</v>
      </c>
      <c r="C53" s="18" t="str">
        <f>rearing!C53</f>
        <v>NFT</v>
      </c>
    </row>
    <row r="54" spans="1:3" x14ac:dyDescent="0.2">
      <c r="A54" s="18" t="str">
        <f>rearing!A54</f>
        <v>Schmautz2016</v>
      </c>
      <c r="B54" s="18" t="str">
        <f>rearing!B54</f>
        <v>Nile tilapia</v>
      </c>
      <c r="C54" s="18" t="str">
        <f>rearing!C54</f>
        <v>Raft</v>
      </c>
    </row>
    <row r="55" spans="1:3" x14ac:dyDescent="0.2">
      <c r="A55" s="18" t="str">
        <f>rearing!A55</f>
        <v>Schmautz2016</v>
      </c>
      <c r="B55" s="18" t="str">
        <f>rearing!B55</f>
        <v>Nile tilapia</v>
      </c>
      <c r="C55" s="18" t="str">
        <f>rearing!C55</f>
        <v>Drip</v>
      </c>
    </row>
    <row r="56" spans="1:3" x14ac:dyDescent="0.2">
      <c r="A56" s="18" t="str">
        <f>rearing!A56</f>
        <v>Knaus2020</v>
      </c>
      <c r="B56" s="18" t="str">
        <f>rearing!B56</f>
        <v>African catfish</v>
      </c>
      <c r="C56" s="18" t="str">
        <f>rearing!C56</f>
        <v>GrowPipe</v>
      </c>
    </row>
    <row r="57" spans="1:3" x14ac:dyDescent="0.2">
      <c r="A57" s="18" t="str">
        <f>rearing!A57</f>
        <v>Knaus2020</v>
      </c>
      <c r="B57" s="18" t="str">
        <f>rearing!B57</f>
        <v>African catfish</v>
      </c>
      <c r="C57" s="18" t="str">
        <f>rearing!C57</f>
        <v>Raft</v>
      </c>
    </row>
    <row r="58" spans="1:3" x14ac:dyDescent="0.2">
      <c r="A58" s="18" t="str">
        <f>rearing!A58</f>
        <v>Knaus2020</v>
      </c>
      <c r="B58" s="18" t="str">
        <f>rearing!B58</f>
        <v>African catfish</v>
      </c>
      <c r="C58" s="18" t="str">
        <f>rearing!C58</f>
        <v>Gravel</v>
      </c>
    </row>
    <row r="59" spans="1:3" x14ac:dyDescent="0.2">
      <c r="A59" s="18" t="str">
        <f>rearing!A59</f>
        <v>Pasch2021</v>
      </c>
      <c r="B59" s="18" t="str">
        <f>rearing!B59</f>
        <v>African catfish</v>
      </c>
      <c r="C59" s="18" t="str">
        <f>rearing!C59</f>
        <v>Aeroponics</v>
      </c>
    </row>
    <row r="60" spans="1:3" x14ac:dyDescent="0.2">
      <c r="A60" s="18" t="str">
        <f>rearing!A60</f>
        <v>Pasch2021</v>
      </c>
      <c r="B60" s="18" t="str">
        <f>rearing!B60</f>
        <v>African catfish</v>
      </c>
      <c r="C60" s="18" t="str">
        <f>rearing!C60</f>
        <v>DRF</v>
      </c>
    </row>
    <row r="61" spans="1:3" x14ac:dyDescent="0.2">
      <c r="A61" s="18" t="str">
        <f>rearing!A61</f>
        <v>Pasch2021</v>
      </c>
      <c r="B61" s="18" t="str">
        <f>rearing!B61</f>
        <v>African catfish</v>
      </c>
      <c r="C61" s="18" t="str">
        <f>rearing!C61</f>
        <v>Raft</v>
      </c>
    </row>
    <row r="62" spans="1:3" x14ac:dyDescent="0.2">
      <c r="A62" s="18" t="str">
        <f>rearing!A62</f>
        <v>Pasch2021a</v>
      </c>
      <c r="B62" s="18" t="str">
        <f>rearing!B62</f>
        <v>African catfish</v>
      </c>
      <c r="C62" s="18" t="str">
        <f>rearing!C62</f>
        <v>DRF</v>
      </c>
    </row>
    <row r="63" spans="1:3" x14ac:dyDescent="0.2">
      <c r="A63" s="18" t="str">
        <f>rearing!A63</f>
        <v>Pasch2021a</v>
      </c>
      <c r="B63" s="18" t="str">
        <f>rearing!B63</f>
        <v>African catfish</v>
      </c>
      <c r="C63" s="18" t="str">
        <f>rearing!C63</f>
        <v>Raft</v>
      </c>
    </row>
    <row r="64" spans="1:3" x14ac:dyDescent="0.2">
      <c r="A64" s="18" t="str">
        <f>rearing!A64</f>
        <v>Pasch2021a</v>
      </c>
      <c r="B64" s="18" t="str">
        <f>rearing!B64</f>
        <v>African catfish</v>
      </c>
      <c r="C64" s="18" t="str">
        <f>rearing!C64</f>
        <v>GrowPipe</v>
      </c>
    </row>
    <row r="65" spans="1:29" x14ac:dyDescent="0.2">
      <c r="A65" s="18" t="str">
        <f>rearing!A65</f>
        <v>Delaide2017</v>
      </c>
      <c r="B65" s="18" t="str">
        <f>rearing!B65</f>
        <v>Nile tilapia</v>
      </c>
      <c r="C65" s="18" t="str">
        <f>rearing!C65</f>
        <v>Lettuce</v>
      </c>
      <c r="D65" s="7" t="s">
        <v>112</v>
      </c>
      <c r="P65" s="78">
        <v>1.3299999999999999E-2</v>
      </c>
      <c r="Q65" s="7">
        <v>1.34</v>
      </c>
      <c r="R65" s="7">
        <v>0.2</v>
      </c>
      <c r="S65" s="7">
        <v>2.42</v>
      </c>
      <c r="T65" s="7">
        <v>0.32</v>
      </c>
      <c r="U65" s="7">
        <v>0.73</v>
      </c>
      <c r="V65" s="7">
        <v>0.22919999999999999</v>
      </c>
      <c r="W65" s="7">
        <v>9.9699999999999997E-2</v>
      </c>
      <c r="X65" s="7">
        <v>1.24E-2</v>
      </c>
      <c r="Y65" s="7">
        <v>2.87E-2</v>
      </c>
      <c r="Z65" s="7">
        <v>8.5000000000000006E-3</v>
      </c>
      <c r="AC65" s="7">
        <v>0.12</v>
      </c>
    </row>
    <row r="66" spans="1:29" x14ac:dyDescent="0.2">
      <c r="A66" s="18" t="str">
        <f>rearing!A66</f>
        <v>Delaide2017</v>
      </c>
      <c r="B66" s="18" t="str">
        <f>rearing!B66</f>
        <v>Nile tilapia</v>
      </c>
      <c r="C66" s="18" t="str">
        <f>rearing!C66</f>
        <v>Basil</v>
      </c>
      <c r="D66" s="7" t="s">
        <v>112</v>
      </c>
    </row>
    <row r="67" spans="1:29" x14ac:dyDescent="0.2">
      <c r="A67" s="18" t="str">
        <f>rearing!A67</f>
        <v>Lunda2019</v>
      </c>
      <c r="B67" s="18">
        <f>rearing!B67</f>
        <v>0</v>
      </c>
      <c r="C67" s="18" t="str">
        <f>rearing!C67</f>
        <v>FROV</v>
      </c>
      <c r="D67" s="7" t="s">
        <v>112</v>
      </c>
      <c r="J67" s="10">
        <v>6.4199999999999993E-2</v>
      </c>
    </row>
    <row r="68" spans="1:29" x14ac:dyDescent="0.2">
      <c r="A68" s="18" t="str">
        <f>rearing!A68</f>
        <v>Lunda2019</v>
      </c>
      <c r="B68" s="18">
        <f>rearing!B68</f>
        <v>0</v>
      </c>
      <c r="C68" s="18" t="str">
        <f>rearing!C68</f>
        <v>ANAPARTNERS</v>
      </c>
      <c r="D68" s="7" t="s">
        <v>112</v>
      </c>
      <c r="F68" s="10">
        <v>9.2999999999999999E-2</v>
      </c>
      <c r="J68" s="10">
        <v>0.13400000000000001</v>
      </c>
      <c r="P68" s="7">
        <v>108</v>
      </c>
      <c r="Q68" s="7">
        <v>24.8</v>
      </c>
      <c r="R68" s="7">
        <v>2.42</v>
      </c>
      <c r="S68" s="7">
        <v>44.3</v>
      </c>
      <c r="T68" s="7">
        <v>2.17</v>
      </c>
      <c r="W68" s="7">
        <v>0.60899999999999999</v>
      </c>
      <c r="X68" s="7">
        <v>5.0599999999999999E-2</v>
      </c>
      <c r="AB68" s="7">
        <v>3.1199999999999999E-3</v>
      </c>
      <c r="AC68" s="7">
        <v>3.15</v>
      </c>
    </row>
    <row r="69" spans="1:29" x14ac:dyDescent="0.2">
      <c r="A69" s="18" t="str">
        <f>rearing!A69</f>
        <v>Lunda2019</v>
      </c>
      <c r="B69" s="18">
        <f>rearing!B69</f>
        <v>0</v>
      </c>
      <c r="C69" s="18" t="str">
        <f>rearing!C69</f>
        <v>ROKYTNO</v>
      </c>
      <c r="D69" s="7" t="s">
        <v>112</v>
      </c>
      <c r="F69" s="10">
        <v>8.8900000000000007E-2</v>
      </c>
      <c r="J69" s="10">
        <v>0.16800000000000001</v>
      </c>
      <c r="P69" s="7">
        <v>59.2</v>
      </c>
      <c r="Q69" s="7">
        <v>17.3</v>
      </c>
      <c r="R69" s="7">
        <v>2.54</v>
      </c>
      <c r="S69" s="7">
        <v>23.8</v>
      </c>
      <c r="T69" s="7">
        <v>2.63</v>
      </c>
      <c r="W69" s="7">
        <v>0.90700000000000003</v>
      </c>
      <c r="X69" s="7">
        <v>8.5199999999999998E-2</v>
      </c>
      <c r="AB69" s="7">
        <v>5.96E-2</v>
      </c>
      <c r="AC69" s="7">
        <v>4.25</v>
      </c>
    </row>
    <row r="70" spans="1:29" x14ac:dyDescent="0.2">
      <c r="A70" s="18" t="str">
        <f>rearing!A70</f>
        <v>Knaus2017</v>
      </c>
      <c r="B70" s="18" t="str">
        <f>rearing!B70</f>
        <v>Nile tilapia</v>
      </c>
      <c r="C70" s="18" t="str">
        <f>rearing!C70</f>
        <v>Unit I</v>
      </c>
    </row>
    <row r="71" spans="1:29" x14ac:dyDescent="0.2">
      <c r="A71" s="18" t="str">
        <f>rearing!A71</f>
        <v>Knaus2017</v>
      </c>
      <c r="B71" s="18" t="str">
        <f>rearing!B71</f>
        <v>Nile tilapia</v>
      </c>
      <c r="C71" s="18" t="str">
        <f>rearing!C71</f>
        <v>Unit I</v>
      </c>
    </row>
    <row r="72" spans="1:29" x14ac:dyDescent="0.2">
      <c r="A72" s="18" t="str">
        <f>rearing!A72</f>
        <v>Knaus2017</v>
      </c>
      <c r="B72" s="18" t="str">
        <f>rearing!B72</f>
        <v>African catfish</v>
      </c>
      <c r="C72" s="18" t="str">
        <f>rearing!C72</f>
        <v>Unit II</v>
      </c>
    </row>
    <row r="73" spans="1:29" x14ac:dyDescent="0.2">
      <c r="A73" s="18" t="str">
        <f>rearing!A73</f>
        <v>Knaus2017</v>
      </c>
      <c r="B73" s="18" t="str">
        <f>rearing!B73</f>
        <v>African catfish</v>
      </c>
      <c r="C73" s="18" t="str">
        <f>rearing!C73</f>
        <v>Unit II</v>
      </c>
    </row>
    <row r="74" spans="1:29" x14ac:dyDescent="0.2">
      <c r="A74" s="18" t="str">
        <f>rearing!A74</f>
        <v>Knaus2017a</v>
      </c>
      <c r="B74" s="18" t="str">
        <f>rearing!B74</f>
        <v>Nile tilapia</v>
      </c>
      <c r="C74" s="18" t="str">
        <f>rearing!C74</f>
        <v>Unit I</v>
      </c>
    </row>
    <row r="75" spans="1:29" x14ac:dyDescent="0.2">
      <c r="A75" s="18" t="str">
        <f>rearing!A75</f>
        <v>Knaus2017a</v>
      </c>
      <c r="B75" s="18" t="str">
        <f>rearing!B75</f>
        <v>Common Carp</v>
      </c>
      <c r="C75" s="18" t="str">
        <f>rearing!C75</f>
        <v>Unit II</v>
      </c>
    </row>
    <row r="76" spans="1:29" x14ac:dyDescent="0.2">
      <c r="A76" s="18" t="str">
        <f>rearing!A76</f>
        <v>Monsees2019</v>
      </c>
      <c r="B76" s="18" t="str">
        <f>rearing!B76</f>
        <v>Nile tilapia</v>
      </c>
      <c r="C76" s="18" t="str">
        <f>rearing!C76</f>
        <v>Control</v>
      </c>
    </row>
    <row r="77" spans="1:29" x14ac:dyDescent="0.2">
      <c r="A77" s="18" t="str">
        <f>rearing!A77</f>
        <v>Monsees2019</v>
      </c>
      <c r="B77" s="18" t="str">
        <f>rearing!B77</f>
        <v>Nile tilapia</v>
      </c>
      <c r="C77" s="18" t="str">
        <f>rearing!C77</f>
        <v>APunt</v>
      </c>
    </row>
    <row r="78" spans="1:29" x14ac:dyDescent="0.2">
      <c r="A78" s="18" t="str">
        <f>rearing!A78</f>
        <v>Monsees2019</v>
      </c>
      <c r="B78" s="18" t="str">
        <f>rearing!B78</f>
        <v>Nile tilapia</v>
      </c>
      <c r="C78" s="18" t="str">
        <f>rearing!C78</f>
        <v>APdis</v>
      </c>
    </row>
    <row r="79" spans="1:29" x14ac:dyDescent="0.2">
      <c r="A79" s="18" t="str">
        <f>rearing!A79</f>
        <v>Rodgers2022</v>
      </c>
      <c r="B79" s="18" t="str">
        <f>rearing!B79</f>
        <v>Koi carp</v>
      </c>
      <c r="C79" s="18" t="str">
        <f>rearing!C79</f>
        <v>CON</v>
      </c>
    </row>
    <row r="80" spans="1:29" x14ac:dyDescent="0.2">
      <c r="A80" s="18" t="str">
        <f>rearing!A80</f>
        <v>Rodgers2022</v>
      </c>
      <c r="B80" s="18" t="str">
        <f>rearing!B80</f>
        <v>Koi carp</v>
      </c>
      <c r="C80" s="18" t="str">
        <f>rearing!C80</f>
        <v>DAP</v>
      </c>
    </row>
    <row r="81" spans="1:29" x14ac:dyDescent="0.2">
      <c r="A81" s="18" t="str">
        <f>rearing!A81</f>
        <v>Rodgers2022</v>
      </c>
      <c r="B81" s="18" t="str">
        <f>rearing!B81</f>
        <v>Koi carp</v>
      </c>
      <c r="C81" s="18" t="str">
        <f>rearing!C81</f>
        <v>DAP+</v>
      </c>
    </row>
    <row r="82" spans="1:29" x14ac:dyDescent="0.2">
      <c r="A82" s="18" t="str">
        <f>rearing!A82</f>
        <v>Cerozi2020</v>
      </c>
      <c r="B82" s="18" t="str">
        <f>rearing!B82</f>
        <v>Blue tilapia</v>
      </c>
      <c r="C82" s="18" t="str">
        <f>rearing!C82</f>
        <v>System</v>
      </c>
    </row>
    <row r="83" spans="1:29" x14ac:dyDescent="0.2">
      <c r="A83" s="18" t="str">
        <f>rearing!A83</f>
        <v>Khiari2019</v>
      </c>
      <c r="B83" s="18" t="str">
        <f>rearing!B83</f>
        <v>Nile tilapia</v>
      </c>
      <c r="C83" s="18" t="str">
        <f>rearing!C83</f>
        <v>30_5.5</v>
      </c>
      <c r="D83" s="7" t="s">
        <v>112</v>
      </c>
      <c r="F83" s="80">
        <f t="shared" ref="F83:F91" si="0">100%-86.3%</f>
        <v>0.13700000000000001</v>
      </c>
      <c r="G83" s="10">
        <v>0.27900000000000003</v>
      </c>
      <c r="J83" s="10">
        <v>0.27700000000000002</v>
      </c>
      <c r="P83" s="7">
        <v>45</v>
      </c>
      <c r="Q83" s="7">
        <v>23.5</v>
      </c>
      <c r="R83" s="7">
        <v>2.4</v>
      </c>
      <c r="S83" s="7">
        <v>57.9</v>
      </c>
      <c r="T83" s="7">
        <v>2.1</v>
      </c>
      <c r="U83" s="7">
        <v>4.4000000000000004</v>
      </c>
      <c r="V83" s="7">
        <v>2.92</v>
      </c>
      <c r="W83" s="7">
        <v>0.95899999999999996</v>
      </c>
      <c r="X83" s="7">
        <v>0.17899999999999999</v>
      </c>
      <c r="Y83" s="7">
        <v>0.23300000000000001</v>
      </c>
      <c r="AC83" s="7">
        <v>0.6</v>
      </c>
    </row>
    <row r="84" spans="1:29" x14ac:dyDescent="0.2">
      <c r="A84" s="18" t="str">
        <f>rearing!A84</f>
        <v>Khiari2019</v>
      </c>
      <c r="B84" s="18" t="str">
        <f>rearing!B84</f>
        <v>Nile tilapia</v>
      </c>
      <c r="C84" s="18" t="str">
        <f>rearing!C84</f>
        <v>30_6.0</v>
      </c>
      <c r="D84" s="7" t="s">
        <v>112</v>
      </c>
      <c r="F84" s="80">
        <f t="shared" si="0"/>
        <v>0.13700000000000001</v>
      </c>
      <c r="G84" s="10">
        <v>0.27900000000000003</v>
      </c>
      <c r="J84" s="10">
        <v>0.27700000000000002</v>
      </c>
      <c r="P84" s="7">
        <v>45</v>
      </c>
      <c r="Q84" s="7">
        <v>23.5</v>
      </c>
      <c r="R84" s="7">
        <v>2.4</v>
      </c>
      <c r="S84" s="7">
        <v>57.9</v>
      </c>
      <c r="T84" s="7">
        <v>2.1</v>
      </c>
      <c r="U84" s="7">
        <v>4.4000000000000004</v>
      </c>
      <c r="V84" s="7">
        <v>2.92</v>
      </c>
      <c r="W84" s="7">
        <v>0.95899999999999996</v>
      </c>
      <c r="X84" s="7">
        <v>0.17899999999999999</v>
      </c>
      <c r="Y84" s="7">
        <v>0.23300000000000001</v>
      </c>
      <c r="AC84" s="7">
        <v>0.6</v>
      </c>
    </row>
    <row r="85" spans="1:29" x14ac:dyDescent="0.2">
      <c r="A85" s="18" t="str">
        <f>rearing!A85</f>
        <v>Khiari2019</v>
      </c>
      <c r="B85" s="18" t="str">
        <f>rearing!B85</f>
        <v>Nile tilapia</v>
      </c>
      <c r="C85" s="18" t="str">
        <f>rearing!C85</f>
        <v>30_6.5</v>
      </c>
      <c r="D85" s="7" t="s">
        <v>112</v>
      </c>
      <c r="F85" s="80">
        <f t="shared" si="0"/>
        <v>0.13700000000000001</v>
      </c>
      <c r="G85" s="10">
        <v>0.27900000000000003</v>
      </c>
      <c r="J85" s="10">
        <v>0.27700000000000002</v>
      </c>
      <c r="P85" s="7">
        <v>45</v>
      </c>
      <c r="Q85" s="7">
        <v>23.5</v>
      </c>
      <c r="R85" s="7">
        <v>2.4</v>
      </c>
      <c r="S85" s="7">
        <v>57.9</v>
      </c>
      <c r="T85" s="7">
        <v>2.1</v>
      </c>
      <c r="U85" s="7">
        <v>4.4000000000000004</v>
      </c>
      <c r="V85" s="7">
        <v>2.92</v>
      </c>
      <c r="W85" s="7">
        <v>0.95899999999999996</v>
      </c>
      <c r="X85" s="7">
        <v>0.17899999999999999</v>
      </c>
      <c r="Y85" s="7">
        <v>0.23300000000000001</v>
      </c>
      <c r="AC85" s="7">
        <v>0.6</v>
      </c>
    </row>
    <row r="86" spans="1:29" x14ac:dyDescent="0.2">
      <c r="A86" s="18" t="str">
        <f>rearing!A86</f>
        <v>Khiari2019</v>
      </c>
      <c r="B86" s="18" t="str">
        <f>rearing!B86</f>
        <v>Nile tilapia</v>
      </c>
      <c r="C86" s="18" t="str">
        <f>rearing!C86</f>
        <v>35_5.5</v>
      </c>
      <c r="D86" s="7" t="s">
        <v>112</v>
      </c>
      <c r="F86" s="80">
        <f t="shared" si="0"/>
        <v>0.13700000000000001</v>
      </c>
      <c r="G86" s="10">
        <v>0.27900000000000003</v>
      </c>
      <c r="J86" s="10">
        <v>0.27700000000000002</v>
      </c>
      <c r="P86" s="7">
        <v>45</v>
      </c>
      <c r="Q86" s="7">
        <v>23.5</v>
      </c>
      <c r="R86" s="7">
        <v>2.4</v>
      </c>
      <c r="S86" s="7">
        <v>57.9</v>
      </c>
      <c r="T86" s="7">
        <v>2.1</v>
      </c>
      <c r="U86" s="7">
        <v>4.4000000000000004</v>
      </c>
      <c r="V86" s="7">
        <v>2.92</v>
      </c>
      <c r="W86" s="7">
        <v>0.95899999999999996</v>
      </c>
      <c r="X86" s="7">
        <v>0.17899999999999999</v>
      </c>
      <c r="Y86" s="7">
        <v>0.23300000000000001</v>
      </c>
      <c r="AC86" s="7">
        <v>0.6</v>
      </c>
    </row>
    <row r="87" spans="1:29" x14ac:dyDescent="0.2">
      <c r="A87" s="18" t="str">
        <f>rearing!A87</f>
        <v>Khiari2019</v>
      </c>
      <c r="B87" s="18" t="str">
        <f>rearing!B87</f>
        <v>Nile tilapia</v>
      </c>
      <c r="C87" s="18" t="str">
        <f>rearing!C87</f>
        <v>35_6.0</v>
      </c>
      <c r="D87" s="7" t="s">
        <v>112</v>
      </c>
      <c r="F87" s="80">
        <f t="shared" si="0"/>
        <v>0.13700000000000001</v>
      </c>
      <c r="G87" s="10">
        <v>0.27900000000000003</v>
      </c>
      <c r="J87" s="10">
        <v>0.27700000000000002</v>
      </c>
      <c r="P87" s="7">
        <v>45</v>
      </c>
      <c r="Q87" s="7">
        <v>23.5</v>
      </c>
      <c r="R87" s="7">
        <v>2.4</v>
      </c>
      <c r="S87" s="7">
        <v>57.9</v>
      </c>
      <c r="T87" s="7">
        <v>2.1</v>
      </c>
      <c r="U87" s="7">
        <v>4.4000000000000004</v>
      </c>
      <c r="V87" s="7">
        <v>2.92</v>
      </c>
      <c r="W87" s="7">
        <v>0.95899999999999996</v>
      </c>
      <c r="X87" s="7">
        <v>0.17899999999999999</v>
      </c>
      <c r="Y87" s="7">
        <v>0.23300000000000001</v>
      </c>
      <c r="AC87" s="7">
        <v>0.6</v>
      </c>
    </row>
    <row r="88" spans="1:29" x14ac:dyDescent="0.2">
      <c r="A88" s="18" t="str">
        <f>rearing!A88</f>
        <v>Khiari2019</v>
      </c>
      <c r="B88" s="18" t="str">
        <f>rearing!B88</f>
        <v>Nile tilapia</v>
      </c>
      <c r="C88" s="18" t="str">
        <f>rearing!C88</f>
        <v>35_6.5</v>
      </c>
      <c r="D88" s="7" t="s">
        <v>112</v>
      </c>
      <c r="F88" s="80">
        <f t="shared" si="0"/>
        <v>0.13700000000000001</v>
      </c>
      <c r="G88" s="10">
        <v>0.27900000000000003</v>
      </c>
      <c r="J88" s="10">
        <v>0.27700000000000002</v>
      </c>
      <c r="P88" s="7">
        <v>45</v>
      </c>
      <c r="Q88" s="7">
        <v>23.5</v>
      </c>
      <c r="R88" s="7">
        <v>2.4</v>
      </c>
      <c r="S88" s="7">
        <v>57.9</v>
      </c>
      <c r="T88" s="7">
        <v>2.1</v>
      </c>
      <c r="U88" s="7">
        <v>4.4000000000000004</v>
      </c>
      <c r="V88" s="7">
        <v>2.92</v>
      </c>
      <c r="W88" s="7">
        <v>0.95899999999999996</v>
      </c>
      <c r="X88" s="7">
        <v>0.17899999999999999</v>
      </c>
      <c r="Y88" s="7">
        <v>0.23300000000000001</v>
      </c>
      <c r="AC88" s="7">
        <v>0.6</v>
      </c>
    </row>
    <row r="89" spans="1:29" x14ac:dyDescent="0.2">
      <c r="A89" s="18" t="str">
        <f>rearing!A89</f>
        <v>Khiari2019</v>
      </c>
      <c r="B89" s="18" t="str">
        <f>rearing!B89</f>
        <v>Nile tilapia</v>
      </c>
      <c r="C89" s="18" t="str">
        <f>rearing!C89</f>
        <v>40_5.5</v>
      </c>
      <c r="D89" s="7" t="s">
        <v>112</v>
      </c>
      <c r="F89" s="80">
        <f t="shared" si="0"/>
        <v>0.13700000000000001</v>
      </c>
      <c r="G89" s="10">
        <v>0.27900000000000003</v>
      </c>
      <c r="J89" s="10">
        <v>0.27700000000000002</v>
      </c>
      <c r="P89" s="7">
        <v>45</v>
      </c>
      <c r="Q89" s="7">
        <v>23.5</v>
      </c>
      <c r="R89" s="7">
        <v>2.4</v>
      </c>
      <c r="S89" s="7">
        <v>57.9</v>
      </c>
      <c r="T89" s="7">
        <v>2.1</v>
      </c>
      <c r="U89" s="7">
        <v>4.4000000000000004</v>
      </c>
      <c r="V89" s="7">
        <v>2.92</v>
      </c>
      <c r="W89" s="7">
        <v>0.95899999999999996</v>
      </c>
      <c r="X89" s="7">
        <v>0.17899999999999999</v>
      </c>
      <c r="Y89" s="7">
        <v>0.23300000000000001</v>
      </c>
      <c r="AC89" s="7">
        <v>0.6</v>
      </c>
    </row>
    <row r="90" spans="1:29" x14ac:dyDescent="0.2">
      <c r="A90" s="18" t="str">
        <f>rearing!A90</f>
        <v>Khiari2019</v>
      </c>
      <c r="B90" s="18" t="str">
        <f>rearing!B90</f>
        <v>Nile tilapia</v>
      </c>
      <c r="C90" s="18" t="str">
        <f>rearing!C90</f>
        <v>40_6.0</v>
      </c>
      <c r="D90" s="7" t="s">
        <v>112</v>
      </c>
      <c r="F90" s="80">
        <f t="shared" si="0"/>
        <v>0.13700000000000001</v>
      </c>
      <c r="G90" s="10">
        <v>0.27900000000000003</v>
      </c>
      <c r="J90" s="10">
        <v>0.27700000000000002</v>
      </c>
      <c r="P90" s="7">
        <v>45</v>
      </c>
      <c r="Q90" s="7">
        <v>23.5</v>
      </c>
      <c r="R90" s="7">
        <v>2.4</v>
      </c>
      <c r="S90" s="7">
        <v>57.9</v>
      </c>
      <c r="T90" s="7">
        <v>2.1</v>
      </c>
      <c r="U90" s="7">
        <v>4.4000000000000004</v>
      </c>
      <c r="V90" s="7">
        <v>2.92</v>
      </c>
      <c r="W90" s="7">
        <v>0.95899999999999996</v>
      </c>
      <c r="X90" s="7">
        <v>0.17899999999999999</v>
      </c>
      <c r="Y90" s="7">
        <v>0.23300000000000001</v>
      </c>
      <c r="AC90" s="7">
        <v>0.6</v>
      </c>
    </row>
    <row r="91" spans="1:29" x14ac:dyDescent="0.2">
      <c r="A91" s="18" t="str">
        <f>rearing!A91</f>
        <v>Khiari2019</v>
      </c>
      <c r="B91" s="18" t="str">
        <f>rearing!B91</f>
        <v>Nile tilapia</v>
      </c>
      <c r="C91" s="18" t="str">
        <f>rearing!C91</f>
        <v>40_6.5</v>
      </c>
      <c r="D91" s="7" t="s">
        <v>112</v>
      </c>
      <c r="F91" s="80">
        <f t="shared" si="0"/>
        <v>0.13700000000000001</v>
      </c>
      <c r="G91" s="10">
        <v>0.27900000000000003</v>
      </c>
      <c r="J91" s="10">
        <v>0.27700000000000002</v>
      </c>
      <c r="P91" s="7">
        <v>45</v>
      </c>
      <c r="Q91" s="7">
        <v>23.5</v>
      </c>
      <c r="R91" s="7">
        <v>2.4</v>
      </c>
      <c r="S91" s="7">
        <v>57.9</v>
      </c>
      <c r="T91" s="7">
        <v>2.1</v>
      </c>
      <c r="U91" s="7">
        <v>4.4000000000000004</v>
      </c>
      <c r="V91" s="7">
        <v>2.92</v>
      </c>
      <c r="W91" s="7">
        <v>0.95899999999999996</v>
      </c>
      <c r="X91" s="7">
        <v>0.17899999999999999</v>
      </c>
      <c r="Y91" s="7">
        <v>0.23300000000000001</v>
      </c>
      <c r="AC91" s="7">
        <v>0.6</v>
      </c>
    </row>
    <row r="92" spans="1:29" x14ac:dyDescent="0.2">
      <c r="A92" s="18" t="str">
        <f>rearing!A92</f>
        <v>Delaide2018</v>
      </c>
      <c r="B92" s="18" t="str">
        <f>rearing!B92</f>
        <v>Nile tilapia</v>
      </c>
      <c r="C92" s="18" t="str">
        <f>rearing!C92</f>
        <v>ANR</v>
      </c>
      <c r="D92" s="11" t="s">
        <v>112</v>
      </c>
      <c r="E92" s="7">
        <v>12.2</v>
      </c>
      <c r="F92" s="81">
        <v>1</v>
      </c>
      <c r="G92" s="11"/>
      <c r="H92" s="10"/>
      <c r="P92" s="77">
        <v>16.5</v>
      </c>
      <c r="Q92" s="7">
        <v>17.07</v>
      </c>
      <c r="R92" s="7">
        <v>1.85</v>
      </c>
      <c r="S92" s="7">
        <v>37.53</v>
      </c>
      <c r="T92" s="7">
        <v>2.96</v>
      </c>
      <c r="U92" s="7">
        <v>5.29</v>
      </c>
      <c r="V92" s="7">
        <v>2.4</v>
      </c>
      <c r="W92" s="7">
        <v>2.7</v>
      </c>
      <c r="X92" s="7">
        <v>1.0900000000000001</v>
      </c>
      <c r="Y92" s="7">
        <v>1.63</v>
      </c>
      <c r="Z92" s="7">
        <v>0.05</v>
      </c>
      <c r="AA92" s="7">
        <v>0.01</v>
      </c>
      <c r="AC92" s="7">
        <v>0.7</v>
      </c>
    </row>
    <row r="93" spans="1:29" x14ac:dyDescent="0.2">
      <c r="A93" s="18" t="str">
        <f>rearing!A93</f>
        <v>Monsees2017</v>
      </c>
      <c r="B93" s="18" t="str">
        <f>rearing!B93</f>
        <v>Nile tilapia</v>
      </c>
      <c r="C93" s="18" t="str">
        <f>rearing!C93</f>
        <v>Exp1_anaerobic</v>
      </c>
    </row>
    <row r="94" spans="1:29" x14ac:dyDescent="0.2">
      <c r="A94" s="18" t="str">
        <f>rearing!A94</f>
        <v>Roosta2013</v>
      </c>
      <c r="B94" s="18" t="str">
        <f>rearing!B94</f>
        <v>Common Carp</v>
      </c>
      <c r="C94" s="18" t="str">
        <f>rearing!C94</f>
        <v>Rep1</v>
      </c>
    </row>
    <row r="95" spans="1:29" x14ac:dyDescent="0.2">
      <c r="A95" s="18" t="str">
        <f>rearing!A95</f>
        <v>Roosta2013</v>
      </c>
      <c r="B95" s="18" t="str">
        <f>rearing!B95</f>
        <v>Grass carp</v>
      </c>
      <c r="C95" s="18" t="str">
        <f>rearing!C95</f>
        <v>Rep2</v>
      </c>
    </row>
    <row r="96" spans="1:29" x14ac:dyDescent="0.2">
      <c r="A96" s="18" t="str">
        <f>rearing!A96</f>
        <v>Roosta2013</v>
      </c>
      <c r="B96" s="18" t="str">
        <f>rearing!B96</f>
        <v>Silver carp</v>
      </c>
      <c r="C96" s="18" t="str">
        <f>rearing!C96</f>
        <v>Rep3</v>
      </c>
    </row>
    <row r="97" spans="1:26" x14ac:dyDescent="0.2">
      <c r="A97" s="18" t="str">
        <f>rearing!A97</f>
        <v>Roosta2014</v>
      </c>
      <c r="B97" s="18" t="str">
        <f>rearing!B97</f>
        <v>Common Carp</v>
      </c>
      <c r="C97" s="18" t="str">
        <f>rearing!C97</f>
        <v>Rep1</v>
      </c>
    </row>
    <row r="98" spans="1:26" x14ac:dyDescent="0.2">
      <c r="A98" s="18" t="str">
        <f>rearing!A98</f>
        <v>Roosta2014</v>
      </c>
      <c r="B98" s="18" t="str">
        <f>rearing!B98</f>
        <v>Grass carp</v>
      </c>
      <c r="C98" s="18" t="str">
        <f>rearing!C98</f>
        <v>Rep2</v>
      </c>
    </row>
    <row r="99" spans="1:26" x14ac:dyDescent="0.2">
      <c r="A99" s="18" t="str">
        <f>rearing!A99</f>
        <v>Roosta2014</v>
      </c>
      <c r="B99" s="18" t="str">
        <f>rearing!B99</f>
        <v>Silver carp</v>
      </c>
      <c r="C99" s="18" t="str">
        <f>rearing!C99</f>
        <v>Rep3</v>
      </c>
    </row>
    <row r="100" spans="1:26" x14ac:dyDescent="0.2">
      <c r="A100" s="18" t="str">
        <f>rearing!A100</f>
        <v>Yang2020</v>
      </c>
      <c r="B100" s="18" t="str">
        <f>rearing!B100</f>
        <v>Nile tilapia</v>
      </c>
      <c r="C100" s="18" t="str">
        <f>rearing!C100</f>
        <v>AP_Tomato</v>
      </c>
    </row>
    <row r="101" spans="1:26" x14ac:dyDescent="0.2">
      <c r="A101" s="18" t="str">
        <f>rearing!A101</f>
        <v>Yang2020</v>
      </c>
      <c r="B101" s="18" t="str">
        <f>rearing!B101</f>
        <v>Nile tilapia</v>
      </c>
      <c r="C101" s="18" t="str">
        <f>rearing!C101</f>
        <v>AP_Basil</v>
      </c>
    </row>
    <row r="102" spans="1:26" x14ac:dyDescent="0.2">
      <c r="A102" s="18" t="str">
        <f>rearing!A102</f>
        <v>Yang2020</v>
      </c>
      <c r="B102" s="18" t="str">
        <f>rearing!B102</f>
        <v>Nile tilapia</v>
      </c>
      <c r="C102" s="18" t="str">
        <f>rearing!C102</f>
        <v>AP_Lettuce</v>
      </c>
    </row>
    <row r="103" spans="1:26" x14ac:dyDescent="0.2">
      <c r="A103" s="18" t="str">
        <f>rearing!A103</f>
        <v>Yang2020</v>
      </c>
      <c r="B103" s="18">
        <f>rearing!B103</f>
        <v>0</v>
      </c>
      <c r="C103" s="18" t="str">
        <f>rearing!C103</f>
        <v>HP_Tomato</v>
      </c>
    </row>
    <row r="104" spans="1:26" x14ac:dyDescent="0.2">
      <c r="A104" s="18" t="str">
        <f>rearing!A104</f>
        <v>Yang2020</v>
      </c>
      <c r="B104" s="18">
        <f>rearing!B104</f>
        <v>0</v>
      </c>
      <c r="C104" s="18" t="str">
        <f>rearing!C104</f>
        <v>HP_Basil</v>
      </c>
    </row>
    <row r="105" spans="1:26" x14ac:dyDescent="0.2">
      <c r="A105" s="18" t="str">
        <f>rearing!A105</f>
        <v>Yang2020</v>
      </c>
      <c r="B105" s="18">
        <f>rearing!B105</f>
        <v>0</v>
      </c>
      <c r="C105" s="18" t="str">
        <f>rearing!C105</f>
        <v>HP_Lettuce</v>
      </c>
    </row>
    <row r="106" spans="1:26" x14ac:dyDescent="0.2">
      <c r="A106" s="18" t="str">
        <f>rearing!A106</f>
        <v>Anderson2017</v>
      </c>
      <c r="B106" s="18">
        <f>rearing!B106</f>
        <v>0</v>
      </c>
      <c r="C106" s="18" t="str">
        <f>rearing!C106</f>
        <v>H5</v>
      </c>
    </row>
    <row r="107" spans="1:26" x14ac:dyDescent="0.2">
      <c r="A107" s="18" t="str">
        <f>rearing!A107</f>
        <v>Anderson2017</v>
      </c>
      <c r="B107" s="18">
        <f>rearing!B107</f>
        <v>0</v>
      </c>
      <c r="C107" s="18" t="str">
        <f>rearing!C107</f>
        <v>H7</v>
      </c>
    </row>
    <row r="108" spans="1:26" x14ac:dyDescent="0.2">
      <c r="A108" s="18" t="str">
        <f>rearing!A108</f>
        <v>Anderson2017</v>
      </c>
      <c r="B108" s="18" t="str">
        <f>rearing!B108</f>
        <v>Koi carp</v>
      </c>
      <c r="C108" s="18" t="str">
        <f>rearing!C108</f>
        <v>A7</v>
      </c>
    </row>
    <row r="109" spans="1:26" x14ac:dyDescent="0.2">
      <c r="A109" s="18" t="str">
        <f>rearing!A109</f>
        <v>Blanchard2020</v>
      </c>
      <c r="B109" s="18" t="str">
        <f>rearing!B109</f>
        <v>Nile tilapia</v>
      </c>
      <c r="C109" s="18" t="str">
        <f>rearing!C109</f>
        <v>pH7</v>
      </c>
      <c r="D109" s="7" t="s">
        <v>112</v>
      </c>
      <c r="Q109" s="7">
        <v>2.0750000000000002</v>
      </c>
      <c r="R109" s="7">
        <v>0.75700000000000001</v>
      </c>
      <c r="S109" s="7">
        <v>1.7130000000000001</v>
      </c>
      <c r="T109" s="7">
        <v>0.3</v>
      </c>
      <c r="U109" s="7">
        <v>1.05</v>
      </c>
      <c r="V109" s="7">
        <v>0.85</v>
      </c>
      <c r="W109" s="7">
        <v>0.17499999999999999</v>
      </c>
      <c r="X109" s="7">
        <v>2.5000000000000001E-2</v>
      </c>
      <c r="Y109" s="7">
        <v>0.625</v>
      </c>
      <c r="Z109" s="7">
        <v>5.0000000000000001E-3</v>
      </c>
    </row>
    <row r="110" spans="1:26" x14ac:dyDescent="0.2">
      <c r="A110" s="18" t="str">
        <f>rearing!A110</f>
        <v>Blanchard2020</v>
      </c>
      <c r="B110" s="18" t="str">
        <f>rearing!B110</f>
        <v>Nile tilapia</v>
      </c>
      <c r="C110" s="18" t="str">
        <f>rearing!C110</f>
        <v>pH6.5</v>
      </c>
      <c r="D110" s="7" t="s">
        <v>112</v>
      </c>
      <c r="Q110" s="7">
        <v>2.6280000000000001</v>
      </c>
      <c r="R110" s="7">
        <v>0.59099999999999997</v>
      </c>
      <c r="S110" s="7">
        <v>2.625</v>
      </c>
      <c r="T110" s="7">
        <v>0.32500000000000001</v>
      </c>
      <c r="U110" s="7">
        <v>1.1000000000000001</v>
      </c>
      <c r="V110" s="7">
        <v>0.96299999999999997</v>
      </c>
      <c r="W110" s="7">
        <v>0.188</v>
      </c>
      <c r="X110" s="7">
        <v>2.5000000000000001E-2</v>
      </c>
      <c r="Y110" s="7">
        <v>0.33800000000000002</v>
      </c>
      <c r="Z110" s="7">
        <v>5.0000000000000001E-3</v>
      </c>
    </row>
    <row r="111" spans="1:26" x14ac:dyDescent="0.2">
      <c r="A111" s="18" t="str">
        <f>rearing!A111</f>
        <v>Blanchard2020</v>
      </c>
      <c r="B111" s="18" t="str">
        <f>rearing!B111</f>
        <v>Nile tilapia</v>
      </c>
      <c r="C111" s="18" t="str">
        <f>rearing!C111</f>
        <v>pH5.8</v>
      </c>
      <c r="D111" s="7" t="s">
        <v>112</v>
      </c>
      <c r="Q111" s="7">
        <v>1.8919999999999999</v>
      </c>
      <c r="R111" s="7">
        <v>0.71599999999999997</v>
      </c>
      <c r="S111" s="7">
        <v>5.0999999999999996</v>
      </c>
      <c r="T111" s="7">
        <v>0.35</v>
      </c>
      <c r="U111" s="7">
        <v>1.1499999999999999</v>
      </c>
      <c r="V111" s="7">
        <v>1.038</v>
      </c>
      <c r="W111" s="7">
        <v>0.125</v>
      </c>
      <c r="X111" s="7">
        <v>2.5000000000000001E-2</v>
      </c>
      <c r="Y111" s="7">
        <v>0.45</v>
      </c>
      <c r="Z111" s="7">
        <v>5.0000000000000001E-3</v>
      </c>
    </row>
    <row r="112" spans="1:26" x14ac:dyDescent="0.2">
      <c r="A112" s="18" t="str">
        <f>rearing!A112</f>
        <v>Blanchard2020</v>
      </c>
      <c r="B112" s="18" t="str">
        <f>rearing!B112</f>
        <v>Nile tilapia</v>
      </c>
      <c r="C112" s="18" t="str">
        <f>rearing!C112</f>
        <v>pH5</v>
      </c>
      <c r="D112" s="7" t="s">
        <v>112</v>
      </c>
      <c r="Q112" s="7">
        <v>1.6930000000000001</v>
      </c>
      <c r="R112" s="7">
        <v>0.747</v>
      </c>
      <c r="S112" s="7">
        <v>3.55</v>
      </c>
      <c r="T112" s="7">
        <v>0.35</v>
      </c>
      <c r="U112" s="7">
        <v>1.2130000000000001</v>
      </c>
      <c r="V112" s="7">
        <v>1.113</v>
      </c>
      <c r="W112" s="7">
        <v>1.2999999999999999E-2</v>
      </c>
      <c r="X112" s="7">
        <v>2.5000000000000001E-2</v>
      </c>
      <c r="Y112" s="7">
        <v>1.2999999999999999E-2</v>
      </c>
      <c r="Z112" s="7">
        <v>1E-3</v>
      </c>
    </row>
    <row r="113" spans="1:3" x14ac:dyDescent="0.2">
      <c r="A113" s="18" t="str">
        <f>rearing!A113</f>
        <v>Pinero2020</v>
      </c>
      <c r="B113" s="18" t="str">
        <f>rearing!B113</f>
        <v>Nile tilapia</v>
      </c>
      <c r="C113" s="18" t="str">
        <f>rearing!C113</f>
        <v>100S</v>
      </c>
    </row>
    <row r="114" spans="1:3" x14ac:dyDescent="0.2">
      <c r="A114" s="18" t="str">
        <f>rearing!A114</f>
        <v>Pinero2021</v>
      </c>
      <c r="B114" s="18" t="str">
        <f>rearing!B114</f>
        <v>Nile tilapia</v>
      </c>
      <c r="C114" s="18" t="str">
        <f>rearing!C114</f>
        <v>50F50D</v>
      </c>
    </row>
    <row r="115" spans="1:3" x14ac:dyDescent="0.2">
      <c r="A115" s="18" t="str">
        <f>rearing!A115</f>
        <v>Pinero2022</v>
      </c>
      <c r="B115" s="18" t="str">
        <f>rearing!B115</f>
        <v>Nile tilapia</v>
      </c>
      <c r="C115" s="18" t="str">
        <f>rearing!C115</f>
        <v>50F50D+S</v>
      </c>
    </row>
    <row r="116" spans="1:3" x14ac:dyDescent="0.2">
      <c r="A116" s="18" t="str">
        <f>rearing!A116</f>
        <v>Pinero2023</v>
      </c>
      <c r="B116" s="18" t="str">
        <f>rearing!B116</f>
        <v>Nile tilapia</v>
      </c>
      <c r="C116" s="18" t="str">
        <f>rearing!C116</f>
        <v>50F50D+F</v>
      </c>
    </row>
  </sheetData>
  <autoFilter ref="A2:AC116" xr:uid="{9F0E269A-E378-2D4D-990F-88D687978FB5}"/>
  <mergeCells count="2">
    <mergeCell ref="O1:U1"/>
    <mergeCell ref="V1:AB1"/>
  </mergeCells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A68D-6061-6B4E-9800-E01879BC7726}">
  <sheetPr>
    <tabColor theme="7" tint="-0.249977111117893"/>
  </sheetPr>
  <dimension ref="A2:AM116"/>
  <sheetViews>
    <sheetView zoomScale="130" zoomScaleNormal="130" workbookViewId="0">
      <pane xSplit="3" ySplit="2" topLeftCell="D88" activePane="bottomRight" state="frozen"/>
      <selection pane="topRight" activeCell="D1" sqref="D1"/>
      <selection pane="bottomLeft" activeCell="A3" sqref="A3"/>
      <selection pane="bottomRight" activeCell="G123" sqref="G123"/>
    </sheetView>
  </sheetViews>
  <sheetFormatPr baseColWidth="10" defaultColWidth="10.83203125" defaultRowHeight="16" x14ac:dyDescent="0.2"/>
  <cols>
    <col min="1" max="1" width="14.5" style="7" customWidth="1"/>
    <col min="2" max="2" width="11.33203125" style="7" customWidth="1"/>
    <col min="3" max="5" width="13.1640625" style="7" customWidth="1"/>
    <col min="6" max="6" width="10.83203125" style="7"/>
    <col min="7" max="7" width="18.33203125" style="7" customWidth="1"/>
    <col min="8" max="9" width="10.83203125" style="7"/>
    <col min="10" max="10" width="14.5" style="7" customWidth="1"/>
    <col min="11" max="11" width="12" style="7" customWidth="1"/>
    <col min="12" max="37" width="10.83203125" style="7"/>
    <col min="40" max="16384" width="10.83203125" style="7"/>
  </cols>
  <sheetData>
    <row r="2" spans="1:37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144</v>
      </c>
      <c r="E2" s="1" t="s">
        <v>73</v>
      </c>
      <c r="F2" s="1" t="s">
        <v>46</v>
      </c>
      <c r="G2" s="1" t="s">
        <v>116</v>
      </c>
      <c r="H2" s="1" t="s">
        <v>117</v>
      </c>
      <c r="I2" s="1" t="s">
        <v>174</v>
      </c>
      <c r="J2" s="1" t="s">
        <v>118</v>
      </c>
      <c r="K2" s="1" t="s">
        <v>126</v>
      </c>
      <c r="L2" s="1" t="s">
        <v>119</v>
      </c>
      <c r="M2" s="1" t="s">
        <v>124</v>
      </c>
      <c r="N2" s="1" t="s">
        <v>120</v>
      </c>
      <c r="O2" s="1" t="s">
        <v>125</v>
      </c>
      <c r="P2" s="1" t="s">
        <v>121</v>
      </c>
      <c r="Q2" s="1" t="s">
        <v>127</v>
      </c>
      <c r="R2" s="1" t="s">
        <v>83</v>
      </c>
      <c r="S2" s="1" t="s">
        <v>128</v>
      </c>
      <c r="T2" s="1" t="s">
        <v>84</v>
      </c>
      <c r="U2" s="1" t="s">
        <v>130</v>
      </c>
      <c r="V2" s="1" t="s">
        <v>85</v>
      </c>
      <c r="W2" s="1" t="s">
        <v>129</v>
      </c>
      <c r="X2" s="1" t="s">
        <v>122</v>
      </c>
      <c r="Y2" s="1" t="s">
        <v>131</v>
      </c>
      <c r="Z2" s="1" t="s">
        <v>89</v>
      </c>
      <c r="AA2" s="1" t="s">
        <v>132</v>
      </c>
      <c r="AB2" s="1" t="s">
        <v>86</v>
      </c>
      <c r="AC2" s="1" t="s">
        <v>134</v>
      </c>
      <c r="AD2" s="1" t="s">
        <v>88</v>
      </c>
      <c r="AE2" s="1" t="s">
        <v>136</v>
      </c>
      <c r="AF2" s="1" t="s">
        <v>87</v>
      </c>
      <c r="AG2" s="1" t="s">
        <v>135</v>
      </c>
      <c r="AH2" s="1" t="s">
        <v>123</v>
      </c>
      <c r="AI2" s="1" t="s">
        <v>137</v>
      </c>
      <c r="AJ2" s="1" t="s">
        <v>90</v>
      </c>
      <c r="AK2" s="1" t="s">
        <v>133</v>
      </c>
    </row>
    <row r="3" spans="1:37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  <c r="D3" s="7" t="s">
        <v>142</v>
      </c>
      <c r="E3" s="7">
        <v>14</v>
      </c>
      <c r="F3" s="7">
        <f>rearing!U3</f>
        <v>7</v>
      </c>
      <c r="G3" s="7">
        <f>rearing!S3</f>
        <v>26</v>
      </c>
      <c r="J3" s="7">
        <v>0.01</v>
      </c>
      <c r="K3" s="7" t="s">
        <v>145</v>
      </c>
      <c r="L3" s="7">
        <v>60</v>
      </c>
      <c r="M3" s="7" t="s">
        <v>139</v>
      </c>
      <c r="N3" s="12">
        <f>SUM(J3,L3)</f>
        <v>60.01</v>
      </c>
      <c r="P3" s="7">
        <v>9.9</v>
      </c>
      <c r="Q3" s="7" t="s">
        <v>138</v>
      </c>
      <c r="R3" s="7">
        <v>37.5</v>
      </c>
      <c r="S3" s="7" t="s">
        <v>138</v>
      </c>
      <c r="V3" s="7">
        <v>65</v>
      </c>
      <c r="W3" s="7" t="s">
        <v>139</v>
      </c>
    </row>
    <row r="4" spans="1:37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  <c r="D4" s="7" t="s">
        <v>143</v>
      </c>
      <c r="E4" s="7">
        <v>14</v>
      </c>
      <c r="F4" s="7">
        <f>rearing!U4</f>
        <v>7</v>
      </c>
      <c r="G4" s="7">
        <f>rearing!S4</f>
        <v>26</v>
      </c>
      <c r="J4" s="7">
        <v>7.5</v>
      </c>
      <c r="K4" s="7" t="s">
        <v>138</v>
      </c>
      <c r="L4" s="7">
        <v>10</v>
      </c>
      <c r="M4" s="7" t="s">
        <v>145</v>
      </c>
      <c r="N4" s="12">
        <f>SUM(J4,L4)</f>
        <v>17.5</v>
      </c>
      <c r="P4" s="7">
        <v>3.3</v>
      </c>
      <c r="Q4" s="7" t="s">
        <v>139</v>
      </c>
      <c r="R4" s="7">
        <v>35</v>
      </c>
      <c r="S4" s="7" t="s">
        <v>138</v>
      </c>
      <c r="V4" s="7">
        <v>65</v>
      </c>
      <c r="W4" s="7" t="s">
        <v>139</v>
      </c>
    </row>
    <row r="5" spans="1:37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  <c r="D5" s="7" t="s">
        <v>142</v>
      </c>
      <c r="E5" s="7">
        <v>42</v>
      </c>
      <c r="F5" s="7">
        <v>6.54</v>
      </c>
      <c r="G5" s="7">
        <v>28</v>
      </c>
      <c r="H5" s="7">
        <v>1328</v>
      </c>
      <c r="N5" s="12">
        <f>21.508*58.75%/126*1000</f>
        <v>100.28531746031744</v>
      </c>
      <c r="P5" s="12">
        <f>22.251*54.25%/126*1000</f>
        <v>95.802916666666661</v>
      </c>
      <c r="R5" s="12">
        <f>2.411*40.46%/126*1000</f>
        <v>7.7419888888888897</v>
      </c>
      <c r="T5" s="12">
        <f>48.922*62.95%/126*1000</f>
        <v>244.41586507936509</v>
      </c>
      <c r="V5" s="12">
        <f>3.858*57.49%/126*1000</f>
        <v>17.602890476190474</v>
      </c>
      <c r="Z5" s="12">
        <f>0.065*62.98%/126*1000</f>
        <v>0.32489682539682535</v>
      </c>
      <c r="AD5" s="12">
        <f>2.124*13.18%/126*1000</f>
        <v>2.221771428571429</v>
      </c>
      <c r="AF5" s="12">
        <f>1.42*21.79%/126*1000</f>
        <v>2.4556984126984123</v>
      </c>
      <c r="AH5" s="12">
        <f>3.519*24.6%/126*1000</f>
        <v>6.8704285714285724</v>
      </c>
      <c r="AJ5" s="12">
        <f>0.912*55.98%/126*1000</f>
        <v>4.0518857142857145</v>
      </c>
    </row>
    <row r="6" spans="1:37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  <c r="D6" s="7" t="s">
        <v>143</v>
      </c>
      <c r="E6" s="7">
        <v>40</v>
      </c>
      <c r="F6" s="7">
        <v>7.4</v>
      </c>
      <c r="G6" s="7">
        <f>rearing!S7</f>
        <v>28</v>
      </c>
      <c r="J6" s="7">
        <v>75</v>
      </c>
      <c r="L6" s="7">
        <v>0</v>
      </c>
      <c r="P6" s="7">
        <v>40</v>
      </c>
      <c r="R6" s="7">
        <v>15</v>
      </c>
      <c r="T6" s="7">
        <v>50</v>
      </c>
      <c r="V6" s="7">
        <v>10</v>
      </c>
      <c r="X6" s="7">
        <v>5</v>
      </c>
      <c r="Z6" s="7">
        <v>0.05</v>
      </c>
      <c r="AB6" s="7">
        <v>0.3</v>
      </c>
      <c r="AD6" s="7">
        <v>0.01</v>
      </c>
      <c r="AF6" s="7">
        <v>1E-3</v>
      </c>
      <c r="AH6" s="7">
        <v>0.01</v>
      </c>
    </row>
    <row r="7" spans="1:37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  <c r="D7" s="7" t="s">
        <v>143</v>
      </c>
      <c r="E7" s="7">
        <v>40</v>
      </c>
      <c r="F7" s="7">
        <v>7.4</v>
      </c>
      <c r="G7" s="7">
        <f>rearing!S8</f>
        <v>28</v>
      </c>
      <c r="J7" s="7">
        <v>50</v>
      </c>
      <c r="L7" s="7">
        <v>0</v>
      </c>
      <c r="P7" s="7">
        <v>50</v>
      </c>
      <c r="R7" s="7">
        <v>30</v>
      </c>
      <c r="T7" s="7">
        <v>90</v>
      </c>
      <c r="V7" s="7">
        <v>20</v>
      </c>
      <c r="X7" s="7">
        <v>10</v>
      </c>
      <c r="Z7" s="7">
        <v>0.1</v>
      </c>
      <c r="AB7" s="7">
        <v>0.2</v>
      </c>
      <c r="AD7" s="7">
        <v>0.01</v>
      </c>
      <c r="AF7" s="7">
        <v>1E-3</v>
      </c>
      <c r="AH7" s="7">
        <v>0.01</v>
      </c>
    </row>
    <row r="8" spans="1:37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  <c r="D8" s="7" t="s">
        <v>142</v>
      </c>
      <c r="E8" s="7">
        <v>40</v>
      </c>
      <c r="F8" s="7">
        <v>7.2</v>
      </c>
      <c r="G8" s="7">
        <f>rearing!S8</f>
        <v>28</v>
      </c>
      <c r="J8" s="7">
        <v>230</v>
      </c>
      <c r="L8" s="7">
        <v>0</v>
      </c>
      <c r="P8" s="7">
        <v>45</v>
      </c>
      <c r="R8" s="7">
        <v>40</v>
      </c>
      <c r="T8" s="7">
        <v>120</v>
      </c>
      <c r="V8" s="7">
        <v>40</v>
      </c>
      <c r="X8" s="7">
        <v>150</v>
      </c>
      <c r="Z8" s="7">
        <v>0.1</v>
      </c>
      <c r="AB8" s="7">
        <v>0.1</v>
      </c>
      <c r="AD8" s="7">
        <v>0.01</v>
      </c>
      <c r="AF8" s="7">
        <v>1E-3</v>
      </c>
      <c r="AH8" s="7">
        <v>0.01</v>
      </c>
    </row>
    <row r="9" spans="1:37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</row>
    <row r="10" spans="1:37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</row>
    <row r="11" spans="1:37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</row>
    <row r="12" spans="1:37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</row>
    <row r="13" spans="1:37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</row>
    <row r="14" spans="1:37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</row>
    <row r="15" spans="1:37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</row>
    <row r="16" spans="1:37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</row>
    <row r="17" spans="1:37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  <c r="D17" s="7" t="s">
        <v>142</v>
      </c>
      <c r="E17" s="7">
        <v>121</v>
      </c>
      <c r="F17" s="7">
        <v>6.8</v>
      </c>
      <c r="H17" s="7">
        <v>3100</v>
      </c>
      <c r="J17" s="7">
        <v>0.15</v>
      </c>
      <c r="K17" s="7" t="s">
        <v>145</v>
      </c>
      <c r="L17" s="7">
        <v>276.74</v>
      </c>
      <c r="M17" s="7" t="s">
        <v>138</v>
      </c>
      <c r="N17" s="7">
        <v>277.22000000000003</v>
      </c>
      <c r="O17" s="7" t="s">
        <v>138</v>
      </c>
      <c r="P17" s="7">
        <v>6.95</v>
      </c>
      <c r="Q17" s="7" t="s">
        <v>145</v>
      </c>
      <c r="R17" s="7">
        <v>13.71</v>
      </c>
      <c r="S17" s="7" t="s">
        <v>145</v>
      </c>
      <c r="T17" s="7">
        <v>461.41</v>
      </c>
      <c r="U17" s="7" t="s">
        <v>138</v>
      </c>
      <c r="V17" s="7">
        <v>32.44</v>
      </c>
      <c r="W17" s="7" t="s">
        <v>139</v>
      </c>
      <c r="X17" s="7">
        <v>62.28</v>
      </c>
      <c r="Y17" s="7" t="s">
        <v>138</v>
      </c>
      <c r="Z17" s="7">
        <v>1.8000000000000001E-4</v>
      </c>
      <c r="AA17" s="7" t="s">
        <v>139</v>
      </c>
      <c r="AB17" s="7">
        <v>3.8999999999999999E-4</v>
      </c>
      <c r="AC17" s="7" t="s">
        <v>145</v>
      </c>
      <c r="AF17" s="7">
        <v>3.0000000000000001E-5</v>
      </c>
      <c r="AG17" s="7" t="s">
        <v>145</v>
      </c>
      <c r="AH17" s="7">
        <v>1.9000000000000001E-4</v>
      </c>
      <c r="AI17" s="7" t="s">
        <v>138</v>
      </c>
      <c r="AJ17" s="7">
        <v>168.3</v>
      </c>
      <c r="AK17" s="7" t="s">
        <v>138</v>
      </c>
    </row>
    <row r="18" spans="1:37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  <c r="D18" s="7" t="s">
        <v>142</v>
      </c>
      <c r="E18" s="7">
        <v>35</v>
      </c>
      <c r="F18" s="7">
        <v>6.3</v>
      </c>
      <c r="H18" s="7">
        <v>1700</v>
      </c>
      <c r="J18" s="7">
        <v>0.18</v>
      </c>
      <c r="K18" s="7" t="s">
        <v>145</v>
      </c>
      <c r="L18" s="7">
        <v>62.3</v>
      </c>
      <c r="M18" s="7" t="s">
        <v>138</v>
      </c>
      <c r="N18" s="7">
        <v>62.53</v>
      </c>
      <c r="O18" s="7" t="s">
        <v>138</v>
      </c>
      <c r="P18" s="7">
        <v>17.89</v>
      </c>
      <c r="Q18" s="7" t="s">
        <v>138</v>
      </c>
      <c r="R18" s="7">
        <v>10.56</v>
      </c>
      <c r="S18" s="7" t="s">
        <v>138</v>
      </c>
      <c r="T18" s="7">
        <v>316.81</v>
      </c>
      <c r="U18" s="7" t="s">
        <v>138</v>
      </c>
      <c r="V18" s="7">
        <v>14.13</v>
      </c>
      <c r="W18" s="7" t="s">
        <v>138</v>
      </c>
      <c r="X18" s="7">
        <v>166.53</v>
      </c>
      <c r="Y18" s="7" t="s">
        <v>138</v>
      </c>
      <c r="Z18" s="7">
        <f>0.15*0.001</f>
        <v>1.4999999999999999E-4</v>
      </c>
      <c r="AA18" s="7" t="s">
        <v>138</v>
      </c>
      <c r="AB18" s="7">
        <v>1.7000000000000001E-4</v>
      </c>
      <c r="AC18" s="7" t="s">
        <v>139</v>
      </c>
      <c r="AF18" s="7">
        <v>2.0000000000000002E-5</v>
      </c>
      <c r="AG18" s="7" t="s">
        <v>138</v>
      </c>
      <c r="AH18" s="7">
        <v>5.9000000000000003E-4</v>
      </c>
      <c r="AI18" s="7" t="s">
        <v>138</v>
      </c>
      <c r="AJ18" s="7">
        <v>70.849999999999994</v>
      </c>
      <c r="AK18" s="7" t="s">
        <v>139</v>
      </c>
    </row>
    <row r="19" spans="1:37" s="26" customFormat="1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  <c r="D19" s="26" t="s">
        <v>142</v>
      </c>
      <c r="E19" s="26">
        <v>35</v>
      </c>
      <c r="F19" s="26">
        <v>8.4</v>
      </c>
      <c r="G19" s="26">
        <v>22.9</v>
      </c>
      <c r="H19" s="26">
        <v>895.5</v>
      </c>
      <c r="L19" s="26">
        <v>2.875</v>
      </c>
      <c r="M19" s="26" t="s">
        <v>139</v>
      </c>
      <c r="P19" s="26">
        <v>0</v>
      </c>
      <c r="Q19" s="26" t="s">
        <v>145</v>
      </c>
      <c r="R19" s="26">
        <v>0</v>
      </c>
      <c r="S19" s="26" t="s">
        <v>145</v>
      </c>
      <c r="T19" s="26">
        <v>12</v>
      </c>
      <c r="U19" s="26" t="s">
        <v>145</v>
      </c>
      <c r="X19" s="26">
        <v>2.64</v>
      </c>
      <c r="Y19" s="26" t="s">
        <v>138</v>
      </c>
      <c r="AJ19" s="26">
        <v>1.25</v>
      </c>
      <c r="AK19" s="26" t="s">
        <v>139</v>
      </c>
    </row>
    <row r="20" spans="1:37" s="26" customFormat="1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  <c r="D20" s="26" t="s">
        <v>143</v>
      </c>
      <c r="E20" s="26">
        <v>35</v>
      </c>
      <c r="F20" s="26">
        <v>8.5</v>
      </c>
      <c r="G20" s="26">
        <v>22.6</v>
      </c>
      <c r="H20" s="26">
        <v>766.6</v>
      </c>
      <c r="L20" s="26">
        <v>3.22</v>
      </c>
      <c r="M20" s="26" t="s">
        <v>139</v>
      </c>
      <c r="P20" s="26">
        <v>0</v>
      </c>
      <c r="Q20" s="26" t="s">
        <v>145</v>
      </c>
      <c r="R20" s="26">
        <v>0</v>
      </c>
      <c r="S20" s="26" t="s">
        <v>145</v>
      </c>
      <c r="T20" s="26">
        <v>8</v>
      </c>
      <c r="U20" s="26" t="s">
        <v>145</v>
      </c>
      <c r="X20" s="26">
        <v>1.2375</v>
      </c>
      <c r="Y20" s="26" t="s">
        <v>139</v>
      </c>
      <c r="AJ20" s="26">
        <v>1.25</v>
      </c>
      <c r="AK20" s="26" t="s">
        <v>139</v>
      </c>
    </row>
    <row r="21" spans="1:37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</row>
    <row r="22" spans="1:37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</row>
    <row r="23" spans="1:37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</row>
    <row r="24" spans="1:37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  <c r="D24" s="7" t="s">
        <v>142</v>
      </c>
      <c r="E24" s="7">
        <v>15</v>
      </c>
      <c r="F24" s="7">
        <v>7.3</v>
      </c>
      <c r="G24" s="7">
        <v>21.1</v>
      </c>
      <c r="I24" s="7">
        <f>sludgeRAW!E24-sludgeRAW!E24*0.6096</f>
        <v>0.47511680000000001</v>
      </c>
      <c r="J24" s="7">
        <f>N24*0.0087</f>
        <v>1.4926067999999999</v>
      </c>
      <c r="L24" s="7">
        <f>N24*0.9807</f>
        <v>168.25281479999998</v>
      </c>
      <c r="N24" s="7">
        <v>171.56399999999999</v>
      </c>
      <c r="P24" s="7">
        <v>3.6269999999999998</v>
      </c>
      <c r="R24" s="7">
        <v>401.35680000000002</v>
      </c>
      <c r="T24" s="7">
        <v>29.363299999999999</v>
      </c>
      <c r="V24" s="7">
        <v>21.6692</v>
      </c>
      <c r="Z24" s="7">
        <v>0.25950000000000001</v>
      </c>
      <c r="AB24" s="7">
        <v>1.7789999999999999</v>
      </c>
      <c r="AD24" s="7">
        <v>0.26100000000000001</v>
      </c>
      <c r="AF24" s="7">
        <v>0.16750000000000001</v>
      </c>
      <c r="AH24" s="7">
        <v>0.79800000000000004</v>
      </c>
      <c r="AJ24" s="7">
        <v>34.49</v>
      </c>
    </row>
    <row r="25" spans="1:37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  <c r="D25" s="7" t="s">
        <v>143</v>
      </c>
      <c r="E25" s="7">
        <v>15</v>
      </c>
      <c r="F25" s="7">
        <v>7.5</v>
      </c>
      <c r="G25" s="7">
        <v>22.6</v>
      </c>
      <c r="I25" s="7">
        <f>sludgeRAW!E25-sludgeRAW!E25*76.17%</f>
        <v>0.32099009999999994</v>
      </c>
      <c r="N25" s="7">
        <f>143*93.83%</f>
        <v>134.17689999999999</v>
      </c>
      <c r="P25" s="7">
        <f>99.53%*5.13</f>
        <v>5.1058889999999995</v>
      </c>
      <c r="T25" s="7">
        <f>21.3*98.93%</f>
        <v>21.072090000000003</v>
      </c>
      <c r="V25" s="7">
        <f>99.78%*17.6</f>
        <v>17.56128</v>
      </c>
      <c r="AB25" s="7">
        <f>98.91%*1.78</f>
        <v>1.7605979999999999</v>
      </c>
      <c r="AD25" s="7">
        <f>0.16*99.52%</f>
        <v>0.15923200000000001</v>
      </c>
      <c r="AF25" s="7">
        <f>91.61%*0.15</f>
        <v>0.13741500000000001</v>
      </c>
      <c r="AH25" s="7">
        <f>86.85%*0.74</f>
        <v>0.64268999999999998</v>
      </c>
    </row>
    <row r="26" spans="1:37" s="41" customFormat="1" x14ac:dyDescent="0.2">
      <c r="A26" s="7" t="str">
        <f>rearing!A26</f>
        <v>Siqwepu2020</v>
      </c>
      <c r="B26" s="7" t="str">
        <f>rearing!B26</f>
        <v>African catfish</v>
      </c>
      <c r="C26" s="7" t="str">
        <f>rearing!C26</f>
        <v>FeSO4-20</v>
      </c>
    </row>
    <row r="27" spans="1:37" s="41" customFormat="1" x14ac:dyDescent="0.2">
      <c r="A27" s="7" t="str">
        <f>rearing!A27</f>
        <v>Siqwepu2020</v>
      </c>
      <c r="B27" s="7" t="str">
        <f>rearing!B27</f>
        <v>African catfish</v>
      </c>
      <c r="C27" s="7" t="str">
        <f>rearing!C27</f>
        <v>FeSO4-30</v>
      </c>
    </row>
    <row r="28" spans="1:37" s="41" customFormat="1" x14ac:dyDescent="0.2">
      <c r="A28" s="7" t="str">
        <f>rearing!A28</f>
        <v>Siqwepu2020</v>
      </c>
      <c r="B28" s="7" t="str">
        <f>rearing!B28</f>
        <v>African catfish</v>
      </c>
      <c r="C28" s="7" t="str">
        <f>rearing!C28</f>
        <v>FeSO4-60</v>
      </c>
    </row>
    <row r="29" spans="1:37" s="41" customFormat="1" x14ac:dyDescent="0.2">
      <c r="A29" s="7" t="str">
        <f>rearing!A29</f>
        <v>Siqwepu2020</v>
      </c>
      <c r="B29" s="7" t="str">
        <f>rearing!B29</f>
        <v>African catfish</v>
      </c>
      <c r="C29" s="7" t="str">
        <f>rearing!C29</f>
        <v>FeAA-5</v>
      </c>
    </row>
    <row r="30" spans="1:37" s="41" customFormat="1" x14ac:dyDescent="0.2">
      <c r="A30" s="7" t="str">
        <f>rearing!A30</f>
        <v>Siqwepu2020</v>
      </c>
      <c r="B30" s="7" t="str">
        <f>rearing!B30</f>
        <v>African catfish</v>
      </c>
      <c r="C30" s="7" t="str">
        <f>rearing!C30</f>
        <v>FeAA-10</v>
      </c>
    </row>
    <row r="31" spans="1:37" s="41" customFormat="1" x14ac:dyDescent="0.2">
      <c r="A31" s="7" t="str">
        <f>rearing!A31</f>
        <v>Siqwepu2020</v>
      </c>
      <c r="B31" s="7" t="str">
        <f>rearing!B31</f>
        <v>African catfish</v>
      </c>
      <c r="C31" s="7" t="str">
        <f>rearing!C31</f>
        <v>FeAA-20</v>
      </c>
    </row>
    <row r="32" spans="1:37" s="41" customFormat="1" x14ac:dyDescent="0.2">
      <c r="A32" s="7" t="str">
        <f>rearing!A32</f>
        <v>Siqwepu2020</v>
      </c>
      <c r="B32" s="7" t="str">
        <f>rearing!B32</f>
        <v>African catfish</v>
      </c>
      <c r="C32" s="7" t="str">
        <f>rearing!C32</f>
        <v>Control</v>
      </c>
    </row>
    <row r="33" spans="1:36" s="26" customFormat="1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  <c r="D33" s="26" t="s">
        <v>142</v>
      </c>
      <c r="E33" s="26">
        <v>45</v>
      </c>
      <c r="F33" s="26">
        <v>6.8</v>
      </c>
      <c r="G33" s="26">
        <v>20.48</v>
      </c>
      <c r="Q33" s="26" t="s">
        <v>145</v>
      </c>
      <c r="R33" s="26">
        <v>0.28000000000000003</v>
      </c>
      <c r="S33" s="26" t="s">
        <v>145</v>
      </c>
      <c r="T33" s="26">
        <v>7.35</v>
      </c>
      <c r="V33" s="26">
        <v>1.0900000000000001</v>
      </c>
      <c r="Z33" s="26">
        <v>10.08</v>
      </c>
      <c r="AB33" s="63">
        <v>2.6700000000000001E-3</v>
      </c>
      <c r="AD33" s="26">
        <v>0.69</v>
      </c>
      <c r="AF33" s="26">
        <v>0.25</v>
      </c>
      <c r="AH33" s="26">
        <v>1.01</v>
      </c>
      <c r="AJ33" s="26">
        <v>8.7200000000000006</v>
      </c>
    </row>
    <row r="34" spans="1:36" s="26" customFormat="1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  <c r="D34" s="26" t="s">
        <v>143</v>
      </c>
      <c r="E34" s="26">
        <v>45</v>
      </c>
      <c r="F34" s="26">
        <v>6.8</v>
      </c>
      <c r="G34" s="26">
        <v>20.9</v>
      </c>
      <c r="Q34" s="26" t="s">
        <v>145</v>
      </c>
      <c r="R34" s="26">
        <v>0.42</v>
      </c>
      <c r="S34" s="26" t="s">
        <v>145</v>
      </c>
      <c r="T34" s="26">
        <v>5.95</v>
      </c>
      <c r="V34" s="26">
        <v>1.45</v>
      </c>
      <c r="Z34" s="26">
        <v>11.08</v>
      </c>
      <c r="AB34" s="63">
        <v>2.16E-3</v>
      </c>
      <c r="AD34" s="26">
        <v>0.52</v>
      </c>
      <c r="AF34" s="26">
        <v>0.16</v>
      </c>
      <c r="AH34" s="26">
        <v>0.94</v>
      </c>
      <c r="AJ34" s="26">
        <v>6.38</v>
      </c>
    </row>
    <row r="35" spans="1:36" s="26" customFormat="1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  <c r="G35" s="26">
        <v>20.67</v>
      </c>
      <c r="R35" s="26">
        <v>6.02</v>
      </c>
      <c r="T35" s="26">
        <v>4.0999999999999996</v>
      </c>
      <c r="V35" s="26">
        <v>1.9</v>
      </c>
      <c r="Z35" s="26">
        <v>45.53</v>
      </c>
      <c r="AB35" s="63">
        <v>3.1099999999999999E-2</v>
      </c>
      <c r="AD35" s="26">
        <v>2.99</v>
      </c>
      <c r="AF35" s="26">
        <v>1.06</v>
      </c>
      <c r="AH35" s="26">
        <v>3.82</v>
      </c>
      <c r="AJ35" s="26">
        <v>2.5</v>
      </c>
    </row>
    <row r="36" spans="1:36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  <c r="D36" s="7" t="s">
        <v>142</v>
      </c>
    </row>
    <row r="37" spans="1:36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  <c r="D37" s="7" t="s">
        <v>143</v>
      </c>
    </row>
    <row r="38" spans="1:36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</row>
    <row r="39" spans="1:36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</row>
    <row r="40" spans="1:36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36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36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  <c r="D42" s="7" t="s">
        <v>143</v>
      </c>
      <c r="F42" s="7">
        <v>7.1</v>
      </c>
      <c r="H42" s="7">
        <v>1200</v>
      </c>
      <c r="I42" s="7">
        <v>0.115</v>
      </c>
      <c r="N42" s="7">
        <v>130</v>
      </c>
      <c r="P42" s="7">
        <v>34</v>
      </c>
      <c r="R42" s="7">
        <v>183</v>
      </c>
      <c r="T42" s="7">
        <v>92.2</v>
      </c>
      <c r="V42" s="7">
        <v>16.399999999999999</v>
      </c>
      <c r="X42" s="7">
        <v>4.4000000000000004</v>
      </c>
      <c r="Z42" s="7">
        <v>1.1000000000000001</v>
      </c>
      <c r="AB42" s="7">
        <v>3.2</v>
      </c>
      <c r="AD42" s="7">
        <v>0.2</v>
      </c>
      <c r="AF42" s="7">
        <v>0.05</v>
      </c>
      <c r="AH42" s="7">
        <v>0.18</v>
      </c>
      <c r="AJ42" s="7">
        <v>103</v>
      </c>
    </row>
    <row r="43" spans="1:36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  <c r="D43" s="7" t="s">
        <v>143</v>
      </c>
      <c r="F43" s="7">
        <v>7.6</v>
      </c>
      <c r="H43" s="7">
        <v>6100</v>
      </c>
      <c r="I43" s="7">
        <v>0.439</v>
      </c>
      <c r="N43" s="7">
        <v>423</v>
      </c>
      <c r="P43" s="7">
        <v>46.1</v>
      </c>
      <c r="R43" s="7">
        <v>866</v>
      </c>
      <c r="T43" s="7">
        <v>82</v>
      </c>
      <c r="V43" s="7">
        <v>51</v>
      </c>
      <c r="X43" s="7">
        <v>20</v>
      </c>
      <c r="Z43" s="7">
        <v>1.45</v>
      </c>
      <c r="AB43" s="7">
        <v>0.6</v>
      </c>
      <c r="AD43" s="7">
        <v>0.12</v>
      </c>
      <c r="AF43" s="7">
        <v>0.16</v>
      </c>
      <c r="AH43" s="7">
        <v>0.45</v>
      </c>
      <c r="AJ43" s="7">
        <v>171</v>
      </c>
    </row>
    <row r="44" spans="1:36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</row>
    <row r="45" spans="1:36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</row>
    <row r="46" spans="1:36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</row>
    <row r="47" spans="1:36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</row>
    <row r="48" spans="1:36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</row>
    <row r="49" spans="1:3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</row>
    <row r="50" spans="1:3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</row>
    <row r="51" spans="1:3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3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3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3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</row>
    <row r="55" spans="1:3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3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</row>
    <row r="57" spans="1:3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</row>
    <row r="58" spans="1:3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</row>
    <row r="59" spans="1:3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</row>
    <row r="60" spans="1:3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</row>
    <row r="61" spans="1:3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</row>
    <row r="62" spans="1:3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</row>
    <row r="63" spans="1:3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</row>
    <row r="64" spans="1:3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</row>
    <row r="65" spans="1:4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</row>
    <row r="66" spans="1:4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</row>
    <row r="67" spans="1:4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</row>
    <row r="68" spans="1:4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</row>
    <row r="69" spans="1:4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</row>
    <row r="70" spans="1:4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</row>
    <row r="71" spans="1:4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</row>
    <row r="72" spans="1:4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</row>
    <row r="73" spans="1:4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</row>
    <row r="74" spans="1:4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</row>
    <row r="75" spans="1:4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</row>
    <row r="76" spans="1:4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</row>
    <row r="77" spans="1:4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</row>
    <row r="78" spans="1:4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</row>
    <row r="79" spans="1:4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</row>
    <row r="80" spans="1:4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  <c r="D80" s="7" t="s">
        <v>142</v>
      </c>
    </row>
    <row r="81" spans="1:36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s="7" t="s">
        <v>142</v>
      </c>
    </row>
    <row r="82" spans="1:36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</row>
    <row r="83" spans="1:36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  <c r="D83" s="7" t="s">
        <v>142</v>
      </c>
      <c r="E83" s="7">
        <v>30</v>
      </c>
      <c r="F83" s="7">
        <v>5.5</v>
      </c>
      <c r="G83" s="7">
        <v>30</v>
      </c>
      <c r="I83" s="7">
        <v>10</v>
      </c>
      <c r="J83" s="7">
        <v>109.2</v>
      </c>
      <c r="K83" s="7" t="s">
        <v>138</v>
      </c>
    </row>
    <row r="84" spans="1:36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  <c r="D84" s="7" t="s">
        <v>142</v>
      </c>
      <c r="E84" s="7">
        <v>30</v>
      </c>
      <c r="F84" s="7">
        <v>6</v>
      </c>
      <c r="G84" s="7">
        <v>30</v>
      </c>
      <c r="I84" s="7">
        <v>10</v>
      </c>
      <c r="J84" s="7">
        <v>107.4</v>
      </c>
      <c r="K84" s="7" t="s">
        <v>138</v>
      </c>
    </row>
    <row r="85" spans="1:36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  <c r="D85" s="7" t="s">
        <v>142</v>
      </c>
      <c r="E85" s="7">
        <v>30</v>
      </c>
      <c r="F85" s="7">
        <v>6.5</v>
      </c>
      <c r="G85" s="7">
        <v>30</v>
      </c>
      <c r="I85" s="7">
        <v>10</v>
      </c>
      <c r="J85" s="7">
        <v>115.7</v>
      </c>
      <c r="K85" s="7" t="s">
        <v>138</v>
      </c>
    </row>
    <row r="86" spans="1:36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  <c r="D86" s="7" t="s">
        <v>142</v>
      </c>
      <c r="E86" s="7">
        <v>30</v>
      </c>
      <c r="F86" s="7">
        <v>5.5</v>
      </c>
      <c r="G86" s="7">
        <v>35</v>
      </c>
      <c r="I86" s="7">
        <v>10</v>
      </c>
      <c r="J86" s="7">
        <v>134.30000000000001</v>
      </c>
      <c r="K86" s="7" t="s">
        <v>138</v>
      </c>
    </row>
    <row r="87" spans="1:36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  <c r="D87" s="7" t="s">
        <v>142</v>
      </c>
      <c r="E87" s="7">
        <v>30</v>
      </c>
      <c r="F87" s="7">
        <v>6</v>
      </c>
      <c r="G87" s="7">
        <v>35</v>
      </c>
      <c r="I87" s="7">
        <v>10</v>
      </c>
      <c r="J87" s="7">
        <v>145.1</v>
      </c>
      <c r="K87" s="7" t="s">
        <v>138</v>
      </c>
    </row>
    <row r="88" spans="1:36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  <c r="D88" s="7" t="s">
        <v>142</v>
      </c>
      <c r="E88" s="7">
        <v>30</v>
      </c>
      <c r="F88" s="7">
        <v>6.5</v>
      </c>
      <c r="G88" s="7">
        <v>35</v>
      </c>
      <c r="I88" s="7">
        <v>10</v>
      </c>
      <c r="J88" s="7">
        <v>142.9</v>
      </c>
      <c r="K88" s="7" t="s">
        <v>138</v>
      </c>
    </row>
    <row r="89" spans="1:36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  <c r="D89" s="7" t="s">
        <v>142</v>
      </c>
      <c r="E89" s="7">
        <v>30</v>
      </c>
      <c r="F89" s="7">
        <v>5.5</v>
      </c>
      <c r="G89" s="7">
        <v>40</v>
      </c>
      <c r="I89" s="7">
        <v>10</v>
      </c>
      <c r="J89" s="7">
        <v>73.900000000000006</v>
      </c>
      <c r="K89" s="7" t="s">
        <v>138</v>
      </c>
    </row>
    <row r="90" spans="1:36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  <c r="D90" s="7" t="s">
        <v>142</v>
      </c>
      <c r="E90" s="7">
        <v>30</v>
      </c>
      <c r="F90" s="7">
        <v>6</v>
      </c>
      <c r="G90" s="7">
        <v>40</v>
      </c>
      <c r="I90" s="7">
        <v>10</v>
      </c>
      <c r="J90" s="7">
        <v>86.6</v>
      </c>
      <c r="K90" s="7" t="s">
        <v>138</v>
      </c>
    </row>
    <row r="91" spans="1:36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  <c r="D91" s="7" t="s">
        <v>142</v>
      </c>
      <c r="E91" s="7">
        <v>30</v>
      </c>
      <c r="F91" s="7">
        <v>6.5</v>
      </c>
      <c r="G91" s="7">
        <v>40</v>
      </c>
      <c r="I91" s="7">
        <v>10</v>
      </c>
      <c r="J91" s="7">
        <v>101.8</v>
      </c>
      <c r="K91" s="7" t="s">
        <v>138</v>
      </c>
    </row>
    <row r="92" spans="1:36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  <c r="D92" s="7" t="s">
        <v>143</v>
      </c>
      <c r="E92" s="7">
        <v>42</v>
      </c>
      <c r="F92" s="7">
        <v>6.65</v>
      </c>
      <c r="G92" s="7">
        <v>28</v>
      </c>
      <c r="N92" s="12">
        <f>21.508*61.52%/126*1000</f>
        <v>105.01366349206351</v>
      </c>
      <c r="P92" s="12">
        <f>22.251*28.4%/126*1000</f>
        <v>50.153047619047619</v>
      </c>
      <c r="R92" s="12">
        <f>2.411*42.27%/126*1000</f>
        <v>8.0883309523809537</v>
      </c>
      <c r="T92" s="12">
        <f>48.922*8.41%/126*1000</f>
        <v>32.653493650793656</v>
      </c>
      <c r="V92" s="12">
        <f>3.858*35.77%/126*1000</f>
        <v>10.952433333333333</v>
      </c>
      <c r="Z92" s="12">
        <f>0.065*2.5%/126*1000</f>
        <v>1.2896825396825398E-2</v>
      </c>
      <c r="AD92" s="12">
        <f>2.124*5.74%/126*1000</f>
        <v>0.96760000000000002</v>
      </c>
      <c r="AF92" s="12">
        <f>1.42*10.74%/126*1000</f>
        <v>1.2103809523809521</v>
      </c>
      <c r="AH92" s="12">
        <f>3.519*21.91%/126*1000</f>
        <v>6.1191500000000003</v>
      </c>
      <c r="AJ92" s="12">
        <f>0.912*32.09%/126*1000</f>
        <v>2.3227047619047623</v>
      </c>
    </row>
    <row r="93" spans="1:36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  <c r="D93" s="7" t="s">
        <v>143</v>
      </c>
      <c r="E93" s="7">
        <v>4</v>
      </c>
      <c r="G93" s="7">
        <v>25</v>
      </c>
      <c r="J93" s="7">
        <v>12</v>
      </c>
      <c r="K93" s="7" t="s">
        <v>138</v>
      </c>
      <c r="L93" s="7">
        <v>0</v>
      </c>
      <c r="M93" s="7" t="s">
        <v>145</v>
      </c>
      <c r="P93" s="7">
        <v>3.4649999999999999</v>
      </c>
      <c r="Q93" s="7" t="s">
        <v>138</v>
      </c>
      <c r="R93" s="7">
        <v>25</v>
      </c>
      <c r="S93" s="7" t="s">
        <v>139</v>
      </c>
      <c r="V93" s="7">
        <v>65</v>
      </c>
      <c r="W93" s="7" t="s">
        <v>139</v>
      </c>
    </row>
    <row r="94" spans="1:36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</row>
    <row r="95" spans="1:36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</row>
    <row r="96" spans="1:36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</row>
    <row r="97" spans="1:3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</row>
    <row r="98" spans="1:3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</row>
    <row r="99" spans="1:3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</row>
    <row r="100" spans="1:3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</row>
    <row r="101" spans="1:3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</row>
    <row r="102" spans="1:3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</row>
    <row r="103" spans="1:3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</row>
    <row r="104" spans="1:3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</row>
    <row r="105" spans="1:3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</row>
    <row r="106" spans="1:3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</row>
    <row r="107" spans="1:3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</row>
    <row r="108" spans="1:3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</row>
    <row r="109" spans="1:3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</row>
    <row r="110" spans="1:3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</row>
    <row r="111" spans="1:3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</row>
    <row r="112" spans="1:3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</row>
    <row r="113" spans="1:3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</row>
    <row r="114" spans="1:3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</row>
    <row r="115" spans="1:3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</row>
    <row r="116" spans="1:3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</row>
  </sheetData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0562-8FA3-894F-A67F-8A337B1978EC}">
  <sheetPr>
    <tabColor rgb="FFFFC000"/>
  </sheetPr>
  <dimension ref="A2:X116"/>
  <sheetViews>
    <sheetView zoomScale="130" zoomScaleNormal="130" workbookViewId="0">
      <pane xSplit="3" ySplit="2" topLeftCell="D79" activePane="bottomRight" state="frozen"/>
      <selection pane="topRight" activeCell="D1" sqref="D1"/>
      <selection pane="bottomLeft" activeCell="A3" sqref="A3"/>
      <selection pane="bottomRight" activeCell="D116" sqref="D116"/>
    </sheetView>
  </sheetViews>
  <sheetFormatPr baseColWidth="10" defaultColWidth="10.83203125" defaultRowHeight="16" x14ac:dyDescent="0.2"/>
  <cols>
    <col min="1" max="1" width="13.83203125" customWidth="1"/>
    <col min="4" max="5" width="22.83203125" customWidth="1"/>
    <col min="9" max="9" width="9.83203125" customWidth="1"/>
    <col min="10" max="10" width="14.5" customWidth="1"/>
  </cols>
  <sheetData>
    <row r="2" spans="1:24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236</v>
      </c>
      <c r="E2" s="1" t="s">
        <v>473</v>
      </c>
      <c r="F2" s="1" t="s">
        <v>46</v>
      </c>
      <c r="G2" s="1" t="s">
        <v>116</v>
      </c>
      <c r="H2" s="1" t="s">
        <v>117</v>
      </c>
      <c r="I2" s="1" t="s">
        <v>174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83</v>
      </c>
      <c r="O2" s="1" t="s">
        <v>84</v>
      </c>
      <c r="P2" s="1" t="s">
        <v>85</v>
      </c>
      <c r="Q2" s="1" t="s">
        <v>122</v>
      </c>
      <c r="R2" s="1" t="s">
        <v>89</v>
      </c>
      <c r="S2" s="1" t="s">
        <v>86</v>
      </c>
      <c r="T2" s="1" t="s">
        <v>87</v>
      </c>
      <c r="U2" s="1" t="s">
        <v>88</v>
      </c>
      <c r="V2" s="1" t="s">
        <v>123</v>
      </c>
      <c r="W2" s="1" t="s">
        <v>90</v>
      </c>
      <c r="X2" s="1" t="s">
        <v>91</v>
      </c>
    </row>
    <row r="3" spans="1:24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  <c r="D3" t="s">
        <v>409</v>
      </c>
    </row>
    <row r="4" spans="1:24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  <c r="D4" t="s">
        <v>409</v>
      </c>
    </row>
    <row r="5" spans="1:24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  <c r="D5" t="s">
        <v>409</v>
      </c>
    </row>
    <row r="6" spans="1:24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  <c r="D6" t="s">
        <v>409</v>
      </c>
    </row>
    <row r="7" spans="1:24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  <c r="D7" t="s">
        <v>409</v>
      </c>
    </row>
    <row r="8" spans="1:24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  <c r="D8" t="s">
        <v>409</v>
      </c>
    </row>
    <row r="9" spans="1:24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  <c r="D9" t="s">
        <v>237</v>
      </c>
      <c r="E9" t="s">
        <v>408</v>
      </c>
    </row>
    <row r="10" spans="1:24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  <c r="D10" t="s">
        <v>237</v>
      </c>
      <c r="E10" t="s">
        <v>408</v>
      </c>
    </row>
    <row r="11" spans="1:24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  <c r="D11" t="s">
        <v>237</v>
      </c>
      <c r="E11" t="s">
        <v>408</v>
      </c>
    </row>
    <row r="12" spans="1:24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  <c r="D12" t="s">
        <v>237</v>
      </c>
      <c r="E12" t="s">
        <v>408</v>
      </c>
    </row>
    <row r="13" spans="1:24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D13" t="s">
        <v>409</v>
      </c>
    </row>
    <row r="14" spans="1:24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D14" t="s">
        <v>409</v>
      </c>
    </row>
    <row r="15" spans="1:24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  <c r="D15" t="s">
        <v>409</v>
      </c>
    </row>
    <row r="16" spans="1:24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D16" t="s">
        <v>409</v>
      </c>
    </row>
    <row r="17" spans="1:3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</row>
    <row r="18" spans="1:3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</row>
    <row r="19" spans="1:3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</row>
    <row r="20" spans="1:3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</row>
    <row r="21" spans="1:3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</row>
    <row r="22" spans="1:3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</row>
    <row r="23" spans="1:3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</row>
    <row r="24" spans="1:3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</row>
    <row r="25" spans="1:3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</row>
    <row r="26" spans="1:3" x14ac:dyDescent="0.2">
      <c r="A26" s="7" t="str">
        <f>rearing!A26</f>
        <v>Siqwepu2020</v>
      </c>
      <c r="B26" s="7" t="str">
        <f>rearing!B26</f>
        <v>African catfish</v>
      </c>
      <c r="C26" s="7" t="str">
        <f>rearing!C26</f>
        <v>FeSO4-20</v>
      </c>
    </row>
    <row r="27" spans="1:3" x14ac:dyDescent="0.2">
      <c r="A27" s="7" t="str">
        <f>rearing!A27</f>
        <v>Siqwepu2020</v>
      </c>
      <c r="B27" s="7" t="str">
        <f>rearing!B27</f>
        <v>African catfish</v>
      </c>
      <c r="C27" s="7" t="str">
        <f>rearing!C27</f>
        <v>FeSO4-30</v>
      </c>
    </row>
    <row r="28" spans="1:3" x14ac:dyDescent="0.2">
      <c r="A28" s="7" t="str">
        <f>rearing!A28</f>
        <v>Siqwepu2020</v>
      </c>
      <c r="B28" s="7" t="str">
        <f>rearing!B28</f>
        <v>African catfish</v>
      </c>
      <c r="C28" s="7" t="str">
        <f>rearing!C28</f>
        <v>FeSO4-60</v>
      </c>
    </row>
    <row r="29" spans="1:3" x14ac:dyDescent="0.2">
      <c r="A29" s="7" t="str">
        <f>rearing!A29</f>
        <v>Siqwepu2020</v>
      </c>
      <c r="B29" s="7" t="str">
        <f>rearing!B29</f>
        <v>African catfish</v>
      </c>
      <c r="C29" s="7" t="str">
        <f>rearing!C29</f>
        <v>FeAA-5</v>
      </c>
    </row>
    <row r="30" spans="1:3" x14ac:dyDescent="0.2">
      <c r="A30" s="7" t="str">
        <f>rearing!A30</f>
        <v>Siqwepu2020</v>
      </c>
      <c r="B30" s="7" t="str">
        <f>rearing!B30</f>
        <v>African catfish</v>
      </c>
      <c r="C30" s="7" t="str">
        <f>rearing!C30</f>
        <v>FeAA-10</v>
      </c>
    </row>
    <row r="31" spans="1:3" x14ac:dyDescent="0.2">
      <c r="A31" s="7" t="str">
        <f>rearing!A31</f>
        <v>Siqwepu2020</v>
      </c>
      <c r="B31" s="7" t="str">
        <f>rearing!B31</f>
        <v>African catfish</v>
      </c>
      <c r="C31" s="7" t="str">
        <f>rearing!C31</f>
        <v>FeAA-20</v>
      </c>
    </row>
    <row r="32" spans="1:3" x14ac:dyDescent="0.2">
      <c r="A32" s="7" t="str">
        <f>rearing!A32</f>
        <v>Siqwepu2020</v>
      </c>
      <c r="B32" s="7" t="str">
        <f>rearing!B32</f>
        <v>African catfish</v>
      </c>
      <c r="C32" s="7" t="str">
        <f>rearing!C32</f>
        <v>Control</v>
      </c>
    </row>
    <row r="33" spans="1:24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  <c r="D33" t="s">
        <v>409</v>
      </c>
    </row>
    <row r="34" spans="1:24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  <c r="D34" t="s">
        <v>409</v>
      </c>
    </row>
    <row r="35" spans="1:24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  <c r="D35" t="s">
        <v>237</v>
      </c>
    </row>
    <row r="36" spans="1:24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  <c r="D36" t="s">
        <v>237</v>
      </c>
    </row>
    <row r="37" spans="1:24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  <c r="D37" t="s">
        <v>237</v>
      </c>
    </row>
    <row r="38" spans="1:24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  <c r="D38" t="s">
        <v>237</v>
      </c>
    </row>
    <row r="39" spans="1:24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</row>
    <row r="40" spans="1:24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24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24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</row>
    <row r="43" spans="1:24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</row>
    <row r="44" spans="1:24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  <c r="D44" t="s">
        <v>237</v>
      </c>
      <c r="F44">
        <v>6.34</v>
      </c>
      <c r="J44">
        <f>1.16*(14)</f>
        <v>16.239999999999998</v>
      </c>
      <c r="K44">
        <f>16.97*(14)</f>
        <v>237.57999999999998</v>
      </c>
      <c r="L44" s="66">
        <f>J44+K44</f>
        <v>253.82</v>
      </c>
      <c r="M44">
        <f>1.54*31</f>
        <v>47.74</v>
      </c>
      <c r="N44">
        <f>8.6*39</f>
        <v>335.4</v>
      </c>
      <c r="O44">
        <f>6.38*40</f>
        <v>255.2</v>
      </c>
      <c r="P44">
        <f>2.61*24</f>
        <v>62.64</v>
      </c>
      <c r="Q44">
        <f>4.69*32</f>
        <v>150.08000000000001</v>
      </c>
      <c r="R44">
        <f>45.01*11*0.001</f>
        <v>0.49510999999999999</v>
      </c>
      <c r="S44">
        <f>45.01*56*0.001</f>
        <v>2.5205600000000001</v>
      </c>
      <c r="T44">
        <f>0.95*64*0.001</f>
        <v>6.08E-2</v>
      </c>
      <c r="U44">
        <f>12.22*55*0.001</f>
        <v>0.67210000000000003</v>
      </c>
      <c r="V44">
        <f>6.99*65*0.001</f>
        <v>0.45435000000000003</v>
      </c>
      <c r="W44">
        <f>4.32*23</f>
        <v>99.360000000000014</v>
      </c>
      <c r="X44">
        <f>3.58*35</f>
        <v>125.3</v>
      </c>
    </row>
    <row r="45" spans="1:24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  <c r="D45" t="s">
        <v>237</v>
      </c>
      <c r="F45">
        <v>6.24</v>
      </c>
      <c r="J45">
        <f>1.1*(14)</f>
        <v>15.400000000000002</v>
      </c>
      <c r="K45">
        <f>17.93*14</f>
        <v>251.01999999999998</v>
      </c>
      <c r="L45" s="66">
        <f>J45+K45</f>
        <v>266.41999999999996</v>
      </c>
      <c r="M45">
        <f>1.47*31</f>
        <v>45.57</v>
      </c>
      <c r="N45">
        <f>8.84*39</f>
        <v>344.76</v>
      </c>
      <c r="O45">
        <f>6.6*40</f>
        <v>264</v>
      </c>
      <c r="P45">
        <f>2.65*24</f>
        <v>63.599999999999994</v>
      </c>
      <c r="Q45">
        <f>4.52*32</f>
        <v>144.63999999999999</v>
      </c>
      <c r="R45">
        <f>45.5*11*0.001</f>
        <v>0.50050000000000006</v>
      </c>
      <c r="S45">
        <f>22.45*56*0.001</f>
        <v>1.2572000000000001</v>
      </c>
      <c r="T45">
        <f>0.99*64*0.001</f>
        <v>6.336E-2</v>
      </c>
      <c r="U45">
        <f>12.67*55*0.001</f>
        <v>0.69685000000000008</v>
      </c>
      <c r="V45">
        <f>7.36*65*0.001</f>
        <v>0.47840000000000005</v>
      </c>
      <c r="W45">
        <f>1.49*23</f>
        <v>34.270000000000003</v>
      </c>
      <c r="X45">
        <f>0.6*35</f>
        <v>21</v>
      </c>
    </row>
    <row r="46" spans="1:24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</row>
    <row r="47" spans="1:24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</row>
    <row r="48" spans="1:24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</row>
    <row r="49" spans="1:23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  <c r="D49" t="s">
        <v>237</v>
      </c>
      <c r="J49">
        <v>7</v>
      </c>
      <c r="K49">
        <v>157</v>
      </c>
      <c r="M49">
        <v>204.9</v>
      </c>
      <c r="N49">
        <v>63.9</v>
      </c>
      <c r="O49">
        <v>227.2</v>
      </c>
      <c r="P49">
        <v>106.2</v>
      </c>
      <c r="Q49">
        <v>150.30000000000001</v>
      </c>
      <c r="W49">
        <v>126.9</v>
      </c>
    </row>
    <row r="50" spans="1:23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  <c r="D50" t="s">
        <v>237</v>
      </c>
      <c r="J50">
        <v>0.7</v>
      </c>
      <c r="K50">
        <v>111.3</v>
      </c>
      <c r="M50">
        <v>67.2</v>
      </c>
      <c r="N50">
        <v>60</v>
      </c>
      <c r="O50">
        <v>165</v>
      </c>
      <c r="P50">
        <v>109.9</v>
      </c>
      <c r="Q50">
        <v>216.8</v>
      </c>
      <c r="W50">
        <v>130.1</v>
      </c>
    </row>
    <row r="51" spans="1:23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23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23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23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</row>
    <row r="55" spans="1:23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23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</row>
    <row r="57" spans="1:23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</row>
    <row r="58" spans="1:23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</row>
    <row r="59" spans="1:23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</row>
    <row r="60" spans="1:23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</row>
    <row r="61" spans="1:23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</row>
    <row r="62" spans="1:23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</row>
    <row r="63" spans="1:23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</row>
    <row r="64" spans="1:23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</row>
    <row r="65" spans="1:23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</row>
    <row r="66" spans="1:23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</row>
    <row r="67" spans="1:23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</row>
    <row r="68" spans="1:23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</row>
    <row r="69" spans="1:23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</row>
    <row r="70" spans="1:23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</row>
    <row r="71" spans="1:23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</row>
    <row r="72" spans="1:23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</row>
    <row r="73" spans="1:23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</row>
    <row r="74" spans="1:23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</row>
    <row r="75" spans="1:23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</row>
    <row r="76" spans="1:23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  <c r="D76" t="s">
        <v>237</v>
      </c>
      <c r="F76">
        <v>5.8</v>
      </c>
      <c r="J76">
        <v>14</v>
      </c>
      <c r="K76">
        <v>191.4</v>
      </c>
      <c r="L76">
        <v>205.4</v>
      </c>
      <c r="M76">
        <v>144.80000000000001</v>
      </c>
      <c r="N76">
        <v>148</v>
      </c>
      <c r="O76">
        <v>286.7</v>
      </c>
      <c r="P76">
        <v>52</v>
      </c>
      <c r="Q76">
        <v>83.8</v>
      </c>
      <c r="R76">
        <v>0.24</v>
      </c>
      <c r="S76">
        <v>1E-3</v>
      </c>
      <c r="T76">
        <v>0.04</v>
      </c>
      <c r="U76">
        <v>0.44</v>
      </c>
      <c r="V76">
        <v>0.03</v>
      </c>
      <c r="W76">
        <v>55.2</v>
      </c>
    </row>
    <row r="77" spans="1:23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  <c r="D77" t="s">
        <v>409</v>
      </c>
      <c r="F77">
        <v>5.8</v>
      </c>
      <c r="J77">
        <v>2.2000000000000002</v>
      </c>
      <c r="K77">
        <v>197.1</v>
      </c>
      <c r="L77">
        <v>199.4</v>
      </c>
      <c r="M77">
        <v>73.400000000000006</v>
      </c>
      <c r="N77">
        <v>145.80000000000001</v>
      </c>
      <c r="O77">
        <v>318.7</v>
      </c>
      <c r="P77">
        <v>56</v>
      </c>
      <c r="Q77">
        <v>137.80000000000001</v>
      </c>
      <c r="R77">
        <v>0.28000000000000003</v>
      </c>
      <c r="S77">
        <v>0.01</v>
      </c>
      <c r="T77">
        <v>0.03</v>
      </c>
      <c r="U77">
        <v>0.45</v>
      </c>
      <c r="V77">
        <v>0.05</v>
      </c>
      <c r="W77">
        <v>55.6</v>
      </c>
    </row>
    <row r="78" spans="1:23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  <c r="D78" t="s">
        <v>237</v>
      </c>
      <c r="F78">
        <v>5.8</v>
      </c>
      <c r="J78">
        <v>2.2999999999999998</v>
      </c>
      <c r="K78">
        <v>191.2</v>
      </c>
      <c r="L78">
        <v>193.5</v>
      </c>
      <c r="M78">
        <v>74.5</v>
      </c>
      <c r="N78">
        <v>146.4</v>
      </c>
      <c r="O78">
        <v>322.3</v>
      </c>
      <c r="P78">
        <v>57.4</v>
      </c>
      <c r="Q78">
        <v>142.4</v>
      </c>
      <c r="R78">
        <v>0.28999999999999998</v>
      </c>
      <c r="S78">
        <v>0.02</v>
      </c>
      <c r="T78">
        <v>0.06</v>
      </c>
      <c r="U78">
        <v>0.44</v>
      </c>
      <c r="V78">
        <v>0.06</v>
      </c>
      <c r="W78">
        <v>57</v>
      </c>
    </row>
    <row r="79" spans="1:23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  <c r="D79" t="s">
        <v>237</v>
      </c>
      <c r="F79">
        <v>5.8</v>
      </c>
      <c r="L79">
        <v>138.6</v>
      </c>
      <c r="M79">
        <v>90.4</v>
      </c>
      <c r="N79">
        <v>177.1</v>
      </c>
      <c r="O79">
        <v>176.1</v>
      </c>
      <c r="P79">
        <v>47</v>
      </c>
      <c r="Q79">
        <v>91.8</v>
      </c>
      <c r="R79">
        <v>0.43</v>
      </c>
      <c r="S79">
        <v>2.4</v>
      </c>
      <c r="T79">
        <v>0.2</v>
      </c>
      <c r="U79">
        <v>0.42</v>
      </c>
      <c r="V79">
        <v>0.22</v>
      </c>
    </row>
    <row r="80" spans="1:23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  <c r="D80" t="s">
        <v>409</v>
      </c>
      <c r="F80">
        <v>5.8</v>
      </c>
      <c r="L80">
        <v>81.3</v>
      </c>
      <c r="M80">
        <v>29.1</v>
      </c>
      <c r="N80">
        <v>178.9</v>
      </c>
      <c r="O80">
        <v>49</v>
      </c>
      <c r="P80">
        <v>17.899999999999999</v>
      </c>
      <c r="Q80">
        <v>28.7</v>
      </c>
      <c r="R80">
        <v>0.09</v>
      </c>
      <c r="S80">
        <v>0</v>
      </c>
      <c r="T80">
        <v>0.01</v>
      </c>
      <c r="U80">
        <v>0</v>
      </c>
      <c r="V80">
        <v>0.02</v>
      </c>
    </row>
    <row r="81" spans="1:23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t="s">
        <v>237</v>
      </c>
      <c r="F81">
        <v>5.8</v>
      </c>
      <c r="L81">
        <v>102.6</v>
      </c>
      <c r="M81">
        <v>26.8</v>
      </c>
      <c r="N81">
        <v>179.4</v>
      </c>
      <c r="O81">
        <v>81.8</v>
      </c>
      <c r="P81">
        <v>20.2</v>
      </c>
      <c r="Q81">
        <v>52.3</v>
      </c>
      <c r="R81">
        <v>0.63</v>
      </c>
      <c r="S81">
        <v>3.37</v>
      </c>
      <c r="T81">
        <v>0.01</v>
      </c>
      <c r="U81">
        <v>0.73</v>
      </c>
      <c r="V81">
        <v>0.03</v>
      </c>
    </row>
    <row r="82" spans="1:23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  <c r="D82" t="s">
        <v>409</v>
      </c>
      <c r="F82">
        <v>6.55</v>
      </c>
      <c r="H82">
        <v>670</v>
      </c>
      <c r="I82">
        <v>334</v>
      </c>
      <c r="J82">
        <v>0.4662</v>
      </c>
      <c r="K82">
        <v>20.276199999999999</v>
      </c>
      <c r="L82">
        <v>20.824999999999999</v>
      </c>
      <c r="M82">
        <v>2.7745000000000002</v>
      </c>
      <c r="N82">
        <v>16.625699999999998</v>
      </c>
      <c r="O82">
        <v>63.607793800000003</v>
      </c>
      <c r="P82">
        <v>15.375343000000001</v>
      </c>
      <c r="S82">
        <v>1.9545750000000001E-2</v>
      </c>
      <c r="T82" s="69">
        <v>4.4482200000000001E-3</v>
      </c>
      <c r="V82" s="69">
        <v>5.8842E-3</v>
      </c>
    </row>
    <row r="83" spans="1:23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</row>
    <row r="84" spans="1:23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</row>
    <row r="85" spans="1:23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</row>
    <row r="86" spans="1:23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</row>
    <row r="87" spans="1:23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</row>
    <row r="88" spans="1:23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</row>
    <row r="89" spans="1:23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</row>
    <row r="90" spans="1:23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</row>
    <row r="91" spans="1:23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</row>
    <row r="92" spans="1:23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</row>
    <row r="93" spans="1:23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</row>
    <row r="94" spans="1:23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  <c r="F94" s="17">
        <v>7.7</v>
      </c>
      <c r="G94" s="7">
        <v>22.7</v>
      </c>
      <c r="H94" s="13">
        <v>540</v>
      </c>
      <c r="I94" s="60"/>
      <c r="J94" s="17">
        <v>0.33</v>
      </c>
      <c r="K94" s="7">
        <v>34.6</v>
      </c>
      <c r="L94" s="21">
        <f>SUM(J94+K94)+1.69</f>
        <v>36.619999999999997</v>
      </c>
      <c r="M94" s="7">
        <v>7.98</v>
      </c>
      <c r="N94" s="7">
        <v>26.7</v>
      </c>
      <c r="O94" s="76">
        <v>34.200000000000003</v>
      </c>
      <c r="Q94" s="7"/>
      <c r="S94" s="7">
        <v>0.21</v>
      </c>
      <c r="T94">
        <v>4.2000000000000003E-2</v>
      </c>
      <c r="V94" s="7">
        <v>0.37</v>
      </c>
      <c r="W94" s="7"/>
    </row>
    <row r="95" spans="1:23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  <c r="D95" t="s">
        <v>237</v>
      </c>
      <c r="F95" s="17">
        <v>7.71</v>
      </c>
      <c r="G95" s="7">
        <v>22.36</v>
      </c>
      <c r="H95" s="13">
        <v>1470</v>
      </c>
      <c r="I95" s="60"/>
      <c r="J95" s="17">
        <v>0.1</v>
      </c>
      <c r="K95" s="7">
        <v>465.08</v>
      </c>
      <c r="L95" s="21">
        <f>SUM(J95+K95)+0.2</f>
        <v>465.38</v>
      </c>
      <c r="M95" s="7">
        <v>15.49</v>
      </c>
      <c r="N95" s="7">
        <v>117.3</v>
      </c>
      <c r="O95" s="76">
        <v>100.2</v>
      </c>
      <c r="Q95" s="7"/>
      <c r="S95" s="7">
        <v>1.1200000000000001</v>
      </c>
      <c r="T95">
        <v>0.05</v>
      </c>
      <c r="V95" s="7">
        <v>4.5999999999999999E-2</v>
      </c>
      <c r="W95" s="7"/>
    </row>
    <row r="96" spans="1:23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</row>
    <row r="97" spans="1:23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D97" t="s">
        <v>409</v>
      </c>
      <c r="F97">
        <v>7.6</v>
      </c>
      <c r="G97">
        <v>25.7</v>
      </c>
      <c r="H97">
        <v>540</v>
      </c>
      <c r="I97">
        <v>0.32700000000000001</v>
      </c>
      <c r="K97">
        <v>34.6</v>
      </c>
      <c r="L97">
        <f>J97+K97+1.69</f>
        <v>36.29</v>
      </c>
      <c r="M97">
        <v>7.98</v>
      </c>
      <c r="N97">
        <v>26.7</v>
      </c>
      <c r="O97">
        <v>34.200000000000003</v>
      </c>
      <c r="S97">
        <v>0.21</v>
      </c>
      <c r="T97">
        <v>4.2000000000000003E-2</v>
      </c>
      <c r="V97">
        <v>0.37</v>
      </c>
    </row>
    <row r="98" spans="1:23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  <c r="D98" t="s">
        <v>237</v>
      </c>
    </row>
    <row r="99" spans="1:23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</row>
    <row r="100" spans="1:23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t="s">
        <v>376</v>
      </c>
    </row>
    <row r="101" spans="1:23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</row>
    <row r="102" spans="1:23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</row>
    <row r="103" spans="1:23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  <c r="D103" t="s">
        <v>237</v>
      </c>
      <c r="L103">
        <v>440</v>
      </c>
      <c r="M103">
        <v>1300</v>
      </c>
      <c r="N103">
        <v>340</v>
      </c>
      <c r="O103">
        <v>750</v>
      </c>
      <c r="P103">
        <v>370</v>
      </c>
      <c r="R103">
        <v>2.75</v>
      </c>
      <c r="S103">
        <v>10</v>
      </c>
      <c r="T103">
        <v>0.95</v>
      </c>
      <c r="U103">
        <v>8</v>
      </c>
      <c r="V103">
        <v>2.7</v>
      </c>
    </row>
    <row r="104" spans="1:23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  <c r="D104" t="s">
        <v>237</v>
      </c>
      <c r="L104">
        <v>430</v>
      </c>
      <c r="M104">
        <v>930</v>
      </c>
      <c r="N104">
        <v>350</v>
      </c>
      <c r="O104">
        <v>750</v>
      </c>
      <c r="P104">
        <v>390</v>
      </c>
      <c r="R104">
        <v>2</v>
      </c>
      <c r="S104">
        <v>21</v>
      </c>
      <c r="T104">
        <v>1.05</v>
      </c>
      <c r="U104">
        <v>1.9</v>
      </c>
      <c r="V104">
        <v>2.1</v>
      </c>
    </row>
    <row r="105" spans="1:23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  <c r="D105" t="s">
        <v>237</v>
      </c>
      <c r="L105">
        <v>430</v>
      </c>
      <c r="M105">
        <v>930</v>
      </c>
      <c r="N105">
        <v>350</v>
      </c>
      <c r="O105">
        <v>750</v>
      </c>
      <c r="P105">
        <v>390</v>
      </c>
      <c r="R105">
        <v>2</v>
      </c>
      <c r="S105">
        <v>21</v>
      </c>
      <c r="T105">
        <v>1.05</v>
      </c>
      <c r="U105">
        <v>1.9</v>
      </c>
      <c r="V105">
        <v>2.1</v>
      </c>
    </row>
    <row r="106" spans="1:23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  <c r="J106">
        <v>8.6</v>
      </c>
      <c r="K106">
        <v>153</v>
      </c>
      <c r="M106">
        <v>35</v>
      </c>
      <c r="N106">
        <v>233</v>
      </c>
      <c r="O106">
        <v>101</v>
      </c>
      <c r="P106">
        <v>14</v>
      </c>
      <c r="Q106">
        <v>21</v>
      </c>
      <c r="R106">
        <v>0.2</v>
      </c>
      <c r="S106">
        <v>1.1000000000000001</v>
      </c>
      <c r="T106">
        <v>3.5999999999999997E-2</v>
      </c>
      <c r="U106">
        <v>0.14799999999999999</v>
      </c>
      <c r="V106">
        <v>0.13</v>
      </c>
      <c r="W106">
        <v>6</v>
      </c>
    </row>
    <row r="107" spans="1:23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  <c r="J107">
        <v>8.3000000000000007</v>
      </c>
      <c r="K107">
        <v>141</v>
      </c>
      <c r="M107">
        <v>29</v>
      </c>
      <c r="N107">
        <v>253</v>
      </c>
      <c r="O107">
        <v>90</v>
      </c>
      <c r="P107">
        <v>14</v>
      </c>
      <c r="Q107">
        <v>21</v>
      </c>
      <c r="R107">
        <v>0.2</v>
      </c>
      <c r="S107">
        <v>0.9</v>
      </c>
      <c r="T107">
        <v>3.2000000000000001E-2</v>
      </c>
      <c r="U107">
        <v>9.9000000000000005E-2</v>
      </c>
      <c r="V107">
        <v>0.14000000000000001</v>
      </c>
      <c r="W107">
        <v>6</v>
      </c>
    </row>
    <row r="108" spans="1:23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J108">
        <v>0.6</v>
      </c>
      <c r="K108">
        <v>112</v>
      </c>
      <c r="M108">
        <v>9</v>
      </c>
      <c r="N108">
        <v>217</v>
      </c>
      <c r="O108">
        <v>73</v>
      </c>
      <c r="P108">
        <v>19</v>
      </c>
      <c r="Q108">
        <v>17</v>
      </c>
      <c r="R108">
        <v>0.02</v>
      </c>
      <c r="S108">
        <v>2.7</v>
      </c>
      <c r="T108">
        <v>2.8000000000000001E-2</v>
      </c>
      <c r="U108">
        <v>4.5999999999999999E-2</v>
      </c>
      <c r="V108">
        <v>0.32</v>
      </c>
      <c r="W108">
        <v>61</v>
      </c>
    </row>
    <row r="109" spans="1:23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F109">
        <v>6.9</v>
      </c>
      <c r="K109">
        <v>187</v>
      </c>
      <c r="M109">
        <v>8</v>
      </c>
      <c r="N109">
        <v>104</v>
      </c>
      <c r="O109">
        <v>187</v>
      </c>
      <c r="P109">
        <v>20</v>
      </c>
      <c r="R109">
        <v>0.08</v>
      </c>
      <c r="S109">
        <v>0.03</v>
      </c>
      <c r="T109">
        <v>0.03</v>
      </c>
      <c r="U109">
        <v>0.03</v>
      </c>
      <c r="V109">
        <v>0.08</v>
      </c>
    </row>
    <row r="110" spans="1:23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  <c r="F110">
        <v>6.7</v>
      </c>
      <c r="K110">
        <v>183</v>
      </c>
      <c r="M110">
        <v>8</v>
      </c>
      <c r="N110">
        <v>104</v>
      </c>
      <c r="O110">
        <v>186</v>
      </c>
      <c r="P110">
        <v>20</v>
      </c>
      <c r="R110">
        <v>0.13</v>
      </c>
      <c r="S110">
        <v>0.04</v>
      </c>
      <c r="T110">
        <v>0.03</v>
      </c>
      <c r="U110">
        <v>0.04</v>
      </c>
      <c r="V110">
        <v>0.09</v>
      </c>
    </row>
    <row r="111" spans="1:23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F111">
        <v>6.4</v>
      </c>
      <c r="K111">
        <v>184</v>
      </c>
      <c r="M111">
        <v>8</v>
      </c>
      <c r="N111">
        <v>104</v>
      </c>
      <c r="O111">
        <v>188</v>
      </c>
      <c r="P111">
        <v>20</v>
      </c>
      <c r="R111">
        <v>0.1</v>
      </c>
      <c r="S111">
        <v>0.04</v>
      </c>
      <c r="T111">
        <v>0.02</v>
      </c>
      <c r="U111">
        <v>0.04</v>
      </c>
      <c r="V111">
        <v>0.09</v>
      </c>
    </row>
    <row r="112" spans="1:23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F112">
        <v>6.3</v>
      </c>
      <c r="K112">
        <v>171</v>
      </c>
      <c r="M112">
        <v>8</v>
      </c>
      <c r="N112">
        <v>104</v>
      </c>
      <c r="O112">
        <v>187</v>
      </c>
      <c r="P112">
        <v>20</v>
      </c>
      <c r="R112">
        <v>0.08</v>
      </c>
      <c r="S112">
        <v>0.05</v>
      </c>
      <c r="T112">
        <v>0.02</v>
      </c>
      <c r="U112">
        <v>0.05</v>
      </c>
      <c r="V112">
        <v>0.08</v>
      </c>
    </row>
    <row r="113" spans="1:17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  <c r="D113" t="s">
        <v>237</v>
      </c>
      <c r="E113" t="s">
        <v>445</v>
      </c>
      <c r="K113">
        <v>126.98</v>
      </c>
      <c r="M113">
        <v>26.35</v>
      </c>
      <c r="N113">
        <v>416.13</v>
      </c>
      <c r="O113">
        <v>69.2</v>
      </c>
      <c r="P113">
        <v>52.498800000000003</v>
      </c>
      <c r="Q113">
        <v>112.64</v>
      </c>
    </row>
    <row r="114" spans="1:17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  <c r="E114" t="s">
        <v>445</v>
      </c>
    </row>
    <row r="115" spans="1:17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  <c r="D115" t="s">
        <v>237</v>
      </c>
      <c r="E115" t="s">
        <v>445</v>
      </c>
      <c r="K115">
        <v>114.24</v>
      </c>
      <c r="M115">
        <v>31</v>
      </c>
      <c r="N115">
        <v>437.58</v>
      </c>
      <c r="O115">
        <v>88.8</v>
      </c>
      <c r="P115">
        <v>62.463850000000001</v>
      </c>
      <c r="Q115">
        <v>152</v>
      </c>
    </row>
    <row r="116" spans="1:17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  <c r="E116" t="s">
        <v>445</v>
      </c>
      <c r="K116">
        <v>68.739999999999995</v>
      </c>
      <c r="M116">
        <v>23.25</v>
      </c>
      <c r="N116">
        <v>216.84</v>
      </c>
      <c r="O116">
        <v>72.8</v>
      </c>
      <c r="P116">
        <v>49.339149999999997</v>
      </c>
      <c r="Q116">
        <v>101.44</v>
      </c>
    </row>
  </sheetData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2D2B-43D2-2B44-8B0B-54410C348835}">
  <sheetPr>
    <tabColor rgb="FFFFC000"/>
  </sheetPr>
  <dimension ref="A2:AT116"/>
  <sheetViews>
    <sheetView zoomScale="130" zoomScaleNormal="130" workbookViewId="0">
      <pane xSplit="3" ySplit="2" topLeftCell="G43" activePane="bottomRight" state="frozen"/>
      <selection pane="topRight" activeCell="D1" sqref="D1"/>
      <selection pane="bottomLeft" activeCell="A3" sqref="A3"/>
      <selection pane="bottomRight" activeCell="E120" sqref="E120"/>
    </sheetView>
  </sheetViews>
  <sheetFormatPr baseColWidth="10" defaultColWidth="10.83203125" defaultRowHeight="16" x14ac:dyDescent="0.2"/>
  <cols>
    <col min="3" max="5" width="16.6640625" customWidth="1"/>
  </cols>
  <sheetData>
    <row r="2" spans="1:46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454</v>
      </c>
      <c r="E2" s="1" t="s">
        <v>453</v>
      </c>
      <c r="F2" s="1" t="s">
        <v>46</v>
      </c>
      <c r="G2" s="1" t="s">
        <v>116</v>
      </c>
      <c r="H2" s="1" t="s">
        <v>117</v>
      </c>
      <c r="I2" s="1" t="s">
        <v>174</v>
      </c>
      <c r="J2" s="1" t="s">
        <v>118</v>
      </c>
      <c r="K2" s="1" t="s">
        <v>126</v>
      </c>
      <c r="L2" s="1" t="s">
        <v>293</v>
      </c>
      <c r="M2" s="1" t="s">
        <v>141</v>
      </c>
      <c r="N2" s="1" t="s">
        <v>119</v>
      </c>
      <c r="O2" s="1" t="s">
        <v>124</v>
      </c>
      <c r="P2" s="1" t="s">
        <v>120</v>
      </c>
      <c r="Q2" s="1" t="s">
        <v>125</v>
      </c>
      <c r="R2" s="1" t="s">
        <v>121</v>
      </c>
      <c r="S2" s="1" t="s">
        <v>127</v>
      </c>
      <c r="T2" s="1" t="s">
        <v>83</v>
      </c>
      <c r="U2" s="1" t="s">
        <v>128</v>
      </c>
      <c r="V2" s="1" t="s">
        <v>84</v>
      </c>
      <c r="W2" s="1" t="s">
        <v>130</v>
      </c>
      <c r="X2" s="1" t="s">
        <v>85</v>
      </c>
      <c r="Y2" s="1" t="s">
        <v>129</v>
      </c>
      <c r="Z2" s="1" t="s">
        <v>122</v>
      </c>
      <c r="AA2" s="1" t="s">
        <v>131</v>
      </c>
      <c r="AB2" s="1" t="s">
        <v>89</v>
      </c>
      <c r="AC2" s="1" t="s">
        <v>132</v>
      </c>
      <c r="AD2" s="1" t="s">
        <v>443</v>
      </c>
      <c r="AE2" s="1" t="s">
        <v>86</v>
      </c>
      <c r="AF2" s="1" t="s">
        <v>134</v>
      </c>
      <c r="AG2" s="1" t="s">
        <v>444</v>
      </c>
      <c r="AH2" s="1" t="s">
        <v>87</v>
      </c>
      <c r="AI2" s="1" t="s">
        <v>135</v>
      </c>
      <c r="AJ2" s="1" t="s">
        <v>446</v>
      </c>
      <c r="AK2" s="1" t="s">
        <v>88</v>
      </c>
      <c r="AL2" s="1" t="s">
        <v>136</v>
      </c>
      <c r="AM2" s="1" t="s">
        <v>447</v>
      </c>
      <c r="AN2" s="1" t="s">
        <v>123</v>
      </c>
      <c r="AO2" s="1" t="s">
        <v>137</v>
      </c>
      <c r="AP2" s="1" t="s">
        <v>448</v>
      </c>
      <c r="AQ2" s="1" t="s">
        <v>90</v>
      </c>
      <c r="AR2" s="1" t="s">
        <v>133</v>
      </c>
      <c r="AS2" s="1" t="s">
        <v>91</v>
      </c>
      <c r="AT2" s="1" t="s">
        <v>243</v>
      </c>
    </row>
    <row r="3" spans="1:46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</row>
    <row r="4" spans="1:46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</row>
    <row r="5" spans="1:46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</row>
    <row r="6" spans="1:46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</row>
    <row r="7" spans="1:46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</row>
    <row r="8" spans="1:46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</row>
    <row r="9" spans="1:46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</row>
    <row r="10" spans="1:46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</row>
    <row r="11" spans="1:46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</row>
    <row r="12" spans="1:46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</row>
    <row r="13" spans="1:46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D13" t="s">
        <v>428</v>
      </c>
    </row>
    <row r="14" spans="1:46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D14" t="s">
        <v>428</v>
      </c>
    </row>
    <row r="15" spans="1:46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  <c r="D15" t="s">
        <v>428</v>
      </c>
    </row>
    <row r="16" spans="1:46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D16" t="s">
        <v>428</v>
      </c>
    </row>
    <row r="17" spans="1:6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</row>
    <row r="18" spans="1:6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</row>
    <row r="19" spans="1:6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</row>
    <row r="20" spans="1:6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</row>
    <row r="21" spans="1:6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</row>
    <row r="22" spans="1:6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</row>
    <row r="23" spans="1:6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  <c r="F23">
        <v>6.4</v>
      </c>
    </row>
    <row r="24" spans="1:6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</row>
    <row r="25" spans="1:6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</row>
    <row r="26" spans="1:6" x14ac:dyDescent="0.2">
      <c r="A26" s="7" t="str">
        <f>rearing!A26</f>
        <v>Siqwepu2020</v>
      </c>
      <c r="B26" s="7" t="str">
        <f>rearing!B26</f>
        <v>African catfish</v>
      </c>
      <c r="C26" s="7" t="str">
        <f>rearing!C26</f>
        <v>FeSO4-20</v>
      </c>
    </row>
    <row r="27" spans="1:6" x14ac:dyDescent="0.2">
      <c r="A27" s="7" t="str">
        <f>rearing!A27</f>
        <v>Siqwepu2020</v>
      </c>
      <c r="B27" s="7" t="str">
        <f>rearing!B27</f>
        <v>African catfish</v>
      </c>
      <c r="C27" s="7" t="str">
        <f>rearing!C27</f>
        <v>FeSO4-30</v>
      </c>
    </row>
    <row r="28" spans="1:6" x14ac:dyDescent="0.2">
      <c r="A28" s="7" t="str">
        <f>rearing!A28</f>
        <v>Siqwepu2020</v>
      </c>
      <c r="B28" s="7" t="str">
        <f>rearing!B28</f>
        <v>African catfish</v>
      </c>
      <c r="C28" s="7" t="str">
        <f>rearing!C28</f>
        <v>FeSO4-60</v>
      </c>
    </row>
    <row r="29" spans="1:6" x14ac:dyDescent="0.2">
      <c r="A29" s="7" t="str">
        <f>rearing!A29</f>
        <v>Siqwepu2020</v>
      </c>
      <c r="B29" s="7" t="str">
        <f>rearing!B29</f>
        <v>African catfish</v>
      </c>
      <c r="C29" s="7" t="str">
        <f>rearing!C29</f>
        <v>FeAA-5</v>
      </c>
    </row>
    <row r="30" spans="1:6" x14ac:dyDescent="0.2">
      <c r="A30" s="7" t="str">
        <f>rearing!A30</f>
        <v>Siqwepu2020</v>
      </c>
      <c r="B30" s="7" t="str">
        <f>rearing!B30</f>
        <v>African catfish</v>
      </c>
      <c r="C30" s="7" t="str">
        <f>rearing!C30</f>
        <v>FeAA-10</v>
      </c>
    </row>
    <row r="31" spans="1:6" x14ac:dyDescent="0.2">
      <c r="A31" s="7" t="str">
        <f>rearing!A31</f>
        <v>Siqwepu2020</v>
      </c>
      <c r="B31" s="7" t="str">
        <f>rearing!B31</f>
        <v>African catfish</v>
      </c>
      <c r="C31" s="7" t="str">
        <f>rearing!C31</f>
        <v>FeAA-20</v>
      </c>
    </row>
    <row r="32" spans="1:6" x14ac:dyDescent="0.2">
      <c r="A32" s="7" t="str">
        <f>rearing!A32</f>
        <v>Siqwepu2020</v>
      </c>
      <c r="B32" s="7" t="str">
        <f>rearing!B32</f>
        <v>African catfish</v>
      </c>
      <c r="C32" s="7" t="str">
        <f>rearing!C32</f>
        <v>Control</v>
      </c>
    </row>
    <row r="33" spans="1:45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</row>
    <row r="34" spans="1:45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</row>
    <row r="35" spans="1:45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</row>
    <row r="36" spans="1:45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</row>
    <row r="37" spans="1:45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</row>
    <row r="38" spans="1:45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</row>
    <row r="39" spans="1:45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  <c r="D39" t="s">
        <v>409</v>
      </c>
    </row>
    <row r="40" spans="1:45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  <c r="D40" t="s">
        <v>428</v>
      </c>
      <c r="E40">
        <v>42</v>
      </c>
    </row>
    <row r="41" spans="1:45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  <c r="D41" t="s">
        <v>428</v>
      </c>
      <c r="E41">
        <v>42</v>
      </c>
    </row>
    <row r="42" spans="1:45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</row>
    <row r="43" spans="1:45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</row>
    <row r="44" spans="1:45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  <c r="F44">
        <f>AVERAGE(6.46,6.48,6.28)</f>
        <v>6.4066666666666672</v>
      </c>
      <c r="J44">
        <f>AVERAGE(0.19,0.2,0.12)*14</f>
        <v>2.3800000000000003</v>
      </c>
      <c r="N44">
        <f>AVERAGE(21.25,36.72,36.31)*14</f>
        <v>439.9733333333333</v>
      </c>
      <c r="P44">
        <f>J44+N44</f>
        <v>442.3533333333333</v>
      </c>
      <c r="R44">
        <f>AVERAGE(1.58,1.68,2.29)*31</f>
        <v>57.349999999999994</v>
      </c>
      <c r="T44">
        <f>AVERAGE(10.02,14.53,15.96)*39</f>
        <v>526.63</v>
      </c>
      <c r="V44">
        <f>AVERAGE(8.32,14.48,14.47)*40</f>
        <v>496.93333333333334</v>
      </c>
      <c r="X44">
        <f>AVERAGE(5.08,6.86,7.66)*24</f>
        <v>156.80000000000001</v>
      </c>
      <c r="Z44">
        <f>AVERAGE(8.31,13.16,13.62)*32</f>
        <v>374.29333333333329</v>
      </c>
      <c r="AB44">
        <f>AVERAGE(76.29,120.93,161.51)*0.001*11</f>
        <v>1.3153433333333333</v>
      </c>
      <c r="AE44">
        <f>0.001*AVERAGE(77.38,38.36,75.51)*56</f>
        <v>3.5700000000000003</v>
      </c>
      <c r="AH44">
        <f>0.001*AVERAGE(1.45,1.4,2.88)*64</f>
        <v>0.12224</v>
      </c>
      <c r="AK44">
        <f>0.001*AVERAGE(8.32,5.51,8.42)*55</f>
        <v>0.40791666666666671</v>
      </c>
      <c r="AN44">
        <f>0.001*AVERAGE(7.17,10.33,12.98)*65</f>
        <v>0.66039999999999999</v>
      </c>
      <c r="AS44">
        <f>AVERAGE(6.19,8.72,7.49)*35</f>
        <v>261.33333333333331</v>
      </c>
    </row>
    <row r="45" spans="1:45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  <c r="F45">
        <f>AVERAGE(6.05,6.08,5.58)</f>
        <v>5.9033333333333333</v>
      </c>
      <c r="J45">
        <f>AVERAGE(0.03,0.18,0.22)*14</f>
        <v>2.0066666666666668</v>
      </c>
      <c r="N45">
        <f>AVERAGE(24.62,34.64,35.31)*14</f>
        <v>441.32666666666671</v>
      </c>
      <c r="P45">
        <f>J45+N45</f>
        <v>443.33333333333337</v>
      </c>
      <c r="R45">
        <f>AVERAGE(1.74,2.05,3.03)*31</f>
        <v>70.473333333333329</v>
      </c>
      <c r="T45">
        <f>AVERAGE(10.37,14.04,17.08)*39</f>
        <v>539.36999999999989</v>
      </c>
      <c r="V45">
        <f>AVERAGE(11.48,13.72,12.03)*40</f>
        <v>496.40000000000009</v>
      </c>
      <c r="X45">
        <f>AVERAGE(5.79,6.87,6.02)*24</f>
        <v>149.44</v>
      </c>
      <c r="Z45">
        <f>AVERAGE(9.6,11.95,10.14)*32</f>
        <v>338.02666666666664</v>
      </c>
      <c r="AB45">
        <f>AVERAGE(92.02,115.65,140.31)*0.001*11</f>
        <v>1.2759266666666667</v>
      </c>
      <c r="AE45">
        <f>0.001*AVERAGE(102.72,51.06,80.51)*56</f>
        <v>4.3734133333333336</v>
      </c>
      <c r="AH45">
        <f>0.001*AVERAGE(1.73,1.95,2.76)*64</f>
        <v>0.13738666666666666</v>
      </c>
      <c r="AK45">
        <f>AVERAGE(11.28,14.65,14.76)*0.001*55</f>
        <v>0.74598333333333333</v>
      </c>
      <c r="AN45">
        <f>0.001*AVERAGE(6.32,13.41,16.21)*65</f>
        <v>0.77869999999999995</v>
      </c>
      <c r="AS45">
        <f>AVERAGE(0.18,0.19,0.18)*35</f>
        <v>6.416666666666667</v>
      </c>
    </row>
    <row r="46" spans="1:45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  <c r="D46" t="s">
        <v>428</v>
      </c>
      <c r="E46">
        <v>54</v>
      </c>
      <c r="F46">
        <v>5.8</v>
      </c>
      <c r="G46">
        <v>24.1</v>
      </c>
      <c r="H46">
        <v>1303</v>
      </c>
      <c r="J46">
        <v>1.17</v>
      </c>
      <c r="L46">
        <v>0.01</v>
      </c>
      <c r="N46">
        <v>175</v>
      </c>
      <c r="O46" t="s">
        <v>138</v>
      </c>
      <c r="P46" s="66">
        <f>J46+N46+L46</f>
        <v>176.17999999999998</v>
      </c>
      <c r="Q46" t="s">
        <v>138</v>
      </c>
      <c r="R46">
        <v>35</v>
      </c>
      <c r="S46" t="s">
        <v>139</v>
      </c>
      <c r="T46">
        <v>50</v>
      </c>
      <c r="U46" t="s">
        <v>139</v>
      </c>
      <c r="V46">
        <v>275</v>
      </c>
      <c r="W46" t="s">
        <v>138</v>
      </c>
      <c r="X46">
        <v>40</v>
      </c>
      <c r="Y46" t="s">
        <v>139</v>
      </c>
    </row>
    <row r="47" spans="1:45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  <c r="F47">
        <v>5.8</v>
      </c>
      <c r="G47">
        <v>24.1</v>
      </c>
      <c r="H47">
        <v>1303</v>
      </c>
      <c r="J47">
        <v>1.17</v>
      </c>
      <c r="L47">
        <v>0.01</v>
      </c>
      <c r="N47">
        <v>134.34</v>
      </c>
      <c r="O47" t="s">
        <v>138</v>
      </c>
      <c r="P47" s="66">
        <f t="shared" ref="P47:P48" si="0">J47+N47+L47</f>
        <v>135.51999999999998</v>
      </c>
      <c r="Q47" t="s">
        <v>138</v>
      </c>
      <c r="R47">
        <v>35</v>
      </c>
      <c r="S47" t="s">
        <v>139</v>
      </c>
      <c r="T47">
        <v>50</v>
      </c>
      <c r="U47" t="s">
        <v>139</v>
      </c>
      <c r="V47">
        <v>275</v>
      </c>
      <c r="W47" t="s">
        <v>138</v>
      </c>
      <c r="X47">
        <v>40</v>
      </c>
      <c r="Y47" t="s">
        <v>139</v>
      </c>
    </row>
    <row r="48" spans="1:45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  <c r="F48">
        <v>5.8</v>
      </c>
      <c r="G48">
        <v>24.1</v>
      </c>
      <c r="H48">
        <v>1303</v>
      </c>
      <c r="J48">
        <v>1.17</v>
      </c>
      <c r="L48">
        <v>0.01</v>
      </c>
      <c r="N48">
        <v>134.34</v>
      </c>
      <c r="O48" t="s">
        <v>138</v>
      </c>
      <c r="P48" s="66">
        <f t="shared" si="0"/>
        <v>135.51999999999998</v>
      </c>
      <c r="Q48" t="s">
        <v>138</v>
      </c>
      <c r="R48">
        <v>35</v>
      </c>
      <c r="S48" t="s">
        <v>139</v>
      </c>
      <c r="T48">
        <v>50</v>
      </c>
      <c r="U48" t="s">
        <v>139</v>
      </c>
      <c r="V48">
        <v>275</v>
      </c>
      <c r="W48" t="s">
        <v>138</v>
      </c>
      <c r="X48">
        <v>40</v>
      </c>
      <c r="Y48" t="s">
        <v>139</v>
      </c>
    </row>
    <row r="49" spans="1:31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</row>
    <row r="50" spans="1:31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</row>
    <row r="51" spans="1:31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31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31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31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</row>
    <row r="55" spans="1:31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31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  <c r="G56">
        <v>27.9</v>
      </c>
      <c r="J56">
        <f>3.8*0.78</f>
        <v>2.964</v>
      </c>
      <c r="L56">
        <f>0.04*0.3</f>
        <v>1.2E-2</v>
      </c>
      <c r="N56">
        <f>102.9*0.23</f>
        <v>23.667000000000002</v>
      </c>
      <c r="R56">
        <f>9.4*0.33</f>
        <v>3.1020000000000003</v>
      </c>
      <c r="T56">
        <v>60.6</v>
      </c>
      <c r="V56">
        <v>176.2</v>
      </c>
      <c r="X56">
        <v>26.8</v>
      </c>
    </row>
    <row r="57" spans="1:31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  <c r="G57">
        <v>27.9</v>
      </c>
      <c r="J57">
        <f>3.8*0.78</f>
        <v>2.964</v>
      </c>
      <c r="L57">
        <f>0.04*0.3</f>
        <v>1.2E-2</v>
      </c>
      <c r="N57">
        <f>102.9*0.23</f>
        <v>23.667000000000002</v>
      </c>
      <c r="R57">
        <f>9.4*0.33</f>
        <v>3.1020000000000003</v>
      </c>
      <c r="T57">
        <v>60.6</v>
      </c>
      <c r="V57">
        <v>176.2</v>
      </c>
      <c r="X57">
        <v>26.8</v>
      </c>
    </row>
    <row r="58" spans="1:31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  <c r="G58">
        <v>28</v>
      </c>
      <c r="J58">
        <f>3.8*0.78</f>
        <v>2.964</v>
      </c>
      <c r="L58">
        <f>0.04*0.3</f>
        <v>1.2E-2</v>
      </c>
      <c r="N58">
        <f>102.9*0.23</f>
        <v>23.667000000000002</v>
      </c>
      <c r="R58">
        <f>9.4*0.33</f>
        <v>3.1020000000000003</v>
      </c>
      <c r="T58">
        <v>60.6</v>
      </c>
      <c r="V58">
        <v>176.2</v>
      </c>
      <c r="X58">
        <v>26.8</v>
      </c>
    </row>
    <row r="59" spans="1:31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  <c r="F59">
        <v>6</v>
      </c>
      <c r="G59">
        <v>26</v>
      </c>
      <c r="H59">
        <v>2780</v>
      </c>
      <c r="J59">
        <f>0.05*0.78</f>
        <v>3.9000000000000007E-2</v>
      </c>
      <c r="L59">
        <f>0.01*0.3</f>
        <v>3.0000000000000001E-3</v>
      </c>
      <c r="N59">
        <f>164.54</f>
        <v>164.54</v>
      </c>
      <c r="P59">
        <v>164.6</v>
      </c>
      <c r="R59">
        <f>20.38*0.33</f>
        <v>6.7253999999999996</v>
      </c>
      <c r="T59">
        <v>11.08</v>
      </c>
      <c r="V59">
        <v>262.83</v>
      </c>
      <c r="X59">
        <v>18.03</v>
      </c>
      <c r="Z59">
        <f>49.05*0.33</f>
        <v>16.186499999999999</v>
      </c>
      <c r="AE59">
        <v>0.05</v>
      </c>
    </row>
    <row r="60" spans="1:31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  <c r="F60">
        <v>6</v>
      </c>
      <c r="G60">
        <v>26</v>
      </c>
      <c r="H60">
        <v>2780</v>
      </c>
      <c r="J60">
        <f>0.05*0.78</f>
        <v>3.9000000000000007E-2</v>
      </c>
      <c r="L60">
        <f>0.01*0.3</f>
        <v>3.0000000000000001E-3</v>
      </c>
      <c r="N60">
        <f>164.54</f>
        <v>164.54</v>
      </c>
      <c r="P60">
        <v>164.6</v>
      </c>
      <c r="R60">
        <f>20.38*0.33</f>
        <v>6.7253999999999996</v>
      </c>
      <c r="T60">
        <v>11.08</v>
      </c>
      <c r="V60">
        <v>262.83</v>
      </c>
      <c r="X60">
        <v>18.03</v>
      </c>
      <c r="Z60">
        <f>49.05*0.33</f>
        <v>16.186499999999999</v>
      </c>
      <c r="AE60">
        <v>0.05</v>
      </c>
    </row>
    <row r="61" spans="1:31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  <c r="F61">
        <v>6</v>
      </c>
      <c r="G61">
        <v>26</v>
      </c>
      <c r="H61">
        <v>2780</v>
      </c>
      <c r="J61">
        <f>0.05*0.78</f>
        <v>3.9000000000000007E-2</v>
      </c>
      <c r="L61">
        <f>0.01*0.3</f>
        <v>3.0000000000000001E-3</v>
      </c>
      <c r="N61">
        <f>164.54</f>
        <v>164.54</v>
      </c>
      <c r="P61">
        <v>164.6</v>
      </c>
      <c r="R61">
        <f>20.38*0.33</f>
        <v>6.7253999999999996</v>
      </c>
      <c r="T61">
        <v>11.08</v>
      </c>
      <c r="V61">
        <v>262.83</v>
      </c>
      <c r="X61">
        <v>18.03</v>
      </c>
      <c r="Z61">
        <f>49.05*0.33</f>
        <v>16.186499999999999</v>
      </c>
      <c r="AE61">
        <v>0.05</v>
      </c>
    </row>
    <row r="62" spans="1:31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  <c r="G62">
        <v>28</v>
      </c>
      <c r="J62">
        <v>0.19</v>
      </c>
      <c r="L62">
        <v>0.06</v>
      </c>
      <c r="N62">
        <v>204.47</v>
      </c>
      <c r="P62">
        <v>204.72</v>
      </c>
      <c r="R62">
        <v>4.71</v>
      </c>
      <c r="T62">
        <v>14.67</v>
      </c>
      <c r="V62">
        <v>291.69</v>
      </c>
      <c r="X62">
        <v>24.93</v>
      </c>
      <c r="Z62">
        <f>42.6*0.33</f>
        <v>14.058000000000002</v>
      </c>
      <c r="AE62">
        <v>0.02</v>
      </c>
    </row>
    <row r="63" spans="1:31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  <c r="G63">
        <v>28</v>
      </c>
      <c r="J63">
        <v>0.19</v>
      </c>
      <c r="L63">
        <v>0.06</v>
      </c>
      <c r="N63">
        <v>204.47</v>
      </c>
      <c r="P63">
        <v>204.72</v>
      </c>
      <c r="R63">
        <v>4.71</v>
      </c>
      <c r="T63">
        <v>14.67</v>
      </c>
      <c r="V63">
        <v>291.69</v>
      </c>
      <c r="X63">
        <v>24.93</v>
      </c>
      <c r="Z63">
        <f>42.6*0.33</f>
        <v>14.058000000000002</v>
      </c>
      <c r="AE63">
        <v>0.02</v>
      </c>
    </row>
    <row r="64" spans="1:31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  <c r="G64">
        <v>28</v>
      </c>
      <c r="J64">
        <v>0.19</v>
      </c>
      <c r="L64">
        <v>0.06</v>
      </c>
      <c r="N64">
        <v>204.47</v>
      </c>
      <c r="P64">
        <v>204.72</v>
      </c>
      <c r="R64">
        <v>4.71</v>
      </c>
      <c r="T64">
        <v>14.67</v>
      </c>
      <c r="V64">
        <v>291.69</v>
      </c>
      <c r="X64">
        <v>24.93</v>
      </c>
      <c r="Z64">
        <f>42.6*0.33</f>
        <v>14.058000000000002</v>
      </c>
      <c r="AE64">
        <v>0.02</v>
      </c>
    </row>
    <row r="65" spans="1:43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  <c r="J65">
        <v>0.7</v>
      </c>
      <c r="N65">
        <v>61.3</v>
      </c>
      <c r="O65" t="s">
        <v>138</v>
      </c>
      <c r="R65">
        <v>3.3</v>
      </c>
      <c r="S65" t="s">
        <v>138</v>
      </c>
      <c r="T65">
        <v>9.1999999999999993</v>
      </c>
      <c r="U65" t="s">
        <v>138</v>
      </c>
      <c r="V65">
        <v>107.1</v>
      </c>
      <c r="W65" t="s">
        <v>138</v>
      </c>
      <c r="X65">
        <v>23.5</v>
      </c>
      <c r="Y65" t="s">
        <v>138</v>
      </c>
      <c r="Z65">
        <v>36.6</v>
      </c>
      <c r="AA65" t="s">
        <v>138</v>
      </c>
      <c r="AB65">
        <v>3.9300000000000002E-2</v>
      </c>
      <c r="AE65" s="69">
        <v>7.4999999999999997E-3</v>
      </c>
      <c r="AH65" s="69">
        <v>1.09E-2</v>
      </c>
      <c r="AK65" s="69">
        <v>4.4000000000000003E-3</v>
      </c>
      <c r="AN65" s="69">
        <v>8.6999999999999994E-3</v>
      </c>
      <c r="AQ65">
        <v>31.8</v>
      </c>
    </row>
    <row r="66" spans="1:43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</row>
    <row r="67" spans="1:43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</row>
    <row r="68" spans="1:43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</row>
    <row r="69" spans="1:43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</row>
    <row r="70" spans="1:43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</row>
    <row r="71" spans="1:43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</row>
    <row r="72" spans="1:43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</row>
    <row r="73" spans="1:43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</row>
    <row r="74" spans="1:43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  <c r="F74">
        <v>7.7</v>
      </c>
      <c r="G74">
        <v>26.9</v>
      </c>
      <c r="H74">
        <v>621.29999999999995</v>
      </c>
      <c r="J74">
        <v>0.17</v>
      </c>
      <c r="L74">
        <v>0.03</v>
      </c>
      <c r="N74">
        <v>7.26</v>
      </c>
      <c r="R74">
        <v>1.44</v>
      </c>
    </row>
    <row r="75" spans="1:43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  <c r="F75">
        <v>7.8</v>
      </c>
      <c r="G75">
        <v>26.5</v>
      </c>
      <c r="H75">
        <v>605.20000000000005</v>
      </c>
      <c r="J75">
        <v>0.38</v>
      </c>
      <c r="L75">
        <v>0.03</v>
      </c>
      <c r="N75">
        <v>9.4499999999999993</v>
      </c>
      <c r="R75">
        <v>1.79</v>
      </c>
    </row>
    <row r="76" spans="1:43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</row>
    <row r="77" spans="1:43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</row>
    <row r="78" spans="1:43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</row>
    <row r="79" spans="1:43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</row>
    <row r="80" spans="1:43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</row>
    <row r="81" spans="1:3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</row>
    <row r="82" spans="1:3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</row>
    <row r="83" spans="1:3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</row>
    <row r="84" spans="1:3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</row>
    <row r="85" spans="1:3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</row>
    <row r="86" spans="1:3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</row>
    <row r="87" spans="1:3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</row>
    <row r="88" spans="1:3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</row>
    <row r="89" spans="1:3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</row>
    <row r="90" spans="1:3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</row>
    <row r="91" spans="1:3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</row>
    <row r="92" spans="1:3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</row>
    <row r="93" spans="1:3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</row>
    <row r="94" spans="1:3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</row>
    <row r="95" spans="1:3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</row>
    <row r="96" spans="1:3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</row>
    <row r="97" spans="1:46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F97">
        <v>7.38</v>
      </c>
      <c r="G97">
        <v>25.7</v>
      </c>
      <c r="H97">
        <v>510</v>
      </c>
      <c r="I97">
        <v>0.33800000000000002</v>
      </c>
      <c r="L97">
        <v>1.57</v>
      </c>
      <c r="N97">
        <v>34.9</v>
      </c>
      <c r="R97">
        <v>7.5</v>
      </c>
      <c r="T97">
        <v>25.9</v>
      </c>
      <c r="V97">
        <v>34.200000000000003</v>
      </c>
      <c r="AE97">
        <v>0.21</v>
      </c>
      <c r="AH97">
        <v>4.2000000000000003E-2</v>
      </c>
      <c r="AN97">
        <v>0.36</v>
      </c>
    </row>
    <row r="98" spans="1:46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</row>
    <row r="99" spans="1:46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</row>
    <row r="100" spans="1:46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t="s">
        <v>428</v>
      </c>
      <c r="J100">
        <v>1.8</v>
      </c>
      <c r="K100" t="s">
        <v>139</v>
      </c>
      <c r="L100">
        <v>0.8</v>
      </c>
      <c r="M100" t="s">
        <v>139</v>
      </c>
      <c r="N100">
        <v>25</v>
      </c>
      <c r="O100" t="s">
        <v>145</v>
      </c>
      <c r="P100" s="66">
        <f t="shared" ref="P100:P105" si="1">J100+L100+N100</f>
        <v>27.6</v>
      </c>
      <c r="R100">
        <v>40</v>
      </c>
      <c r="S100" t="s">
        <v>138</v>
      </c>
      <c r="T100">
        <v>100</v>
      </c>
      <c r="U100" t="s">
        <v>138</v>
      </c>
      <c r="V100">
        <v>12.1</v>
      </c>
      <c r="W100" t="s">
        <v>139</v>
      </c>
      <c r="X100">
        <v>0.6</v>
      </c>
      <c r="Y100" t="s">
        <v>145</v>
      </c>
      <c r="Z100">
        <v>300</v>
      </c>
      <c r="AA100" t="s">
        <v>138</v>
      </c>
      <c r="AQ100">
        <v>61.9</v>
      </c>
      <c r="AR100" t="s">
        <v>138</v>
      </c>
      <c r="AT100" t="s">
        <v>139</v>
      </c>
    </row>
    <row r="101" spans="1:46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  <c r="D101" t="s">
        <v>428</v>
      </c>
      <c r="J101">
        <v>1.7</v>
      </c>
      <c r="K101" t="s">
        <v>139</v>
      </c>
      <c r="L101">
        <v>0.9</v>
      </c>
      <c r="M101" t="s">
        <v>139</v>
      </c>
      <c r="N101">
        <v>125</v>
      </c>
      <c r="O101" t="s">
        <v>138</v>
      </c>
      <c r="P101" s="66">
        <f t="shared" si="1"/>
        <v>127.6</v>
      </c>
      <c r="R101">
        <v>50</v>
      </c>
      <c r="S101" t="s">
        <v>138</v>
      </c>
      <c r="T101">
        <v>200</v>
      </c>
      <c r="U101" t="s">
        <v>138</v>
      </c>
      <c r="V101">
        <v>22.6</v>
      </c>
      <c r="W101" t="s">
        <v>138</v>
      </c>
      <c r="X101">
        <v>1.9</v>
      </c>
      <c r="Y101" t="s">
        <v>139</v>
      </c>
      <c r="Z101">
        <v>450</v>
      </c>
      <c r="AA101" t="s">
        <v>138</v>
      </c>
      <c r="AQ101">
        <v>76.7</v>
      </c>
      <c r="AR101" t="s">
        <v>138</v>
      </c>
      <c r="AS101">
        <v>1.7</v>
      </c>
      <c r="AT101" t="s">
        <v>138</v>
      </c>
    </row>
    <row r="102" spans="1:46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  <c r="D102" t="s">
        <v>428</v>
      </c>
      <c r="J102">
        <v>1.8</v>
      </c>
      <c r="K102" t="s">
        <v>139</v>
      </c>
      <c r="L102">
        <v>0.8</v>
      </c>
      <c r="M102" t="s">
        <v>139</v>
      </c>
      <c r="N102">
        <v>240</v>
      </c>
      <c r="O102" t="s">
        <v>138</v>
      </c>
      <c r="P102" s="66">
        <f t="shared" si="1"/>
        <v>242.6</v>
      </c>
      <c r="R102">
        <v>40</v>
      </c>
      <c r="S102" t="s">
        <v>138</v>
      </c>
      <c r="T102">
        <v>300</v>
      </c>
      <c r="U102" t="s">
        <v>138</v>
      </c>
      <c r="V102">
        <v>20.399999999999999</v>
      </c>
      <c r="W102" t="s">
        <v>138</v>
      </c>
      <c r="X102">
        <v>4.5</v>
      </c>
      <c r="Y102" t="s">
        <v>138</v>
      </c>
      <c r="Z102">
        <v>550</v>
      </c>
      <c r="AA102" t="s">
        <v>138</v>
      </c>
      <c r="AQ102">
        <v>70</v>
      </c>
      <c r="AR102" t="s">
        <v>138</v>
      </c>
      <c r="AS102">
        <v>11.2</v>
      </c>
      <c r="AT102" t="s">
        <v>138</v>
      </c>
    </row>
    <row r="103" spans="1:46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  <c r="D103" t="s">
        <v>428</v>
      </c>
      <c r="J103">
        <v>0.4</v>
      </c>
      <c r="K103" t="s">
        <v>139</v>
      </c>
      <c r="L103">
        <v>7.0000000000000007E-2</v>
      </c>
      <c r="M103" t="s">
        <v>139</v>
      </c>
      <c r="N103">
        <v>240</v>
      </c>
      <c r="O103" t="s">
        <v>138</v>
      </c>
      <c r="P103" s="66">
        <f t="shared" si="1"/>
        <v>240.47</v>
      </c>
      <c r="R103">
        <v>122.8</v>
      </c>
      <c r="S103" t="s">
        <v>139</v>
      </c>
      <c r="T103">
        <v>334</v>
      </c>
      <c r="U103" t="s">
        <v>139</v>
      </c>
      <c r="V103">
        <v>141.9</v>
      </c>
      <c r="W103" t="s">
        <v>139</v>
      </c>
      <c r="X103">
        <v>39.4</v>
      </c>
      <c r="Y103" t="s">
        <v>139</v>
      </c>
      <c r="Z103">
        <v>600</v>
      </c>
      <c r="AA103" t="s">
        <v>138</v>
      </c>
      <c r="AQ103">
        <v>8.6</v>
      </c>
      <c r="AR103" t="s">
        <v>138</v>
      </c>
      <c r="AT103" t="s">
        <v>139</v>
      </c>
    </row>
    <row r="104" spans="1:46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  <c r="D104" t="s">
        <v>428</v>
      </c>
      <c r="J104">
        <v>0.3</v>
      </c>
      <c r="K104" t="s">
        <v>139</v>
      </c>
      <c r="L104">
        <v>0.1</v>
      </c>
      <c r="M104" t="s">
        <v>139</v>
      </c>
      <c r="N104">
        <v>220</v>
      </c>
      <c r="O104" t="s">
        <v>138</v>
      </c>
      <c r="P104" s="66">
        <f t="shared" si="1"/>
        <v>220.4</v>
      </c>
      <c r="R104">
        <v>107.4</v>
      </c>
      <c r="S104" t="s">
        <v>139</v>
      </c>
      <c r="T104">
        <v>326.8</v>
      </c>
      <c r="U104" t="s">
        <v>139</v>
      </c>
      <c r="V104">
        <v>145.80000000000001</v>
      </c>
      <c r="W104" t="s">
        <v>139</v>
      </c>
      <c r="X104">
        <v>40.5</v>
      </c>
      <c r="Y104" t="s">
        <v>139</v>
      </c>
      <c r="Z104">
        <v>674.5</v>
      </c>
      <c r="AA104" t="s">
        <v>138</v>
      </c>
      <c r="AQ104">
        <v>18</v>
      </c>
      <c r="AR104" t="s">
        <v>138</v>
      </c>
      <c r="AT104" t="s">
        <v>139</v>
      </c>
    </row>
    <row r="105" spans="1:46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  <c r="D105" t="s">
        <v>428</v>
      </c>
      <c r="J105">
        <v>0.2</v>
      </c>
      <c r="K105" t="s">
        <v>139</v>
      </c>
      <c r="L105">
        <v>0.05</v>
      </c>
      <c r="M105" t="s">
        <v>139</v>
      </c>
      <c r="N105">
        <v>220</v>
      </c>
      <c r="O105" t="s">
        <v>138</v>
      </c>
      <c r="P105" s="66">
        <f t="shared" si="1"/>
        <v>220.25</v>
      </c>
      <c r="R105">
        <v>125.5</v>
      </c>
      <c r="S105" t="s">
        <v>139</v>
      </c>
      <c r="T105">
        <v>339</v>
      </c>
      <c r="U105" t="s">
        <v>139</v>
      </c>
      <c r="V105">
        <v>148.80000000000001</v>
      </c>
      <c r="W105" t="s">
        <v>139</v>
      </c>
      <c r="X105">
        <v>39</v>
      </c>
      <c r="Y105" t="s">
        <v>139</v>
      </c>
      <c r="Z105">
        <v>727.8</v>
      </c>
      <c r="AA105" t="s">
        <v>138</v>
      </c>
      <c r="AQ105">
        <v>10.7</v>
      </c>
      <c r="AR105" t="s">
        <v>138</v>
      </c>
      <c r="AT105" t="s">
        <v>139</v>
      </c>
    </row>
    <row r="106" spans="1:46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  <c r="J106">
        <v>0.1</v>
      </c>
      <c r="K106" t="s">
        <v>145</v>
      </c>
      <c r="N106">
        <v>128</v>
      </c>
      <c r="O106" t="s">
        <v>145</v>
      </c>
      <c r="R106">
        <v>34</v>
      </c>
      <c r="S106" t="s">
        <v>139</v>
      </c>
      <c r="T106">
        <v>210</v>
      </c>
      <c r="U106" t="s">
        <v>139</v>
      </c>
      <c r="V106">
        <v>115</v>
      </c>
      <c r="W106" t="s">
        <v>138</v>
      </c>
      <c r="X106">
        <v>15</v>
      </c>
      <c r="Y106" t="s">
        <v>139</v>
      </c>
      <c r="Z106">
        <v>26</v>
      </c>
      <c r="AA106" t="s">
        <v>138</v>
      </c>
      <c r="AB106">
        <v>0.24</v>
      </c>
      <c r="AC106" t="s">
        <v>138</v>
      </c>
      <c r="AE106">
        <v>1</v>
      </c>
      <c r="AF106" t="s">
        <v>139</v>
      </c>
      <c r="AG106" t="s">
        <v>445</v>
      </c>
      <c r="AH106">
        <v>0.04</v>
      </c>
      <c r="AI106" t="s">
        <v>138</v>
      </c>
      <c r="AK106">
        <v>2.5000000000000001E-2</v>
      </c>
      <c r="AL106" t="s">
        <v>145</v>
      </c>
      <c r="AM106" t="s">
        <v>445</v>
      </c>
      <c r="AN106">
        <v>0.15</v>
      </c>
      <c r="AO106" t="s">
        <v>138</v>
      </c>
      <c r="AP106" t="s">
        <v>445</v>
      </c>
      <c r="AQ106">
        <v>7</v>
      </c>
      <c r="AR106" t="s">
        <v>139</v>
      </c>
    </row>
    <row r="107" spans="1:46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  <c r="J107">
        <v>0.01</v>
      </c>
      <c r="K107" t="s">
        <v>145</v>
      </c>
      <c r="N107">
        <v>129</v>
      </c>
      <c r="O107" t="s">
        <v>145</v>
      </c>
      <c r="R107">
        <v>12</v>
      </c>
      <c r="S107" t="s">
        <v>145</v>
      </c>
      <c r="T107">
        <v>273</v>
      </c>
      <c r="U107" t="s">
        <v>139</v>
      </c>
      <c r="V107">
        <v>75</v>
      </c>
      <c r="W107" t="s">
        <v>145</v>
      </c>
      <c r="X107">
        <v>14</v>
      </c>
      <c r="Y107" t="s">
        <v>139</v>
      </c>
      <c r="Z107">
        <v>26</v>
      </c>
      <c r="AA107" t="s">
        <v>138</v>
      </c>
      <c r="AB107">
        <v>0.23</v>
      </c>
      <c r="AC107" t="s">
        <v>138</v>
      </c>
      <c r="AE107">
        <v>0.9</v>
      </c>
      <c r="AF107" t="s">
        <v>139</v>
      </c>
      <c r="AG107" t="s">
        <v>445</v>
      </c>
      <c r="AH107">
        <v>3.6999999999999998E-2</v>
      </c>
      <c r="AI107" t="s">
        <v>138</v>
      </c>
      <c r="AK107">
        <v>6.0000000000000001E-3</v>
      </c>
      <c r="AL107" t="s">
        <v>145</v>
      </c>
      <c r="AM107" t="s">
        <v>445</v>
      </c>
      <c r="AN107">
        <v>0.17</v>
      </c>
      <c r="AO107" t="s">
        <v>138</v>
      </c>
      <c r="AP107" t="s">
        <v>445</v>
      </c>
      <c r="AQ107">
        <v>7</v>
      </c>
      <c r="AR107" t="s">
        <v>139</v>
      </c>
    </row>
    <row r="108" spans="1:46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J108">
        <v>0.3</v>
      </c>
      <c r="K108" t="s">
        <v>145</v>
      </c>
      <c r="N108">
        <v>122</v>
      </c>
      <c r="O108" t="s">
        <v>138</v>
      </c>
      <c r="R108">
        <v>9</v>
      </c>
      <c r="S108" t="s">
        <v>139</v>
      </c>
      <c r="T108">
        <v>222</v>
      </c>
      <c r="U108" t="s">
        <v>139</v>
      </c>
      <c r="V108">
        <v>80</v>
      </c>
      <c r="W108" t="s">
        <v>138</v>
      </c>
      <c r="X108">
        <v>20</v>
      </c>
      <c r="Y108" t="s">
        <v>139</v>
      </c>
      <c r="Z108">
        <v>21</v>
      </c>
      <c r="AA108" t="s">
        <v>138</v>
      </c>
      <c r="AB108">
        <v>0.02</v>
      </c>
      <c r="AC108" t="s">
        <v>139</v>
      </c>
      <c r="AE108">
        <v>2</v>
      </c>
      <c r="AF108" t="s">
        <v>145</v>
      </c>
      <c r="AG108" t="s">
        <v>445</v>
      </c>
      <c r="AH108">
        <v>2.9000000000000001E-2</v>
      </c>
      <c r="AI108" t="s">
        <v>139</v>
      </c>
      <c r="AK108">
        <v>4.0000000000000001E-3</v>
      </c>
      <c r="AL108" t="s">
        <v>145</v>
      </c>
      <c r="AM108" t="s">
        <v>445</v>
      </c>
      <c r="AN108">
        <v>0.36</v>
      </c>
      <c r="AO108" t="s">
        <v>138</v>
      </c>
      <c r="AP108" t="s">
        <v>445</v>
      </c>
      <c r="AQ108">
        <v>61</v>
      </c>
      <c r="AR108" t="s">
        <v>139</v>
      </c>
    </row>
    <row r="109" spans="1:46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D109" t="s">
        <v>428</v>
      </c>
      <c r="F109">
        <v>6.9</v>
      </c>
      <c r="N109">
        <v>110</v>
      </c>
      <c r="R109">
        <v>20</v>
      </c>
      <c r="T109">
        <v>171</v>
      </c>
      <c r="V109">
        <v>139</v>
      </c>
      <c r="X109">
        <v>23</v>
      </c>
      <c r="AB109">
        <v>0.1</v>
      </c>
      <c r="AD109" t="s">
        <v>408</v>
      </c>
      <c r="AE109">
        <v>0.1</v>
      </c>
      <c r="AG109" t="s">
        <v>408</v>
      </c>
      <c r="AH109">
        <v>0.11</v>
      </c>
      <c r="AJ109" t="s">
        <v>445</v>
      </c>
      <c r="AK109">
        <v>0.1</v>
      </c>
      <c r="AM109" t="s">
        <v>408</v>
      </c>
      <c r="AN109">
        <v>0.1</v>
      </c>
      <c r="AP109" t="s">
        <v>408</v>
      </c>
    </row>
    <row r="110" spans="1:46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  <c r="D110" t="s">
        <v>428</v>
      </c>
      <c r="F110">
        <v>6.7</v>
      </c>
      <c r="N110">
        <v>103</v>
      </c>
      <c r="R110">
        <v>15</v>
      </c>
      <c r="T110">
        <v>167</v>
      </c>
      <c r="V110">
        <v>137</v>
      </c>
      <c r="X110">
        <v>23</v>
      </c>
      <c r="AB110">
        <v>0.1</v>
      </c>
      <c r="AD110" t="s">
        <v>408</v>
      </c>
      <c r="AE110">
        <v>0.1</v>
      </c>
      <c r="AG110" t="s">
        <v>408</v>
      </c>
      <c r="AH110">
        <v>0.15</v>
      </c>
      <c r="AJ110" t="s">
        <v>445</v>
      </c>
      <c r="AK110">
        <v>0.1</v>
      </c>
      <c r="AM110" t="s">
        <v>408</v>
      </c>
      <c r="AN110">
        <v>0.1</v>
      </c>
      <c r="AP110" t="s">
        <v>408</v>
      </c>
    </row>
    <row r="111" spans="1:46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D111" t="s">
        <v>428</v>
      </c>
      <c r="F111">
        <v>6.4</v>
      </c>
      <c r="N111">
        <v>98</v>
      </c>
      <c r="R111">
        <v>19</v>
      </c>
      <c r="T111">
        <v>154</v>
      </c>
      <c r="V111">
        <v>126</v>
      </c>
      <c r="X111">
        <v>22</v>
      </c>
      <c r="AB111">
        <v>0.1</v>
      </c>
      <c r="AD111" t="s">
        <v>408</v>
      </c>
      <c r="AE111">
        <v>0.1</v>
      </c>
      <c r="AG111" t="s">
        <v>408</v>
      </c>
      <c r="AH111">
        <v>0.1</v>
      </c>
      <c r="AJ111" t="s">
        <v>445</v>
      </c>
      <c r="AK111">
        <v>0.1</v>
      </c>
      <c r="AM111" t="s">
        <v>408</v>
      </c>
      <c r="AN111">
        <v>0.1</v>
      </c>
      <c r="AP111" t="s">
        <v>408</v>
      </c>
    </row>
    <row r="112" spans="1:46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D112" t="s">
        <v>428</v>
      </c>
      <c r="F112">
        <v>6.3</v>
      </c>
      <c r="N112">
        <v>89</v>
      </c>
      <c r="R112">
        <v>13</v>
      </c>
      <c r="T112">
        <v>168</v>
      </c>
      <c r="V112">
        <v>131</v>
      </c>
      <c r="X112">
        <v>23</v>
      </c>
      <c r="AB112">
        <v>0.1</v>
      </c>
      <c r="AD112" t="s">
        <v>408</v>
      </c>
      <c r="AE112">
        <v>0.1</v>
      </c>
      <c r="AG112" t="s">
        <v>408</v>
      </c>
      <c r="AH112">
        <v>0.17</v>
      </c>
      <c r="AJ112" t="s">
        <v>445</v>
      </c>
      <c r="AK112">
        <v>0.1</v>
      </c>
      <c r="AM112" t="s">
        <v>408</v>
      </c>
      <c r="AN112">
        <v>0.1</v>
      </c>
      <c r="AP112" t="s">
        <v>408</v>
      </c>
    </row>
    <row r="113" spans="1:3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</row>
    <row r="114" spans="1:3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</row>
    <row r="115" spans="1:3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</row>
    <row r="116" spans="1:3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</row>
  </sheetData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8B87-7DA8-5B45-AB06-991BF8457945}">
  <sheetPr>
    <tabColor theme="9" tint="0.39997558519241921"/>
  </sheetPr>
  <dimension ref="A1:AB116"/>
  <sheetViews>
    <sheetView topLeftCell="A81" zoomScale="130" zoomScaleNormal="130" workbookViewId="0">
      <selection activeCell="A71" sqref="A71:C116"/>
    </sheetView>
  </sheetViews>
  <sheetFormatPr baseColWidth="10" defaultColWidth="10.83203125" defaultRowHeight="16" x14ac:dyDescent="0.2"/>
  <sheetData>
    <row r="1" spans="1:28" ht="24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96"/>
      <c r="O1" s="96"/>
      <c r="P1" s="96"/>
      <c r="Q1" s="96"/>
      <c r="R1" s="96"/>
      <c r="S1" s="96"/>
      <c r="T1" s="96"/>
      <c r="U1" s="96" t="s">
        <v>1</v>
      </c>
      <c r="V1" s="96"/>
      <c r="W1" s="96"/>
      <c r="X1" s="96"/>
      <c r="Y1" s="96"/>
      <c r="Z1" s="96"/>
      <c r="AA1" s="96"/>
      <c r="AB1" s="7"/>
    </row>
    <row r="2" spans="1:28" ht="17" thickBot="1" x14ac:dyDescent="0.25">
      <c r="A2" s="22" t="s">
        <v>2</v>
      </c>
      <c r="B2" s="22" t="str">
        <f>rearing!B2</f>
        <v>Species</v>
      </c>
      <c r="C2" s="22" t="str">
        <f>rearing!C2</f>
        <v>Treatment_ID</v>
      </c>
      <c r="D2" s="22" t="s">
        <v>174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63</v>
      </c>
      <c r="L2" s="22" t="s">
        <v>64</v>
      </c>
      <c r="M2" s="22" t="s">
        <v>65</v>
      </c>
      <c r="N2" s="22" t="s">
        <v>198</v>
      </c>
      <c r="O2" s="22" t="s">
        <v>199</v>
      </c>
      <c r="P2" s="22" t="s">
        <v>20</v>
      </c>
      <c r="Q2" s="22" t="s">
        <v>21</v>
      </c>
      <c r="R2" s="22" t="s">
        <v>22</v>
      </c>
      <c r="S2" s="22" t="s">
        <v>23</v>
      </c>
      <c r="T2" s="22" t="s">
        <v>24</v>
      </c>
      <c r="U2" s="22" t="s">
        <v>10</v>
      </c>
      <c r="V2" s="22" t="s">
        <v>11</v>
      </c>
      <c r="W2" s="22" t="s">
        <v>12</v>
      </c>
      <c r="X2" s="22" t="s">
        <v>13</v>
      </c>
      <c r="Y2" s="22" t="s">
        <v>14</v>
      </c>
      <c r="Z2" s="22" t="s">
        <v>15</v>
      </c>
      <c r="AA2" s="22" t="s">
        <v>16</v>
      </c>
      <c r="AB2" s="22" t="s">
        <v>151</v>
      </c>
    </row>
    <row r="3" spans="1:28" x14ac:dyDescent="0.2">
      <c r="A3" t="str">
        <f>rearing!A3</f>
        <v>Monsees2017</v>
      </c>
      <c r="B3" t="str">
        <f>rearing!B3</f>
        <v>Nile tilapia</v>
      </c>
      <c r="C3" t="str">
        <f>rearing!C3</f>
        <v>Exp2_aerated</v>
      </c>
    </row>
    <row r="4" spans="1:28" x14ac:dyDescent="0.2">
      <c r="A4" t="str">
        <f>rearing!A4</f>
        <v>Monsees2017</v>
      </c>
      <c r="B4" t="str">
        <f>rearing!B4</f>
        <v>Nile tilapia</v>
      </c>
      <c r="C4" t="str">
        <f>rearing!C4</f>
        <v>Exp2_unaerated</v>
      </c>
    </row>
    <row r="5" spans="1:28" x14ac:dyDescent="0.2">
      <c r="A5" t="str">
        <f>rearing!A5</f>
        <v>Delaide2018</v>
      </c>
      <c r="B5" t="str">
        <f>rearing!B5</f>
        <v>Nile tilapia</v>
      </c>
      <c r="C5" t="str">
        <f>rearing!C5</f>
        <v>AER</v>
      </c>
    </row>
    <row r="6" spans="1:28" x14ac:dyDescent="0.2">
      <c r="A6" t="str">
        <f>rearing!A6</f>
        <v>Goddek2018</v>
      </c>
      <c r="B6" t="str">
        <f>rearing!B6</f>
        <v>African catfish</v>
      </c>
      <c r="C6" t="str">
        <f>rearing!C6</f>
        <v>pH+</v>
      </c>
    </row>
    <row r="7" spans="1:28" x14ac:dyDescent="0.2">
      <c r="A7" t="str">
        <f>rearing!A7</f>
        <v>Goddek2018</v>
      </c>
      <c r="B7" t="str">
        <f>rearing!B7</f>
        <v>African catfish</v>
      </c>
      <c r="C7" t="str">
        <f>rearing!C7</f>
        <v>pH-</v>
      </c>
    </row>
    <row r="8" spans="1:28" x14ac:dyDescent="0.2">
      <c r="A8" t="str">
        <f>rearing!A8</f>
        <v>Goddek2018</v>
      </c>
      <c r="B8" t="str">
        <f>rearing!B8</f>
        <v>Nile tilapia</v>
      </c>
      <c r="C8" t="str">
        <f>rearing!C8</f>
        <v>Uliege_aerobic</v>
      </c>
    </row>
    <row r="9" spans="1:28" x14ac:dyDescent="0.2">
      <c r="A9" t="str">
        <f>rearing!A9</f>
        <v>Seawright1998</v>
      </c>
      <c r="B9" t="str">
        <f>rearing!B9</f>
        <v>Nile tilapia</v>
      </c>
      <c r="C9">
        <f>rearing!C9</f>
        <v>1</v>
      </c>
    </row>
    <row r="10" spans="1:28" x14ac:dyDescent="0.2">
      <c r="A10" t="str">
        <f>rearing!A10</f>
        <v>Seawright1998</v>
      </c>
      <c r="B10" t="str">
        <f>rearing!B10</f>
        <v>Nile tilapia</v>
      </c>
      <c r="C10">
        <f>rearing!C10</f>
        <v>2</v>
      </c>
    </row>
    <row r="11" spans="1:28" x14ac:dyDescent="0.2">
      <c r="A11" t="str">
        <f>rearing!A11</f>
        <v>Seawright1998</v>
      </c>
      <c r="B11" t="str">
        <f>rearing!B11</f>
        <v>Nile tilapia</v>
      </c>
      <c r="C11">
        <f>rearing!C11</f>
        <v>3</v>
      </c>
    </row>
    <row r="12" spans="1:28" x14ac:dyDescent="0.2">
      <c r="A12" t="str">
        <f>rearing!A12</f>
        <v>Seawright1998</v>
      </c>
      <c r="B12" t="str">
        <f>rearing!B12</f>
        <v>Nile tilapia</v>
      </c>
      <c r="C12">
        <f>rearing!C12</f>
        <v>4</v>
      </c>
    </row>
    <row r="13" spans="1:28" x14ac:dyDescent="0.2">
      <c r="A13" t="str">
        <f>rearing!A13</f>
        <v>Shaw2022a</v>
      </c>
      <c r="B13" t="str">
        <f>rearing!B13</f>
        <v>Nile tilapia</v>
      </c>
      <c r="C13" t="str">
        <f>rearing!C13</f>
        <v>FM</v>
      </c>
    </row>
    <row r="14" spans="1:28" x14ac:dyDescent="0.2">
      <c r="A14" t="str">
        <f>rearing!A14</f>
        <v>Shaw2022a</v>
      </c>
      <c r="B14" t="str">
        <f>rearing!B14</f>
        <v>Nile tilapia</v>
      </c>
      <c r="C14" t="str">
        <f>rearing!C14</f>
        <v>BSF</v>
      </c>
    </row>
    <row r="15" spans="1:28" x14ac:dyDescent="0.2">
      <c r="A15" t="str">
        <f>rearing!A15</f>
        <v>Shaw2022a</v>
      </c>
      <c r="B15" t="str">
        <f>rearing!B15</f>
        <v>Nile tilapia</v>
      </c>
      <c r="C15" t="str">
        <f>rearing!C15</f>
        <v>PBM</v>
      </c>
    </row>
    <row r="16" spans="1:28" x14ac:dyDescent="0.2">
      <c r="A16" t="str">
        <f>rearing!A16</f>
        <v>Shaw2022a</v>
      </c>
      <c r="B16" t="str">
        <f>rearing!B16</f>
        <v>Nile tilapia</v>
      </c>
      <c r="C16" t="str">
        <f>rearing!C16</f>
        <v>PM</v>
      </c>
    </row>
    <row r="17" spans="1:3" x14ac:dyDescent="0.2">
      <c r="A17" t="str">
        <f>rearing!A17</f>
        <v>Panana2021</v>
      </c>
      <c r="B17" t="str">
        <f>rearing!B17</f>
        <v>Pikeperch</v>
      </c>
      <c r="C17" t="str">
        <f>rearing!C17</f>
        <v>pH-Natural</v>
      </c>
    </row>
    <row r="18" spans="1:3" x14ac:dyDescent="0.2">
      <c r="A18" t="str">
        <f>rearing!A18</f>
        <v>Panana2021</v>
      </c>
      <c r="B18" t="str">
        <f>rearing!B18</f>
        <v>Pikeperch</v>
      </c>
      <c r="C18" t="str">
        <f>rearing!C18</f>
        <v>pH-Induced</v>
      </c>
    </row>
    <row r="19" spans="1:3" x14ac:dyDescent="0.2">
      <c r="A19" t="str">
        <f>rearing!A19</f>
        <v>Goddek2016</v>
      </c>
      <c r="B19" t="str">
        <f>rearing!B19</f>
        <v>Nile tilapia</v>
      </c>
      <c r="C19" t="str">
        <f>rearing!C19</f>
        <v>AER</v>
      </c>
    </row>
    <row r="20" spans="1:3" x14ac:dyDescent="0.2">
      <c r="A20" t="str">
        <f>rearing!A20</f>
        <v>Goddek2016</v>
      </c>
      <c r="B20" t="str">
        <f>rearing!B20</f>
        <v>Nile tilapia</v>
      </c>
      <c r="C20" t="str">
        <f>rearing!C20</f>
        <v>ANA</v>
      </c>
    </row>
    <row r="21" spans="1:3" x14ac:dyDescent="0.2">
      <c r="A21" t="str">
        <f>rearing!A21</f>
        <v>Monsees2017b</v>
      </c>
      <c r="B21" t="str">
        <f>rearing!B21</f>
        <v>Nile tilapia</v>
      </c>
      <c r="C21" t="str">
        <f>rearing!C21</f>
        <v>RAS A</v>
      </c>
    </row>
    <row r="22" spans="1:3" x14ac:dyDescent="0.2">
      <c r="A22" t="str">
        <f>rearing!A22</f>
        <v>Monsees2017b</v>
      </c>
      <c r="B22" t="str">
        <f>rearing!B22</f>
        <v>Nile tilapia</v>
      </c>
      <c r="C22" t="str">
        <f>rearing!C22</f>
        <v>RAS C+Hydro C</v>
      </c>
    </row>
    <row r="23" spans="1:3" x14ac:dyDescent="0.2">
      <c r="A23" t="str">
        <f>rearing!A23</f>
        <v>Monsees2017b</v>
      </c>
      <c r="B23" t="str">
        <f>rearing!B23</f>
        <v>Nile tilapia</v>
      </c>
      <c r="C23" t="str">
        <f>rearing!C23</f>
        <v>RAS D/Hydro D</v>
      </c>
    </row>
    <row r="24" spans="1:3" x14ac:dyDescent="0.2">
      <c r="A24" t="str">
        <f>rearing!A24</f>
        <v>Tetreault2021</v>
      </c>
      <c r="B24" t="str">
        <f>rearing!B24</f>
        <v>Nile tilapia</v>
      </c>
      <c r="C24" t="str">
        <f>rearing!C24</f>
        <v>AER1</v>
      </c>
    </row>
    <row r="25" spans="1:3" x14ac:dyDescent="0.2">
      <c r="A25" t="str">
        <f>rearing!A25</f>
        <v>Tetreault2021b</v>
      </c>
      <c r="B25" t="str">
        <f>rearing!B25</f>
        <v>Nile tilapia</v>
      </c>
      <c r="C25" t="str">
        <f>rearing!C25</f>
        <v>ANA1</v>
      </c>
    </row>
    <row r="26" spans="1:3" x14ac:dyDescent="0.2">
      <c r="A26" t="str">
        <f>rearing!A26</f>
        <v>Siqwepu2020</v>
      </c>
      <c r="B26" t="str">
        <f>rearing!B26</f>
        <v>African catfish</v>
      </c>
      <c r="C26" t="str">
        <f>rearing!C26</f>
        <v>FeSO4-20</v>
      </c>
    </row>
    <row r="27" spans="1:3" x14ac:dyDescent="0.2">
      <c r="A27" t="str">
        <f>rearing!A27</f>
        <v>Siqwepu2020</v>
      </c>
      <c r="B27" t="str">
        <f>rearing!B27</f>
        <v>African catfish</v>
      </c>
      <c r="C27" t="str">
        <f>rearing!C27</f>
        <v>FeSO4-30</v>
      </c>
    </row>
    <row r="28" spans="1:3" x14ac:dyDescent="0.2">
      <c r="A28" t="str">
        <f>rearing!A28</f>
        <v>Siqwepu2020</v>
      </c>
      <c r="B28" t="str">
        <f>rearing!B28</f>
        <v>African catfish</v>
      </c>
      <c r="C28" t="str">
        <f>rearing!C28</f>
        <v>FeSO4-60</v>
      </c>
    </row>
    <row r="29" spans="1:3" x14ac:dyDescent="0.2">
      <c r="A29" t="str">
        <f>rearing!A29</f>
        <v>Siqwepu2020</v>
      </c>
      <c r="B29" t="str">
        <f>rearing!B29</f>
        <v>African catfish</v>
      </c>
      <c r="C29" t="str">
        <f>rearing!C29</f>
        <v>FeAA-5</v>
      </c>
    </row>
    <row r="30" spans="1:3" x14ac:dyDescent="0.2">
      <c r="A30" t="str">
        <f>rearing!A30</f>
        <v>Siqwepu2020</v>
      </c>
      <c r="B30" t="str">
        <f>rearing!B30</f>
        <v>African catfish</v>
      </c>
      <c r="C30" t="str">
        <f>rearing!C30</f>
        <v>FeAA-10</v>
      </c>
    </row>
    <row r="31" spans="1:3" x14ac:dyDescent="0.2">
      <c r="A31" t="str">
        <f>rearing!A31</f>
        <v>Siqwepu2020</v>
      </c>
      <c r="B31" t="str">
        <f>rearing!B31</f>
        <v>African catfish</v>
      </c>
      <c r="C31" t="str">
        <f>rearing!C31</f>
        <v>FeAA-20</v>
      </c>
    </row>
    <row r="32" spans="1:3" x14ac:dyDescent="0.2">
      <c r="A32" t="str">
        <f>rearing!A32</f>
        <v>Siqwepu2020</v>
      </c>
      <c r="B32" t="str">
        <f>rearing!B32</f>
        <v>African catfish</v>
      </c>
      <c r="C32" t="str">
        <f>rearing!C32</f>
        <v>Control</v>
      </c>
    </row>
    <row r="33" spans="1:3" x14ac:dyDescent="0.2">
      <c r="A33" t="str">
        <f>rearing!A33</f>
        <v>Delaide2021</v>
      </c>
      <c r="B33" t="str">
        <f>rearing!B33</f>
        <v>Pikeperch</v>
      </c>
      <c r="C33" t="str">
        <f>rearing!C33</f>
        <v>AE</v>
      </c>
    </row>
    <row r="34" spans="1:3" x14ac:dyDescent="0.2">
      <c r="A34" t="str">
        <f>rearing!A34</f>
        <v>Delaide2021</v>
      </c>
      <c r="B34" t="str">
        <f>rearing!B34</f>
        <v>Pikeperch</v>
      </c>
      <c r="C34" t="str">
        <f>rearing!C34</f>
        <v>AEC</v>
      </c>
    </row>
    <row r="35" spans="1:3" x14ac:dyDescent="0.2">
      <c r="A35" t="str">
        <f>rearing!A35</f>
        <v>Delaide2021</v>
      </c>
      <c r="B35" t="str">
        <f>rearing!B35</f>
        <v>Pikeperch</v>
      </c>
      <c r="C35" t="str">
        <f>rearing!C35</f>
        <v>Std_E1</v>
      </c>
    </row>
    <row r="36" spans="1:3" x14ac:dyDescent="0.2">
      <c r="A36" t="str">
        <f>rearing!A36</f>
        <v>Delaide2021</v>
      </c>
      <c r="B36" t="str">
        <f>rearing!B36</f>
        <v>Pikeperch</v>
      </c>
      <c r="C36" t="str">
        <f>rearing!C36</f>
        <v>AE-NPK</v>
      </c>
    </row>
    <row r="37" spans="1:3" x14ac:dyDescent="0.2">
      <c r="A37" t="str">
        <f>rearing!A37</f>
        <v>Delaide2021</v>
      </c>
      <c r="B37" t="str">
        <f>rearing!B37</f>
        <v>Pikeperch</v>
      </c>
      <c r="C37" t="str">
        <f>rearing!C37</f>
        <v>AN-NPK</v>
      </c>
    </row>
    <row r="38" spans="1:3" x14ac:dyDescent="0.2">
      <c r="A38" t="str">
        <f>rearing!A38</f>
        <v>Delaide2021</v>
      </c>
      <c r="B38" t="str">
        <f>rearing!B38</f>
        <v>Pikeperch</v>
      </c>
      <c r="C38" t="str">
        <f>rearing!C38</f>
        <v>Std_E2</v>
      </c>
    </row>
    <row r="39" spans="1:3" x14ac:dyDescent="0.2">
      <c r="A39" t="str">
        <f>rearing!A39</f>
        <v>Atique2022</v>
      </c>
      <c r="B39" t="str">
        <f>rearing!B39</f>
        <v>Rainbow trout</v>
      </c>
      <c r="C39" t="str">
        <f>rearing!C39</f>
        <v>RAS</v>
      </c>
    </row>
    <row r="40" spans="1:3" x14ac:dyDescent="0.2">
      <c r="A40" t="str">
        <f>rearing!A40</f>
        <v>Atique2022</v>
      </c>
      <c r="B40" t="str">
        <f>rearing!B40</f>
        <v>Rainbow trout</v>
      </c>
      <c r="C40" t="str">
        <f>rearing!C40</f>
        <v>Aquaponic</v>
      </c>
    </row>
    <row r="41" spans="1:3" x14ac:dyDescent="0.2">
      <c r="A41" t="str">
        <f>rearing!A41</f>
        <v>Atique2022</v>
      </c>
      <c r="B41" t="str">
        <f>rearing!B41</f>
        <v>Rainbow trout</v>
      </c>
      <c r="C41" t="str">
        <f>rearing!C41</f>
        <v>Hydroponic</v>
      </c>
    </row>
    <row r="42" spans="1:3" x14ac:dyDescent="0.2">
      <c r="A42" t="str">
        <f>rearing!A42</f>
        <v>Zhu2022</v>
      </c>
      <c r="B42" t="str">
        <f>rearing!B42</f>
        <v>African catfish</v>
      </c>
      <c r="C42" t="str">
        <f>rearing!C42</f>
        <v>Aquaponic</v>
      </c>
    </row>
    <row r="43" spans="1:3" x14ac:dyDescent="0.2">
      <c r="A43" t="str">
        <f>rearing!A43</f>
        <v>Zhu2022</v>
      </c>
      <c r="B43" t="str">
        <f>rearing!B43</f>
        <v>African catfish</v>
      </c>
      <c r="C43" t="str">
        <f>rearing!C43</f>
        <v>Hydroponic</v>
      </c>
    </row>
    <row r="44" spans="1:3" x14ac:dyDescent="0.2">
      <c r="A44" t="str">
        <f>rearing!A44</f>
        <v>Delaide2019</v>
      </c>
      <c r="B44" t="str">
        <f>rearing!B44</f>
        <v>Pikeperch</v>
      </c>
      <c r="C44" t="str">
        <f>rearing!C44</f>
        <v>AP</v>
      </c>
    </row>
    <row r="45" spans="1:3" x14ac:dyDescent="0.2">
      <c r="A45" t="str">
        <f>rearing!A45</f>
        <v>Delaide2019</v>
      </c>
      <c r="B45" t="str">
        <f>rearing!B45</f>
        <v>Pikeperch</v>
      </c>
      <c r="C45" t="str">
        <f>rearing!C45</f>
        <v>Control</v>
      </c>
    </row>
    <row r="46" spans="1:3" x14ac:dyDescent="0.2">
      <c r="A46" t="str">
        <f>rearing!A46</f>
        <v>Knaus2022</v>
      </c>
      <c r="B46" t="str">
        <f>rearing!B46</f>
        <v>African catfish</v>
      </c>
      <c r="C46" t="str">
        <f>rearing!C46</f>
        <v>EbbFlow</v>
      </c>
    </row>
    <row r="47" spans="1:3" x14ac:dyDescent="0.2">
      <c r="A47" t="str">
        <f>rearing!A47</f>
        <v>Knaus2022</v>
      </c>
      <c r="B47" t="str">
        <f>rearing!B47</f>
        <v>African catfish</v>
      </c>
      <c r="C47" t="str">
        <f>rearing!C47</f>
        <v>FloatingRaft</v>
      </c>
    </row>
    <row r="48" spans="1:3" x14ac:dyDescent="0.2">
      <c r="A48" t="str">
        <f>rearing!A48</f>
        <v>Knaus2022</v>
      </c>
      <c r="B48" t="str">
        <f>rearing!B48</f>
        <v>African catfish</v>
      </c>
      <c r="C48" t="str">
        <f>rearing!C48</f>
        <v>GrowPipe</v>
      </c>
    </row>
    <row r="49" spans="1:3" x14ac:dyDescent="0.2">
      <c r="A49" t="str">
        <f>rearing!A49</f>
        <v>Suhl2016</v>
      </c>
      <c r="B49" t="str">
        <f>rearing!B49</f>
        <v>Nile tilapia</v>
      </c>
      <c r="C49" t="str">
        <f>rearing!C49</f>
        <v>Aquaponic</v>
      </c>
    </row>
    <row r="50" spans="1:3" x14ac:dyDescent="0.2">
      <c r="A50" t="str">
        <f>rearing!A50</f>
        <v>Suhl2016</v>
      </c>
      <c r="B50" t="str">
        <f>rearing!B50</f>
        <v>Nile tilapia</v>
      </c>
      <c r="C50" t="str">
        <f>rearing!C50</f>
        <v>Hydroponic</v>
      </c>
    </row>
    <row r="51" spans="1:3" x14ac:dyDescent="0.2">
      <c r="A51" t="str">
        <f>rearing!A51</f>
        <v>Medina2016</v>
      </c>
      <c r="B51" t="str">
        <f>rearing!B51</f>
        <v>Blue tilapia</v>
      </c>
      <c r="C51" t="str">
        <f>rearing!C51</f>
        <v>Control</v>
      </c>
    </row>
    <row r="52" spans="1:3" x14ac:dyDescent="0.2">
      <c r="A52" t="str">
        <f>rearing!A52</f>
        <v>Medina2016</v>
      </c>
      <c r="B52" t="str">
        <f>rearing!B52</f>
        <v>Blue tilapia</v>
      </c>
      <c r="C52" t="str">
        <f>rearing!C52</f>
        <v>Alternative</v>
      </c>
    </row>
    <row r="53" spans="1:3" x14ac:dyDescent="0.2">
      <c r="A53" t="str">
        <f>rearing!A53</f>
        <v>Schmautz2016</v>
      </c>
      <c r="B53" t="str">
        <f>rearing!B53</f>
        <v>Nile tilapia</v>
      </c>
      <c r="C53" t="str">
        <f>rearing!C53</f>
        <v>NFT</v>
      </c>
    </row>
    <row r="54" spans="1:3" x14ac:dyDescent="0.2">
      <c r="A54" t="str">
        <f>rearing!A54</f>
        <v>Schmautz2016</v>
      </c>
      <c r="B54" t="str">
        <f>rearing!B54</f>
        <v>Nile tilapia</v>
      </c>
      <c r="C54" t="str">
        <f>rearing!C54</f>
        <v>Raft</v>
      </c>
    </row>
    <row r="55" spans="1:3" x14ac:dyDescent="0.2">
      <c r="A55" t="str">
        <f>rearing!A55</f>
        <v>Schmautz2016</v>
      </c>
      <c r="B55" t="str">
        <f>rearing!B55</f>
        <v>Nile tilapia</v>
      </c>
      <c r="C55" t="str">
        <f>rearing!C55</f>
        <v>Drip</v>
      </c>
    </row>
    <row r="56" spans="1:3" x14ac:dyDescent="0.2">
      <c r="A56" t="str">
        <f>rearing!A56</f>
        <v>Knaus2020</v>
      </c>
      <c r="B56" t="str">
        <f>rearing!B56</f>
        <v>African catfish</v>
      </c>
      <c r="C56" t="str">
        <f>rearing!C56</f>
        <v>GrowPipe</v>
      </c>
    </row>
    <row r="57" spans="1:3" x14ac:dyDescent="0.2">
      <c r="A57" t="str">
        <f>rearing!A57</f>
        <v>Knaus2020</v>
      </c>
      <c r="B57" t="str">
        <f>rearing!B57</f>
        <v>African catfish</v>
      </c>
      <c r="C57" t="str">
        <f>rearing!C57</f>
        <v>Raft</v>
      </c>
    </row>
    <row r="58" spans="1:3" x14ac:dyDescent="0.2">
      <c r="A58" t="str">
        <f>rearing!A58</f>
        <v>Knaus2020</v>
      </c>
      <c r="B58" t="str">
        <f>rearing!B58</f>
        <v>African catfish</v>
      </c>
      <c r="C58" t="str">
        <f>rearing!C58</f>
        <v>Gravel</v>
      </c>
    </row>
    <row r="59" spans="1:3" x14ac:dyDescent="0.2">
      <c r="A59" t="str">
        <f>rearing!A59</f>
        <v>Pasch2021</v>
      </c>
      <c r="B59" t="str">
        <f>rearing!B59</f>
        <v>African catfish</v>
      </c>
      <c r="C59" t="str">
        <f>rearing!C59</f>
        <v>Aeroponics</v>
      </c>
    </row>
    <row r="60" spans="1:3" x14ac:dyDescent="0.2">
      <c r="A60" t="str">
        <f>rearing!A60</f>
        <v>Pasch2021</v>
      </c>
      <c r="B60" t="str">
        <f>rearing!B60</f>
        <v>African catfish</v>
      </c>
      <c r="C60" t="str">
        <f>rearing!C60</f>
        <v>DRF</v>
      </c>
    </row>
    <row r="61" spans="1:3" x14ac:dyDescent="0.2">
      <c r="A61" t="str">
        <f>rearing!A61</f>
        <v>Pasch2021</v>
      </c>
      <c r="B61" t="str">
        <f>rearing!B61</f>
        <v>African catfish</v>
      </c>
      <c r="C61" t="str">
        <f>rearing!C61</f>
        <v>Raft</v>
      </c>
    </row>
    <row r="62" spans="1:3" x14ac:dyDescent="0.2">
      <c r="A62" t="str">
        <f>rearing!A62</f>
        <v>Pasch2021a</v>
      </c>
      <c r="B62" t="str">
        <f>rearing!B62</f>
        <v>African catfish</v>
      </c>
      <c r="C62" t="str">
        <f>rearing!C62</f>
        <v>DRF</v>
      </c>
    </row>
    <row r="63" spans="1:3" x14ac:dyDescent="0.2">
      <c r="A63" t="str">
        <f>rearing!A63</f>
        <v>Pasch2021a</v>
      </c>
      <c r="B63" t="str">
        <f>rearing!B63</f>
        <v>African catfish</v>
      </c>
      <c r="C63" t="str">
        <f>rearing!C63</f>
        <v>Raft</v>
      </c>
    </row>
    <row r="64" spans="1:3" x14ac:dyDescent="0.2">
      <c r="A64" t="str">
        <f>rearing!A64</f>
        <v>Pasch2021a</v>
      </c>
      <c r="B64" t="str">
        <f>rearing!B64</f>
        <v>African catfish</v>
      </c>
      <c r="C64" t="str">
        <f>rearing!C64</f>
        <v>GrowPipe</v>
      </c>
    </row>
    <row r="65" spans="1:3" x14ac:dyDescent="0.2">
      <c r="A65" t="str">
        <f>rearing!A65</f>
        <v>Delaide2017</v>
      </c>
      <c r="B65" t="str">
        <f>rearing!B65</f>
        <v>Nile tilapia</v>
      </c>
      <c r="C65" t="str">
        <f>rearing!C65</f>
        <v>Lettuce</v>
      </c>
    </row>
    <row r="66" spans="1:3" x14ac:dyDescent="0.2">
      <c r="A66" t="str">
        <f>rearing!A66</f>
        <v>Delaide2017</v>
      </c>
      <c r="B66" t="str">
        <f>rearing!B66</f>
        <v>Nile tilapia</v>
      </c>
      <c r="C66" t="str">
        <f>rearing!C66</f>
        <v>Basil</v>
      </c>
    </row>
    <row r="67" spans="1:3" x14ac:dyDescent="0.2">
      <c r="A67" t="str">
        <f>rearing!A67</f>
        <v>Lunda2019</v>
      </c>
      <c r="B67">
        <f>rearing!B67</f>
        <v>0</v>
      </c>
      <c r="C67" t="str">
        <f>rearing!C67</f>
        <v>FROV</v>
      </c>
    </row>
    <row r="68" spans="1:3" x14ac:dyDescent="0.2">
      <c r="A68" t="str">
        <f>rearing!A68</f>
        <v>Lunda2019</v>
      </c>
      <c r="B68">
        <f>rearing!B68</f>
        <v>0</v>
      </c>
      <c r="C68" t="str">
        <f>rearing!C68</f>
        <v>ANAPARTNERS</v>
      </c>
    </row>
    <row r="69" spans="1:3" x14ac:dyDescent="0.2">
      <c r="A69" t="str">
        <f>rearing!A69</f>
        <v>Lunda2019</v>
      </c>
      <c r="B69">
        <f>rearing!B69</f>
        <v>0</v>
      </c>
      <c r="C69" t="str">
        <f>rearing!C69</f>
        <v>ROKYTNO</v>
      </c>
    </row>
    <row r="70" spans="1:3" x14ac:dyDescent="0.2">
      <c r="A70" t="str">
        <f>rearing!A70</f>
        <v>Knaus2017</v>
      </c>
      <c r="B70" t="str">
        <f>rearing!B70</f>
        <v>Nile tilapia</v>
      </c>
      <c r="C70" t="str">
        <f>rearing!C70</f>
        <v>Unit I</v>
      </c>
    </row>
    <row r="71" spans="1:3" x14ac:dyDescent="0.2">
      <c r="A71" t="str">
        <f>rearing!A71</f>
        <v>Knaus2017</v>
      </c>
      <c r="B71" t="str">
        <f>rearing!B71</f>
        <v>Nile tilapia</v>
      </c>
      <c r="C71" t="str">
        <f>rearing!C71</f>
        <v>Unit I</v>
      </c>
    </row>
    <row r="72" spans="1:3" x14ac:dyDescent="0.2">
      <c r="A72" t="str">
        <f>rearing!A72</f>
        <v>Knaus2017</v>
      </c>
      <c r="B72" t="str">
        <f>rearing!B72</f>
        <v>African catfish</v>
      </c>
      <c r="C72" t="str">
        <f>rearing!C72</f>
        <v>Unit II</v>
      </c>
    </row>
    <row r="73" spans="1:3" x14ac:dyDescent="0.2">
      <c r="A73" t="str">
        <f>rearing!A73</f>
        <v>Knaus2017</v>
      </c>
      <c r="B73" t="str">
        <f>rearing!B73</f>
        <v>African catfish</v>
      </c>
      <c r="C73" t="str">
        <f>rearing!C73</f>
        <v>Unit II</v>
      </c>
    </row>
    <row r="74" spans="1:3" x14ac:dyDescent="0.2">
      <c r="A74" t="str">
        <f>rearing!A74</f>
        <v>Knaus2017a</v>
      </c>
      <c r="B74" t="str">
        <f>rearing!B74</f>
        <v>Nile tilapia</v>
      </c>
      <c r="C74" t="str">
        <f>rearing!C74</f>
        <v>Unit I</v>
      </c>
    </row>
    <row r="75" spans="1:3" x14ac:dyDescent="0.2">
      <c r="A75" t="str">
        <f>rearing!A75</f>
        <v>Knaus2017a</v>
      </c>
      <c r="B75" t="str">
        <f>rearing!B75</f>
        <v>Common Carp</v>
      </c>
      <c r="C75" t="str">
        <f>rearing!C75</f>
        <v>Unit II</v>
      </c>
    </row>
    <row r="76" spans="1:3" x14ac:dyDescent="0.2">
      <c r="A76" t="str">
        <f>rearing!A76</f>
        <v>Monsees2019</v>
      </c>
      <c r="B76" t="str">
        <f>rearing!B76</f>
        <v>Nile tilapia</v>
      </c>
      <c r="C76" t="str">
        <f>rearing!C76</f>
        <v>Control</v>
      </c>
    </row>
    <row r="77" spans="1:3" x14ac:dyDescent="0.2">
      <c r="A77" t="str">
        <f>rearing!A77</f>
        <v>Monsees2019</v>
      </c>
      <c r="B77" t="str">
        <f>rearing!B77</f>
        <v>Nile tilapia</v>
      </c>
      <c r="C77" t="str">
        <f>rearing!C77</f>
        <v>APunt</v>
      </c>
    </row>
    <row r="78" spans="1:3" x14ac:dyDescent="0.2">
      <c r="A78" t="str">
        <f>rearing!A78</f>
        <v>Monsees2019</v>
      </c>
      <c r="B78" t="str">
        <f>rearing!B78</f>
        <v>Nile tilapia</v>
      </c>
      <c r="C78" t="str">
        <f>rearing!C78</f>
        <v>APdis</v>
      </c>
    </row>
    <row r="79" spans="1:3" x14ac:dyDescent="0.2">
      <c r="A79" t="str">
        <f>rearing!A79</f>
        <v>Rodgers2022</v>
      </c>
      <c r="B79" t="str">
        <f>rearing!B79</f>
        <v>Koi carp</v>
      </c>
      <c r="C79" t="str">
        <f>rearing!C79</f>
        <v>CON</v>
      </c>
    </row>
    <row r="80" spans="1:3" x14ac:dyDescent="0.2">
      <c r="A80" t="str">
        <f>rearing!A80</f>
        <v>Rodgers2022</v>
      </c>
      <c r="B80" t="str">
        <f>rearing!B80</f>
        <v>Koi carp</v>
      </c>
      <c r="C80" t="str">
        <f>rearing!C80</f>
        <v>DAP</v>
      </c>
    </row>
    <row r="81" spans="1:3" x14ac:dyDescent="0.2">
      <c r="A81" t="str">
        <f>rearing!A81</f>
        <v>Rodgers2022</v>
      </c>
      <c r="B81" t="str">
        <f>rearing!B81</f>
        <v>Koi carp</v>
      </c>
      <c r="C81" t="str">
        <f>rearing!C81</f>
        <v>DAP+</v>
      </c>
    </row>
    <row r="82" spans="1:3" x14ac:dyDescent="0.2">
      <c r="A82" t="str">
        <f>rearing!A82</f>
        <v>Cerozi2020</v>
      </c>
      <c r="B82" t="str">
        <f>rearing!B82</f>
        <v>Blue tilapia</v>
      </c>
      <c r="C82" t="str">
        <f>rearing!C82</f>
        <v>System</v>
      </c>
    </row>
    <row r="83" spans="1:3" x14ac:dyDescent="0.2">
      <c r="A83" t="str">
        <f>rearing!A83</f>
        <v>Khiari2019</v>
      </c>
      <c r="B83" t="str">
        <f>rearing!B83</f>
        <v>Nile tilapia</v>
      </c>
      <c r="C83" t="str">
        <f>rearing!C83</f>
        <v>30_5.5</v>
      </c>
    </row>
    <row r="84" spans="1:3" x14ac:dyDescent="0.2">
      <c r="A84" t="str">
        <f>rearing!A84</f>
        <v>Khiari2019</v>
      </c>
      <c r="B84" t="str">
        <f>rearing!B84</f>
        <v>Nile tilapia</v>
      </c>
      <c r="C84" t="str">
        <f>rearing!C84</f>
        <v>30_6.0</v>
      </c>
    </row>
    <row r="85" spans="1:3" x14ac:dyDescent="0.2">
      <c r="A85" t="str">
        <f>rearing!A85</f>
        <v>Khiari2019</v>
      </c>
      <c r="B85" t="str">
        <f>rearing!B85</f>
        <v>Nile tilapia</v>
      </c>
      <c r="C85" t="str">
        <f>rearing!C85</f>
        <v>30_6.5</v>
      </c>
    </row>
    <row r="86" spans="1:3" x14ac:dyDescent="0.2">
      <c r="A86" t="str">
        <f>rearing!A86</f>
        <v>Khiari2019</v>
      </c>
      <c r="B86" t="str">
        <f>rearing!B86</f>
        <v>Nile tilapia</v>
      </c>
      <c r="C86" t="str">
        <f>rearing!C86</f>
        <v>35_5.5</v>
      </c>
    </row>
    <row r="87" spans="1:3" x14ac:dyDescent="0.2">
      <c r="A87" t="str">
        <f>rearing!A87</f>
        <v>Khiari2019</v>
      </c>
      <c r="B87" t="str">
        <f>rearing!B87</f>
        <v>Nile tilapia</v>
      </c>
      <c r="C87" t="str">
        <f>rearing!C87</f>
        <v>35_6.0</v>
      </c>
    </row>
    <row r="88" spans="1:3" x14ac:dyDescent="0.2">
      <c r="A88" t="str">
        <f>rearing!A88</f>
        <v>Khiari2019</v>
      </c>
      <c r="B88" t="str">
        <f>rearing!B88</f>
        <v>Nile tilapia</v>
      </c>
      <c r="C88" t="str">
        <f>rearing!C88</f>
        <v>35_6.5</v>
      </c>
    </row>
    <row r="89" spans="1:3" x14ac:dyDescent="0.2">
      <c r="A89" t="str">
        <f>rearing!A89</f>
        <v>Khiari2019</v>
      </c>
      <c r="B89" t="str">
        <f>rearing!B89</f>
        <v>Nile tilapia</v>
      </c>
      <c r="C89" t="str">
        <f>rearing!C89</f>
        <v>40_5.5</v>
      </c>
    </row>
    <row r="90" spans="1:3" x14ac:dyDescent="0.2">
      <c r="A90" t="str">
        <f>rearing!A90</f>
        <v>Khiari2019</v>
      </c>
      <c r="B90" t="str">
        <f>rearing!B90</f>
        <v>Nile tilapia</v>
      </c>
      <c r="C90" t="str">
        <f>rearing!C90</f>
        <v>40_6.0</v>
      </c>
    </row>
    <row r="91" spans="1:3" x14ac:dyDescent="0.2">
      <c r="A91" t="str">
        <f>rearing!A91</f>
        <v>Khiari2019</v>
      </c>
      <c r="B91" t="str">
        <f>rearing!B91</f>
        <v>Nile tilapia</v>
      </c>
      <c r="C91" t="str">
        <f>rearing!C91</f>
        <v>40_6.5</v>
      </c>
    </row>
    <row r="92" spans="1:3" x14ac:dyDescent="0.2">
      <c r="A92" t="str">
        <f>rearing!A92</f>
        <v>Delaide2018</v>
      </c>
      <c r="B92" t="str">
        <f>rearing!B92</f>
        <v>Nile tilapia</v>
      </c>
      <c r="C92" t="str">
        <f>rearing!C92</f>
        <v>ANR</v>
      </c>
    </row>
    <row r="93" spans="1:3" x14ac:dyDescent="0.2">
      <c r="A93" t="str">
        <f>rearing!A93</f>
        <v>Monsees2017</v>
      </c>
      <c r="B93" t="str">
        <f>rearing!B93</f>
        <v>Nile tilapia</v>
      </c>
      <c r="C93" t="str">
        <f>rearing!C93</f>
        <v>Exp1_anaerobic</v>
      </c>
    </row>
    <row r="94" spans="1:3" x14ac:dyDescent="0.2">
      <c r="A94" t="str">
        <f>rearing!A94</f>
        <v>Roosta2013</v>
      </c>
      <c r="B94" t="str">
        <f>rearing!B94</f>
        <v>Common Carp</v>
      </c>
      <c r="C94" t="str">
        <f>rearing!C94</f>
        <v>Rep1</v>
      </c>
    </row>
    <row r="95" spans="1:3" x14ac:dyDescent="0.2">
      <c r="A95" t="str">
        <f>rearing!A95</f>
        <v>Roosta2013</v>
      </c>
      <c r="B95" t="str">
        <f>rearing!B95</f>
        <v>Grass carp</v>
      </c>
      <c r="C95" t="str">
        <f>rearing!C95</f>
        <v>Rep2</v>
      </c>
    </row>
    <row r="96" spans="1:3" x14ac:dyDescent="0.2">
      <c r="A96" t="str">
        <f>rearing!A96</f>
        <v>Roosta2013</v>
      </c>
      <c r="B96" t="str">
        <f>rearing!B96</f>
        <v>Silver carp</v>
      </c>
      <c r="C96" t="str">
        <f>rearing!C96</f>
        <v>Rep3</v>
      </c>
    </row>
    <row r="97" spans="1:3" x14ac:dyDescent="0.2">
      <c r="A97" t="str">
        <f>rearing!A97</f>
        <v>Roosta2014</v>
      </c>
      <c r="B97" t="str">
        <f>rearing!B97</f>
        <v>Common Carp</v>
      </c>
      <c r="C97" t="str">
        <f>rearing!C97</f>
        <v>Rep1</v>
      </c>
    </row>
    <row r="98" spans="1:3" x14ac:dyDescent="0.2">
      <c r="A98" t="str">
        <f>rearing!A98</f>
        <v>Roosta2014</v>
      </c>
      <c r="B98" t="str">
        <f>rearing!B98</f>
        <v>Grass carp</v>
      </c>
      <c r="C98" t="str">
        <f>rearing!C98</f>
        <v>Rep2</v>
      </c>
    </row>
    <row r="99" spans="1:3" x14ac:dyDescent="0.2">
      <c r="A99" t="str">
        <f>rearing!A99</f>
        <v>Roosta2014</v>
      </c>
      <c r="B99" t="str">
        <f>rearing!B99</f>
        <v>Silver carp</v>
      </c>
      <c r="C99" t="str">
        <f>rearing!C99</f>
        <v>Rep3</v>
      </c>
    </row>
    <row r="100" spans="1:3" x14ac:dyDescent="0.2">
      <c r="A100" t="str">
        <f>rearing!A100</f>
        <v>Yang2020</v>
      </c>
      <c r="B100" t="str">
        <f>rearing!B100</f>
        <v>Nile tilapia</v>
      </c>
      <c r="C100" t="str">
        <f>rearing!C100</f>
        <v>AP_Tomato</v>
      </c>
    </row>
    <row r="101" spans="1:3" x14ac:dyDescent="0.2">
      <c r="A101" t="str">
        <f>rearing!A101</f>
        <v>Yang2020</v>
      </c>
      <c r="B101" t="str">
        <f>rearing!B101</f>
        <v>Nile tilapia</v>
      </c>
      <c r="C101" t="str">
        <f>rearing!C101</f>
        <v>AP_Basil</v>
      </c>
    </row>
    <row r="102" spans="1:3" x14ac:dyDescent="0.2">
      <c r="A102" t="str">
        <f>rearing!A102</f>
        <v>Yang2020</v>
      </c>
      <c r="B102" t="str">
        <f>rearing!B102</f>
        <v>Nile tilapia</v>
      </c>
      <c r="C102" t="str">
        <f>rearing!C102</f>
        <v>AP_Lettuce</v>
      </c>
    </row>
    <row r="103" spans="1:3" x14ac:dyDescent="0.2">
      <c r="A103" t="str">
        <f>rearing!A103</f>
        <v>Yang2020</v>
      </c>
      <c r="B103">
        <f>rearing!B103</f>
        <v>0</v>
      </c>
      <c r="C103" t="str">
        <f>rearing!C103</f>
        <v>HP_Tomato</v>
      </c>
    </row>
    <row r="104" spans="1:3" x14ac:dyDescent="0.2">
      <c r="A104" t="str">
        <f>rearing!A104</f>
        <v>Yang2020</v>
      </c>
      <c r="B104">
        <f>rearing!B104</f>
        <v>0</v>
      </c>
      <c r="C104" t="str">
        <f>rearing!C104</f>
        <v>HP_Basil</v>
      </c>
    </row>
    <row r="105" spans="1:3" x14ac:dyDescent="0.2">
      <c r="A105" t="str">
        <f>rearing!A105</f>
        <v>Yang2020</v>
      </c>
      <c r="B105">
        <f>rearing!B105</f>
        <v>0</v>
      </c>
      <c r="C105" t="str">
        <f>rearing!C105</f>
        <v>HP_Lettuce</v>
      </c>
    </row>
    <row r="106" spans="1:3" x14ac:dyDescent="0.2">
      <c r="A106" t="str">
        <f>rearing!A106</f>
        <v>Anderson2017</v>
      </c>
      <c r="B106">
        <f>rearing!B106</f>
        <v>0</v>
      </c>
      <c r="C106" t="str">
        <f>rearing!C106</f>
        <v>H5</v>
      </c>
    </row>
    <row r="107" spans="1:3" x14ac:dyDescent="0.2">
      <c r="A107" t="str">
        <f>rearing!A107</f>
        <v>Anderson2017</v>
      </c>
      <c r="B107">
        <f>rearing!B107</f>
        <v>0</v>
      </c>
      <c r="C107" t="str">
        <f>rearing!C107</f>
        <v>H7</v>
      </c>
    </row>
    <row r="108" spans="1:3" x14ac:dyDescent="0.2">
      <c r="A108" t="str">
        <f>rearing!A108</f>
        <v>Anderson2017</v>
      </c>
      <c r="B108" t="str">
        <f>rearing!B108</f>
        <v>Koi carp</v>
      </c>
      <c r="C108" t="str">
        <f>rearing!C108</f>
        <v>A7</v>
      </c>
    </row>
    <row r="109" spans="1:3" x14ac:dyDescent="0.2">
      <c r="A109" t="str">
        <f>rearing!A109</f>
        <v>Blanchard2020</v>
      </c>
      <c r="B109" t="str">
        <f>rearing!B109</f>
        <v>Nile tilapia</v>
      </c>
      <c r="C109" t="str">
        <f>rearing!C109</f>
        <v>pH7</v>
      </c>
    </row>
    <row r="110" spans="1:3" x14ac:dyDescent="0.2">
      <c r="A110" t="str">
        <f>rearing!A110</f>
        <v>Blanchard2020</v>
      </c>
      <c r="B110" t="str">
        <f>rearing!B110</f>
        <v>Nile tilapia</v>
      </c>
      <c r="C110" t="str">
        <f>rearing!C110</f>
        <v>pH6.5</v>
      </c>
    </row>
    <row r="111" spans="1:3" x14ac:dyDescent="0.2">
      <c r="A111" t="str">
        <f>rearing!A111</f>
        <v>Blanchard2020</v>
      </c>
      <c r="B111" t="str">
        <f>rearing!B111</f>
        <v>Nile tilapia</v>
      </c>
      <c r="C111" t="str">
        <f>rearing!C111</f>
        <v>pH5.8</v>
      </c>
    </row>
    <row r="112" spans="1:3" x14ac:dyDescent="0.2">
      <c r="A112" t="str">
        <f>rearing!A112</f>
        <v>Blanchard2020</v>
      </c>
      <c r="B112" t="str">
        <f>rearing!B112</f>
        <v>Nile tilapia</v>
      </c>
      <c r="C112" t="str">
        <f>rearing!C112</f>
        <v>pH5</v>
      </c>
    </row>
    <row r="113" spans="1:3" x14ac:dyDescent="0.2">
      <c r="A113" t="str">
        <f>rearing!A113</f>
        <v>Pinero2020</v>
      </c>
      <c r="B113" t="str">
        <f>rearing!B113</f>
        <v>Nile tilapia</v>
      </c>
      <c r="C113" t="str">
        <f>rearing!C113</f>
        <v>100S</v>
      </c>
    </row>
    <row r="114" spans="1:3" x14ac:dyDescent="0.2">
      <c r="A114" t="str">
        <f>rearing!A114</f>
        <v>Pinero2021</v>
      </c>
      <c r="B114" t="str">
        <f>rearing!B114</f>
        <v>Nile tilapia</v>
      </c>
      <c r="C114" t="str">
        <f>rearing!C114</f>
        <v>50F50D</v>
      </c>
    </row>
    <row r="115" spans="1:3" x14ac:dyDescent="0.2">
      <c r="A115" t="str">
        <f>rearing!A115</f>
        <v>Pinero2022</v>
      </c>
      <c r="B115" t="str">
        <f>rearing!B115</f>
        <v>Nile tilapia</v>
      </c>
      <c r="C115" t="str">
        <f>rearing!C115</f>
        <v>50F50D+S</v>
      </c>
    </row>
    <row r="116" spans="1:3" x14ac:dyDescent="0.2">
      <c r="A116" t="str">
        <f>rearing!A116</f>
        <v>Pinero2023</v>
      </c>
      <c r="B116" t="str">
        <f>rearing!B116</f>
        <v>Nile tilapia</v>
      </c>
      <c r="C116" t="str">
        <f>rearing!C116</f>
        <v>50F50D+F</v>
      </c>
    </row>
  </sheetData>
  <mergeCells count="2">
    <mergeCell ref="N1:T1"/>
    <mergeCell ref="U1:AA1"/>
  </mergeCells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A552-7E7A-8449-906E-5EBBB9E971C2}">
  <sheetPr>
    <tabColor theme="9" tint="0.39997558519241921"/>
  </sheetPr>
  <dimension ref="A1:Y116"/>
  <sheetViews>
    <sheetView tabSelected="1"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21" sqref="E21"/>
    </sheetView>
  </sheetViews>
  <sheetFormatPr baseColWidth="10" defaultColWidth="10.83203125" defaultRowHeight="16" x14ac:dyDescent="0.2"/>
  <cols>
    <col min="1" max="5" width="13.5" style="7" customWidth="1"/>
    <col min="6" max="6" width="13.5" style="13" customWidth="1"/>
    <col min="7" max="7" width="10.83203125" style="17"/>
    <col min="8" max="11" width="10.83203125" style="7"/>
    <col min="12" max="12" width="10.83203125" style="13"/>
    <col min="13" max="13" width="10.83203125" style="17"/>
    <col min="14" max="16" width="10.83203125" style="7"/>
    <col min="17" max="17" width="10.83203125" style="13"/>
    <col min="18" max="18" width="10.83203125" style="17"/>
    <col min="19" max="16384" width="10.83203125" style="7"/>
  </cols>
  <sheetData>
    <row r="1" spans="1:25" ht="24" x14ac:dyDescent="0.3">
      <c r="G1" s="96" t="s">
        <v>29</v>
      </c>
      <c r="H1" s="96"/>
      <c r="I1" s="96"/>
      <c r="J1" s="96"/>
      <c r="K1" s="96"/>
      <c r="L1" s="96"/>
      <c r="M1" s="96" t="s">
        <v>0</v>
      </c>
      <c r="N1" s="96"/>
      <c r="O1" s="96"/>
      <c r="P1" s="96"/>
      <c r="Q1" s="96"/>
      <c r="R1" s="96" t="s">
        <v>1</v>
      </c>
      <c r="S1" s="96"/>
      <c r="T1" s="96"/>
      <c r="U1" s="96"/>
      <c r="V1" s="96"/>
      <c r="W1" s="96"/>
      <c r="X1" s="96"/>
    </row>
    <row r="2" spans="1:25" x14ac:dyDescent="0.2">
      <c r="A2" s="1" t="s">
        <v>2</v>
      </c>
      <c r="B2" s="1" t="str">
        <f>rearing!B2</f>
        <v>Species</v>
      </c>
      <c r="C2" s="1" t="str">
        <f>rearing!C2</f>
        <v>Treatment_ID</v>
      </c>
      <c r="D2" s="1" t="s">
        <v>108</v>
      </c>
      <c r="E2" s="1" t="s">
        <v>109</v>
      </c>
      <c r="F2" s="3" t="s">
        <v>110</v>
      </c>
      <c r="G2" s="32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3" t="s">
        <v>8</v>
      </c>
      <c r="M2" s="32" t="s">
        <v>9</v>
      </c>
      <c r="N2" s="1" t="s">
        <v>30</v>
      </c>
      <c r="O2" s="1" t="s">
        <v>31</v>
      </c>
      <c r="P2" s="1" t="s">
        <v>32</v>
      </c>
      <c r="Q2" s="3" t="s">
        <v>33</v>
      </c>
      <c r="R2" s="32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151</v>
      </c>
    </row>
    <row r="3" spans="1:25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</row>
    <row r="4" spans="1:25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</row>
    <row r="5" spans="1:25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</row>
    <row r="6" spans="1:25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</row>
    <row r="7" spans="1:25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</row>
    <row r="8" spans="1:25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</row>
    <row r="9" spans="1:25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</row>
    <row r="10" spans="1:25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</row>
    <row r="11" spans="1:25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</row>
    <row r="12" spans="1:25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</row>
    <row r="13" spans="1:25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D13" s="10">
        <v>0.82499999999999996</v>
      </c>
      <c r="E13" s="7">
        <v>31.81</v>
      </c>
      <c r="F13" s="13">
        <v>787</v>
      </c>
    </row>
    <row r="14" spans="1:25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D14" s="10">
        <v>0.93300000000000005</v>
      </c>
      <c r="E14" s="7">
        <v>26.67</v>
      </c>
      <c r="F14" s="13">
        <v>747</v>
      </c>
    </row>
    <row r="15" spans="1:25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  <c r="D15" s="10">
        <v>0.85</v>
      </c>
      <c r="E15" s="7">
        <v>21.1</v>
      </c>
      <c r="F15" s="13">
        <v>538</v>
      </c>
    </row>
    <row r="16" spans="1:25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D16" s="10">
        <v>0.83299999999999996</v>
      </c>
      <c r="E16" s="7">
        <v>30.88</v>
      </c>
      <c r="F16" s="13">
        <v>772</v>
      </c>
    </row>
    <row r="17" spans="1:18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</row>
    <row r="18" spans="1:18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</row>
    <row r="19" spans="1:18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</row>
    <row r="20" spans="1:18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</row>
    <row r="21" spans="1:18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  <c r="E21" s="102">
        <f>324.6/rearing!N21*1000</f>
        <v>329.93721973094171</v>
      </c>
    </row>
    <row r="22" spans="1:18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  <c r="E22" s="102">
        <f>330.2/rearing!N22*1000</f>
        <v>336.1317365269461</v>
      </c>
    </row>
    <row r="23" spans="1:18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  <c r="E23" s="102">
        <f>323.7/rearing!N23*1000</f>
        <v>329.51497005988028</v>
      </c>
    </row>
    <row r="24" spans="1:18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</row>
    <row r="25" spans="1:18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</row>
    <row r="26" spans="1:18" s="41" customFormat="1" x14ac:dyDescent="0.2">
      <c r="A26" s="41" t="str">
        <f>rearing!A26</f>
        <v>Siqwepu2020</v>
      </c>
      <c r="B26" s="41" t="str">
        <f>rearing!B26</f>
        <v>African catfish</v>
      </c>
      <c r="C26" s="41" t="str">
        <f>rearing!C26</f>
        <v>FeSO4-20</v>
      </c>
      <c r="D26" s="49">
        <v>0.7</v>
      </c>
      <c r="E26" s="41">
        <v>409</v>
      </c>
      <c r="F26" s="42"/>
      <c r="G26" s="47"/>
      <c r="L26" s="42"/>
      <c r="M26" s="47"/>
      <c r="Q26" s="42"/>
      <c r="R26" s="47"/>
    </row>
    <row r="27" spans="1:18" s="41" customFormat="1" x14ac:dyDescent="0.2">
      <c r="A27" s="41" t="str">
        <f>rearing!A27</f>
        <v>Siqwepu2020</v>
      </c>
      <c r="B27" s="41" t="str">
        <f>rearing!B27</f>
        <v>African catfish</v>
      </c>
      <c r="C27" s="41" t="str">
        <f>rearing!C27</f>
        <v>FeSO4-30</v>
      </c>
      <c r="D27" s="49">
        <v>0.73</v>
      </c>
      <c r="E27" s="41">
        <v>466</v>
      </c>
      <c r="F27" s="42"/>
      <c r="G27" s="47"/>
      <c r="L27" s="42"/>
      <c r="M27" s="47"/>
      <c r="Q27" s="42"/>
      <c r="R27" s="47"/>
    </row>
    <row r="28" spans="1:18" s="41" customFormat="1" x14ac:dyDescent="0.2">
      <c r="A28" s="41" t="str">
        <f>rearing!A28</f>
        <v>Siqwepu2020</v>
      </c>
      <c r="B28" s="41" t="str">
        <f>rearing!B28</f>
        <v>African catfish</v>
      </c>
      <c r="C28" s="41" t="str">
        <f>rearing!C28</f>
        <v>FeSO4-60</v>
      </c>
      <c r="D28" s="49">
        <v>0.67</v>
      </c>
      <c r="E28" s="41">
        <v>425</v>
      </c>
      <c r="F28" s="42"/>
      <c r="G28" s="47"/>
      <c r="L28" s="42"/>
      <c r="M28" s="47"/>
      <c r="Q28" s="42"/>
      <c r="R28" s="47"/>
    </row>
    <row r="29" spans="1:18" s="41" customFormat="1" x14ac:dyDescent="0.2">
      <c r="A29" s="41" t="str">
        <f>rearing!A29</f>
        <v>Siqwepu2020</v>
      </c>
      <c r="B29" s="41" t="str">
        <f>rearing!B29</f>
        <v>African catfish</v>
      </c>
      <c r="C29" s="41" t="str">
        <f>rearing!C29</f>
        <v>FeAA-5</v>
      </c>
      <c r="D29" s="49">
        <v>0.7</v>
      </c>
      <c r="E29" s="41">
        <v>438</v>
      </c>
      <c r="F29" s="42"/>
      <c r="G29" s="47"/>
      <c r="L29" s="42"/>
      <c r="M29" s="47"/>
      <c r="Q29" s="42"/>
      <c r="R29" s="47"/>
    </row>
    <row r="30" spans="1:18" s="41" customFormat="1" x14ac:dyDescent="0.2">
      <c r="A30" s="41" t="str">
        <f>rearing!A30</f>
        <v>Siqwepu2020</v>
      </c>
      <c r="B30" s="41" t="str">
        <f>rearing!B30</f>
        <v>African catfish</v>
      </c>
      <c r="C30" s="41" t="str">
        <f>rearing!C30</f>
        <v>FeAA-10</v>
      </c>
      <c r="D30" s="49">
        <v>0.83</v>
      </c>
      <c r="E30" s="41">
        <v>455</v>
      </c>
      <c r="F30" s="42"/>
      <c r="G30" s="47"/>
      <c r="L30" s="42"/>
      <c r="M30" s="47"/>
      <c r="Q30" s="42"/>
      <c r="R30" s="47"/>
    </row>
    <row r="31" spans="1:18" s="41" customFormat="1" x14ac:dyDescent="0.2">
      <c r="A31" s="41" t="str">
        <f>rearing!A31</f>
        <v>Siqwepu2020</v>
      </c>
      <c r="B31" s="41" t="str">
        <f>rearing!B31</f>
        <v>African catfish</v>
      </c>
      <c r="C31" s="41" t="str">
        <f>rearing!C31</f>
        <v>FeAA-20</v>
      </c>
      <c r="D31" s="49">
        <v>0.8</v>
      </c>
      <c r="E31" s="41">
        <v>426</v>
      </c>
      <c r="F31" s="42"/>
      <c r="G31" s="47"/>
      <c r="L31" s="42"/>
      <c r="M31" s="47"/>
      <c r="Q31" s="42"/>
      <c r="R31" s="47"/>
    </row>
    <row r="32" spans="1:18" s="41" customFormat="1" x14ac:dyDescent="0.2">
      <c r="A32" s="41" t="str">
        <f>rearing!A32</f>
        <v>Siqwepu2020</v>
      </c>
      <c r="B32" s="41" t="str">
        <f>rearing!B32</f>
        <v>African catfish</v>
      </c>
      <c r="C32" s="41" t="str">
        <f>rearing!C32</f>
        <v>Control</v>
      </c>
      <c r="D32" s="49">
        <v>0.9</v>
      </c>
      <c r="E32" s="41">
        <v>384</v>
      </c>
      <c r="F32" s="42"/>
      <c r="G32" s="47"/>
      <c r="L32" s="42"/>
      <c r="M32" s="47"/>
      <c r="Q32" s="42"/>
      <c r="R32" s="47"/>
    </row>
    <row r="33" spans="1:5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</row>
    <row r="34" spans="1:5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</row>
    <row r="35" spans="1:5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</row>
    <row r="36" spans="1:5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</row>
    <row r="37" spans="1:5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</row>
    <row r="38" spans="1:5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</row>
    <row r="39" spans="1:5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</row>
    <row r="40" spans="1:5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5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5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</row>
    <row r="43" spans="1:5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</row>
    <row r="44" spans="1:5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</row>
    <row r="45" spans="1:5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</row>
    <row r="46" spans="1:5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  <c r="E46" s="7">
        <v>1196</v>
      </c>
    </row>
    <row r="47" spans="1:5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  <c r="E47" s="7">
        <v>1196</v>
      </c>
    </row>
    <row r="48" spans="1:5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  <c r="E48" s="7">
        <v>1196</v>
      </c>
    </row>
    <row r="49" spans="1:5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</row>
    <row r="50" spans="1:5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</row>
    <row r="51" spans="1:5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5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5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  <c r="E53" s="7">
        <f>(59+rearing!O53)/rearing!N53*1000</f>
        <v>264.4666666666667</v>
      </c>
    </row>
    <row r="54" spans="1:5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  <c r="E54" s="7">
        <f>(59+rearing!O54)/rearing!N54*1000</f>
        <v>264.4666666666667</v>
      </c>
    </row>
    <row r="55" spans="1:5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  <c r="E55" s="7">
        <f>(59+rearing!O55)/rearing!N55*1000</f>
        <v>264.4666666666667</v>
      </c>
    </row>
    <row r="56" spans="1:5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  <c r="D56" s="10">
        <v>0.99329999999999996</v>
      </c>
      <c r="E56" s="7">
        <v>1060</v>
      </c>
    </row>
    <row r="57" spans="1:5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  <c r="D57" s="10">
        <v>0.99329999999999996</v>
      </c>
      <c r="E57" s="7">
        <v>1060</v>
      </c>
    </row>
    <row r="58" spans="1:5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  <c r="D58" s="10">
        <v>0.99329999999999996</v>
      </c>
      <c r="E58" s="7">
        <v>1060</v>
      </c>
    </row>
    <row r="59" spans="1:5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  <c r="E59" s="7">
        <v>950.61599999999999</v>
      </c>
    </row>
    <row r="60" spans="1:5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  <c r="E60" s="7">
        <v>950.61599999999999</v>
      </c>
    </row>
    <row r="61" spans="1:5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  <c r="E61" s="7">
        <v>950.61599999999999</v>
      </c>
    </row>
    <row r="62" spans="1:5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  <c r="E62" s="7">
        <v>825.11</v>
      </c>
    </row>
    <row r="63" spans="1:5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  <c r="E63" s="7">
        <v>825.11</v>
      </c>
    </row>
    <row r="64" spans="1:5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  <c r="E64" s="7">
        <v>825.11</v>
      </c>
    </row>
    <row r="65" spans="1:25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  <c r="D65" s="73">
        <v>0.95</v>
      </c>
      <c r="E65" s="7">
        <v>236</v>
      </c>
      <c r="M65" s="17">
        <v>0.23699999999999999</v>
      </c>
      <c r="N65" s="7">
        <v>8.5000000000000006E-2</v>
      </c>
      <c r="O65" s="7">
        <v>0.44800000000000001</v>
      </c>
      <c r="P65" s="7">
        <v>1.2999999999999999E-2</v>
      </c>
      <c r="Q65" s="13">
        <v>6.6000000000000003E-2</v>
      </c>
      <c r="R65" s="71">
        <v>5.1999999999999998E-3</v>
      </c>
      <c r="S65" s="70">
        <v>4.8999999999999998E-3</v>
      </c>
      <c r="T65" s="70">
        <v>1.4E-3</v>
      </c>
      <c r="U65" s="70">
        <v>8.0000000000000004E-4</v>
      </c>
      <c r="V65" s="70">
        <v>4.1999999999999997E-3</v>
      </c>
      <c r="Y65" s="7">
        <v>0.41</v>
      </c>
    </row>
    <row r="66" spans="1:25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  <c r="D66" s="73">
        <v>0.95</v>
      </c>
      <c r="E66" s="7">
        <v>236</v>
      </c>
    </row>
    <row r="67" spans="1:25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  <c r="D67" s="10"/>
    </row>
    <row r="68" spans="1:25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  <c r="D68" s="10"/>
    </row>
    <row r="69" spans="1:25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  <c r="D69" s="10"/>
    </row>
    <row r="70" spans="1:25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  <c r="D70" s="10">
        <v>1.6E-2</v>
      </c>
      <c r="E70" s="7">
        <v>27.6</v>
      </c>
      <c r="F70" s="13">
        <v>2917.3</v>
      </c>
    </row>
    <row r="71" spans="1:25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  <c r="D71" s="10">
        <v>1.6E-2</v>
      </c>
      <c r="E71" s="7">
        <v>27.6</v>
      </c>
      <c r="F71" s="13">
        <v>2917.3</v>
      </c>
    </row>
    <row r="72" spans="1:25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  <c r="D72" s="10">
        <v>0.1042</v>
      </c>
      <c r="E72" s="7">
        <v>46.29</v>
      </c>
      <c r="F72" s="13">
        <v>2934.7</v>
      </c>
    </row>
    <row r="73" spans="1:25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  <c r="D73" s="10">
        <v>0.1042</v>
      </c>
      <c r="E73" s="7">
        <v>46.29</v>
      </c>
      <c r="F73" s="13">
        <v>2934.7</v>
      </c>
    </row>
    <row r="74" spans="1:25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  <c r="D74" s="10"/>
    </row>
    <row r="75" spans="1:25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  <c r="D75" s="10"/>
    </row>
    <row r="76" spans="1:25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  <c r="D76" s="10"/>
    </row>
    <row r="77" spans="1:25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  <c r="D77" s="10"/>
    </row>
    <row r="78" spans="1:25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  <c r="D78" s="10"/>
    </row>
    <row r="79" spans="1:25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  <c r="D79" s="10"/>
    </row>
    <row r="80" spans="1:25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  <c r="D80" s="10"/>
    </row>
    <row r="81" spans="1:4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s="10"/>
    </row>
    <row r="82" spans="1:4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  <c r="D82" s="10"/>
    </row>
    <row r="83" spans="1:4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  <c r="D83" s="10"/>
    </row>
    <row r="84" spans="1:4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  <c r="D84" s="10"/>
    </row>
    <row r="85" spans="1:4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  <c r="D85" s="10"/>
    </row>
    <row r="86" spans="1:4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  <c r="D86" s="10"/>
    </row>
    <row r="87" spans="1:4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  <c r="D87" s="10"/>
    </row>
    <row r="88" spans="1:4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  <c r="D88" s="10"/>
    </row>
    <row r="89" spans="1:4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  <c r="D89" s="10"/>
    </row>
    <row r="90" spans="1:4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  <c r="D90" s="10"/>
    </row>
    <row r="91" spans="1:4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  <c r="D91" s="10"/>
    </row>
    <row r="92" spans="1:4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  <c r="D92" s="10"/>
    </row>
    <row r="93" spans="1:4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  <c r="D93" s="10"/>
    </row>
    <row r="94" spans="1:4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  <c r="D94" s="10"/>
    </row>
    <row r="95" spans="1:4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  <c r="D95" s="10"/>
    </row>
    <row r="96" spans="1:4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  <c r="D96" s="10"/>
    </row>
    <row r="97" spans="1:4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D97" s="10"/>
    </row>
    <row r="98" spans="1:4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  <c r="D98" s="10"/>
    </row>
    <row r="99" spans="1:4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  <c r="D99" s="10"/>
    </row>
    <row r="100" spans="1:4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s="10"/>
    </row>
    <row r="101" spans="1:4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  <c r="D101" s="10"/>
    </row>
    <row r="102" spans="1:4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  <c r="D102" s="10"/>
    </row>
    <row r="103" spans="1:4" x14ac:dyDescent="0.2">
      <c r="A103" s="7" t="str">
        <f>rearing!A103</f>
        <v>Yang2020</v>
      </c>
      <c r="C103" s="7" t="str">
        <f>rearing!C103</f>
        <v>HP_Tomato</v>
      </c>
      <c r="D103" s="10"/>
    </row>
    <row r="104" spans="1:4" x14ac:dyDescent="0.2">
      <c r="A104" s="7" t="str">
        <f>rearing!A104</f>
        <v>Yang2020</v>
      </c>
      <c r="C104" s="7" t="str">
        <f>rearing!C104</f>
        <v>HP_Basil</v>
      </c>
      <c r="D104" s="10"/>
    </row>
    <row r="105" spans="1:4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  <c r="D105" s="10"/>
    </row>
    <row r="106" spans="1:4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  <c r="D106" s="10"/>
    </row>
    <row r="107" spans="1:4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  <c r="D107" s="10"/>
    </row>
    <row r="108" spans="1:4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D108" s="10"/>
    </row>
    <row r="109" spans="1:4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D109" s="10"/>
    </row>
    <row r="110" spans="1:4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  <c r="D110" s="10"/>
    </row>
    <row r="111" spans="1:4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D111" s="10"/>
    </row>
    <row r="112" spans="1:4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D112" s="10"/>
    </row>
    <row r="113" spans="1:5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  <c r="D113" s="10"/>
      <c r="E113" s="7">
        <v>350</v>
      </c>
    </row>
    <row r="114" spans="1:5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  <c r="D114" s="10"/>
      <c r="E114" s="7">
        <v>350</v>
      </c>
    </row>
    <row r="115" spans="1:5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  <c r="D115" s="10"/>
      <c r="E115" s="7">
        <v>350</v>
      </c>
    </row>
    <row r="116" spans="1:5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  <c r="D116" s="10"/>
      <c r="E116" s="7">
        <v>350</v>
      </c>
    </row>
  </sheetData>
  <mergeCells count="3">
    <mergeCell ref="G1:L1"/>
    <mergeCell ref="M1:Q1"/>
    <mergeCell ref="R1:X1"/>
  </mergeCells>
  <pageMargins left="0.7" right="0.7" top="0.78740157499999996" bottom="0.78740157499999996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C464-CB92-AB49-840C-B94CEEB9C0AD}">
  <sheetPr>
    <tabColor theme="9" tint="0.39997558519241921"/>
  </sheetPr>
  <dimension ref="A1:AP116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19" sqref="E119"/>
    </sheetView>
  </sheetViews>
  <sheetFormatPr baseColWidth="10" defaultColWidth="10.83203125" defaultRowHeight="16" x14ac:dyDescent="0.2"/>
  <cols>
    <col min="1" max="5" width="13.5" customWidth="1"/>
    <col min="6" max="7" width="21.5" customWidth="1"/>
    <col min="8" max="9" width="13.5" customWidth="1"/>
    <col min="10" max="10" width="18.33203125" customWidth="1"/>
    <col min="11" max="18" width="13.5" customWidth="1"/>
    <col min="19" max="19" width="14.6640625" customWidth="1"/>
    <col min="20" max="23" width="13.5" customWidth="1"/>
    <col min="24" max="24" width="19.33203125" customWidth="1"/>
    <col min="30" max="30" width="10.83203125" style="51"/>
    <col min="31" max="34" width="10.83203125" style="4"/>
    <col min="35" max="35" width="10.83203125" style="50"/>
    <col min="37" max="37" width="11.1640625" bestFit="1" customWidth="1"/>
    <col min="42" max="42" width="10.83203125" style="50"/>
  </cols>
  <sheetData>
    <row r="1" spans="1:42" ht="24" x14ac:dyDescent="0.3">
      <c r="Y1" s="99"/>
      <c r="Z1" s="99"/>
      <c r="AA1" s="99"/>
      <c r="AB1" s="99"/>
      <c r="AC1" s="99"/>
      <c r="AD1" s="99" t="s">
        <v>0</v>
      </c>
      <c r="AE1" s="99"/>
      <c r="AF1" s="99"/>
      <c r="AG1" s="99"/>
      <c r="AH1" s="99"/>
      <c r="AI1" s="99" t="s">
        <v>1</v>
      </c>
      <c r="AJ1" s="99"/>
      <c r="AK1" s="99"/>
      <c r="AL1" s="99"/>
      <c r="AM1" s="99"/>
      <c r="AN1" s="99"/>
      <c r="AO1" s="99"/>
    </row>
    <row r="2" spans="1:42" s="7" customFormat="1" x14ac:dyDescent="0.2">
      <c r="A2" s="1" t="s">
        <v>2</v>
      </c>
      <c r="B2" s="1" t="str">
        <f>rearing!C2</f>
        <v>Treatment_ID</v>
      </c>
      <c r="C2" s="1" t="s">
        <v>218</v>
      </c>
      <c r="D2" s="1" t="s">
        <v>216</v>
      </c>
      <c r="E2" s="1" t="s">
        <v>217</v>
      </c>
      <c r="F2" s="1" t="s">
        <v>67</v>
      </c>
      <c r="G2" s="3" t="s">
        <v>309</v>
      </c>
      <c r="H2" s="3" t="s">
        <v>68</v>
      </c>
      <c r="I2" s="67" t="s">
        <v>271</v>
      </c>
      <c r="J2" s="67" t="s">
        <v>360</v>
      </c>
      <c r="K2" s="67" t="s">
        <v>255</v>
      </c>
      <c r="L2" s="1" t="s">
        <v>257</v>
      </c>
      <c r="M2" s="67" t="s">
        <v>256</v>
      </c>
      <c r="N2" s="67" t="s">
        <v>258</v>
      </c>
      <c r="O2" s="67" t="s">
        <v>259</v>
      </c>
      <c r="P2" s="1" t="s">
        <v>265</v>
      </c>
      <c r="Q2" s="1" t="s">
        <v>266</v>
      </c>
      <c r="R2" s="67" t="s">
        <v>260</v>
      </c>
      <c r="S2" s="67" t="s">
        <v>261</v>
      </c>
      <c r="T2" s="67" t="s">
        <v>262</v>
      </c>
      <c r="U2" s="67" t="s">
        <v>263</v>
      </c>
      <c r="V2" s="67" t="s">
        <v>279</v>
      </c>
      <c r="W2" s="67" t="s">
        <v>264</v>
      </c>
      <c r="X2" s="67" t="s">
        <v>270</v>
      </c>
      <c r="Y2" s="1" t="s">
        <v>4</v>
      </c>
      <c r="Z2" s="1" t="s">
        <v>5</v>
      </c>
      <c r="AA2" s="1" t="s">
        <v>6</v>
      </c>
      <c r="AB2" s="1" t="s">
        <v>7</v>
      </c>
      <c r="AC2" s="3" t="s">
        <v>8</v>
      </c>
      <c r="AD2" s="32" t="s">
        <v>9</v>
      </c>
      <c r="AE2" s="1" t="s">
        <v>30</v>
      </c>
      <c r="AF2" s="1" t="s">
        <v>31</v>
      </c>
      <c r="AG2" s="1" t="s">
        <v>32</v>
      </c>
      <c r="AH2" s="3" t="s">
        <v>33</v>
      </c>
      <c r="AI2" s="32" t="s">
        <v>75</v>
      </c>
      <c r="AJ2" s="1" t="s">
        <v>76</v>
      </c>
      <c r="AK2" s="1" t="s">
        <v>77</v>
      </c>
      <c r="AL2" s="1" t="s">
        <v>78</v>
      </c>
      <c r="AM2" s="1" t="s">
        <v>79</v>
      </c>
      <c r="AN2" s="1" t="s">
        <v>80</v>
      </c>
      <c r="AO2" s="3" t="s">
        <v>81</v>
      </c>
      <c r="AP2" s="32" t="s">
        <v>107</v>
      </c>
    </row>
    <row r="3" spans="1:42" x14ac:dyDescent="0.2">
      <c r="A3" t="str">
        <f>rearing!A3</f>
        <v>Monsees2017</v>
      </c>
      <c r="B3" t="str">
        <f>rearing!C3</f>
        <v>Exp2_aerated</v>
      </c>
      <c r="C3" t="s">
        <v>409</v>
      </c>
      <c r="D3" t="s">
        <v>409</v>
      </c>
      <c r="J3" t="s">
        <v>409</v>
      </c>
      <c r="AD3" s="50"/>
      <c r="AE3"/>
      <c r="AF3"/>
      <c r="AG3"/>
      <c r="AH3"/>
    </row>
    <row r="4" spans="1:42" x14ac:dyDescent="0.2">
      <c r="A4" t="str">
        <f>rearing!A4</f>
        <v>Monsees2017</v>
      </c>
      <c r="B4" t="str">
        <f>rearing!C4</f>
        <v>Exp2_unaerated</v>
      </c>
      <c r="C4" t="s">
        <v>409</v>
      </c>
      <c r="D4" t="s">
        <v>409</v>
      </c>
      <c r="J4" t="s">
        <v>409</v>
      </c>
      <c r="AD4" s="50"/>
      <c r="AE4"/>
      <c r="AF4"/>
      <c r="AG4"/>
      <c r="AH4"/>
    </row>
    <row r="5" spans="1:42" x14ac:dyDescent="0.2">
      <c r="A5" t="str">
        <f>rearing!A5</f>
        <v>Delaide2018</v>
      </c>
      <c r="B5" t="str">
        <f>rearing!C5</f>
        <v>AER</v>
      </c>
      <c r="C5" t="s">
        <v>409</v>
      </c>
      <c r="D5" t="s">
        <v>409</v>
      </c>
      <c r="J5" t="s">
        <v>409</v>
      </c>
      <c r="AD5" s="50"/>
      <c r="AE5"/>
      <c r="AF5"/>
      <c r="AG5"/>
      <c r="AH5"/>
    </row>
    <row r="6" spans="1:42" x14ac:dyDescent="0.2">
      <c r="A6" t="str">
        <f>rearing!A6</f>
        <v>Goddek2018</v>
      </c>
      <c r="B6" t="str">
        <f>rearing!C6</f>
        <v>pH+</v>
      </c>
      <c r="C6" t="s">
        <v>409</v>
      </c>
      <c r="D6" t="s">
        <v>409</v>
      </c>
      <c r="J6" t="s">
        <v>409</v>
      </c>
      <c r="AD6" s="50"/>
      <c r="AE6"/>
      <c r="AF6"/>
      <c r="AG6"/>
      <c r="AH6"/>
    </row>
    <row r="7" spans="1:42" x14ac:dyDescent="0.2">
      <c r="A7" t="str">
        <f>rearing!A7</f>
        <v>Goddek2018</v>
      </c>
      <c r="B7" t="str">
        <f>rearing!C7</f>
        <v>pH-</v>
      </c>
      <c r="C7" t="s">
        <v>409</v>
      </c>
      <c r="D7" t="s">
        <v>409</v>
      </c>
      <c r="J7" t="s">
        <v>409</v>
      </c>
      <c r="AD7" s="50"/>
      <c r="AE7"/>
      <c r="AF7"/>
      <c r="AG7"/>
      <c r="AH7"/>
    </row>
    <row r="8" spans="1:42" x14ac:dyDescent="0.2">
      <c r="A8" t="str">
        <f>rearing!A8</f>
        <v>Goddek2018</v>
      </c>
      <c r="B8" t="str">
        <f>rearing!C8</f>
        <v>Uliege_aerobic</v>
      </c>
      <c r="C8" t="s">
        <v>409</v>
      </c>
      <c r="D8" t="s">
        <v>409</v>
      </c>
      <c r="J8" t="s">
        <v>409</v>
      </c>
    </row>
    <row r="9" spans="1:42" x14ac:dyDescent="0.2">
      <c r="A9" t="str">
        <f>rearing!A9</f>
        <v>Seawright1998</v>
      </c>
      <c r="B9">
        <f>rearing!C9</f>
        <v>1</v>
      </c>
      <c r="C9" t="s">
        <v>305</v>
      </c>
      <c r="F9" t="s">
        <v>463</v>
      </c>
      <c r="H9" t="s">
        <v>69</v>
      </c>
      <c r="I9" t="s">
        <v>273</v>
      </c>
      <c r="J9">
        <v>28</v>
      </c>
      <c r="AD9" s="51">
        <v>8.9999999999999993E-3</v>
      </c>
      <c r="AE9" s="4">
        <v>0.11</v>
      </c>
      <c r="AF9" s="4">
        <v>1.7999999999999999E-2</v>
      </c>
      <c r="AG9" s="4">
        <v>4.5999999999999999E-3</v>
      </c>
      <c r="AI9" s="50">
        <v>470</v>
      </c>
      <c r="AJ9">
        <v>240</v>
      </c>
      <c r="AK9">
        <v>27</v>
      </c>
      <c r="AL9">
        <v>270</v>
      </c>
    </row>
    <row r="10" spans="1:42" x14ac:dyDescent="0.2">
      <c r="A10" t="str">
        <f>rearing!A10</f>
        <v>Seawright1998</v>
      </c>
      <c r="B10">
        <f>rearing!C10</f>
        <v>2</v>
      </c>
      <c r="C10" t="s">
        <v>305</v>
      </c>
      <c r="F10" t="s">
        <v>463</v>
      </c>
      <c r="H10" t="s">
        <v>69</v>
      </c>
      <c r="I10" t="s">
        <v>273</v>
      </c>
      <c r="J10">
        <v>28</v>
      </c>
      <c r="AD10" s="51">
        <v>1.0999999999999999E-2</v>
      </c>
      <c r="AE10" s="4">
        <v>0.104</v>
      </c>
      <c r="AF10" s="4">
        <v>2.1999999999999999E-2</v>
      </c>
      <c r="AG10" s="4">
        <v>2.8999999999999998E-3</v>
      </c>
      <c r="AI10" s="50">
        <v>730</v>
      </c>
      <c r="AJ10">
        <v>260</v>
      </c>
      <c r="AK10">
        <v>38</v>
      </c>
      <c r="AL10">
        <v>500</v>
      </c>
    </row>
    <row r="11" spans="1:42" x14ac:dyDescent="0.2">
      <c r="A11" t="str">
        <f>rearing!A11</f>
        <v>Seawright1998</v>
      </c>
      <c r="B11">
        <f>rearing!C11</f>
        <v>3</v>
      </c>
      <c r="C11" t="s">
        <v>305</v>
      </c>
      <c r="F11" t="s">
        <v>463</v>
      </c>
      <c r="H11" t="s">
        <v>69</v>
      </c>
      <c r="I11" t="s">
        <v>273</v>
      </c>
      <c r="J11">
        <v>28</v>
      </c>
      <c r="AD11" s="51">
        <v>1.0999999999999999E-2</v>
      </c>
      <c r="AE11" s="4">
        <v>0.109</v>
      </c>
      <c r="AF11" s="4">
        <v>1.9E-2</v>
      </c>
      <c r="AG11" s="4">
        <v>3.3E-3</v>
      </c>
      <c r="AI11" s="50">
        <v>710</v>
      </c>
      <c r="AJ11">
        <v>170</v>
      </c>
      <c r="AK11">
        <v>23</v>
      </c>
      <c r="AL11">
        <v>370</v>
      </c>
    </row>
    <row r="12" spans="1:42" x14ac:dyDescent="0.2">
      <c r="A12" t="str">
        <f>rearing!A12</f>
        <v>Seawright1998</v>
      </c>
      <c r="B12">
        <f>rearing!C12</f>
        <v>4</v>
      </c>
      <c r="C12" t="s">
        <v>305</v>
      </c>
      <c r="F12" t="s">
        <v>463</v>
      </c>
      <c r="H12" t="s">
        <v>69</v>
      </c>
      <c r="I12" t="s">
        <v>273</v>
      </c>
      <c r="J12">
        <v>28</v>
      </c>
      <c r="AD12" s="51">
        <v>1.0999999999999999E-2</v>
      </c>
      <c r="AE12" s="4">
        <v>9.8000000000000004E-2</v>
      </c>
      <c r="AF12" s="4">
        <v>0.02</v>
      </c>
      <c r="AG12" s="4">
        <v>2.0999999999999999E-3</v>
      </c>
      <c r="AI12" s="50">
        <v>690</v>
      </c>
      <c r="AJ12">
        <v>350</v>
      </c>
      <c r="AK12">
        <v>33</v>
      </c>
      <c r="AL12">
        <v>800</v>
      </c>
    </row>
    <row r="13" spans="1:42" x14ac:dyDescent="0.2">
      <c r="A13" t="str">
        <f>rearing!A13</f>
        <v>Shaw2022a</v>
      </c>
      <c r="B13" t="str">
        <f>rearing!C13</f>
        <v>FM</v>
      </c>
      <c r="C13" t="s">
        <v>409</v>
      </c>
      <c r="D13" t="s">
        <v>409</v>
      </c>
    </row>
    <row r="14" spans="1:42" x14ac:dyDescent="0.2">
      <c r="A14" t="str">
        <f>rearing!A14</f>
        <v>Shaw2022a</v>
      </c>
      <c r="B14" t="str">
        <f>rearing!C14</f>
        <v>BSF</v>
      </c>
      <c r="C14" t="s">
        <v>409</v>
      </c>
      <c r="D14" t="s">
        <v>409</v>
      </c>
    </row>
    <row r="15" spans="1:42" x14ac:dyDescent="0.2">
      <c r="A15" t="str">
        <f>rearing!A15</f>
        <v>Shaw2022a</v>
      </c>
      <c r="B15" t="str">
        <f>rearing!C15</f>
        <v>PBM</v>
      </c>
      <c r="C15" t="s">
        <v>409</v>
      </c>
      <c r="D15" t="s">
        <v>409</v>
      </c>
    </row>
    <row r="16" spans="1:42" x14ac:dyDescent="0.2">
      <c r="A16" t="str">
        <f>rearing!A16</f>
        <v>Shaw2022a</v>
      </c>
      <c r="B16" t="str">
        <f>rearing!C16</f>
        <v>PM</v>
      </c>
      <c r="C16" t="s">
        <v>409</v>
      </c>
      <c r="D16" t="s">
        <v>409</v>
      </c>
    </row>
    <row r="17" spans="1:42" x14ac:dyDescent="0.2">
      <c r="A17" t="str">
        <f>rearing!A17</f>
        <v>Panana2021</v>
      </c>
      <c r="B17" t="str">
        <f>rearing!C17</f>
        <v>pH-Natural</v>
      </c>
      <c r="C17" t="s">
        <v>409</v>
      </c>
      <c r="D17" t="s">
        <v>409</v>
      </c>
    </row>
    <row r="18" spans="1:42" x14ac:dyDescent="0.2">
      <c r="A18" t="str">
        <f>rearing!A18</f>
        <v>Panana2021</v>
      </c>
      <c r="B18" t="str">
        <f>rearing!C18</f>
        <v>pH-Induced</v>
      </c>
      <c r="C18" t="s">
        <v>409</v>
      </c>
      <c r="D18" t="s">
        <v>409</v>
      </c>
    </row>
    <row r="19" spans="1:42" s="6" customFormat="1" x14ac:dyDescent="0.2">
      <c r="A19" s="6" t="str">
        <f>rearing!A19</f>
        <v>Goddek2016</v>
      </c>
      <c r="B19" s="6" t="str">
        <f>rearing!C19</f>
        <v>AER</v>
      </c>
      <c r="C19" s="6" t="s">
        <v>409</v>
      </c>
      <c r="D19" s="6" t="s">
        <v>409</v>
      </c>
      <c r="AD19" s="56"/>
      <c r="AE19" s="57"/>
      <c r="AF19" s="57"/>
      <c r="AG19" s="57"/>
      <c r="AH19" s="57"/>
      <c r="AI19" s="55"/>
      <c r="AP19" s="55"/>
    </row>
    <row r="20" spans="1:42" s="6" customFormat="1" x14ac:dyDescent="0.2">
      <c r="A20" s="6" t="str">
        <f>rearing!A20</f>
        <v>Goddek2016</v>
      </c>
      <c r="B20" s="6" t="str">
        <f>rearing!C20</f>
        <v>ANA</v>
      </c>
      <c r="C20" s="6" t="s">
        <v>409</v>
      </c>
      <c r="D20" s="6" t="s">
        <v>409</v>
      </c>
      <c r="AD20" s="56"/>
      <c r="AE20" s="57"/>
      <c r="AF20" s="57"/>
      <c r="AG20" s="57"/>
      <c r="AH20" s="57"/>
      <c r="AI20" s="55"/>
      <c r="AP20" s="55"/>
    </row>
    <row r="21" spans="1:42" x14ac:dyDescent="0.2">
      <c r="A21" t="str">
        <f>rearing!A21</f>
        <v>Monsees2017b</v>
      </c>
      <c r="B21" t="str">
        <f>rearing!C21</f>
        <v>RAS A</v>
      </c>
      <c r="C21" t="s">
        <v>409</v>
      </c>
      <c r="D21" t="s">
        <v>409</v>
      </c>
    </row>
    <row r="22" spans="1:42" x14ac:dyDescent="0.2">
      <c r="A22" t="str">
        <f>rearing!A22</f>
        <v>Monsees2017b</v>
      </c>
      <c r="B22" t="str">
        <f>rearing!C22</f>
        <v>RAS C+Hydro C</v>
      </c>
      <c r="C22" t="s">
        <v>305</v>
      </c>
      <c r="D22" t="s">
        <v>284</v>
      </c>
    </row>
    <row r="23" spans="1:42" x14ac:dyDescent="0.2">
      <c r="A23" t="str">
        <f>rearing!A23</f>
        <v>Monsees2017b</v>
      </c>
      <c r="B23" t="str">
        <f>rearing!C23</f>
        <v>RAS D/Hydro D</v>
      </c>
      <c r="C23" t="s">
        <v>238</v>
      </c>
      <c r="D23" t="s">
        <v>284</v>
      </c>
      <c r="F23" t="s">
        <v>462</v>
      </c>
      <c r="G23" t="s">
        <v>171</v>
      </c>
      <c r="I23" t="s">
        <v>273</v>
      </c>
    </row>
    <row r="24" spans="1:42" x14ac:dyDescent="0.2">
      <c r="A24" t="str">
        <f>rearing!A24</f>
        <v>Tetreault2021</v>
      </c>
      <c r="B24" t="str">
        <f>rearing!C24</f>
        <v>AER1</v>
      </c>
      <c r="C24" t="s">
        <v>409</v>
      </c>
      <c r="D24" t="s">
        <v>409</v>
      </c>
    </row>
    <row r="25" spans="1:42" x14ac:dyDescent="0.2">
      <c r="A25" t="str">
        <f>rearing!A25</f>
        <v>Tetreault2021b</v>
      </c>
      <c r="B25" t="str">
        <f>rearing!C25</f>
        <v>ANA1</v>
      </c>
      <c r="C25" t="s">
        <v>409</v>
      </c>
      <c r="D25" t="s">
        <v>409</v>
      </c>
    </row>
    <row r="26" spans="1:42" s="40" customFormat="1" x14ac:dyDescent="0.2">
      <c r="A26" s="40" t="str">
        <f>rearing!A26</f>
        <v>Siqwepu2020</v>
      </c>
      <c r="B26" s="40" t="str">
        <f>rearing!C26</f>
        <v>FeSO4-20</v>
      </c>
      <c r="AD26" s="53"/>
      <c r="AE26" s="54"/>
      <c r="AF26" s="54"/>
      <c r="AG26" s="54"/>
      <c r="AH26" s="54"/>
      <c r="AI26" s="52"/>
      <c r="AP26" s="52"/>
    </row>
    <row r="27" spans="1:42" s="40" customFormat="1" x14ac:dyDescent="0.2">
      <c r="A27" s="40" t="str">
        <f>rearing!A27</f>
        <v>Siqwepu2020</v>
      </c>
      <c r="B27" s="40" t="str">
        <f>rearing!C27</f>
        <v>FeSO4-30</v>
      </c>
      <c r="AD27" s="53"/>
      <c r="AE27" s="54"/>
      <c r="AF27" s="54"/>
      <c r="AG27" s="54"/>
      <c r="AH27" s="54"/>
      <c r="AI27" s="52"/>
      <c r="AP27" s="52"/>
    </row>
    <row r="28" spans="1:42" s="40" customFormat="1" x14ac:dyDescent="0.2">
      <c r="A28" s="40" t="str">
        <f>rearing!A28</f>
        <v>Siqwepu2020</v>
      </c>
      <c r="B28" s="40" t="str">
        <f>rearing!C28</f>
        <v>FeSO4-60</v>
      </c>
      <c r="AD28" s="53"/>
      <c r="AE28" s="54"/>
      <c r="AF28" s="54"/>
      <c r="AG28" s="54"/>
      <c r="AH28" s="54"/>
      <c r="AI28" s="52"/>
      <c r="AP28" s="52"/>
    </row>
    <row r="29" spans="1:42" s="40" customFormat="1" x14ac:dyDescent="0.2">
      <c r="A29" s="40" t="str">
        <f>rearing!A29</f>
        <v>Siqwepu2020</v>
      </c>
      <c r="B29" s="40" t="str">
        <f>rearing!C29</f>
        <v>FeAA-5</v>
      </c>
      <c r="AD29" s="53"/>
      <c r="AE29" s="54"/>
      <c r="AF29" s="54"/>
      <c r="AG29" s="54"/>
      <c r="AH29" s="54"/>
      <c r="AI29" s="52"/>
      <c r="AP29" s="52"/>
    </row>
    <row r="30" spans="1:42" s="40" customFormat="1" x14ac:dyDescent="0.2">
      <c r="A30" s="40" t="str">
        <f>rearing!A30</f>
        <v>Siqwepu2020</v>
      </c>
      <c r="B30" s="40" t="str">
        <f>rearing!C30</f>
        <v>FeAA-10</v>
      </c>
      <c r="AD30" s="53"/>
      <c r="AE30" s="54"/>
      <c r="AF30" s="54"/>
      <c r="AG30" s="54"/>
      <c r="AH30" s="54"/>
      <c r="AI30" s="52"/>
      <c r="AP30" s="52"/>
    </row>
    <row r="31" spans="1:42" s="40" customFormat="1" x14ac:dyDescent="0.2">
      <c r="A31" s="40" t="str">
        <f>rearing!A31</f>
        <v>Siqwepu2020</v>
      </c>
      <c r="B31" s="40" t="str">
        <f>rearing!C31</f>
        <v>FeAA-20</v>
      </c>
      <c r="AD31" s="53"/>
      <c r="AE31" s="54"/>
      <c r="AF31" s="54"/>
      <c r="AG31" s="54"/>
      <c r="AH31" s="54"/>
      <c r="AI31" s="52"/>
      <c r="AP31" s="52"/>
    </row>
    <row r="32" spans="1:42" s="40" customFormat="1" x14ac:dyDescent="0.2">
      <c r="A32" s="40" t="str">
        <f>rearing!A32</f>
        <v>Siqwepu2020</v>
      </c>
      <c r="B32" s="40" t="str">
        <f>rearing!C32</f>
        <v>Control</v>
      </c>
      <c r="AD32" s="53"/>
      <c r="AE32" s="54"/>
      <c r="AF32" s="54"/>
      <c r="AG32" s="54"/>
      <c r="AH32" s="54"/>
      <c r="AI32" s="52"/>
      <c r="AP32" s="52"/>
    </row>
    <row r="33" spans="1:23" x14ac:dyDescent="0.2">
      <c r="A33" t="str">
        <f>rearing!A33</f>
        <v>Delaide2021</v>
      </c>
      <c r="B33" t="str">
        <f>rearing!C33</f>
        <v>AE</v>
      </c>
      <c r="C33" t="s">
        <v>409</v>
      </c>
      <c r="D33" t="s">
        <v>461</v>
      </c>
      <c r="F33" t="s">
        <v>462</v>
      </c>
      <c r="G33" t="s">
        <v>171</v>
      </c>
      <c r="I33" t="s">
        <v>273</v>
      </c>
    </row>
    <row r="34" spans="1:23" x14ac:dyDescent="0.2">
      <c r="A34" t="str">
        <f>rearing!A34</f>
        <v>Delaide2021</v>
      </c>
      <c r="B34" t="str">
        <f>rearing!C34</f>
        <v>AEC</v>
      </c>
      <c r="C34" t="s">
        <v>409</v>
      </c>
      <c r="D34" t="s">
        <v>461</v>
      </c>
      <c r="F34" t="s">
        <v>462</v>
      </c>
      <c r="G34" t="s">
        <v>171</v>
      </c>
      <c r="I34" t="s">
        <v>273</v>
      </c>
    </row>
    <row r="35" spans="1:23" x14ac:dyDescent="0.2">
      <c r="A35" t="str">
        <f>rearing!A35</f>
        <v>Delaide2021</v>
      </c>
      <c r="B35" t="str">
        <f>rearing!C35</f>
        <v>Std_E1</v>
      </c>
      <c r="C35" t="s">
        <v>409</v>
      </c>
      <c r="D35" t="s">
        <v>461</v>
      </c>
      <c r="F35" t="s">
        <v>462</v>
      </c>
      <c r="G35" t="s">
        <v>171</v>
      </c>
      <c r="I35" t="s">
        <v>273</v>
      </c>
    </row>
    <row r="36" spans="1:23" x14ac:dyDescent="0.2">
      <c r="A36" t="str">
        <f>rearing!A36</f>
        <v>Delaide2021</v>
      </c>
      <c r="B36" t="str">
        <f>rearing!C36</f>
        <v>AE-NPK</v>
      </c>
      <c r="C36" t="s">
        <v>409</v>
      </c>
      <c r="D36" t="s">
        <v>461</v>
      </c>
    </row>
    <row r="37" spans="1:23" x14ac:dyDescent="0.2">
      <c r="A37" t="str">
        <f>rearing!A37</f>
        <v>Delaide2021</v>
      </c>
      <c r="B37" t="str">
        <f>rearing!C37</f>
        <v>AN-NPK</v>
      </c>
      <c r="C37" t="s">
        <v>409</v>
      </c>
      <c r="D37" t="s">
        <v>461</v>
      </c>
    </row>
    <row r="38" spans="1:23" x14ac:dyDescent="0.2">
      <c r="A38" t="str">
        <f>rearing!A38</f>
        <v>Delaide2021</v>
      </c>
      <c r="B38" t="str">
        <f>rearing!C38</f>
        <v>Std_E2</v>
      </c>
      <c r="C38" t="s">
        <v>409</v>
      </c>
      <c r="D38" t="s">
        <v>461</v>
      </c>
    </row>
    <row r="39" spans="1:23" x14ac:dyDescent="0.2">
      <c r="A39" t="str">
        <f>rearing!A39</f>
        <v>Atique2022</v>
      </c>
      <c r="B39" t="str">
        <f>rearing!C39</f>
        <v>RAS</v>
      </c>
      <c r="C39" t="s">
        <v>409</v>
      </c>
      <c r="D39" t="s">
        <v>409</v>
      </c>
    </row>
    <row r="40" spans="1:23" x14ac:dyDescent="0.2">
      <c r="A40" t="str">
        <f>rearing!A40</f>
        <v>Atique2022</v>
      </c>
      <c r="B40" t="str">
        <f>rearing!C40</f>
        <v>Aquaponic</v>
      </c>
      <c r="C40" t="s">
        <v>305</v>
      </c>
      <c r="J40">
        <v>42</v>
      </c>
    </row>
    <row r="41" spans="1:23" x14ac:dyDescent="0.2">
      <c r="A41" t="str">
        <f>rearing!A41</f>
        <v>Atique2022</v>
      </c>
      <c r="B41" t="str">
        <f>rearing!C41</f>
        <v>Hydroponic</v>
      </c>
      <c r="C41" t="s">
        <v>409</v>
      </c>
      <c r="D41" t="s">
        <v>409</v>
      </c>
      <c r="J41">
        <v>42</v>
      </c>
    </row>
    <row r="42" spans="1:23" x14ac:dyDescent="0.2">
      <c r="A42" t="str">
        <f>rearing!A42</f>
        <v>Zhu2022</v>
      </c>
      <c r="B42" t="str">
        <f>rearing!C42</f>
        <v>Aquaponic</v>
      </c>
      <c r="C42" t="s">
        <v>305</v>
      </c>
    </row>
    <row r="43" spans="1:23" x14ac:dyDescent="0.2">
      <c r="A43" t="str">
        <f>rearing!A43</f>
        <v>Zhu2022</v>
      </c>
      <c r="B43" t="str">
        <f>rearing!C43</f>
        <v>Hydroponic</v>
      </c>
      <c r="C43" t="s">
        <v>409</v>
      </c>
      <c r="D43" t="s">
        <v>409</v>
      </c>
    </row>
    <row r="44" spans="1:23" x14ac:dyDescent="0.2">
      <c r="A44" t="str">
        <f>rearing!A44</f>
        <v>Delaide2019</v>
      </c>
      <c r="B44" t="str">
        <f>rearing!C44</f>
        <v>AP</v>
      </c>
      <c r="C44" t="s">
        <v>409</v>
      </c>
      <c r="D44" t="s">
        <v>283</v>
      </c>
      <c r="F44" t="s">
        <v>239</v>
      </c>
      <c r="H44" t="s">
        <v>240</v>
      </c>
      <c r="I44" t="s">
        <v>272</v>
      </c>
    </row>
    <row r="45" spans="1:23" x14ac:dyDescent="0.2">
      <c r="A45" t="str">
        <f>rearing!A45</f>
        <v>Delaide2019</v>
      </c>
      <c r="B45" t="str">
        <f>rearing!C45</f>
        <v>Control</v>
      </c>
      <c r="C45" t="s">
        <v>409</v>
      </c>
      <c r="D45" t="s">
        <v>283</v>
      </c>
      <c r="F45" t="s">
        <v>239</v>
      </c>
      <c r="H45" t="s">
        <v>240</v>
      </c>
      <c r="I45" t="s">
        <v>272</v>
      </c>
    </row>
    <row r="46" spans="1:23" x14ac:dyDescent="0.2">
      <c r="A46" t="str">
        <f>rearing!A46</f>
        <v>Knaus2022</v>
      </c>
      <c r="B46" t="str">
        <f>rearing!C46</f>
        <v>EbbFlow</v>
      </c>
      <c r="C46" t="s">
        <v>238</v>
      </c>
      <c r="D46" t="s">
        <v>251</v>
      </c>
      <c r="F46" t="s">
        <v>254</v>
      </c>
      <c r="I46" t="s">
        <v>273</v>
      </c>
      <c r="J46">
        <v>54</v>
      </c>
      <c r="N46">
        <v>686.3</v>
      </c>
      <c r="O46">
        <v>65.7</v>
      </c>
      <c r="P46">
        <v>108.4</v>
      </c>
      <c r="Q46">
        <v>57.7</v>
      </c>
      <c r="R46">
        <v>29.7</v>
      </c>
      <c r="S46">
        <v>60.9</v>
      </c>
      <c r="T46">
        <v>9.4</v>
      </c>
      <c r="U46">
        <v>99</v>
      </c>
      <c r="W46">
        <v>499.8</v>
      </c>
    </row>
    <row r="47" spans="1:23" x14ac:dyDescent="0.2">
      <c r="A47" t="str">
        <f>rearing!A47</f>
        <v>Knaus2022</v>
      </c>
      <c r="B47" t="str">
        <f>rearing!C47</f>
        <v>FloatingRaft</v>
      </c>
      <c r="C47" t="s">
        <v>238</v>
      </c>
      <c r="D47" t="s">
        <v>252</v>
      </c>
      <c r="F47" t="s">
        <v>254</v>
      </c>
      <c r="I47" t="s">
        <v>273</v>
      </c>
      <c r="J47">
        <v>54</v>
      </c>
      <c r="N47">
        <v>1275.5999999999999</v>
      </c>
      <c r="O47">
        <v>102.2</v>
      </c>
      <c r="P47">
        <v>182.2</v>
      </c>
      <c r="Q47">
        <v>58</v>
      </c>
      <c r="R47">
        <v>64.3</v>
      </c>
      <c r="S47">
        <v>63</v>
      </c>
      <c r="T47">
        <v>42.8</v>
      </c>
      <c r="U47">
        <v>139.5</v>
      </c>
      <c r="W47">
        <v>610.5</v>
      </c>
    </row>
    <row r="48" spans="1:23" x14ac:dyDescent="0.2">
      <c r="A48" t="str">
        <f>rearing!A48</f>
        <v>Knaus2022</v>
      </c>
      <c r="B48" t="str">
        <f>rearing!C48</f>
        <v>GrowPipe</v>
      </c>
      <c r="C48" t="s">
        <v>238</v>
      </c>
      <c r="D48" t="s">
        <v>253</v>
      </c>
      <c r="F48" t="s">
        <v>254</v>
      </c>
      <c r="I48" t="s">
        <v>273</v>
      </c>
      <c r="J48">
        <v>54</v>
      </c>
      <c r="N48">
        <v>1042</v>
      </c>
      <c r="O48">
        <v>113.5</v>
      </c>
      <c r="P48">
        <v>169.3</v>
      </c>
      <c r="Q48">
        <v>63.6</v>
      </c>
      <c r="R48">
        <v>59.4</v>
      </c>
      <c r="S48">
        <v>68.900000000000006</v>
      </c>
      <c r="T48">
        <v>41.3</v>
      </c>
      <c r="U48">
        <v>128</v>
      </c>
      <c r="W48">
        <v>770</v>
      </c>
    </row>
    <row r="49" spans="1:38" x14ac:dyDescent="0.2">
      <c r="A49" t="str">
        <f>rearing!A49</f>
        <v>Suhl2016</v>
      </c>
      <c r="B49" t="str">
        <f>rearing!C49</f>
        <v>Aquaponic</v>
      </c>
      <c r="C49" t="s">
        <v>238</v>
      </c>
      <c r="F49" t="s">
        <v>239</v>
      </c>
      <c r="H49" t="s">
        <v>268</v>
      </c>
      <c r="I49" t="s">
        <v>272</v>
      </c>
      <c r="K49">
        <v>48</v>
      </c>
      <c r="N49">
        <v>677.3</v>
      </c>
      <c r="O49" s="66">
        <f>N49*5.12%</f>
        <v>34.677759999999999</v>
      </c>
      <c r="W49">
        <v>20.5</v>
      </c>
      <c r="X49">
        <v>1.1499999999999999</v>
      </c>
    </row>
    <row r="50" spans="1:38" x14ac:dyDescent="0.2">
      <c r="A50" t="str">
        <f>rearing!A50</f>
        <v>Suhl2016</v>
      </c>
      <c r="B50" t="str">
        <f>rearing!C50</f>
        <v>Hydroponic</v>
      </c>
      <c r="C50" t="s">
        <v>409</v>
      </c>
      <c r="F50" t="s">
        <v>239</v>
      </c>
      <c r="H50" t="s">
        <v>268</v>
      </c>
      <c r="I50" t="s">
        <v>272</v>
      </c>
      <c r="N50">
        <v>626.5</v>
      </c>
      <c r="O50" s="66">
        <f>N50*5.37%</f>
        <v>33.643049999999995</v>
      </c>
      <c r="W50">
        <v>21</v>
      </c>
      <c r="X50">
        <v>1.36</v>
      </c>
    </row>
    <row r="51" spans="1:38" x14ac:dyDescent="0.2">
      <c r="A51" t="str">
        <f>rearing!A51</f>
        <v>Medina2016</v>
      </c>
      <c r="B51" t="str">
        <f>rearing!C51</f>
        <v>Control</v>
      </c>
      <c r="C51" t="s">
        <v>305</v>
      </c>
      <c r="D51" t="s">
        <v>467</v>
      </c>
      <c r="F51" t="s">
        <v>278</v>
      </c>
      <c r="I51" t="s">
        <v>273</v>
      </c>
      <c r="J51">
        <v>60</v>
      </c>
      <c r="K51">
        <v>15</v>
      </c>
      <c r="Q51">
        <f>425.5/K51</f>
        <v>28.366666666666667</v>
      </c>
      <c r="T51">
        <f>81.3/K51</f>
        <v>5.42</v>
      </c>
      <c r="U51">
        <f>306.7/K51</f>
        <v>20.446666666666665</v>
      </c>
      <c r="V51">
        <f>159.9/K51</f>
        <v>10.66</v>
      </c>
      <c r="W51">
        <f>237.2/K51</f>
        <v>15.813333333333333</v>
      </c>
    </row>
    <row r="52" spans="1:38" x14ac:dyDescent="0.2">
      <c r="A52" t="str">
        <f>rearing!A52</f>
        <v>Medina2016</v>
      </c>
      <c r="B52" t="str">
        <f>rearing!C52</f>
        <v>Alternative</v>
      </c>
      <c r="C52" t="s">
        <v>305</v>
      </c>
      <c r="D52" t="s">
        <v>467</v>
      </c>
      <c r="F52" t="s">
        <v>278</v>
      </c>
      <c r="I52" t="s">
        <v>273</v>
      </c>
      <c r="J52">
        <v>60</v>
      </c>
      <c r="K52">
        <v>15</v>
      </c>
      <c r="Q52">
        <f>537.2/K52</f>
        <v>35.81333333333334</v>
      </c>
      <c r="T52">
        <f>125.4/K52</f>
        <v>8.3600000000000012</v>
      </c>
      <c r="U52">
        <f>470.6/K52</f>
        <v>31.373333333333335</v>
      </c>
      <c r="V52">
        <f>242.9/K52</f>
        <v>16.193333333333335</v>
      </c>
      <c r="W52">
        <f>337.7/K52</f>
        <v>22.513333333333332</v>
      </c>
    </row>
    <row r="53" spans="1:38" x14ac:dyDescent="0.2">
      <c r="A53" t="str">
        <f>rearing!A53</f>
        <v>Schmautz2016</v>
      </c>
      <c r="B53" t="str">
        <f>rearing!C53</f>
        <v>NFT</v>
      </c>
      <c r="C53" t="s">
        <v>305</v>
      </c>
      <c r="D53" t="s">
        <v>284</v>
      </c>
      <c r="F53" t="s">
        <v>239</v>
      </c>
      <c r="H53" t="s">
        <v>285</v>
      </c>
      <c r="I53" t="s">
        <v>272</v>
      </c>
      <c r="AD53" s="51">
        <v>1.6000000000000001E-3</v>
      </c>
      <c r="AE53" s="4">
        <v>1.06E-2</v>
      </c>
      <c r="AF53" s="4">
        <v>2.9999999999999997E-4</v>
      </c>
      <c r="AG53" s="4">
        <v>2.9999999999999997E-4</v>
      </c>
      <c r="AH53" s="4">
        <v>5.9999999999999995E-4</v>
      </c>
      <c r="AI53" s="50">
        <v>4</v>
      </c>
      <c r="AJ53">
        <v>6</v>
      </c>
      <c r="AK53">
        <v>1200</v>
      </c>
      <c r="AL53">
        <v>4.0999999999999996</v>
      </c>
    </row>
    <row r="54" spans="1:38" x14ac:dyDescent="0.2">
      <c r="A54" t="str">
        <f>rearing!A54</f>
        <v>Schmautz2016</v>
      </c>
      <c r="B54" t="str">
        <f>rearing!C54</f>
        <v>Raft</v>
      </c>
      <c r="C54" t="s">
        <v>305</v>
      </c>
      <c r="D54" t="s">
        <v>252</v>
      </c>
      <c r="F54" t="s">
        <v>239</v>
      </c>
      <c r="H54" t="s">
        <v>285</v>
      </c>
      <c r="I54" t="s">
        <v>272</v>
      </c>
    </row>
    <row r="55" spans="1:38" x14ac:dyDescent="0.2">
      <c r="A55" t="str">
        <f>rearing!A55</f>
        <v>Schmautz2016</v>
      </c>
      <c r="B55" t="str">
        <f>rearing!C55</f>
        <v>Drip</v>
      </c>
      <c r="C55" t="s">
        <v>305</v>
      </c>
      <c r="D55" t="s">
        <v>283</v>
      </c>
      <c r="F55" t="s">
        <v>239</v>
      </c>
      <c r="H55" t="s">
        <v>285</v>
      </c>
      <c r="I55" t="s">
        <v>272</v>
      </c>
    </row>
    <row r="56" spans="1:38" x14ac:dyDescent="0.2">
      <c r="A56" t="str">
        <f>rearing!A56</f>
        <v>Knaus2020</v>
      </c>
      <c r="B56" t="str">
        <f>rearing!C56</f>
        <v>GrowPipe</v>
      </c>
      <c r="C56" t="s">
        <v>238</v>
      </c>
      <c r="D56" t="s">
        <v>253</v>
      </c>
      <c r="F56" t="s">
        <v>297</v>
      </c>
      <c r="I56" t="s">
        <v>273</v>
      </c>
      <c r="J56">
        <v>41</v>
      </c>
      <c r="K56">
        <v>21</v>
      </c>
      <c r="N56">
        <v>382.8</v>
      </c>
      <c r="O56">
        <v>36.6</v>
      </c>
      <c r="Q56">
        <f>96.7+5</f>
        <v>101.7</v>
      </c>
      <c r="W56">
        <v>518</v>
      </c>
      <c r="X56">
        <v>86.2</v>
      </c>
    </row>
    <row r="57" spans="1:38" x14ac:dyDescent="0.2">
      <c r="A57" t="str">
        <f>rearing!A57</f>
        <v>Knaus2020</v>
      </c>
      <c r="B57" t="str">
        <f>rearing!C57</f>
        <v>Raft</v>
      </c>
      <c r="C57" t="s">
        <v>238</v>
      </c>
      <c r="D57" t="s">
        <v>252</v>
      </c>
      <c r="F57" t="s">
        <v>297</v>
      </c>
      <c r="I57" t="s">
        <v>273</v>
      </c>
      <c r="J57">
        <v>41</v>
      </c>
      <c r="K57">
        <v>21</v>
      </c>
      <c r="N57">
        <v>360.8</v>
      </c>
      <c r="O57">
        <v>35.700000000000003</v>
      </c>
      <c r="Q57">
        <f>94.8+5</f>
        <v>99.8</v>
      </c>
      <c r="W57">
        <v>493.7</v>
      </c>
      <c r="X57">
        <v>82.5</v>
      </c>
    </row>
    <row r="58" spans="1:38" x14ac:dyDescent="0.2">
      <c r="A58" t="str">
        <f>rearing!A58</f>
        <v>Knaus2020</v>
      </c>
      <c r="B58" t="str">
        <f>rearing!C58</f>
        <v>Gravel</v>
      </c>
      <c r="C58" t="s">
        <v>238</v>
      </c>
      <c r="D58" t="s">
        <v>296</v>
      </c>
      <c r="F58" t="s">
        <v>297</v>
      </c>
      <c r="I58" t="s">
        <v>273</v>
      </c>
      <c r="J58">
        <v>41</v>
      </c>
      <c r="K58">
        <v>21</v>
      </c>
      <c r="N58">
        <v>425.1</v>
      </c>
      <c r="O58">
        <v>37.9</v>
      </c>
      <c r="Q58">
        <f>101.8+5</f>
        <v>106.8</v>
      </c>
      <c r="W58">
        <v>515.1</v>
      </c>
      <c r="X58">
        <v>96.4</v>
      </c>
    </row>
    <row r="59" spans="1:38" x14ac:dyDescent="0.2">
      <c r="A59" t="str">
        <f>rearing!A59</f>
        <v>Pasch2021</v>
      </c>
      <c r="B59" t="str">
        <f>rearing!C59</f>
        <v>Aeroponics</v>
      </c>
      <c r="C59" t="s">
        <v>238</v>
      </c>
      <c r="D59" t="s">
        <v>298</v>
      </c>
      <c r="F59" t="s">
        <v>297</v>
      </c>
      <c r="I59" t="s">
        <v>273</v>
      </c>
      <c r="J59">
        <v>39</v>
      </c>
      <c r="K59">
        <v>63</v>
      </c>
      <c r="N59">
        <v>62.2</v>
      </c>
      <c r="O59">
        <v>7.6</v>
      </c>
      <c r="Q59">
        <v>70.959999999999994</v>
      </c>
      <c r="R59">
        <v>18.8</v>
      </c>
      <c r="W59">
        <v>119.45</v>
      </c>
      <c r="X59">
        <f>7.89*5.14</f>
        <v>40.554599999999994</v>
      </c>
    </row>
    <row r="60" spans="1:38" x14ac:dyDescent="0.2">
      <c r="A60" t="str">
        <f>rearing!A60</f>
        <v>Pasch2021</v>
      </c>
      <c r="B60" t="str">
        <f>rearing!C60</f>
        <v>DRF</v>
      </c>
      <c r="C60" t="s">
        <v>238</v>
      </c>
      <c r="D60" t="s">
        <v>300</v>
      </c>
      <c r="F60" t="s">
        <v>297</v>
      </c>
      <c r="I60" t="s">
        <v>273</v>
      </c>
      <c r="J60">
        <v>39</v>
      </c>
      <c r="K60">
        <v>63</v>
      </c>
      <c r="N60">
        <v>44.28</v>
      </c>
      <c r="O60">
        <v>4.96</v>
      </c>
      <c r="Q60">
        <v>70.62</v>
      </c>
      <c r="R60">
        <v>28.41</v>
      </c>
      <c r="W60">
        <v>101.33</v>
      </c>
      <c r="X60">
        <f>7.35*4.79</f>
        <v>35.206499999999998</v>
      </c>
    </row>
    <row r="61" spans="1:38" x14ac:dyDescent="0.2">
      <c r="A61" t="str">
        <f>rearing!A61</f>
        <v>Pasch2021</v>
      </c>
      <c r="B61" t="str">
        <f>rearing!C61</f>
        <v>Raft</v>
      </c>
      <c r="C61" t="s">
        <v>238</v>
      </c>
      <c r="D61" t="s">
        <v>252</v>
      </c>
      <c r="F61" t="s">
        <v>297</v>
      </c>
      <c r="I61" t="s">
        <v>273</v>
      </c>
      <c r="J61">
        <v>39</v>
      </c>
      <c r="K61">
        <v>63</v>
      </c>
      <c r="N61">
        <v>46.8</v>
      </c>
      <c r="O61">
        <v>5.2</v>
      </c>
      <c r="Q61">
        <v>70.38</v>
      </c>
      <c r="R61">
        <v>29.58</v>
      </c>
      <c r="W61">
        <v>102.25</v>
      </c>
      <c r="X61">
        <f>7.31*4.81</f>
        <v>35.161099999999998</v>
      </c>
    </row>
    <row r="62" spans="1:38" x14ac:dyDescent="0.2">
      <c r="A62" t="str">
        <f>rearing!A62</f>
        <v>Pasch2021a</v>
      </c>
      <c r="B62" t="str">
        <f>rearing!C62</f>
        <v>DRF</v>
      </c>
      <c r="C62" t="s">
        <v>238</v>
      </c>
      <c r="D62" t="s">
        <v>300</v>
      </c>
      <c r="F62" t="s">
        <v>297</v>
      </c>
      <c r="I62" t="s">
        <v>273</v>
      </c>
      <c r="J62">
        <v>36</v>
      </c>
      <c r="Q62">
        <v>54.09</v>
      </c>
      <c r="R62">
        <v>54.32</v>
      </c>
      <c r="T62">
        <v>35</v>
      </c>
      <c r="V62">
        <v>1.84</v>
      </c>
      <c r="W62">
        <v>108.05</v>
      </c>
      <c r="X62">
        <f>14.29*9.18</f>
        <v>131.18219999999999</v>
      </c>
    </row>
    <row r="63" spans="1:38" x14ac:dyDescent="0.2">
      <c r="A63" t="str">
        <f>rearing!A63</f>
        <v>Pasch2021a</v>
      </c>
      <c r="B63" t="str">
        <f>rearing!C63</f>
        <v>Raft</v>
      </c>
      <c r="C63" t="s">
        <v>238</v>
      </c>
      <c r="D63" t="s">
        <v>252</v>
      </c>
      <c r="F63" t="s">
        <v>297</v>
      </c>
      <c r="I63" t="s">
        <v>273</v>
      </c>
      <c r="J63">
        <v>36</v>
      </c>
      <c r="Q63">
        <v>46.78</v>
      </c>
      <c r="R63">
        <v>53.6</v>
      </c>
      <c r="T63">
        <v>28.65</v>
      </c>
      <c r="V63">
        <v>1.83</v>
      </c>
      <c r="W63">
        <v>83.81</v>
      </c>
      <c r="X63">
        <f>13.12*8.5</f>
        <v>111.52</v>
      </c>
    </row>
    <row r="64" spans="1:38" x14ac:dyDescent="0.2">
      <c r="A64" t="str">
        <f>rearing!A64</f>
        <v>Pasch2021a</v>
      </c>
      <c r="B64" t="str">
        <f>rearing!C64</f>
        <v>GrowPipe</v>
      </c>
      <c r="C64" t="s">
        <v>238</v>
      </c>
      <c r="D64" t="s">
        <v>253</v>
      </c>
      <c r="F64" t="s">
        <v>297</v>
      </c>
      <c r="I64" t="s">
        <v>273</v>
      </c>
      <c r="J64">
        <v>36</v>
      </c>
      <c r="Q64">
        <v>55.75</v>
      </c>
      <c r="R64">
        <v>50.46</v>
      </c>
      <c r="T64">
        <v>25.11</v>
      </c>
      <c r="V64">
        <v>1.53</v>
      </c>
      <c r="W64">
        <v>89.9</v>
      </c>
      <c r="X64">
        <f>12.77*8.31</f>
        <v>106.1187</v>
      </c>
    </row>
    <row r="65" spans="1:42" x14ac:dyDescent="0.2">
      <c r="A65" t="str">
        <f>rearing!A65</f>
        <v>Delaide2017</v>
      </c>
      <c r="B65" t="str">
        <f>rearing!C65</f>
        <v>Lettuce</v>
      </c>
      <c r="C65" t="s">
        <v>305</v>
      </c>
      <c r="D65" t="s">
        <v>461</v>
      </c>
      <c r="F65" t="s">
        <v>172</v>
      </c>
      <c r="G65" t="s">
        <v>171</v>
      </c>
      <c r="H65" t="s">
        <v>308</v>
      </c>
      <c r="AD65" s="51">
        <v>9.1500000000000001E-3</v>
      </c>
      <c r="AE65" s="4">
        <v>2.223E-2</v>
      </c>
      <c r="AF65" s="4">
        <v>1.2670000000000001E-2</v>
      </c>
      <c r="AG65" s="4">
        <v>3.2499999999999999E-3</v>
      </c>
      <c r="AH65" s="4">
        <v>4.2199999999999998E-3</v>
      </c>
      <c r="AI65" s="50">
        <v>0.24349999999999999</v>
      </c>
      <c r="AJ65">
        <v>6.3100000000000003E-2</v>
      </c>
      <c r="AK65" s="69">
        <v>1.4500000000000001E-2</v>
      </c>
      <c r="AL65" s="69">
        <v>0.10589999999999999</v>
      </c>
      <c r="AM65" s="69">
        <v>1.0500000000000001E-2</v>
      </c>
      <c r="AP65" s="72">
        <v>1.9599999999999999E-3</v>
      </c>
    </row>
    <row r="66" spans="1:42" x14ac:dyDescent="0.2">
      <c r="A66" t="str">
        <f>rearing!A66</f>
        <v>Delaide2017</v>
      </c>
      <c r="B66" t="str">
        <f>rearing!C66</f>
        <v>Basil</v>
      </c>
      <c r="C66" t="s">
        <v>305</v>
      </c>
      <c r="D66" t="s">
        <v>461</v>
      </c>
      <c r="F66" t="s">
        <v>297</v>
      </c>
      <c r="G66" t="s">
        <v>310</v>
      </c>
      <c r="AD66" s="51">
        <v>8.6300000000000005E-3</v>
      </c>
      <c r="AE66" s="4">
        <v>3.4940000000000001E-3</v>
      </c>
      <c r="AF66" s="4">
        <v>2.4750000000000001E-2</v>
      </c>
      <c r="AG66" s="4">
        <v>5.7499999999999999E-3</v>
      </c>
      <c r="AH66" s="4">
        <v>3.3800000000000002E-3</v>
      </c>
      <c r="AI66" s="50">
        <v>0.1095</v>
      </c>
      <c r="AJ66">
        <v>0.25130000000000002</v>
      </c>
      <c r="AK66">
        <v>3.27E-2</v>
      </c>
      <c r="AL66">
        <v>0.1358</v>
      </c>
      <c r="AM66" s="69">
        <v>1.11E-2</v>
      </c>
      <c r="AP66" s="72">
        <v>8.0000000000000004E-4</v>
      </c>
    </row>
    <row r="67" spans="1:42" x14ac:dyDescent="0.2">
      <c r="A67" t="str">
        <f>rearing!A67</f>
        <v>Lunda2019</v>
      </c>
      <c r="B67" t="str">
        <f>rearing!C67</f>
        <v>FROV</v>
      </c>
      <c r="C67" t="s">
        <v>238</v>
      </c>
      <c r="D67" t="s">
        <v>409</v>
      </c>
    </row>
    <row r="68" spans="1:42" x14ac:dyDescent="0.2">
      <c r="A68" t="str">
        <f>rearing!A68</f>
        <v>Lunda2019</v>
      </c>
      <c r="B68" t="str">
        <f>rearing!C68</f>
        <v>ANAPARTNERS</v>
      </c>
      <c r="C68" t="s">
        <v>409</v>
      </c>
      <c r="D68" t="s">
        <v>409</v>
      </c>
    </row>
    <row r="69" spans="1:42" x14ac:dyDescent="0.2">
      <c r="A69" t="str">
        <f>rearing!A69</f>
        <v>Lunda2019</v>
      </c>
      <c r="B69" t="str">
        <f>rearing!C69</f>
        <v>ROKYTNO</v>
      </c>
      <c r="C69" t="s">
        <v>409</v>
      </c>
      <c r="D69" t="s">
        <v>409</v>
      </c>
    </row>
    <row r="70" spans="1:42" x14ac:dyDescent="0.2">
      <c r="A70" t="str">
        <f>rearing!A70</f>
        <v>Knaus2017</v>
      </c>
      <c r="B70" t="str">
        <f>rearing!C70</f>
        <v>Unit I</v>
      </c>
      <c r="C70" t="s">
        <v>305</v>
      </c>
    </row>
    <row r="71" spans="1:42" x14ac:dyDescent="0.2">
      <c r="A71" t="str">
        <f>rearing!A71</f>
        <v>Knaus2017</v>
      </c>
      <c r="B71" t="str">
        <f>rearing!C71</f>
        <v>Unit I</v>
      </c>
      <c r="C71" t="s">
        <v>305</v>
      </c>
    </row>
    <row r="72" spans="1:42" x14ac:dyDescent="0.2">
      <c r="A72" t="str">
        <f>rearing!A72</f>
        <v>Knaus2017</v>
      </c>
      <c r="B72" t="str">
        <f>rearing!C72</f>
        <v>Unit II</v>
      </c>
      <c r="C72" t="s">
        <v>305</v>
      </c>
    </row>
    <row r="73" spans="1:42" x14ac:dyDescent="0.2">
      <c r="A73" t="str">
        <f>rearing!A73</f>
        <v>Knaus2017</v>
      </c>
      <c r="B73" t="str">
        <f>rearing!C73</f>
        <v>Unit II</v>
      </c>
      <c r="C73" t="s">
        <v>305</v>
      </c>
    </row>
    <row r="74" spans="1:42" x14ac:dyDescent="0.2">
      <c r="A74" t="str">
        <f>rearing!A74</f>
        <v>Knaus2017a</v>
      </c>
      <c r="B74" t="str">
        <f>rearing!C74</f>
        <v>Unit I</v>
      </c>
      <c r="C74" t="s">
        <v>305</v>
      </c>
      <c r="J74">
        <v>70</v>
      </c>
    </row>
    <row r="75" spans="1:42" x14ac:dyDescent="0.2">
      <c r="A75" t="str">
        <f>rearing!A75</f>
        <v>Knaus2017a</v>
      </c>
      <c r="B75" t="str">
        <f>rearing!C75</f>
        <v>Unit II</v>
      </c>
      <c r="C75" t="s">
        <v>305</v>
      </c>
      <c r="J75">
        <v>70</v>
      </c>
    </row>
    <row r="76" spans="1:42" x14ac:dyDescent="0.2">
      <c r="A76" t="str">
        <f>rearing!A76</f>
        <v>Monsees2019</v>
      </c>
      <c r="B76" t="str">
        <f>rearing!C76</f>
        <v>Control</v>
      </c>
      <c r="C76" t="s">
        <v>409</v>
      </c>
      <c r="D76" t="s">
        <v>284</v>
      </c>
      <c r="F76" s="85" t="s">
        <v>462</v>
      </c>
    </row>
    <row r="77" spans="1:42" x14ac:dyDescent="0.2">
      <c r="A77" t="str">
        <f>rearing!A77</f>
        <v>Monsees2019</v>
      </c>
      <c r="B77" t="str">
        <f>rearing!C77</f>
        <v>APunt</v>
      </c>
      <c r="C77" t="s">
        <v>409</v>
      </c>
      <c r="D77" t="s">
        <v>284</v>
      </c>
      <c r="F77" s="85" t="s">
        <v>462</v>
      </c>
    </row>
    <row r="78" spans="1:42" x14ac:dyDescent="0.2">
      <c r="A78" t="str">
        <f>rearing!A78</f>
        <v>Monsees2019</v>
      </c>
      <c r="B78" t="str">
        <f>rearing!C78</f>
        <v>APdis</v>
      </c>
      <c r="C78" t="s">
        <v>409</v>
      </c>
      <c r="D78" t="s">
        <v>284</v>
      </c>
      <c r="F78" s="85" t="s">
        <v>462</v>
      </c>
    </row>
    <row r="79" spans="1:42" x14ac:dyDescent="0.2">
      <c r="A79" t="str">
        <f>rearing!A79</f>
        <v>Rodgers2022</v>
      </c>
      <c r="B79" t="str">
        <f>rearing!C79</f>
        <v>CON</v>
      </c>
      <c r="C79" t="s">
        <v>409</v>
      </c>
      <c r="D79" t="s">
        <v>465</v>
      </c>
      <c r="F79" t="s">
        <v>361</v>
      </c>
      <c r="I79" t="s">
        <v>273</v>
      </c>
      <c r="J79">
        <v>21</v>
      </c>
      <c r="K79">
        <v>12</v>
      </c>
    </row>
    <row r="80" spans="1:42" x14ac:dyDescent="0.2">
      <c r="A80" t="str">
        <f>rearing!A80</f>
        <v>Rodgers2022</v>
      </c>
      <c r="B80" t="str">
        <f>rearing!C80</f>
        <v>DAP</v>
      </c>
      <c r="C80" t="s">
        <v>238</v>
      </c>
      <c r="D80" t="s">
        <v>465</v>
      </c>
      <c r="F80" t="s">
        <v>361</v>
      </c>
      <c r="I80" t="s">
        <v>273</v>
      </c>
      <c r="J80">
        <v>21</v>
      </c>
      <c r="K80">
        <v>12</v>
      </c>
    </row>
    <row r="81" spans="1:11" x14ac:dyDescent="0.2">
      <c r="A81" t="str">
        <f>rearing!A81</f>
        <v>Rodgers2022</v>
      </c>
      <c r="B81" t="str">
        <f>rearing!C81</f>
        <v>DAP+</v>
      </c>
      <c r="C81" t="s">
        <v>238</v>
      </c>
      <c r="D81" t="s">
        <v>465</v>
      </c>
      <c r="F81" t="s">
        <v>361</v>
      </c>
      <c r="I81" t="s">
        <v>273</v>
      </c>
      <c r="J81">
        <v>21</v>
      </c>
      <c r="K81">
        <v>12</v>
      </c>
    </row>
    <row r="82" spans="1:11" x14ac:dyDescent="0.2">
      <c r="A82" t="str">
        <f>rearing!A82</f>
        <v>Cerozi2020</v>
      </c>
      <c r="B82" t="str">
        <f>rearing!C82</f>
        <v>System</v>
      </c>
      <c r="C82" t="s">
        <v>409</v>
      </c>
      <c r="D82" t="s">
        <v>409</v>
      </c>
    </row>
    <row r="83" spans="1:11" x14ac:dyDescent="0.2">
      <c r="A83" t="str">
        <f>rearing!A83</f>
        <v>Khiari2019</v>
      </c>
      <c r="B83" t="str">
        <f>rearing!C83</f>
        <v>30_5.5</v>
      </c>
      <c r="C83" t="s">
        <v>409</v>
      </c>
      <c r="D83" t="s">
        <v>409</v>
      </c>
    </row>
    <row r="84" spans="1:11" x14ac:dyDescent="0.2">
      <c r="A84" t="str">
        <f>rearing!A84</f>
        <v>Khiari2019</v>
      </c>
      <c r="B84" t="str">
        <f>rearing!C84</f>
        <v>30_6.0</v>
      </c>
      <c r="C84" t="s">
        <v>409</v>
      </c>
      <c r="D84" t="s">
        <v>409</v>
      </c>
    </row>
    <row r="85" spans="1:11" x14ac:dyDescent="0.2">
      <c r="A85" t="str">
        <f>rearing!A85</f>
        <v>Khiari2019</v>
      </c>
      <c r="B85" t="str">
        <f>rearing!C85</f>
        <v>30_6.5</v>
      </c>
      <c r="C85" t="s">
        <v>409</v>
      </c>
      <c r="D85" t="s">
        <v>409</v>
      </c>
    </row>
    <row r="86" spans="1:11" x14ac:dyDescent="0.2">
      <c r="A86" t="str">
        <f>rearing!A86</f>
        <v>Khiari2019</v>
      </c>
      <c r="B86" t="str">
        <f>rearing!C86</f>
        <v>35_5.5</v>
      </c>
      <c r="C86" t="s">
        <v>409</v>
      </c>
      <c r="D86" t="s">
        <v>409</v>
      </c>
    </row>
    <row r="87" spans="1:11" x14ac:dyDescent="0.2">
      <c r="A87" t="str">
        <f>rearing!A87</f>
        <v>Khiari2019</v>
      </c>
      <c r="B87" t="str">
        <f>rearing!C87</f>
        <v>35_6.0</v>
      </c>
      <c r="C87" t="s">
        <v>409</v>
      </c>
      <c r="D87" t="s">
        <v>409</v>
      </c>
    </row>
    <row r="88" spans="1:11" x14ac:dyDescent="0.2">
      <c r="A88" t="str">
        <f>rearing!A88</f>
        <v>Khiari2019</v>
      </c>
      <c r="B88" t="str">
        <f>rearing!C88</f>
        <v>35_6.5</v>
      </c>
      <c r="C88" t="s">
        <v>409</v>
      </c>
      <c r="D88" t="s">
        <v>409</v>
      </c>
    </row>
    <row r="89" spans="1:11" x14ac:dyDescent="0.2">
      <c r="A89" t="str">
        <f>rearing!A89</f>
        <v>Khiari2019</v>
      </c>
      <c r="B89" t="str">
        <f>rearing!C89</f>
        <v>40_5.5</v>
      </c>
      <c r="C89" t="s">
        <v>409</v>
      </c>
      <c r="D89" t="s">
        <v>409</v>
      </c>
    </row>
    <row r="90" spans="1:11" x14ac:dyDescent="0.2">
      <c r="A90" t="str">
        <f>rearing!A90</f>
        <v>Khiari2019</v>
      </c>
      <c r="B90" t="str">
        <f>rearing!C90</f>
        <v>40_6.0</v>
      </c>
      <c r="C90" t="s">
        <v>409</v>
      </c>
      <c r="D90" t="s">
        <v>409</v>
      </c>
    </row>
    <row r="91" spans="1:11" x14ac:dyDescent="0.2">
      <c r="A91" t="str">
        <f>rearing!A91</f>
        <v>Khiari2019</v>
      </c>
      <c r="B91" t="str">
        <f>rearing!C91</f>
        <v>40_6.5</v>
      </c>
      <c r="C91" t="s">
        <v>409</v>
      </c>
      <c r="D91" t="s">
        <v>409</v>
      </c>
    </row>
    <row r="92" spans="1:11" x14ac:dyDescent="0.2">
      <c r="A92" t="str">
        <f>rearing!A92</f>
        <v>Delaide2018</v>
      </c>
      <c r="B92" t="str">
        <f>rearing!C92</f>
        <v>ANR</v>
      </c>
      <c r="C92" t="s">
        <v>409</v>
      </c>
      <c r="D92" t="s">
        <v>409</v>
      </c>
    </row>
    <row r="93" spans="1:11" x14ac:dyDescent="0.2">
      <c r="A93" t="str">
        <f>rearing!A93</f>
        <v>Monsees2017</v>
      </c>
      <c r="B93" t="str">
        <f>rearing!C93</f>
        <v>Exp1_anaerobic</v>
      </c>
      <c r="C93" t="s">
        <v>409</v>
      </c>
      <c r="D93" t="s">
        <v>409</v>
      </c>
    </row>
    <row r="94" spans="1:11" x14ac:dyDescent="0.2">
      <c r="A94" t="str">
        <f>rearing!A94</f>
        <v>Roosta2013</v>
      </c>
      <c r="B94" t="str">
        <f>rearing!C94</f>
        <v>Rep1</v>
      </c>
      <c r="C94" t="s">
        <v>305</v>
      </c>
    </row>
    <row r="95" spans="1:11" x14ac:dyDescent="0.2">
      <c r="A95" t="str">
        <f>rearing!A95</f>
        <v>Roosta2013</v>
      </c>
      <c r="B95" t="str">
        <f>rearing!C95</f>
        <v>Rep2</v>
      </c>
      <c r="C95" t="s">
        <v>305</v>
      </c>
    </row>
    <row r="96" spans="1:11" x14ac:dyDescent="0.2">
      <c r="A96" t="str">
        <f>rearing!A96</f>
        <v>Roosta2013</v>
      </c>
      <c r="B96" t="str">
        <f>rearing!C96</f>
        <v>Rep3</v>
      </c>
      <c r="C96" t="s">
        <v>305</v>
      </c>
    </row>
    <row r="97" spans="1:11" x14ac:dyDescent="0.2">
      <c r="A97" t="str">
        <f>rearing!A97</f>
        <v>Roosta2014</v>
      </c>
      <c r="B97" t="str">
        <f>rearing!C97</f>
        <v>Rep1</v>
      </c>
      <c r="C97" t="s">
        <v>305</v>
      </c>
      <c r="F97" t="s">
        <v>361</v>
      </c>
      <c r="I97" t="s">
        <v>273</v>
      </c>
      <c r="J97">
        <v>42</v>
      </c>
      <c r="K97">
        <v>27</v>
      </c>
    </row>
    <row r="98" spans="1:11" x14ac:dyDescent="0.2">
      <c r="A98" t="str">
        <f>rearing!A98</f>
        <v>Roosta2014</v>
      </c>
      <c r="B98" t="str">
        <f>rearing!C98</f>
        <v>Rep2</v>
      </c>
      <c r="C98" t="s">
        <v>305</v>
      </c>
      <c r="F98" t="s">
        <v>361</v>
      </c>
      <c r="I98" t="s">
        <v>273</v>
      </c>
      <c r="J98">
        <v>42</v>
      </c>
      <c r="K98">
        <v>27</v>
      </c>
    </row>
    <row r="99" spans="1:11" x14ac:dyDescent="0.2">
      <c r="A99" t="str">
        <f>rearing!A99</f>
        <v>Roosta2014</v>
      </c>
      <c r="B99" t="str">
        <f>rearing!C99</f>
        <v>Rep3</v>
      </c>
      <c r="C99" t="s">
        <v>305</v>
      </c>
      <c r="F99" t="s">
        <v>361</v>
      </c>
      <c r="I99" t="s">
        <v>273</v>
      </c>
      <c r="J99">
        <v>42</v>
      </c>
      <c r="K99">
        <v>27</v>
      </c>
    </row>
    <row r="100" spans="1:11" x14ac:dyDescent="0.2">
      <c r="A100" t="str">
        <f>rearing!A100</f>
        <v>Yang2020</v>
      </c>
      <c r="B100" t="str">
        <f>rearing!C100</f>
        <v>AP_Tomato</v>
      </c>
      <c r="C100" t="s">
        <v>305</v>
      </c>
      <c r="F100" t="s">
        <v>239</v>
      </c>
      <c r="I100" t="s">
        <v>272</v>
      </c>
    </row>
    <row r="101" spans="1:11" x14ac:dyDescent="0.2">
      <c r="A101" t="str">
        <f>rearing!A101</f>
        <v>Yang2020</v>
      </c>
      <c r="B101" t="str">
        <f>rearing!C101</f>
        <v>AP_Basil</v>
      </c>
      <c r="C101" t="s">
        <v>305</v>
      </c>
      <c r="F101" t="s">
        <v>361</v>
      </c>
      <c r="I101" t="s">
        <v>273</v>
      </c>
    </row>
    <row r="102" spans="1:11" x14ac:dyDescent="0.2">
      <c r="A102" t="str">
        <f>rearing!A102</f>
        <v>Yang2020</v>
      </c>
      <c r="B102" t="str">
        <f>rearing!C102</f>
        <v>AP_Lettuce</v>
      </c>
      <c r="C102" t="s">
        <v>305</v>
      </c>
      <c r="F102" t="s">
        <v>172</v>
      </c>
      <c r="I102" t="s">
        <v>273</v>
      </c>
    </row>
    <row r="103" spans="1:11" x14ac:dyDescent="0.2">
      <c r="A103" t="str">
        <f>rearing!A103</f>
        <v>Yang2020</v>
      </c>
      <c r="B103" t="str">
        <f>rearing!C103</f>
        <v>HP_Tomato</v>
      </c>
      <c r="C103" t="s">
        <v>409</v>
      </c>
      <c r="F103" t="s">
        <v>239</v>
      </c>
      <c r="I103" t="s">
        <v>272</v>
      </c>
    </row>
    <row r="104" spans="1:11" x14ac:dyDescent="0.2">
      <c r="A104" t="str">
        <f>rearing!A104</f>
        <v>Yang2020</v>
      </c>
      <c r="B104" t="str">
        <f>rearing!C104</f>
        <v>HP_Basil</v>
      </c>
      <c r="C104" t="s">
        <v>409</v>
      </c>
      <c r="F104" t="s">
        <v>361</v>
      </c>
      <c r="I104" t="s">
        <v>273</v>
      </c>
    </row>
    <row r="105" spans="1:11" x14ac:dyDescent="0.2">
      <c r="A105" t="str">
        <f>rearing!A105</f>
        <v>Yang2020</v>
      </c>
      <c r="B105" t="str">
        <f>rearing!C105</f>
        <v>HP_Lettuce</v>
      </c>
      <c r="C105" t="s">
        <v>409</v>
      </c>
      <c r="F105" t="s">
        <v>172</v>
      </c>
      <c r="I105" t="s">
        <v>273</v>
      </c>
    </row>
    <row r="106" spans="1:11" x14ac:dyDescent="0.2">
      <c r="A106" t="str">
        <f>rearing!A106</f>
        <v>Anderson2017</v>
      </c>
      <c r="B106" t="str">
        <f>rearing!C107</f>
        <v>H7</v>
      </c>
      <c r="C106" t="s">
        <v>409</v>
      </c>
      <c r="F106" t="str">
        <f>general!G105</f>
        <v>Latuca sativa</v>
      </c>
      <c r="I106" t="s">
        <v>273</v>
      </c>
    </row>
    <row r="107" spans="1:11" x14ac:dyDescent="0.2">
      <c r="A107" t="str">
        <f>rearing!A107</f>
        <v>Anderson2017</v>
      </c>
      <c r="B107" t="str">
        <f>rearing!C107</f>
        <v>H7</v>
      </c>
      <c r="C107" t="s">
        <v>409</v>
      </c>
      <c r="F107" t="str">
        <f>general!G106</f>
        <v>Latuca sativa</v>
      </c>
      <c r="I107" t="s">
        <v>273</v>
      </c>
    </row>
    <row r="108" spans="1:11" x14ac:dyDescent="0.2">
      <c r="A108" t="str">
        <f>rearing!A108</f>
        <v>Anderson2017</v>
      </c>
      <c r="B108" t="str">
        <f>rearing!C108</f>
        <v>A7</v>
      </c>
      <c r="C108" t="s">
        <v>305</v>
      </c>
      <c r="F108" t="str">
        <f>general!G107</f>
        <v>Latuca sativa</v>
      </c>
      <c r="I108" t="s">
        <v>273</v>
      </c>
    </row>
    <row r="109" spans="1:11" x14ac:dyDescent="0.2">
      <c r="A109" t="str">
        <f>rearing!A109</f>
        <v>Blanchard2020</v>
      </c>
      <c r="B109" t="str">
        <f>rearing!C109</f>
        <v>pH7</v>
      </c>
      <c r="C109" t="s">
        <v>238</v>
      </c>
      <c r="D109" t="s">
        <v>465</v>
      </c>
      <c r="F109" t="s">
        <v>462</v>
      </c>
      <c r="I109" t="s">
        <v>272</v>
      </c>
    </row>
    <row r="110" spans="1:11" x14ac:dyDescent="0.2">
      <c r="A110" t="str">
        <f>rearing!A110</f>
        <v>Blanchard2020</v>
      </c>
      <c r="B110" t="str">
        <f>rearing!C110</f>
        <v>pH6.5</v>
      </c>
      <c r="C110" t="s">
        <v>238</v>
      </c>
      <c r="D110" t="s">
        <v>465</v>
      </c>
      <c r="F110" t="s">
        <v>462</v>
      </c>
      <c r="I110" t="s">
        <v>272</v>
      </c>
    </row>
    <row r="111" spans="1:11" x14ac:dyDescent="0.2">
      <c r="A111" t="str">
        <f>rearing!A111</f>
        <v>Blanchard2020</v>
      </c>
      <c r="B111" t="str">
        <f>rearing!C111</f>
        <v>pH5.8</v>
      </c>
      <c r="C111" t="s">
        <v>238</v>
      </c>
      <c r="D111" t="s">
        <v>465</v>
      </c>
      <c r="F111" t="s">
        <v>462</v>
      </c>
      <c r="I111" t="s">
        <v>272</v>
      </c>
    </row>
    <row r="112" spans="1:11" x14ac:dyDescent="0.2">
      <c r="A112" t="str">
        <f>rearing!A112</f>
        <v>Blanchard2020</v>
      </c>
      <c r="B112" t="str">
        <f>rearing!C112</f>
        <v>pH5</v>
      </c>
      <c r="C112" t="s">
        <v>238</v>
      </c>
      <c r="D112" t="s">
        <v>465</v>
      </c>
      <c r="F112" t="s">
        <v>462</v>
      </c>
      <c r="I112" t="s">
        <v>272</v>
      </c>
    </row>
    <row r="113" spans="1:10" x14ac:dyDescent="0.2">
      <c r="A113" t="str">
        <f>rearing!A113</f>
        <v>Pinero2020</v>
      </c>
      <c r="B113" t="str">
        <f>rearing!C113</f>
        <v>100S</v>
      </c>
      <c r="F113" t="str">
        <f>general!G112</f>
        <v>Latuca sativa</v>
      </c>
      <c r="G113" t="s">
        <v>545</v>
      </c>
      <c r="H113" t="s">
        <v>546</v>
      </c>
      <c r="I113" t="s">
        <v>272</v>
      </c>
      <c r="J113">
        <f>7*7</f>
        <v>49</v>
      </c>
    </row>
    <row r="114" spans="1:10" x14ac:dyDescent="0.2">
      <c r="A114" t="str">
        <f>rearing!A114</f>
        <v>Pinero2021</v>
      </c>
      <c r="B114" t="str">
        <f>rearing!C114</f>
        <v>50F50D</v>
      </c>
      <c r="F114" t="str">
        <f>general!G113</f>
        <v>Latuca sativa</v>
      </c>
      <c r="G114" t="s">
        <v>545</v>
      </c>
      <c r="H114" t="s">
        <v>546</v>
      </c>
      <c r="I114" t="s">
        <v>272</v>
      </c>
      <c r="J114">
        <f>7*7</f>
        <v>49</v>
      </c>
    </row>
    <row r="115" spans="1:10" x14ac:dyDescent="0.2">
      <c r="A115" t="str">
        <f>rearing!A115</f>
        <v>Pinero2022</v>
      </c>
      <c r="B115" t="str">
        <f>rearing!C115</f>
        <v>50F50D+S</v>
      </c>
      <c r="F115" t="str">
        <f>general!G114</f>
        <v>Latuca sativa</v>
      </c>
      <c r="G115" t="s">
        <v>545</v>
      </c>
      <c r="H115" t="s">
        <v>546</v>
      </c>
      <c r="I115" t="s">
        <v>272</v>
      </c>
      <c r="J115">
        <f>7*7</f>
        <v>49</v>
      </c>
    </row>
    <row r="116" spans="1:10" x14ac:dyDescent="0.2">
      <c r="A116" t="str">
        <f>rearing!A116</f>
        <v>Pinero2023</v>
      </c>
      <c r="B116" t="str">
        <f>rearing!C116</f>
        <v>50F50D+F</v>
      </c>
      <c r="F116" t="str">
        <f>general!G115</f>
        <v>Latuca sativa</v>
      </c>
      <c r="G116" t="s">
        <v>545</v>
      </c>
      <c r="H116" t="s">
        <v>546</v>
      </c>
      <c r="I116" t="s">
        <v>272</v>
      </c>
      <c r="J116">
        <f>7*7</f>
        <v>49</v>
      </c>
    </row>
  </sheetData>
  <autoFilter ref="A2:AP116" xr:uid="{1474C464-CB92-AB49-840C-B94CEEB9C0AD}"/>
  <mergeCells count="3">
    <mergeCell ref="Y1:AC1"/>
    <mergeCell ref="AD1:AH1"/>
    <mergeCell ref="AI1:AO1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6F94-395A-A640-8801-13367F096CC9}">
  <sheetPr>
    <tabColor theme="0" tint="-0.14999847407452621"/>
  </sheetPr>
  <dimension ref="A1:BE4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7" sqref="S7"/>
    </sheetView>
  </sheetViews>
  <sheetFormatPr baseColWidth="10" defaultColWidth="11" defaultRowHeight="16" x14ac:dyDescent="0.2"/>
  <cols>
    <col min="1" max="1" width="19" customWidth="1"/>
    <col min="2" max="2" width="18.5" customWidth="1"/>
    <col min="3" max="3" width="11.6640625" customWidth="1"/>
    <col min="4" max="5" width="12.5" customWidth="1"/>
    <col min="8" max="8" width="16.1640625" customWidth="1"/>
    <col min="9" max="9" width="14.1640625" customWidth="1"/>
    <col min="10" max="10" width="17.1640625" customWidth="1"/>
    <col min="11" max="11" width="18.6640625" customWidth="1"/>
    <col min="12" max="12" width="21.5" customWidth="1"/>
    <col min="13" max="13" width="17.1640625" customWidth="1"/>
    <col min="14" max="14" width="19" customWidth="1"/>
    <col min="15" max="15" width="21.6640625" customWidth="1"/>
    <col min="16" max="16" width="17.1640625" customWidth="1"/>
    <col min="17" max="17" width="19" customWidth="1"/>
    <col min="18" max="18" width="21.6640625" customWidth="1"/>
    <col min="19" max="19" width="17.1640625" customWidth="1"/>
    <col min="20" max="20" width="19" customWidth="1"/>
    <col min="21" max="21" width="21.6640625" customWidth="1"/>
    <col min="23" max="23" width="12.6640625" customWidth="1"/>
    <col min="24" max="24" width="18.33203125" customWidth="1"/>
    <col min="25" max="25" width="12.5" customWidth="1"/>
    <col min="26" max="26" width="14.1640625" customWidth="1"/>
    <col min="27" max="27" width="19.6640625" customWidth="1"/>
    <col min="28" max="28" width="12.6640625" customWidth="1"/>
    <col min="29" max="29" width="14.33203125" customWidth="1"/>
    <col min="30" max="30" width="20" customWidth="1"/>
    <col min="31" max="31" width="17.1640625" customWidth="1"/>
    <col min="32" max="32" width="19" customWidth="1"/>
    <col min="33" max="33" width="21.6640625" customWidth="1"/>
    <col min="35" max="35" width="12.6640625" customWidth="1"/>
    <col min="36" max="36" width="18.33203125" customWidth="1"/>
    <col min="37" max="37" width="12.1640625" customWidth="1"/>
    <col min="38" max="38" width="14" customWidth="1"/>
    <col min="39" max="39" width="19.6640625" customWidth="1"/>
    <col min="40" max="40" width="12.6640625" customWidth="1"/>
    <col min="41" max="41" width="14.33203125" customWidth="1"/>
    <col min="42" max="42" width="20" customWidth="1"/>
    <col min="43" max="43" width="12.5" customWidth="1"/>
    <col min="44" max="44" width="14.1640625" customWidth="1"/>
    <col min="45" max="45" width="19.6640625" customWidth="1"/>
    <col min="46" max="46" width="12.1640625" customWidth="1"/>
    <col min="47" max="47" width="14" customWidth="1"/>
    <col min="48" max="48" width="19.6640625" customWidth="1"/>
    <col min="49" max="49" width="12.6640625" customWidth="1"/>
    <col min="50" max="50" width="14.33203125" customWidth="1"/>
    <col min="51" max="51" width="20" customWidth="1"/>
    <col min="52" max="52" width="11.6640625" customWidth="1"/>
    <col min="53" max="53" width="13.33203125" customWidth="1"/>
    <col min="54" max="54" width="19" customWidth="1"/>
    <col min="55" max="55" width="12.5" customWidth="1"/>
    <col min="56" max="56" width="14.1640625" customWidth="1"/>
    <col min="57" max="57" width="19.6640625" customWidth="1"/>
  </cols>
  <sheetData>
    <row r="1" spans="1:57" s="2" customFormat="1" x14ac:dyDescent="0.2">
      <c r="A1" s="2" t="s">
        <v>2</v>
      </c>
      <c r="B1" s="2" t="s">
        <v>98</v>
      </c>
      <c r="C1" s="2" t="s">
        <v>472</v>
      </c>
      <c r="D1" s="2" t="s">
        <v>512</v>
      </c>
      <c r="E1" s="2" t="s">
        <v>535</v>
      </c>
      <c r="F1" s="2" t="s">
        <v>475</v>
      </c>
      <c r="G1" s="2" t="s">
        <v>46</v>
      </c>
      <c r="H1" s="2" t="s">
        <v>476</v>
      </c>
      <c r="I1" s="2" t="s">
        <v>477</v>
      </c>
      <c r="J1" s="2" t="s">
        <v>479</v>
      </c>
      <c r="K1" s="2" t="s">
        <v>496</v>
      </c>
      <c r="L1" s="2" t="s">
        <v>478</v>
      </c>
      <c r="M1" s="2" t="s">
        <v>480</v>
      </c>
      <c r="N1" s="2" t="s">
        <v>495</v>
      </c>
      <c r="O1" s="2" t="s">
        <v>502</v>
      </c>
      <c r="P1" s="2" t="s">
        <v>481</v>
      </c>
      <c r="Q1" s="2" t="s">
        <v>497</v>
      </c>
      <c r="R1" s="2" t="s">
        <v>503</v>
      </c>
      <c r="S1" s="2" t="s">
        <v>482</v>
      </c>
      <c r="T1" s="2" t="s">
        <v>498</v>
      </c>
      <c r="U1" s="2" t="s">
        <v>504</v>
      </c>
      <c r="V1" s="2" t="s">
        <v>483</v>
      </c>
      <c r="W1" s="2" t="s">
        <v>128</v>
      </c>
      <c r="X1" s="2" t="s">
        <v>505</v>
      </c>
      <c r="Y1" s="2" t="s">
        <v>484</v>
      </c>
      <c r="Z1" s="2" t="s">
        <v>130</v>
      </c>
      <c r="AA1" s="2" t="s">
        <v>506</v>
      </c>
      <c r="AB1" s="2" t="s">
        <v>485</v>
      </c>
      <c r="AC1" s="2" t="s">
        <v>129</v>
      </c>
      <c r="AD1" s="2" t="s">
        <v>507</v>
      </c>
      <c r="AE1" s="2" t="s">
        <v>486</v>
      </c>
      <c r="AF1" s="2" t="s">
        <v>499</v>
      </c>
      <c r="AG1" s="2" t="s">
        <v>508</v>
      </c>
      <c r="AH1" s="2" t="s">
        <v>487</v>
      </c>
      <c r="AI1" s="2" t="s">
        <v>132</v>
      </c>
      <c r="AJ1" s="2" t="s">
        <v>443</v>
      </c>
      <c r="AK1" s="2" t="s">
        <v>488</v>
      </c>
      <c r="AL1" s="2" t="s">
        <v>134</v>
      </c>
      <c r="AM1" s="2" t="s">
        <v>444</v>
      </c>
      <c r="AN1" s="2" t="s">
        <v>489</v>
      </c>
      <c r="AO1" s="2" t="s">
        <v>136</v>
      </c>
      <c r="AP1" s="2" t="s">
        <v>447</v>
      </c>
      <c r="AQ1" s="2" t="s">
        <v>490</v>
      </c>
      <c r="AR1" s="2" t="s">
        <v>135</v>
      </c>
      <c r="AS1" s="2" t="s">
        <v>446</v>
      </c>
      <c r="AT1" s="2" t="s">
        <v>491</v>
      </c>
      <c r="AU1" s="2" t="s">
        <v>137</v>
      </c>
      <c r="AV1" s="2" t="s">
        <v>448</v>
      </c>
      <c r="AW1" s="2" t="s">
        <v>492</v>
      </c>
      <c r="AX1" s="2" t="s">
        <v>500</v>
      </c>
      <c r="AY1" s="2" t="s">
        <v>509</v>
      </c>
      <c r="AZ1" s="2" t="s">
        <v>493</v>
      </c>
      <c r="BA1" s="2" t="s">
        <v>501</v>
      </c>
      <c r="BB1" s="2" t="s">
        <v>510</v>
      </c>
      <c r="BC1" s="2" t="s">
        <v>494</v>
      </c>
      <c r="BD1" s="2" t="s">
        <v>133</v>
      </c>
      <c r="BE1" s="2" t="s">
        <v>511</v>
      </c>
    </row>
    <row r="2" spans="1:57" x14ac:dyDescent="0.2">
      <c r="A2" t="str">
        <f>general!A111</f>
        <v>Blanchard2020</v>
      </c>
      <c r="B2" t="str">
        <f>general!B111</f>
        <v>pH5</v>
      </c>
      <c r="C2" t="str">
        <f>IF(general!D111="permanent","No","Yes")</f>
        <v>Yes</v>
      </c>
      <c r="D2" t="s">
        <v>518</v>
      </c>
      <c r="E2" t="s">
        <v>142</v>
      </c>
      <c r="G2">
        <f>waterTRANS!F112</f>
        <v>6.3</v>
      </c>
      <c r="P2">
        <f>waterTRANS!K112</f>
        <v>171</v>
      </c>
      <c r="R2" t="s">
        <v>445</v>
      </c>
      <c r="S2">
        <f>waterTRANS!M112</f>
        <v>8</v>
      </c>
      <c r="U2" t="s">
        <v>445</v>
      </c>
      <c r="V2">
        <f>waterTRANS!N112</f>
        <v>104</v>
      </c>
      <c r="X2" t="s">
        <v>445</v>
      </c>
      <c r="Y2">
        <f>waterTRANS!O112</f>
        <v>187</v>
      </c>
      <c r="AA2" t="s">
        <v>445</v>
      </c>
      <c r="AB2">
        <f>waterTRANS!P112</f>
        <v>20</v>
      </c>
      <c r="AD2" t="s">
        <v>445</v>
      </c>
      <c r="AH2">
        <f>waterTRANS!R112</f>
        <v>0.08</v>
      </c>
      <c r="AJ2" t="s">
        <v>445</v>
      </c>
      <c r="AK2">
        <f>waterTRANS!S112</f>
        <v>0.05</v>
      </c>
      <c r="AM2" t="s">
        <v>445</v>
      </c>
      <c r="AN2">
        <f>waterTRANS!U112</f>
        <v>0.05</v>
      </c>
      <c r="AP2" t="s">
        <v>445</v>
      </c>
      <c r="AQ2">
        <f>waterTRANS!T112</f>
        <v>0.02</v>
      </c>
      <c r="AS2" t="s">
        <v>445</v>
      </c>
      <c r="AT2">
        <f>waterTRANS!V112</f>
        <v>0.08</v>
      </c>
      <c r="AV2" t="s">
        <v>445</v>
      </c>
      <c r="BC2">
        <f>waterTRANS!W112</f>
        <v>0</v>
      </c>
      <c r="BE2" t="s">
        <v>445</v>
      </c>
    </row>
    <row r="3" spans="1:57" x14ac:dyDescent="0.2">
      <c r="A3" t="str">
        <f>general!A110</f>
        <v>Blanchard2020</v>
      </c>
      <c r="B3" t="str">
        <f>general!B110</f>
        <v>pH5.8</v>
      </c>
      <c r="C3" t="str">
        <f>IF(general!D110="permanent","No","Yes")</f>
        <v>Yes</v>
      </c>
      <c r="D3" t="s">
        <v>518</v>
      </c>
      <c r="E3" t="s">
        <v>142</v>
      </c>
      <c r="G3">
        <f>waterTRANS!F111</f>
        <v>6.4</v>
      </c>
      <c r="P3">
        <f>waterTRANS!K111</f>
        <v>184</v>
      </c>
      <c r="R3" t="s">
        <v>445</v>
      </c>
      <c r="S3">
        <f>waterTRANS!M111</f>
        <v>8</v>
      </c>
      <c r="U3" t="s">
        <v>445</v>
      </c>
      <c r="V3">
        <f>waterTRANS!N111</f>
        <v>104</v>
      </c>
      <c r="X3" t="s">
        <v>445</v>
      </c>
      <c r="Y3">
        <f>waterTRANS!O111</f>
        <v>188</v>
      </c>
      <c r="AA3" t="s">
        <v>445</v>
      </c>
      <c r="AB3">
        <f>waterTRANS!P111</f>
        <v>20</v>
      </c>
      <c r="AD3" t="s">
        <v>445</v>
      </c>
      <c r="AH3">
        <f>waterTRANS!R111</f>
        <v>0.1</v>
      </c>
      <c r="AJ3" t="s">
        <v>445</v>
      </c>
      <c r="AK3">
        <f>waterTRANS!S111</f>
        <v>0.04</v>
      </c>
      <c r="AM3" t="s">
        <v>445</v>
      </c>
      <c r="AN3">
        <f>waterTRANS!U111</f>
        <v>0.04</v>
      </c>
      <c r="AP3" t="s">
        <v>445</v>
      </c>
      <c r="AQ3">
        <f>waterTRANS!T111</f>
        <v>0.02</v>
      </c>
      <c r="AS3" t="s">
        <v>445</v>
      </c>
      <c r="AT3">
        <f>waterTRANS!V111</f>
        <v>0.09</v>
      </c>
      <c r="AV3" t="s">
        <v>445</v>
      </c>
      <c r="BC3">
        <f>waterTRANS!W111</f>
        <v>0</v>
      </c>
      <c r="BE3" t="s">
        <v>445</v>
      </c>
    </row>
    <row r="4" spans="1:57" x14ac:dyDescent="0.2">
      <c r="A4" t="str">
        <f>general!A109</f>
        <v>Blanchard2020</v>
      </c>
      <c r="B4" t="str">
        <f>general!B109</f>
        <v>pH6.5</v>
      </c>
      <c r="C4" t="str">
        <f>IF(general!D109="permanent","No","Yes")</f>
        <v>Yes</v>
      </c>
      <c r="D4" t="s">
        <v>518</v>
      </c>
      <c r="E4" t="s">
        <v>142</v>
      </c>
      <c r="G4">
        <f>waterTRANS!F110</f>
        <v>6.7</v>
      </c>
      <c r="P4">
        <f>waterTRANS!K110</f>
        <v>183</v>
      </c>
      <c r="R4" t="s">
        <v>445</v>
      </c>
      <c r="S4">
        <f>waterTRANS!M110</f>
        <v>8</v>
      </c>
      <c r="U4" t="s">
        <v>445</v>
      </c>
      <c r="V4">
        <f>waterTRANS!N110</f>
        <v>104</v>
      </c>
      <c r="X4" t="s">
        <v>445</v>
      </c>
      <c r="Y4">
        <f>waterTRANS!O110</f>
        <v>186</v>
      </c>
      <c r="AA4" t="s">
        <v>445</v>
      </c>
      <c r="AB4">
        <f>waterTRANS!P110</f>
        <v>20</v>
      </c>
      <c r="AD4" t="s">
        <v>445</v>
      </c>
      <c r="AH4">
        <f>waterTRANS!R110</f>
        <v>0.13</v>
      </c>
      <c r="AJ4" t="s">
        <v>445</v>
      </c>
      <c r="AK4">
        <f>waterTRANS!S110</f>
        <v>0.04</v>
      </c>
      <c r="AM4" t="s">
        <v>445</v>
      </c>
      <c r="AN4">
        <f>waterTRANS!U110</f>
        <v>0.04</v>
      </c>
      <c r="AP4" t="s">
        <v>445</v>
      </c>
      <c r="AQ4">
        <f>waterTRANS!T110</f>
        <v>0.03</v>
      </c>
      <c r="AS4" t="s">
        <v>445</v>
      </c>
      <c r="AT4">
        <f>waterTRANS!V110</f>
        <v>0.09</v>
      </c>
      <c r="AV4" t="s">
        <v>445</v>
      </c>
      <c r="BC4">
        <f>waterTRANS!W110</f>
        <v>0</v>
      </c>
      <c r="BE4" t="s">
        <v>445</v>
      </c>
    </row>
    <row r="5" spans="1:57" x14ac:dyDescent="0.2">
      <c r="A5" t="str">
        <f>general!A108</f>
        <v>Blanchard2020</v>
      </c>
      <c r="B5" t="str">
        <f>general!B108</f>
        <v>pH7</v>
      </c>
      <c r="C5" t="str">
        <f>IF(general!D108="permanent","No","Yes")</f>
        <v>Yes</v>
      </c>
      <c r="D5" t="s">
        <v>518</v>
      </c>
      <c r="E5" t="s">
        <v>142</v>
      </c>
      <c r="G5">
        <f>waterTRANS!F109</f>
        <v>6.9</v>
      </c>
      <c r="P5">
        <f>waterTRANS!K109</f>
        <v>187</v>
      </c>
      <c r="R5" t="s">
        <v>445</v>
      </c>
      <c r="S5">
        <f>waterTRANS!M109</f>
        <v>8</v>
      </c>
      <c r="U5" t="s">
        <v>445</v>
      </c>
      <c r="V5">
        <f>waterTRANS!N109</f>
        <v>104</v>
      </c>
      <c r="X5" t="s">
        <v>445</v>
      </c>
      <c r="Y5">
        <f>waterTRANS!O109</f>
        <v>187</v>
      </c>
      <c r="AA5" t="s">
        <v>445</v>
      </c>
      <c r="AB5">
        <f>waterTRANS!P109</f>
        <v>20</v>
      </c>
      <c r="AD5" t="s">
        <v>445</v>
      </c>
      <c r="AH5">
        <f>waterTRANS!R109</f>
        <v>0.08</v>
      </c>
      <c r="AJ5" t="s">
        <v>445</v>
      </c>
      <c r="AK5">
        <f>waterTRANS!S109</f>
        <v>0.03</v>
      </c>
      <c r="AM5" t="s">
        <v>445</v>
      </c>
      <c r="AN5">
        <f>waterTRANS!U109</f>
        <v>0.03</v>
      </c>
      <c r="AP5" t="s">
        <v>445</v>
      </c>
      <c r="AQ5">
        <f>waterTRANS!T109</f>
        <v>0.03</v>
      </c>
      <c r="AS5" t="s">
        <v>445</v>
      </c>
      <c r="AT5">
        <f>waterTRANS!V109</f>
        <v>0.08</v>
      </c>
      <c r="AV5" t="s">
        <v>445</v>
      </c>
      <c r="BC5">
        <f>waterTRANS!W109</f>
        <v>0</v>
      </c>
      <c r="BE5" t="s">
        <v>445</v>
      </c>
    </row>
    <row r="6" spans="1:57" x14ac:dyDescent="0.2">
      <c r="A6" t="str">
        <f>general!A81</f>
        <v>Cerozi2020</v>
      </c>
      <c r="B6" t="str">
        <f>general!B81</f>
        <v>System</v>
      </c>
      <c r="C6" t="str">
        <f>IF(general!D81="permanent","No","Yes")</f>
        <v>Yes</v>
      </c>
      <c r="D6" t="s">
        <v>518</v>
      </c>
      <c r="E6" t="s">
        <v>142</v>
      </c>
      <c r="G6">
        <f>waterTRANS!F82</f>
        <v>6.55</v>
      </c>
      <c r="I6">
        <f>waterTRANS!H82</f>
        <v>670</v>
      </c>
      <c r="J6">
        <f>waterTRANS!J82</f>
        <v>0.4662</v>
      </c>
      <c r="L6" t="s">
        <v>445</v>
      </c>
      <c r="P6">
        <f>waterTRANS!K82</f>
        <v>20.276199999999999</v>
      </c>
      <c r="R6" t="s">
        <v>445</v>
      </c>
      <c r="S6">
        <f>waterTRANS!M82</f>
        <v>2.7745000000000002</v>
      </c>
      <c r="U6" t="s">
        <v>445</v>
      </c>
      <c r="V6">
        <f>waterTRANS!N82</f>
        <v>16.625699999999998</v>
      </c>
      <c r="X6" t="s">
        <v>445</v>
      </c>
      <c r="Y6">
        <f>waterTRANS!O82</f>
        <v>63.607793800000003</v>
      </c>
      <c r="AA6" t="s">
        <v>445</v>
      </c>
      <c r="AB6">
        <f>waterTRANS!P82</f>
        <v>15.375343000000001</v>
      </c>
      <c r="AD6" t="s">
        <v>445</v>
      </c>
      <c r="AK6">
        <f>waterTRANS!S82</f>
        <v>1.9545750000000001E-2</v>
      </c>
      <c r="AM6" t="s">
        <v>445</v>
      </c>
      <c r="AQ6">
        <f>waterTRANS!T82</f>
        <v>4.4482200000000001E-3</v>
      </c>
      <c r="AS6" t="s">
        <v>445</v>
      </c>
      <c r="AT6">
        <f>waterTRANS!V82</f>
        <v>5.8842E-3</v>
      </c>
      <c r="AV6" t="s">
        <v>445</v>
      </c>
      <c r="BC6">
        <f>waterTRANS!W82</f>
        <v>0</v>
      </c>
      <c r="BE6" t="s">
        <v>445</v>
      </c>
    </row>
    <row r="7" spans="1:57" x14ac:dyDescent="0.2">
      <c r="A7" t="str">
        <f>general!A4</f>
        <v>Delaide2018</v>
      </c>
      <c r="B7" t="str">
        <f>general!B4</f>
        <v>AER</v>
      </c>
      <c r="C7" t="str">
        <f>IF(general!D4="permanent","No","Yes")</f>
        <v>Yes</v>
      </c>
      <c r="D7" t="s">
        <v>513</v>
      </c>
      <c r="E7" t="s">
        <v>142</v>
      </c>
      <c r="F7">
        <f>waterREMIN!E5</f>
        <v>42</v>
      </c>
      <c r="G7">
        <f>waterREMIN!F5</f>
        <v>6.54</v>
      </c>
      <c r="H7">
        <f>waterREMIN!G5</f>
        <v>28</v>
      </c>
      <c r="I7">
        <f>waterREMIN!H5</f>
        <v>1328</v>
      </c>
      <c r="S7">
        <f>waterREMIN!P5</f>
        <v>95.802916666666661</v>
      </c>
      <c r="U7" t="s">
        <v>445</v>
      </c>
      <c r="V7">
        <f>waterREMIN!R5</f>
        <v>7.7419888888888897</v>
      </c>
      <c r="X7" t="s">
        <v>445</v>
      </c>
      <c r="AB7">
        <f>waterREMIN!V5</f>
        <v>17.602890476190474</v>
      </c>
      <c r="AD7" t="s">
        <v>445</v>
      </c>
      <c r="AH7">
        <f>waterREMIN!Z5</f>
        <v>0.32489682539682535</v>
      </c>
      <c r="AJ7" t="s">
        <v>445</v>
      </c>
      <c r="AN7">
        <f>waterREMIN!AD5</f>
        <v>2.221771428571429</v>
      </c>
      <c r="AP7" t="s">
        <v>445</v>
      </c>
      <c r="AQ7">
        <f>waterREMIN!AF5</f>
        <v>2.4556984126984123</v>
      </c>
      <c r="AS7" t="s">
        <v>445</v>
      </c>
      <c r="AT7">
        <f>waterREMIN!AH5</f>
        <v>6.8704285714285724</v>
      </c>
      <c r="AV7" t="s">
        <v>445</v>
      </c>
      <c r="BC7">
        <f>waterREMIN!AJ5</f>
        <v>4.0518857142857145</v>
      </c>
      <c r="BE7" t="s">
        <v>445</v>
      </c>
    </row>
    <row r="8" spans="1:57" x14ac:dyDescent="0.2">
      <c r="A8" t="str">
        <f>general!A91</f>
        <v>Delaide2018</v>
      </c>
      <c r="B8" t="str">
        <f>general!B91</f>
        <v>ANR</v>
      </c>
      <c r="C8" t="str">
        <f>IF(general!D91="permanent","No","Yes")</f>
        <v>Yes</v>
      </c>
      <c r="D8" t="s">
        <v>513</v>
      </c>
      <c r="E8" t="s">
        <v>143</v>
      </c>
      <c r="F8">
        <f>waterREMIN!E92</f>
        <v>42</v>
      </c>
      <c r="G8">
        <f>waterREMIN!F92</f>
        <v>6.65</v>
      </c>
      <c r="H8">
        <f>waterREMIN!G92</f>
        <v>28</v>
      </c>
      <c r="S8">
        <f>waterREMIN!P92</f>
        <v>50.153047619047619</v>
      </c>
      <c r="U8" t="s">
        <v>445</v>
      </c>
      <c r="V8">
        <f>waterREMIN!R92</f>
        <v>8.0883309523809537</v>
      </c>
      <c r="X8" t="s">
        <v>445</v>
      </c>
      <c r="AB8">
        <f>waterREMIN!V92</f>
        <v>10.952433333333333</v>
      </c>
      <c r="AD8" t="s">
        <v>445</v>
      </c>
      <c r="AH8">
        <f>waterREMIN!Z92</f>
        <v>1.2896825396825398E-2</v>
      </c>
      <c r="AJ8" t="s">
        <v>445</v>
      </c>
      <c r="AN8">
        <f>waterREMIN!AD92</f>
        <v>0.96760000000000002</v>
      </c>
      <c r="AP8" t="s">
        <v>445</v>
      </c>
      <c r="AQ8">
        <f>waterREMIN!AF92</f>
        <v>1.2103809523809521</v>
      </c>
      <c r="AS8" t="s">
        <v>445</v>
      </c>
      <c r="AT8">
        <f>waterREMIN!AH92</f>
        <v>6.1191500000000003</v>
      </c>
      <c r="AV8" t="s">
        <v>445</v>
      </c>
      <c r="BC8">
        <f>waterREMIN!AJ92</f>
        <v>2.3227047619047623</v>
      </c>
      <c r="BE8" t="s">
        <v>445</v>
      </c>
    </row>
    <row r="9" spans="1:57" x14ac:dyDescent="0.2">
      <c r="A9" t="str">
        <f>general!A43</f>
        <v>Delaide2019</v>
      </c>
      <c r="B9" t="str">
        <f>general!B43</f>
        <v>AP</v>
      </c>
      <c r="C9" t="str">
        <f>IF(general!D43="permanent","No","Yes")</f>
        <v>Yes</v>
      </c>
      <c r="D9" t="s">
        <v>514</v>
      </c>
      <c r="E9" t="s">
        <v>142</v>
      </c>
      <c r="G9">
        <f>waterRAS!D44</f>
        <v>7.85</v>
      </c>
      <c r="J9">
        <f>waterRAS!L44</f>
        <v>3.64</v>
      </c>
      <c r="L9" t="s">
        <v>445</v>
      </c>
      <c r="P9">
        <f>waterRAS!P44</f>
        <v>21.28</v>
      </c>
      <c r="R9" t="s">
        <v>445</v>
      </c>
      <c r="S9">
        <f>waterRAS!T44</f>
        <v>2.1700000000000004</v>
      </c>
      <c r="U9" t="s">
        <v>445</v>
      </c>
      <c r="V9">
        <f>waterRAS!V44</f>
        <v>11.7</v>
      </c>
      <c r="X9" t="s">
        <v>445</v>
      </c>
      <c r="Y9">
        <f>waterRAS!X44</f>
        <v>143.19999999999999</v>
      </c>
      <c r="AA9" t="s">
        <v>445</v>
      </c>
      <c r="AB9">
        <f>waterRAS!Z44</f>
        <v>17.04</v>
      </c>
      <c r="AD9" t="s">
        <v>445</v>
      </c>
      <c r="AE9">
        <f>waterRAS!AB44</f>
        <v>32.96</v>
      </c>
      <c r="AG9" t="s">
        <v>445</v>
      </c>
      <c r="AH9">
        <f>waterRAS!AD44</f>
        <v>6.677000000000001E-2</v>
      </c>
      <c r="AJ9" t="s">
        <v>445</v>
      </c>
      <c r="AK9">
        <f>waterRAS!AF44</f>
        <v>5.8240000000000007E-2</v>
      </c>
      <c r="AM9" t="s">
        <v>445</v>
      </c>
      <c r="AN9">
        <f>waterRAS!AJ44</f>
        <v>3.4099999999999998E-2</v>
      </c>
      <c r="AP9" t="s">
        <v>445</v>
      </c>
      <c r="AQ9">
        <f>waterRAS!AH44</f>
        <v>9.5999999999999992E-3</v>
      </c>
      <c r="AS9" t="s">
        <v>445</v>
      </c>
      <c r="AT9">
        <f>waterRAS!AL44</f>
        <v>4.7449999999999999E-2</v>
      </c>
      <c r="AV9" t="s">
        <v>445</v>
      </c>
    </row>
    <row r="10" spans="1:57" x14ac:dyDescent="0.2">
      <c r="A10" t="str">
        <f>general!A32</f>
        <v>Delaide2021</v>
      </c>
      <c r="B10" t="str">
        <f>general!B32</f>
        <v>AE</v>
      </c>
      <c r="C10" t="str">
        <f>IF(general!D32="permanent","No","Yes")</f>
        <v>Yes</v>
      </c>
      <c r="D10" t="s">
        <v>513</v>
      </c>
      <c r="E10" t="s">
        <v>142</v>
      </c>
      <c r="F10">
        <f>waterREMIN!E33</f>
        <v>45</v>
      </c>
      <c r="G10">
        <f>waterREMIN!F33</f>
        <v>6.8</v>
      </c>
      <c r="H10">
        <f>waterREMIN!G33</f>
        <v>20.48</v>
      </c>
      <c r="V10">
        <f>waterREMIN!R33</f>
        <v>0.28000000000000003</v>
      </c>
      <c r="X10" t="s">
        <v>445</v>
      </c>
      <c r="Y10">
        <f>waterREMIN!T33</f>
        <v>7.35</v>
      </c>
      <c r="AA10" t="s">
        <v>445</v>
      </c>
      <c r="AB10">
        <f>waterREMIN!V33</f>
        <v>1.0900000000000001</v>
      </c>
      <c r="AD10" t="s">
        <v>445</v>
      </c>
      <c r="AH10">
        <f>waterREMIN!Z33</f>
        <v>10.08</v>
      </c>
      <c r="AJ10" t="s">
        <v>445</v>
      </c>
      <c r="AK10">
        <f>waterREMIN!AB33</f>
        <v>2.6700000000000001E-3</v>
      </c>
      <c r="AM10" t="s">
        <v>445</v>
      </c>
      <c r="AN10">
        <f>waterREMIN!AD33</f>
        <v>0.69</v>
      </c>
      <c r="AP10" t="s">
        <v>445</v>
      </c>
      <c r="AQ10">
        <f>waterREMIN!AF33</f>
        <v>0.25</v>
      </c>
      <c r="AS10" t="s">
        <v>445</v>
      </c>
      <c r="AT10">
        <f>waterREMIN!AH33</f>
        <v>1.01</v>
      </c>
      <c r="AV10" t="s">
        <v>445</v>
      </c>
      <c r="BC10">
        <f>waterREMIN!AJ33</f>
        <v>8.7200000000000006</v>
      </c>
      <c r="BE10" t="s">
        <v>445</v>
      </c>
    </row>
    <row r="11" spans="1:57" x14ac:dyDescent="0.2">
      <c r="A11" t="str">
        <f>general!A18</f>
        <v>Goddek2016</v>
      </c>
      <c r="B11" t="str">
        <f>general!B18</f>
        <v>AER</v>
      </c>
      <c r="C11" t="str">
        <f>IF(general!D18="permanent","No","Yes")</f>
        <v>Yes</v>
      </c>
      <c r="D11" t="s">
        <v>513</v>
      </c>
      <c r="E11" t="s">
        <v>142</v>
      </c>
      <c r="F11">
        <f>waterREMIN!E19</f>
        <v>35</v>
      </c>
      <c r="G11">
        <f>waterREMIN!F19</f>
        <v>8.4</v>
      </c>
      <c r="H11">
        <f>waterREMIN!G19</f>
        <v>22.9</v>
      </c>
      <c r="I11">
        <f>waterREMIN!H19</f>
        <v>895.5</v>
      </c>
      <c r="P11">
        <f>waterREMIN!L19</f>
        <v>2.875</v>
      </c>
      <c r="Q11" t="str">
        <f>waterREMIN!M19</f>
        <v>const</v>
      </c>
      <c r="R11" t="s">
        <v>445</v>
      </c>
      <c r="S11">
        <v>0.01</v>
      </c>
      <c r="T11" t="str">
        <f>waterREMIN!Q19</f>
        <v>decrease</v>
      </c>
      <c r="U11" t="s">
        <v>408</v>
      </c>
      <c r="V11">
        <v>0.01</v>
      </c>
      <c r="W11" t="str">
        <f>waterREMIN!S19</f>
        <v>decrease</v>
      </c>
      <c r="X11" t="s">
        <v>408</v>
      </c>
      <c r="Y11">
        <f>waterREMIN!T19</f>
        <v>12</v>
      </c>
      <c r="Z11" t="str">
        <f>waterREMIN!U19</f>
        <v>decrease</v>
      </c>
      <c r="AA11" t="s">
        <v>445</v>
      </c>
      <c r="AE11">
        <f>waterREMIN!X19</f>
        <v>2.64</v>
      </c>
      <c r="AF11" t="str">
        <f>waterREMIN!Y19</f>
        <v>increase</v>
      </c>
      <c r="AG11" t="s">
        <v>445</v>
      </c>
      <c r="BC11">
        <f>waterREMIN!AJ19</f>
        <v>1.25</v>
      </c>
      <c r="BD11" t="str">
        <f>waterREMIN!AK19</f>
        <v>const</v>
      </c>
      <c r="BE11" t="s">
        <v>445</v>
      </c>
    </row>
    <row r="12" spans="1:57" x14ac:dyDescent="0.2">
      <c r="A12" t="str">
        <f>general!A19</f>
        <v>Goddek2016</v>
      </c>
      <c r="B12" t="str">
        <f>general!B19</f>
        <v>ANA</v>
      </c>
      <c r="C12" t="str">
        <f>IF(general!D19="permanent","No","Yes")</f>
        <v>Yes</v>
      </c>
      <c r="D12" t="s">
        <v>513</v>
      </c>
      <c r="E12" t="s">
        <v>143</v>
      </c>
      <c r="F12">
        <f>waterREMIN!E20</f>
        <v>35</v>
      </c>
      <c r="G12">
        <f>waterREMIN!F20</f>
        <v>8.5</v>
      </c>
      <c r="H12">
        <f>waterREMIN!G20</f>
        <v>22.6</v>
      </c>
      <c r="I12">
        <f>waterREMIN!H20</f>
        <v>766.6</v>
      </c>
      <c r="P12">
        <f>waterREMIN!L20</f>
        <v>3.22</v>
      </c>
      <c r="Q12" t="str">
        <f>waterREMIN!M20</f>
        <v>const</v>
      </c>
      <c r="R12" t="s">
        <v>445</v>
      </c>
      <c r="S12">
        <v>0.01</v>
      </c>
      <c r="T12" t="str">
        <f>waterREMIN!Q20</f>
        <v>decrease</v>
      </c>
      <c r="U12" t="s">
        <v>408</v>
      </c>
      <c r="V12">
        <v>0.01</v>
      </c>
      <c r="W12" t="str">
        <f>waterREMIN!S20</f>
        <v>decrease</v>
      </c>
      <c r="X12" t="s">
        <v>408</v>
      </c>
      <c r="Y12">
        <f>waterREMIN!T20</f>
        <v>8</v>
      </c>
      <c r="Z12" t="str">
        <f>waterREMIN!U20</f>
        <v>decrease</v>
      </c>
      <c r="AA12" t="s">
        <v>445</v>
      </c>
      <c r="AE12">
        <f>waterREMIN!X20</f>
        <v>1.2375</v>
      </c>
      <c r="AF12" t="str">
        <f>waterREMIN!Y20</f>
        <v>const</v>
      </c>
      <c r="AG12" t="s">
        <v>445</v>
      </c>
      <c r="BC12">
        <f>waterREMIN!AJ20</f>
        <v>1.25</v>
      </c>
      <c r="BD12" t="str">
        <f>waterREMIN!AK20</f>
        <v>const</v>
      </c>
      <c r="BE12" t="s">
        <v>445</v>
      </c>
    </row>
    <row r="13" spans="1:57" x14ac:dyDescent="0.2">
      <c r="A13" t="str">
        <f>general!A7</f>
        <v>Goddek2018</v>
      </c>
      <c r="B13" t="str">
        <f>general!B7</f>
        <v>Uliege_aerobic</v>
      </c>
      <c r="C13" t="str">
        <f>IF(general!D7="permanent","No","Yes")</f>
        <v>Yes</v>
      </c>
      <c r="D13" t="s">
        <v>513</v>
      </c>
      <c r="E13" t="s">
        <v>142</v>
      </c>
      <c r="F13">
        <f>waterREMIN!E8</f>
        <v>40</v>
      </c>
      <c r="G13">
        <f>waterREMIN!F8</f>
        <v>7.2</v>
      </c>
      <c r="H13">
        <f>waterREMIN!G8</f>
        <v>28</v>
      </c>
      <c r="J13">
        <f>waterREMIN!J8</f>
        <v>230</v>
      </c>
      <c r="L13" t="s">
        <v>445</v>
      </c>
      <c r="S13">
        <f>waterREMIN!P8</f>
        <v>45</v>
      </c>
      <c r="U13" t="s">
        <v>445</v>
      </c>
      <c r="V13">
        <f>waterREMIN!R8</f>
        <v>40</v>
      </c>
      <c r="X13" t="s">
        <v>445</v>
      </c>
      <c r="Y13">
        <f>waterREMIN!T8</f>
        <v>120</v>
      </c>
      <c r="AA13" t="s">
        <v>445</v>
      </c>
      <c r="AB13">
        <f>waterREMIN!V8</f>
        <v>40</v>
      </c>
      <c r="AD13" t="s">
        <v>445</v>
      </c>
      <c r="AE13">
        <f>waterREMIN!X8</f>
        <v>150</v>
      </c>
      <c r="AG13" t="s">
        <v>445</v>
      </c>
      <c r="AH13">
        <f>waterREMIN!Z8</f>
        <v>0.1</v>
      </c>
      <c r="AJ13" t="s">
        <v>445</v>
      </c>
      <c r="AN13">
        <f>waterREMIN!AD8</f>
        <v>0.01</v>
      </c>
      <c r="AP13" t="s">
        <v>408</v>
      </c>
      <c r="AQ13">
        <f>waterREMIN!AF8</f>
        <v>1E-3</v>
      </c>
      <c r="AS13" t="s">
        <v>445</v>
      </c>
      <c r="AT13">
        <f>waterREMIN!AH8</f>
        <v>0.01</v>
      </c>
      <c r="AV13" t="s">
        <v>408</v>
      </c>
    </row>
    <row r="14" spans="1:57" x14ac:dyDescent="0.2">
      <c r="A14" t="str">
        <f>general!A5</f>
        <v>Goddek2018</v>
      </c>
      <c r="B14" t="str">
        <f>general!B5</f>
        <v>pH+</v>
      </c>
      <c r="C14" t="str">
        <f>IF(general!D5="permanent","No","Yes")</f>
        <v>Yes</v>
      </c>
      <c r="D14" t="s">
        <v>513</v>
      </c>
      <c r="E14" t="s">
        <v>143</v>
      </c>
      <c r="F14">
        <f>waterREMIN!E6</f>
        <v>40</v>
      </c>
      <c r="G14">
        <f>waterREMIN!F6</f>
        <v>7.4</v>
      </c>
      <c r="H14">
        <f>waterREMIN!G6</f>
        <v>28</v>
      </c>
      <c r="J14">
        <f>waterREMIN!J6</f>
        <v>75</v>
      </c>
      <c r="L14" t="s">
        <v>445</v>
      </c>
      <c r="S14">
        <f>waterREMIN!P6</f>
        <v>40</v>
      </c>
      <c r="U14" t="s">
        <v>445</v>
      </c>
      <c r="V14">
        <f>waterREMIN!R6</f>
        <v>15</v>
      </c>
      <c r="X14" t="s">
        <v>445</v>
      </c>
      <c r="Y14">
        <f>waterREMIN!T6</f>
        <v>50</v>
      </c>
      <c r="AA14" t="s">
        <v>445</v>
      </c>
      <c r="AB14">
        <f>waterREMIN!V6</f>
        <v>10</v>
      </c>
      <c r="AD14" t="s">
        <v>445</v>
      </c>
      <c r="AE14">
        <f>waterREMIN!X6</f>
        <v>5</v>
      </c>
      <c r="AG14" t="s">
        <v>445</v>
      </c>
      <c r="AH14">
        <f>waterREMIN!Z6</f>
        <v>0.05</v>
      </c>
      <c r="AJ14" t="s">
        <v>445</v>
      </c>
      <c r="AN14">
        <f>waterREMIN!AD6</f>
        <v>0.01</v>
      </c>
      <c r="AP14" t="s">
        <v>408</v>
      </c>
      <c r="AQ14">
        <f>waterREMIN!AF6</f>
        <v>1E-3</v>
      </c>
      <c r="AS14" t="s">
        <v>445</v>
      </c>
      <c r="AT14">
        <f>waterREMIN!AH6</f>
        <v>0.01</v>
      </c>
      <c r="AV14" t="s">
        <v>408</v>
      </c>
    </row>
    <row r="15" spans="1:57" x14ac:dyDescent="0.2">
      <c r="A15" t="str">
        <f>general!A6</f>
        <v>Goddek2018</v>
      </c>
      <c r="B15" t="str">
        <f>general!B6</f>
        <v>pH-</v>
      </c>
      <c r="C15" t="str">
        <f>IF(general!D6="permanent","No","Yes")</f>
        <v>Yes</v>
      </c>
      <c r="D15" t="s">
        <v>513</v>
      </c>
      <c r="E15" t="s">
        <v>143</v>
      </c>
      <c r="F15">
        <f>waterREMIN!E7</f>
        <v>40</v>
      </c>
      <c r="G15">
        <f>waterREMIN!F7</f>
        <v>7.4</v>
      </c>
      <c r="H15">
        <f>waterREMIN!G7</f>
        <v>28</v>
      </c>
      <c r="J15">
        <f>waterREMIN!J7</f>
        <v>50</v>
      </c>
      <c r="L15" t="s">
        <v>445</v>
      </c>
      <c r="S15">
        <f>waterREMIN!P7</f>
        <v>50</v>
      </c>
      <c r="U15" t="s">
        <v>445</v>
      </c>
      <c r="V15">
        <f>waterREMIN!R7</f>
        <v>30</v>
      </c>
      <c r="X15" t="s">
        <v>445</v>
      </c>
      <c r="Y15">
        <f>waterREMIN!T7</f>
        <v>90</v>
      </c>
      <c r="AA15" t="s">
        <v>445</v>
      </c>
      <c r="AB15">
        <f>waterREMIN!V7</f>
        <v>20</v>
      </c>
      <c r="AD15" t="s">
        <v>445</v>
      </c>
      <c r="AE15">
        <f>waterREMIN!X7</f>
        <v>10</v>
      </c>
      <c r="AG15" t="s">
        <v>445</v>
      </c>
      <c r="AH15">
        <f>waterREMIN!Z7</f>
        <v>0.1</v>
      </c>
      <c r="AJ15" t="s">
        <v>445</v>
      </c>
      <c r="AN15">
        <f>waterREMIN!AD7</f>
        <v>0.01</v>
      </c>
      <c r="AP15" t="s">
        <v>408</v>
      </c>
      <c r="AQ15">
        <f>waterREMIN!AF7</f>
        <v>1E-3</v>
      </c>
      <c r="AS15" t="s">
        <v>445</v>
      </c>
      <c r="AT15">
        <f>waterREMIN!AH7</f>
        <v>0.01</v>
      </c>
      <c r="AV15" t="s">
        <v>408</v>
      </c>
    </row>
    <row r="16" spans="1:57" x14ac:dyDescent="0.2">
      <c r="A16" t="str">
        <f>general!A82</f>
        <v>Khiari2019</v>
      </c>
      <c r="B16" t="str">
        <f>general!B82</f>
        <v>30_5.5</v>
      </c>
      <c r="C16" t="str">
        <f>IF(general!D82="permanent","No","Yes")</f>
        <v>Yes</v>
      </c>
      <c r="D16" t="s">
        <v>513</v>
      </c>
      <c r="E16" t="s">
        <v>142</v>
      </c>
      <c r="F16">
        <f>waterREMIN!E83</f>
        <v>30</v>
      </c>
      <c r="G16">
        <f>waterREMIN!F83</f>
        <v>5.5</v>
      </c>
      <c r="H16">
        <f>waterREMIN!G83</f>
        <v>30</v>
      </c>
      <c r="J16">
        <f>waterREMIN!J83</f>
        <v>109.2</v>
      </c>
      <c r="L16" t="s">
        <v>445</v>
      </c>
    </row>
    <row r="17" spans="1:48" x14ac:dyDescent="0.2">
      <c r="A17" t="str">
        <f>general!A85</f>
        <v>Khiari2019</v>
      </c>
      <c r="B17" t="str">
        <f>general!B85</f>
        <v>35_5.5</v>
      </c>
      <c r="C17" t="str">
        <f>IF(general!D85="permanent","No","Yes")</f>
        <v>Yes</v>
      </c>
      <c r="D17" t="s">
        <v>513</v>
      </c>
      <c r="E17" t="s">
        <v>142</v>
      </c>
      <c r="F17">
        <f>waterREMIN!E86</f>
        <v>30</v>
      </c>
      <c r="G17">
        <f>waterREMIN!F86</f>
        <v>5.5</v>
      </c>
      <c r="H17">
        <f>waterREMIN!G86</f>
        <v>35</v>
      </c>
      <c r="J17">
        <f>waterREMIN!J86</f>
        <v>134.30000000000001</v>
      </c>
      <c r="L17" t="s">
        <v>445</v>
      </c>
    </row>
    <row r="18" spans="1:48" x14ac:dyDescent="0.2">
      <c r="A18" t="str">
        <f>general!A88</f>
        <v>Khiari2019</v>
      </c>
      <c r="B18" t="str">
        <f>general!B88</f>
        <v>40_5.5</v>
      </c>
      <c r="C18" t="str">
        <f>IF(general!D88="permanent","No","Yes")</f>
        <v>Yes</v>
      </c>
      <c r="D18" t="s">
        <v>513</v>
      </c>
      <c r="E18" t="s">
        <v>142</v>
      </c>
      <c r="F18">
        <f>waterREMIN!E89</f>
        <v>30</v>
      </c>
      <c r="G18">
        <f>waterREMIN!F89</f>
        <v>5.5</v>
      </c>
      <c r="H18">
        <f>waterREMIN!G89</f>
        <v>40</v>
      </c>
      <c r="J18">
        <f>waterREMIN!J89</f>
        <v>73.900000000000006</v>
      </c>
      <c r="L18" t="s">
        <v>445</v>
      </c>
    </row>
    <row r="19" spans="1:48" x14ac:dyDescent="0.2">
      <c r="A19" t="str">
        <f>general!A83</f>
        <v>Khiari2019</v>
      </c>
      <c r="B19" t="str">
        <f>general!B83</f>
        <v>30_6.0</v>
      </c>
      <c r="C19" t="str">
        <f>IF(general!D83="permanent","No","Yes")</f>
        <v>Yes</v>
      </c>
      <c r="D19" t="s">
        <v>513</v>
      </c>
      <c r="E19" t="s">
        <v>142</v>
      </c>
      <c r="F19">
        <f>waterREMIN!E84</f>
        <v>30</v>
      </c>
      <c r="G19">
        <f>waterREMIN!F84</f>
        <v>6</v>
      </c>
      <c r="H19">
        <f>waterREMIN!G84</f>
        <v>30</v>
      </c>
      <c r="J19">
        <f>waterREMIN!J84</f>
        <v>107.4</v>
      </c>
      <c r="L19" t="s">
        <v>445</v>
      </c>
    </row>
    <row r="20" spans="1:48" x14ac:dyDescent="0.2">
      <c r="A20" t="str">
        <f>general!A86</f>
        <v>Khiari2019</v>
      </c>
      <c r="B20" t="str">
        <f>general!B86</f>
        <v>35_6.0</v>
      </c>
      <c r="C20" t="str">
        <f>IF(general!D86="permanent","No","Yes")</f>
        <v>Yes</v>
      </c>
      <c r="D20" t="s">
        <v>513</v>
      </c>
      <c r="E20" t="s">
        <v>142</v>
      </c>
      <c r="F20">
        <f>waterREMIN!E87</f>
        <v>30</v>
      </c>
      <c r="G20">
        <f>waterREMIN!F87</f>
        <v>6</v>
      </c>
      <c r="H20">
        <f>waterREMIN!G87</f>
        <v>35</v>
      </c>
      <c r="J20">
        <f>waterREMIN!J87</f>
        <v>145.1</v>
      </c>
      <c r="L20" t="s">
        <v>445</v>
      </c>
    </row>
    <row r="21" spans="1:48" x14ac:dyDescent="0.2">
      <c r="A21" t="str">
        <f>general!A89</f>
        <v>Khiari2019</v>
      </c>
      <c r="B21" t="str">
        <f>general!B89</f>
        <v>40_6.0</v>
      </c>
      <c r="C21" t="str">
        <f>IF(general!D89="permanent","No","Yes")</f>
        <v>Yes</v>
      </c>
      <c r="D21" t="s">
        <v>513</v>
      </c>
      <c r="E21" t="s">
        <v>142</v>
      </c>
      <c r="F21">
        <f>waterREMIN!E90</f>
        <v>30</v>
      </c>
      <c r="G21">
        <f>waterREMIN!F90</f>
        <v>6</v>
      </c>
      <c r="H21">
        <f>waterREMIN!G90</f>
        <v>40</v>
      </c>
      <c r="J21">
        <f>waterREMIN!J90</f>
        <v>86.6</v>
      </c>
      <c r="L21" t="s">
        <v>445</v>
      </c>
    </row>
    <row r="22" spans="1:48" x14ac:dyDescent="0.2">
      <c r="A22" t="str">
        <f>general!A84</f>
        <v>Khiari2019</v>
      </c>
      <c r="B22" t="str">
        <f>general!B84</f>
        <v>30_6.5</v>
      </c>
      <c r="C22" t="str">
        <f>IF(general!D84="permanent","No","Yes")</f>
        <v>Yes</v>
      </c>
      <c r="D22" t="s">
        <v>513</v>
      </c>
      <c r="E22" t="s">
        <v>142</v>
      </c>
      <c r="F22">
        <f>waterREMIN!E85</f>
        <v>30</v>
      </c>
      <c r="G22">
        <f>waterREMIN!F85</f>
        <v>6.5</v>
      </c>
      <c r="H22">
        <f>waterREMIN!G85</f>
        <v>30</v>
      </c>
      <c r="J22">
        <f>waterREMIN!J85</f>
        <v>115.7</v>
      </c>
      <c r="L22" t="s">
        <v>445</v>
      </c>
    </row>
    <row r="23" spans="1:48" x14ac:dyDescent="0.2">
      <c r="A23" t="str">
        <f>general!A87</f>
        <v>Khiari2019</v>
      </c>
      <c r="B23" t="str">
        <f>general!B87</f>
        <v>35_6.5</v>
      </c>
      <c r="C23" t="str">
        <f>IF(general!D87="permanent","No","Yes")</f>
        <v>Yes</v>
      </c>
      <c r="D23" t="s">
        <v>513</v>
      </c>
      <c r="E23" t="s">
        <v>142</v>
      </c>
      <c r="F23">
        <f>waterREMIN!E88</f>
        <v>30</v>
      </c>
      <c r="G23">
        <f>waterREMIN!F88</f>
        <v>6.5</v>
      </c>
      <c r="H23">
        <f>waterREMIN!G88</f>
        <v>35</v>
      </c>
      <c r="J23">
        <f>waterREMIN!J88</f>
        <v>142.9</v>
      </c>
      <c r="L23" t="s">
        <v>445</v>
      </c>
    </row>
    <row r="24" spans="1:48" x14ac:dyDescent="0.2">
      <c r="A24" t="str">
        <f>general!A90</f>
        <v>Khiari2019</v>
      </c>
      <c r="B24" t="str">
        <f>general!B90</f>
        <v>40_6.5</v>
      </c>
      <c r="C24" t="str">
        <f>IF(general!D90="permanent","No","Yes")</f>
        <v>Yes</v>
      </c>
      <c r="D24" t="s">
        <v>513</v>
      </c>
      <c r="E24" t="s">
        <v>142</v>
      </c>
      <c r="F24">
        <f>waterREMIN!E91</f>
        <v>30</v>
      </c>
      <c r="G24">
        <f>waterREMIN!F91</f>
        <v>6.5</v>
      </c>
      <c r="H24">
        <f>waterREMIN!G91</f>
        <v>40</v>
      </c>
      <c r="J24">
        <f>waterREMIN!J91</f>
        <v>101.8</v>
      </c>
      <c r="L24" t="s">
        <v>445</v>
      </c>
    </row>
    <row r="25" spans="1:48" x14ac:dyDescent="0.2">
      <c r="A25" t="str">
        <f>general!A55</f>
        <v>Knaus2020</v>
      </c>
      <c r="B25" t="str">
        <f>general!B55</f>
        <v>GrowPipe</v>
      </c>
      <c r="C25" t="str">
        <f>IF(general!D55="permanent","No","Yes")</f>
        <v>Yes</v>
      </c>
      <c r="D25" t="s">
        <v>515</v>
      </c>
      <c r="E25" t="s">
        <v>142</v>
      </c>
      <c r="F25">
        <f>plantRetention!J56/2</f>
        <v>20.5</v>
      </c>
      <c r="H25">
        <f>waterHYDRO!G56</f>
        <v>27.9</v>
      </c>
      <c r="J25">
        <f>waterHYDRO!J56</f>
        <v>2.964</v>
      </c>
      <c r="L25" t="s">
        <v>445</v>
      </c>
      <c r="M25">
        <f>waterHYDRO!L56</f>
        <v>1.2E-2</v>
      </c>
      <c r="O25" t="s">
        <v>445</v>
      </c>
      <c r="P25">
        <f>waterHYDRO!N58</f>
        <v>23.667000000000002</v>
      </c>
      <c r="R25" t="s">
        <v>445</v>
      </c>
      <c r="S25">
        <f>waterHYDRO!R56</f>
        <v>3.1020000000000003</v>
      </c>
      <c r="U25" t="s">
        <v>445</v>
      </c>
      <c r="V25">
        <f>waterHYDRO!T56</f>
        <v>60.6</v>
      </c>
      <c r="X25" t="s">
        <v>445</v>
      </c>
      <c r="Y25">
        <f>waterHYDRO!V56</f>
        <v>176.2</v>
      </c>
      <c r="AA25" t="s">
        <v>445</v>
      </c>
      <c r="AB25">
        <f>waterHYDRO!X56</f>
        <v>26.8</v>
      </c>
      <c r="AD25" t="s">
        <v>445</v>
      </c>
    </row>
    <row r="26" spans="1:48" x14ac:dyDescent="0.2">
      <c r="A26" t="str">
        <f>general!A45</f>
        <v>Knaus2022</v>
      </c>
      <c r="B26" t="str">
        <f>general!B45</f>
        <v>EbbFlow</v>
      </c>
      <c r="C26" t="str">
        <f>IF(general!D45="permanent","No","Yes")</f>
        <v>Yes</v>
      </c>
      <c r="D26" t="s">
        <v>515</v>
      </c>
      <c r="E26" t="s">
        <v>142</v>
      </c>
      <c r="F26">
        <f>plantRetention!J46</f>
        <v>54</v>
      </c>
      <c r="G26">
        <f>waterHYDRO!F46</f>
        <v>5.8</v>
      </c>
      <c r="H26">
        <f>waterHYDRO!G46</f>
        <v>24.1</v>
      </c>
      <c r="I26">
        <f>waterHYDRO!H46</f>
        <v>1303</v>
      </c>
      <c r="J26">
        <f>waterHYDRO!J46</f>
        <v>1.17</v>
      </c>
      <c r="L26" t="s">
        <v>445</v>
      </c>
      <c r="M26">
        <f>waterHYDRO!L46</f>
        <v>0.01</v>
      </c>
      <c r="O26" t="s">
        <v>445</v>
      </c>
      <c r="P26">
        <f>waterHYDRO!N48</f>
        <v>134.34</v>
      </c>
      <c r="Q26" t="str">
        <f>waterHYDRO!O48</f>
        <v>increase</v>
      </c>
      <c r="R26" t="s">
        <v>445</v>
      </c>
      <c r="S26">
        <f>waterHYDRO!R46</f>
        <v>35</v>
      </c>
      <c r="T26" t="str">
        <f>waterHYDRO!S46</f>
        <v>const</v>
      </c>
      <c r="U26" t="s">
        <v>445</v>
      </c>
      <c r="V26">
        <f>waterHYDRO!T46</f>
        <v>50</v>
      </c>
      <c r="W26" t="str">
        <f>waterHYDRO!U46</f>
        <v>const</v>
      </c>
      <c r="X26" t="s">
        <v>445</v>
      </c>
      <c r="Y26">
        <f>waterHYDRO!V46</f>
        <v>275</v>
      </c>
      <c r="Z26" t="str">
        <f>waterHYDRO!W46</f>
        <v>increase</v>
      </c>
      <c r="AA26" t="s">
        <v>445</v>
      </c>
      <c r="AB26">
        <f>waterHYDRO!X46</f>
        <v>40</v>
      </c>
      <c r="AC26" t="str">
        <f>waterHYDRO!Y46</f>
        <v>const</v>
      </c>
      <c r="AD26" t="s">
        <v>445</v>
      </c>
    </row>
    <row r="27" spans="1:48" x14ac:dyDescent="0.2">
      <c r="A27" t="str">
        <f>general!A66</f>
        <v>Lunda2019</v>
      </c>
      <c r="B27" t="str">
        <f>general!B66</f>
        <v>FROV</v>
      </c>
      <c r="C27" t="str">
        <f>IF(general!D66="permanent","No","Yes")</f>
        <v>Yes</v>
      </c>
      <c r="D27" t="s">
        <v>514</v>
      </c>
      <c r="E27" t="s">
        <v>142</v>
      </c>
      <c r="G27">
        <f>waterRAS!D67</f>
        <v>6.74</v>
      </c>
      <c r="S27">
        <f>waterRAS!T67</f>
        <v>2.29</v>
      </c>
      <c r="U27" t="s">
        <v>445</v>
      </c>
      <c r="V27">
        <f>waterRAS!V67</f>
        <v>43.28</v>
      </c>
      <c r="X27" t="s">
        <v>445</v>
      </c>
      <c r="Y27">
        <f>waterRAS!X67</f>
        <v>88.53</v>
      </c>
      <c r="AA27" t="s">
        <v>445</v>
      </c>
      <c r="AB27">
        <f>waterRAS!Z67</f>
        <v>30.82</v>
      </c>
      <c r="AD27" t="s">
        <v>445</v>
      </c>
      <c r="AE27">
        <f>waterRAS!AB67</f>
        <v>18.3</v>
      </c>
      <c r="AG27" t="s">
        <v>445</v>
      </c>
      <c r="AH27">
        <f>waterRAS!AD67</f>
        <v>0.04</v>
      </c>
      <c r="AJ27" t="s">
        <v>445</v>
      </c>
      <c r="AK27">
        <f>waterRAS!AF67</f>
        <v>0.96</v>
      </c>
      <c r="AM27" t="s">
        <v>445</v>
      </c>
      <c r="AQ27">
        <f>waterRAS!AH67</f>
        <v>0.02</v>
      </c>
      <c r="AS27" t="s">
        <v>445</v>
      </c>
      <c r="AT27">
        <f>waterRAS!AL67</f>
        <v>0.1</v>
      </c>
      <c r="AV27" t="s">
        <v>445</v>
      </c>
    </row>
    <row r="28" spans="1:48" x14ac:dyDescent="0.2">
      <c r="A28" t="str">
        <f>general!A67</f>
        <v>Lunda2019</v>
      </c>
      <c r="B28" t="str">
        <f>general!B67</f>
        <v>ANAPARTNERS</v>
      </c>
      <c r="C28" t="str">
        <f>IF(general!D67="permanent","No","Yes")</f>
        <v>Yes</v>
      </c>
      <c r="D28" t="s">
        <v>514</v>
      </c>
      <c r="E28" t="s">
        <v>142</v>
      </c>
      <c r="G28">
        <f>waterRAS!D68</f>
        <v>7.53</v>
      </c>
      <c r="S28">
        <f>waterRAS!T68</f>
        <v>1.79</v>
      </c>
      <c r="U28" t="s">
        <v>445</v>
      </c>
      <c r="V28">
        <f>waterRAS!V68</f>
        <v>18.399999999999999</v>
      </c>
      <c r="X28" t="s">
        <v>445</v>
      </c>
      <c r="Y28">
        <f>waterRAS!X68</f>
        <v>84.3</v>
      </c>
      <c r="AA28" t="s">
        <v>445</v>
      </c>
      <c r="AB28">
        <f>waterRAS!Z68</f>
        <v>8.92</v>
      </c>
      <c r="AD28" t="s">
        <v>445</v>
      </c>
      <c r="AE28">
        <f>waterRAS!AB68</f>
        <v>19.559999999999999</v>
      </c>
      <c r="AG28" t="s">
        <v>445</v>
      </c>
      <c r="AH28">
        <f>waterRAS!AD68</f>
        <v>0.05</v>
      </c>
      <c r="AJ28" t="s">
        <v>445</v>
      </c>
      <c r="AK28">
        <f>waterRAS!AF68</f>
        <v>0.33</v>
      </c>
      <c r="AM28" t="s">
        <v>445</v>
      </c>
      <c r="AQ28">
        <f>waterRAS!AH68</f>
        <v>0.01</v>
      </c>
      <c r="AS28" t="s">
        <v>445</v>
      </c>
      <c r="AT28">
        <f>waterRAS!AL68</f>
        <v>0.12</v>
      </c>
      <c r="AV28" t="s">
        <v>445</v>
      </c>
    </row>
    <row r="29" spans="1:48" x14ac:dyDescent="0.2">
      <c r="A29" t="str">
        <f>general!A68</f>
        <v>Lunda2019</v>
      </c>
      <c r="B29" t="str">
        <f>general!B68</f>
        <v>ROKYTNO</v>
      </c>
      <c r="C29" t="str">
        <f>IF(general!D68="permanent","No","Yes")</f>
        <v>Yes</v>
      </c>
      <c r="D29" t="s">
        <v>514</v>
      </c>
      <c r="E29" t="s">
        <v>142</v>
      </c>
      <c r="G29">
        <f>waterRAS!D69</f>
        <v>7.64</v>
      </c>
      <c r="S29">
        <f>waterRAS!T69</f>
        <v>2.94</v>
      </c>
      <c r="U29" t="s">
        <v>445</v>
      </c>
      <c r="V29">
        <f>waterRAS!V69</f>
        <v>109.1</v>
      </c>
      <c r="X29" t="s">
        <v>445</v>
      </c>
      <c r="Y29">
        <f>waterRAS!X69</f>
        <v>234.76</v>
      </c>
      <c r="AA29" t="s">
        <v>445</v>
      </c>
      <c r="AB29">
        <f>waterRAS!Z69</f>
        <v>41.17</v>
      </c>
      <c r="AD29" t="s">
        <v>445</v>
      </c>
      <c r="AE29">
        <f>waterRAS!AB69</f>
        <v>90.26</v>
      </c>
      <c r="AG29" t="s">
        <v>445</v>
      </c>
      <c r="AH29">
        <f>waterRAS!AD69</f>
        <v>0.42</v>
      </c>
      <c r="AJ29" t="s">
        <v>445</v>
      </c>
      <c r="AK29">
        <f>waterRAS!AF69</f>
        <v>14.32</v>
      </c>
      <c r="AM29" t="s">
        <v>445</v>
      </c>
      <c r="AQ29">
        <f>waterRAS!AH69</f>
        <v>0.41</v>
      </c>
      <c r="AS29" t="s">
        <v>445</v>
      </c>
      <c r="AT29">
        <f>waterRAS!AL69</f>
        <v>4</v>
      </c>
      <c r="AV29" t="s">
        <v>445</v>
      </c>
    </row>
    <row r="30" spans="1:48" x14ac:dyDescent="0.2">
      <c r="A30" t="str">
        <f>general!A2</f>
        <v>Monsees2017</v>
      </c>
      <c r="B30" t="str">
        <f>general!B2</f>
        <v>Exp2_aerated</v>
      </c>
      <c r="C30" t="str">
        <f>IF(general!D2="permanent","No","Yes")</f>
        <v>Yes</v>
      </c>
      <c r="D30" t="s">
        <v>513</v>
      </c>
      <c r="E30" t="s">
        <v>142</v>
      </c>
      <c r="F30">
        <f>waterREMIN!E3</f>
        <v>14</v>
      </c>
      <c r="G30">
        <f>waterREMIN!F3</f>
        <v>7</v>
      </c>
      <c r="H30">
        <f>waterREMIN!G3</f>
        <v>26</v>
      </c>
      <c r="J30">
        <f>waterREMIN!J3</f>
        <v>0.01</v>
      </c>
      <c r="K30" t="str">
        <f>waterREMIN!K3</f>
        <v>decrease</v>
      </c>
      <c r="L30" t="s">
        <v>445</v>
      </c>
      <c r="P30">
        <f>waterREMIN!L3</f>
        <v>60</v>
      </c>
      <c r="Q30" t="str">
        <f>waterREMIN!M3</f>
        <v>const</v>
      </c>
      <c r="R30" t="s">
        <v>445</v>
      </c>
      <c r="S30">
        <f>waterREMIN!P3</f>
        <v>9.9</v>
      </c>
      <c r="T30" t="str">
        <f>waterREMIN!Q3</f>
        <v>increase</v>
      </c>
      <c r="U30" t="s">
        <v>445</v>
      </c>
      <c r="V30">
        <f>waterREMIN!R3</f>
        <v>37.5</v>
      </c>
      <c r="W30" t="str">
        <f>waterREMIN!S3</f>
        <v>increase</v>
      </c>
      <c r="X30" t="s">
        <v>445</v>
      </c>
      <c r="AB30">
        <f>waterREMIN!V3</f>
        <v>65</v>
      </c>
      <c r="AC30" t="str">
        <f>waterREMIN!W3</f>
        <v>const</v>
      </c>
      <c r="AD30" t="s">
        <v>445</v>
      </c>
    </row>
    <row r="31" spans="1:48" x14ac:dyDescent="0.2">
      <c r="A31" t="str">
        <f>general!A3</f>
        <v>Monsees2017</v>
      </c>
      <c r="B31" t="str">
        <f>general!B3</f>
        <v>Exp2_unaerated</v>
      </c>
      <c r="C31" t="str">
        <f>IF(general!D3="permanent","No","Yes")</f>
        <v>Yes</v>
      </c>
      <c r="D31" t="s">
        <v>513</v>
      </c>
      <c r="E31" t="s">
        <v>143</v>
      </c>
      <c r="F31">
        <f>waterREMIN!E4</f>
        <v>14</v>
      </c>
      <c r="G31">
        <f>waterREMIN!F4</f>
        <v>7</v>
      </c>
      <c r="H31">
        <f>waterREMIN!G4</f>
        <v>26</v>
      </c>
      <c r="J31">
        <f>waterREMIN!J4</f>
        <v>7.5</v>
      </c>
      <c r="K31" t="str">
        <f>waterREMIN!K4</f>
        <v>increase</v>
      </c>
      <c r="L31" t="s">
        <v>445</v>
      </c>
      <c r="P31">
        <f>waterREMIN!L4</f>
        <v>10</v>
      </c>
      <c r="Q31" t="str">
        <f>waterREMIN!M4</f>
        <v>decrease</v>
      </c>
      <c r="R31" t="s">
        <v>445</v>
      </c>
      <c r="S31">
        <f>waterREMIN!P4</f>
        <v>3.3</v>
      </c>
      <c r="T31" t="str">
        <f>waterREMIN!Q4</f>
        <v>const</v>
      </c>
      <c r="U31" t="s">
        <v>445</v>
      </c>
      <c r="V31">
        <f>waterREMIN!R4</f>
        <v>35</v>
      </c>
      <c r="W31" t="str">
        <f>waterREMIN!S4</f>
        <v>increase</v>
      </c>
      <c r="X31" t="s">
        <v>445</v>
      </c>
      <c r="AB31">
        <f>waterREMIN!V4</f>
        <v>65</v>
      </c>
      <c r="AC31" t="str">
        <f>waterREMIN!W4</f>
        <v>const</v>
      </c>
      <c r="AD31" t="s">
        <v>445</v>
      </c>
    </row>
    <row r="32" spans="1:48" x14ac:dyDescent="0.2">
      <c r="A32" t="str">
        <f>general!A92</f>
        <v>Monsees2017</v>
      </c>
      <c r="B32" t="str">
        <f>general!B92</f>
        <v>Exp1_anaerobic</v>
      </c>
      <c r="C32" t="str">
        <f>IF(general!D92="permanent","No","Yes")</f>
        <v>Yes</v>
      </c>
      <c r="D32" t="s">
        <v>513</v>
      </c>
      <c r="E32" t="s">
        <v>143</v>
      </c>
      <c r="F32">
        <f>waterREMIN!E93</f>
        <v>4</v>
      </c>
      <c r="H32">
        <f>waterREMIN!G93</f>
        <v>25</v>
      </c>
      <c r="J32">
        <f>waterREMIN!J93</f>
        <v>12</v>
      </c>
      <c r="K32" t="str">
        <f>waterREMIN!K93</f>
        <v>increase</v>
      </c>
      <c r="L32" t="s">
        <v>445</v>
      </c>
      <c r="P32">
        <v>0.1</v>
      </c>
      <c r="Q32" t="str">
        <f>waterREMIN!M93</f>
        <v>decrease</v>
      </c>
      <c r="R32" t="s">
        <v>408</v>
      </c>
      <c r="S32">
        <f>waterREMIN!P93</f>
        <v>3.4649999999999999</v>
      </c>
      <c r="T32" t="str">
        <f>waterREMIN!Q93</f>
        <v>increase</v>
      </c>
      <c r="U32" t="s">
        <v>445</v>
      </c>
      <c r="V32">
        <f>waterREMIN!R93</f>
        <v>25</v>
      </c>
      <c r="W32" t="str">
        <f>waterREMIN!S93</f>
        <v>const</v>
      </c>
      <c r="X32" t="s">
        <v>445</v>
      </c>
      <c r="AB32">
        <f>waterREMIN!V93</f>
        <v>65</v>
      </c>
      <c r="AC32" t="str">
        <f>waterREMIN!W93</f>
        <v>const</v>
      </c>
      <c r="AD32" t="s">
        <v>445</v>
      </c>
    </row>
    <row r="33" spans="1:57" x14ac:dyDescent="0.2">
      <c r="A33" t="str">
        <f>general!A20</f>
        <v>Monsees2017b</v>
      </c>
      <c r="B33" t="str">
        <f>general!B20</f>
        <v>RAS A</v>
      </c>
      <c r="C33" t="str">
        <f>IF(general!D20="permanent","No","Yes")</f>
        <v>Yes</v>
      </c>
      <c r="D33" t="s">
        <v>514</v>
      </c>
      <c r="E33" t="s">
        <v>142</v>
      </c>
      <c r="F33">
        <f>rearing!H21</f>
        <v>154</v>
      </c>
      <c r="G33">
        <f>waterRAS!D21</f>
        <v>7.25</v>
      </c>
      <c r="J33">
        <f>waterRAS!L21</f>
        <v>7.0000000000000007E-2</v>
      </c>
      <c r="K33" t="str">
        <f>waterRAS!M21</f>
        <v>const</v>
      </c>
      <c r="L33" t="s">
        <v>445</v>
      </c>
      <c r="M33">
        <f>waterRAS!N21</f>
        <v>0.05</v>
      </c>
      <c r="N33" t="str">
        <f>waterRAS!O21</f>
        <v>const</v>
      </c>
      <c r="O33" t="s">
        <v>445</v>
      </c>
      <c r="P33">
        <f>waterRAS!P21</f>
        <v>65.900000000000006</v>
      </c>
      <c r="Q33" t="str">
        <f>waterRAS!Q21</f>
        <v>increase</v>
      </c>
      <c r="R33" t="s">
        <v>445</v>
      </c>
      <c r="S33">
        <f>waterRAS!T21</f>
        <v>1.8480000000000001</v>
      </c>
      <c r="T33" t="str">
        <f>waterRAS!U21</f>
        <v>decrease</v>
      </c>
      <c r="U33" t="s">
        <v>445</v>
      </c>
      <c r="V33">
        <f>waterRAS!V21</f>
        <v>17</v>
      </c>
      <c r="W33" t="str">
        <f>waterRAS!W21</f>
        <v>const</v>
      </c>
      <c r="X33" t="s">
        <v>445</v>
      </c>
      <c r="Y33">
        <f>waterRAS!X21</f>
        <v>136.80000000000001</v>
      </c>
      <c r="Z33" t="str">
        <f>waterRAS!Y21</f>
        <v>increase</v>
      </c>
      <c r="AA33" t="s">
        <v>445</v>
      </c>
      <c r="AB33">
        <f>waterRAS!Z21</f>
        <v>16.2</v>
      </c>
      <c r="AC33" t="str">
        <f>waterRAS!AA21</f>
        <v>increase</v>
      </c>
      <c r="AD33" t="s">
        <v>445</v>
      </c>
      <c r="AE33">
        <f>waterRAS!AB21</f>
        <v>52.8</v>
      </c>
      <c r="AF33" t="str">
        <f>waterRAS!AC21</f>
        <v>const</v>
      </c>
      <c r="AG33" t="s">
        <v>445</v>
      </c>
      <c r="AK33">
        <f>waterRAS!AF21</f>
        <v>0.01</v>
      </c>
      <c r="AL33" t="str">
        <f>waterRAS!AG21</f>
        <v>const</v>
      </c>
      <c r="AM33" t="s">
        <v>445</v>
      </c>
    </row>
    <row r="34" spans="1:57" x14ac:dyDescent="0.2">
      <c r="A34" t="str">
        <f>general!A22</f>
        <v>Monsees2017b</v>
      </c>
      <c r="B34" t="str">
        <f>general!B22</f>
        <v>RAS D/Hydro D</v>
      </c>
      <c r="C34" t="str">
        <f>IF(general!D22="permanent","No","Yes")</f>
        <v>Yes</v>
      </c>
      <c r="D34" t="s">
        <v>514</v>
      </c>
      <c r="E34" t="s">
        <v>142</v>
      </c>
      <c r="F34">
        <f>rearing!H23</f>
        <v>154</v>
      </c>
      <c r="G34">
        <f>waterRAS!D23</f>
        <v>7.25</v>
      </c>
      <c r="J34">
        <f>waterRAS!L23</f>
        <v>0.05</v>
      </c>
      <c r="K34" t="str">
        <f>waterRAS!M23</f>
        <v>const</v>
      </c>
      <c r="L34" t="s">
        <v>445</v>
      </c>
      <c r="M34">
        <f>waterRAS!N23</f>
        <v>0.05</v>
      </c>
      <c r="N34" t="str">
        <f>waterRAS!O23</f>
        <v>const</v>
      </c>
      <c r="O34" t="s">
        <v>445</v>
      </c>
      <c r="P34">
        <f>waterRAS!P23</f>
        <v>100.8</v>
      </c>
      <c r="Q34" t="str">
        <f>waterRAS!Q23</f>
        <v>increase</v>
      </c>
      <c r="R34" t="s">
        <v>445</v>
      </c>
      <c r="S34">
        <f>waterRAS!T23</f>
        <v>3.1680000000000001</v>
      </c>
      <c r="T34" t="str">
        <f>waterRAS!U23</f>
        <v>decrease</v>
      </c>
      <c r="U34" t="s">
        <v>445</v>
      </c>
      <c r="V34">
        <f>waterRAS!V23</f>
        <v>29.8</v>
      </c>
      <c r="W34" t="str">
        <f>waterRAS!W23</f>
        <v>increase</v>
      </c>
      <c r="X34" t="s">
        <v>445</v>
      </c>
      <c r="Y34">
        <f>waterRAS!X23</f>
        <v>149.30000000000001</v>
      </c>
      <c r="Z34" t="str">
        <f>waterRAS!Y23</f>
        <v>increase</v>
      </c>
      <c r="AA34" t="s">
        <v>445</v>
      </c>
      <c r="AB34">
        <f>waterRAS!Z23</f>
        <v>19.7</v>
      </c>
      <c r="AC34" t="str">
        <f>waterRAS!AA23</f>
        <v>increase</v>
      </c>
      <c r="AD34" t="s">
        <v>445</v>
      </c>
      <c r="AE34">
        <f>waterRAS!AB23</f>
        <v>60.488999999999997</v>
      </c>
      <c r="AF34" t="str">
        <f>waterRAS!AC23</f>
        <v>increase</v>
      </c>
      <c r="AG34" t="s">
        <v>445</v>
      </c>
      <c r="AK34">
        <f>waterRAS!AF23</f>
        <v>0.01</v>
      </c>
      <c r="AL34" t="str">
        <f>waterRAS!AG23</f>
        <v>const</v>
      </c>
      <c r="AM34" t="s">
        <v>445</v>
      </c>
    </row>
    <row r="35" spans="1:57" x14ac:dyDescent="0.2">
      <c r="A35" t="str">
        <f>general!A76</f>
        <v>Monsees2019</v>
      </c>
      <c r="B35" t="str">
        <f>general!B76</f>
        <v>APunt</v>
      </c>
      <c r="C35" t="str">
        <f>IF(general!D76="permanent","No","Yes")</f>
        <v>Yes</v>
      </c>
      <c r="D35" t="s">
        <v>518</v>
      </c>
      <c r="E35" t="s">
        <v>142</v>
      </c>
      <c r="G35">
        <f>waterTRANS!F77</f>
        <v>5.8</v>
      </c>
      <c r="J35">
        <f>waterTRANS!J77</f>
        <v>2.2000000000000002</v>
      </c>
      <c r="L35" t="s">
        <v>445</v>
      </c>
      <c r="P35">
        <f>waterTRANS!K77</f>
        <v>197.1</v>
      </c>
      <c r="R35" t="s">
        <v>445</v>
      </c>
      <c r="S35">
        <f>waterTRANS!M77</f>
        <v>73.400000000000006</v>
      </c>
      <c r="U35" t="s">
        <v>445</v>
      </c>
      <c r="V35">
        <f>waterTRANS!N77</f>
        <v>145.80000000000001</v>
      </c>
      <c r="X35" t="s">
        <v>445</v>
      </c>
      <c r="Y35">
        <f>waterTRANS!O77</f>
        <v>318.7</v>
      </c>
      <c r="AA35" t="s">
        <v>445</v>
      </c>
      <c r="AB35">
        <f>waterTRANS!P77</f>
        <v>56</v>
      </c>
      <c r="AD35" t="s">
        <v>445</v>
      </c>
      <c r="AE35">
        <f>waterTRANS!Q77</f>
        <v>137.80000000000001</v>
      </c>
      <c r="AG35" t="s">
        <v>445</v>
      </c>
      <c r="AH35">
        <f>waterTRANS!R77</f>
        <v>0.28000000000000003</v>
      </c>
      <c r="AJ35" t="s">
        <v>445</v>
      </c>
      <c r="AK35">
        <f>waterTRANS!S77</f>
        <v>0.01</v>
      </c>
      <c r="AM35" t="s">
        <v>445</v>
      </c>
      <c r="AN35">
        <f>waterTRANS!U77</f>
        <v>0.45</v>
      </c>
      <c r="AP35" t="s">
        <v>445</v>
      </c>
      <c r="AQ35">
        <f>waterTRANS!T77</f>
        <v>0.03</v>
      </c>
      <c r="AS35" t="s">
        <v>445</v>
      </c>
      <c r="AT35">
        <f>waterTRANS!V77</f>
        <v>0.05</v>
      </c>
      <c r="AV35" t="s">
        <v>445</v>
      </c>
      <c r="BC35">
        <f>waterTRANS!W77</f>
        <v>55.6</v>
      </c>
      <c r="BE35" t="s">
        <v>445</v>
      </c>
    </row>
    <row r="36" spans="1:57" x14ac:dyDescent="0.2">
      <c r="A36" t="str">
        <f>general!A17</f>
        <v>Panana2021</v>
      </c>
      <c r="B36" t="str">
        <f>general!B17</f>
        <v>pH-Induced</v>
      </c>
      <c r="C36" t="str">
        <f>IF(general!D17="permanent","No","Yes")</f>
        <v>Yes</v>
      </c>
      <c r="D36" t="s">
        <v>513</v>
      </c>
      <c r="E36" t="s">
        <v>142</v>
      </c>
      <c r="F36">
        <f>waterREMIN!E18</f>
        <v>35</v>
      </c>
      <c r="G36">
        <f>waterREMIN!F18</f>
        <v>6.3</v>
      </c>
      <c r="I36">
        <f>waterREMIN!H18</f>
        <v>1700</v>
      </c>
      <c r="J36">
        <f>waterREMIN!J18</f>
        <v>0.18</v>
      </c>
      <c r="K36" t="str">
        <f>waterREMIN!K18</f>
        <v>decrease</v>
      </c>
      <c r="L36" t="s">
        <v>445</v>
      </c>
      <c r="P36">
        <f>waterREMIN!L18</f>
        <v>62.3</v>
      </c>
      <c r="Q36" t="str">
        <f>waterREMIN!M18</f>
        <v>increase</v>
      </c>
      <c r="R36" t="s">
        <v>445</v>
      </c>
      <c r="S36">
        <f>waterREMIN!P18</f>
        <v>17.89</v>
      </c>
      <c r="T36" t="str">
        <f>waterREMIN!Q18</f>
        <v>increase</v>
      </c>
      <c r="U36" t="s">
        <v>445</v>
      </c>
      <c r="V36">
        <f>waterREMIN!R18</f>
        <v>10.56</v>
      </c>
      <c r="W36" t="str">
        <f>waterREMIN!S18</f>
        <v>increase</v>
      </c>
      <c r="X36" t="s">
        <v>445</v>
      </c>
      <c r="Y36">
        <f>waterREMIN!T18</f>
        <v>316.81</v>
      </c>
      <c r="Z36" t="str">
        <f>waterREMIN!U18</f>
        <v>increase</v>
      </c>
      <c r="AA36" t="s">
        <v>445</v>
      </c>
      <c r="AB36">
        <f>waterREMIN!V18</f>
        <v>14.13</v>
      </c>
      <c r="AC36" t="str">
        <f>waterREMIN!W18</f>
        <v>increase</v>
      </c>
      <c r="AD36" t="s">
        <v>445</v>
      </c>
      <c r="AE36">
        <f>waterREMIN!X18</f>
        <v>166.53</v>
      </c>
      <c r="AF36" t="str">
        <f>waterREMIN!Y18</f>
        <v>increase</v>
      </c>
      <c r="AG36" t="s">
        <v>445</v>
      </c>
      <c r="AH36">
        <f>waterREMIN!Z18</f>
        <v>1.4999999999999999E-4</v>
      </c>
      <c r="AI36" t="str">
        <f>waterREMIN!AA18</f>
        <v>increase</v>
      </c>
      <c r="AJ36" t="s">
        <v>445</v>
      </c>
      <c r="AK36">
        <f>waterREMIN!AB18</f>
        <v>1.7000000000000001E-4</v>
      </c>
      <c r="AL36" t="str">
        <f>waterREMIN!AC18</f>
        <v>const</v>
      </c>
      <c r="AM36" t="s">
        <v>445</v>
      </c>
      <c r="AQ36">
        <f>waterREMIN!AF18</f>
        <v>2.0000000000000002E-5</v>
      </c>
      <c r="AR36" t="str">
        <f>waterREMIN!AG18</f>
        <v>increase</v>
      </c>
      <c r="AS36" t="s">
        <v>445</v>
      </c>
      <c r="AT36">
        <f>waterREMIN!AH18</f>
        <v>5.9000000000000003E-4</v>
      </c>
      <c r="AU36" t="str">
        <f>waterREMIN!AI18</f>
        <v>increase</v>
      </c>
      <c r="AV36" t="s">
        <v>445</v>
      </c>
      <c r="BC36">
        <f>waterREMIN!AJ18</f>
        <v>70.849999999999994</v>
      </c>
      <c r="BD36" t="str">
        <f>waterREMIN!AK18</f>
        <v>const</v>
      </c>
      <c r="BE36" t="s">
        <v>445</v>
      </c>
    </row>
    <row r="37" spans="1:57" x14ac:dyDescent="0.2">
      <c r="A37" t="str">
        <f>general!A16</f>
        <v>Panana2021</v>
      </c>
      <c r="B37" t="str">
        <f>general!B16</f>
        <v>pH-Natural</v>
      </c>
      <c r="C37" t="str">
        <f>IF(general!D16="permanent","No","Yes")</f>
        <v>Yes</v>
      </c>
      <c r="D37" t="s">
        <v>513</v>
      </c>
      <c r="E37" t="s">
        <v>142</v>
      </c>
      <c r="F37">
        <f>waterREMIN!E17</f>
        <v>121</v>
      </c>
      <c r="G37">
        <f>waterREMIN!F17</f>
        <v>6.8</v>
      </c>
      <c r="I37">
        <f>waterREMIN!H17</f>
        <v>3100</v>
      </c>
      <c r="J37">
        <f>waterREMIN!J17</f>
        <v>0.15</v>
      </c>
      <c r="K37" t="str">
        <f>waterREMIN!K17</f>
        <v>decrease</v>
      </c>
      <c r="L37" t="s">
        <v>445</v>
      </c>
      <c r="P37">
        <f>waterREMIN!L17</f>
        <v>276.74</v>
      </c>
      <c r="Q37" t="str">
        <f>waterREMIN!M17</f>
        <v>increase</v>
      </c>
      <c r="R37" t="s">
        <v>445</v>
      </c>
      <c r="S37">
        <f>waterREMIN!P17</f>
        <v>6.95</v>
      </c>
      <c r="T37" t="str">
        <f>waterREMIN!Q17</f>
        <v>decrease</v>
      </c>
      <c r="U37" t="s">
        <v>445</v>
      </c>
      <c r="V37">
        <f>waterREMIN!R17</f>
        <v>13.71</v>
      </c>
      <c r="W37" t="str">
        <f>waterREMIN!S17</f>
        <v>decrease</v>
      </c>
      <c r="X37" t="s">
        <v>445</v>
      </c>
      <c r="Y37">
        <f>waterREMIN!T17</f>
        <v>461.41</v>
      </c>
      <c r="Z37" t="str">
        <f>waterREMIN!U17</f>
        <v>increase</v>
      </c>
      <c r="AA37" t="s">
        <v>445</v>
      </c>
      <c r="AB37">
        <f>waterREMIN!V17</f>
        <v>32.44</v>
      </c>
      <c r="AC37" t="str">
        <f>waterREMIN!W17</f>
        <v>const</v>
      </c>
      <c r="AD37" t="s">
        <v>445</v>
      </c>
      <c r="AE37">
        <f>waterREMIN!X17</f>
        <v>62.28</v>
      </c>
      <c r="AF37" t="str">
        <f>waterREMIN!Y17</f>
        <v>increase</v>
      </c>
      <c r="AG37" t="s">
        <v>445</v>
      </c>
      <c r="AH37">
        <f>waterREMIN!Z17</f>
        <v>1.8000000000000001E-4</v>
      </c>
      <c r="AI37" t="str">
        <f>waterREMIN!AA17</f>
        <v>const</v>
      </c>
      <c r="AJ37" t="s">
        <v>445</v>
      </c>
      <c r="AK37">
        <f>waterREMIN!AB17</f>
        <v>3.8999999999999999E-4</v>
      </c>
      <c r="AL37" t="str">
        <f>waterREMIN!AC17</f>
        <v>decrease</v>
      </c>
      <c r="AM37" t="s">
        <v>445</v>
      </c>
      <c r="AQ37">
        <f>waterREMIN!AF17</f>
        <v>3.0000000000000001E-5</v>
      </c>
      <c r="AR37" t="str">
        <f>waterREMIN!AG17</f>
        <v>decrease</v>
      </c>
      <c r="AS37" t="s">
        <v>445</v>
      </c>
      <c r="AT37">
        <f>waterREMIN!AH17</f>
        <v>1.9000000000000001E-4</v>
      </c>
      <c r="AU37" t="str">
        <f>waterREMIN!AI17</f>
        <v>increase</v>
      </c>
      <c r="AV37" t="s">
        <v>445</v>
      </c>
      <c r="BC37">
        <f>waterREMIN!AJ17</f>
        <v>168.3</v>
      </c>
      <c r="BD37" t="str">
        <f>waterREMIN!AK17</f>
        <v>increase</v>
      </c>
      <c r="BE37" t="s">
        <v>445</v>
      </c>
    </row>
    <row r="38" spans="1:57" x14ac:dyDescent="0.2">
      <c r="A38" t="str">
        <f>general!A58</f>
        <v>Pasch2021</v>
      </c>
      <c r="B38" t="str">
        <f>general!B58</f>
        <v>Aeroponics</v>
      </c>
      <c r="C38" t="str">
        <f>IF(general!D58="permanent","No","Yes")</f>
        <v>Yes</v>
      </c>
      <c r="D38" t="s">
        <v>515</v>
      </c>
      <c r="E38" t="s">
        <v>142</v>
      </c>
      <c r="F38">
        <f>plantRetention!J59/2</f>
        <v>19.5</v>
      </c>
      <c r="G38">
        <f>waterHYDRO!F59</f>
        <v>6</v>
      </c>
      <c r="H38">
        <f>waterHYDRO!G59</f>
        <v>26</v>
      </c>
      <c r="I38">
        <f>waterHYDRO!H59</f>
        <v>2780</v>
      </c>
      <c r="J38">
        <f>waterHYDRO!J59</f>
        <v>3.9000000000000007E-2</v>
      </c>
      <c r="L38" t="s">
        <v>445</v>
      </c>
      <c r="M38">
        <f>waterHYDRO!L59</f>
        <v>3.0000000000000001E-3</v>
      </c>
      <c r="O38" t="s">
        <v>445</v>
      </c>
      <c r="P38">
        <f>waterHYDRO!N61</f>
        <v>164.54</v>
      </c>
      <c r="R38" t="s">
        <v>445</v>
      </c>
      <c r="S38">
        <f>waterHYDRO!R59</f>
        <v>6.7253999999999996</v>
      </c>
      <c r="U38" t="s">
        <v>445</v>
      </c>
      <c r="V38">
        <f>waterHYDRO!T59</f>
        <v>11.08</v>
      </c>
      <c r="X38" t="s">
        <v>445</v>
      </c>
      <c r="Y38">
        <f>waterHYDRO!V59</f>
        <v>262.83</v>
      </c>
      <c r="AA38" t="s">
        <v>445</v>
      </c>
      <c r="AB38">
        <f>waterHYDRO!X59</f>
        <v>18.03</v>
      </c>
      <c r="AD38" t="s">
        <v>445</v>
      </c>
    </row>
    <row r="39" spans="1:57" x14ac:dyDescent="0.2">
      <c r="A39" t="str">
        <f>general!A61</f>
        <v>Pasch2021a</v>
      </c>
      <c r="B39" t="str">
        <f>general!B61</f>
        <v>DRF</v>
      </c>
      <c r="C39" t="str">
        <f>IF(general!D61="permanent","No","Yes")</f>
        <v>Yes</v>
      </c>
      <c r="D39" t="s">
        <v>515</v>
      </c>
      <c r="E39" t="s">
        <v>142</v>
      </c>
      <c r="F39">
        <f>plantRetention!J62/2</f>
        <v>18</v>
      </c>
      <c r="H39">
        <f>waterHYDRO!G62</f>
        <v>28</v>
      </c>
      <c r="J39">
        <f>waterHYDRO!J62</f>
        <v>0.19</v>
      </c>
      <c r="L39" t="s">
        <v>445</v>
      </c>
      <c r="M39">
        <f>waterHYDRO!L62</f>
        <v>0.06</v>
      </c>
      <c r="O39" t="s">
        <v>445</v>
      </c>
      <c r="P39">
        <f>waterHYDRO!N64</f>
        <v>204.47</v>
      </c>
      <c r="R39" t="s">
        <v>445</v>
      </c>
      <c r="S39">
        <f>waterHYDRO!R62</f>
        <v>4.71</v>
      </c>
      <c r="U39" t="s">
        <v>445</v>
      </c>
      <c r="V39">
        <f>waterHYDRO!T62</f>
        <v>14.67</v>
      </c>
      <c r="X39" t="s">
        <v>445</v>
      </c>
      <c r="Y39">
        <f>waterHYDRO!V62</f>
        <v>291.69</v>
      </c>
      <c r="AA39" t="s">
        <v>445</v>
      </c>
      <c r="AB39">
        <f>waterHYDRO!X62</f>
        <v>24.93</v>
      </c>
      <c r="AD39" t="s">
        <v>445</v>
      </c>
    </row>
    <row r="40" spans="1:57" x14ac:dyDescent="0.2">
      <c r="A40" t="str">
        <f>general!A79</f>
        <v>Rodgers2022</v>
      </c>
      <c r="B40" t="str">
        <f>general!B79</f>
        <v>DAP</v>
      </c>
      <c r="C40" t="str">
        <f>IF(general!D79="permanent","No","Yes")</f>
        <v>Yes</v>
      </c>
      <c r="D40" t="s">
        <v>518</v>
      </c>
      <c r="E40" t="s">
        <v>142</v>
      </c>
      <c r="G40">
        <f>waterTRANS!F80</f>
        <v>5.8</v>
      </c>
      <c r="S40">
        <f>waterTRANS!M80</f>
        <v>29.1</v>
      </c>
      <c r="U40" t="s">
        <v>445</v>
      </c>
      <c r="V40">
        <f>waterTRANS!N80</f>
        <v>178.9</v>
      </c>
      <c r="X40" t="s">
        <v>445</v>
      </c>
      <c r="Y40">
        <f>waterTRANS!O80</f>
        <v>49</v>
      </c>
      <c r="AA40" t="s">
        <v>445</v>
      </c>
      <c r="AB40">
        <f>waterTRANS!P80</f>
        <v>17.899999999999999</v>
      </c>
      <c r="AD40" t="s">
        <v>445</v>
      </c>
      <c r="AE40">
        <f>waterTRANS!Q80</f>
        <v>28.7</v>
      </c>
      <c r="AG40" t="s">
        <v>445</v>
      </c>
      <c r="AH40">
        <f>waterTRANS!R80</f>
        <v>0.09</v>
      </c>
      <c r="AJ40" t="s">
        <v>445</v>
      </c>
      <c r="AQ40">
        <f>waterTRANS!T80</f>
        <v>0.01</v>
      </c>
      <c r="AS40" t="s">
        <v>445</v>
      </c>
      <c r="AT40">
        <f>waterTRANS!V80</f>
        <v>0.02</v>
      </c>
      <c r="AV40" t="s">
        <v>445</v>
      </c>
    </row>
    <row r="41" spans="1:57" x14ac:dyDescent="0.2">
      <c r="A41" t="str">
        <f>general!A15</f>
        <v>Shaw2022a</v>
      </c>
      <c r="B41" t="str">
        <f>general!B15</f>
        <v>PM</v>
      </c>
      <c r="C41" t="str">
        <f>IF(general!D15="permanent","No","Yes")</f>
        <v>Yes</v>
      </c>
      <c r="D41" t="s">
        <v>514</v>
      </c>
      <c r="E41" t="s">
        <v>142</v>
      </c>
      <c r="F41">
        <f>rearing!H16</f>
        <v>49</v>
      </c>
      <c r="G41">
        <f>waterRAS!D16</f>
        <v>7.67</v>
      </c>
      <c r="H41">
        <f>waterRAS!H16</f>
        <v>26.7</v>
      </c>
      <c r="I41">
        <f>waterRAS!I16</f>
        <v>1005</v>
      </c>
      <c r="S41">
        <f>waterRAS!T16</f>
        <v>4.8</v>
      </c>
      <c r="T41" t="str">
        <f>waterRAS!U16</f>
        <v>increase</v>
      </c>
      <c r="U41" t="s">
        <v>445</v>
      </c>
      <c r="V41">
        <f>waterRAS!V16</f>
        <v>15</v>
      </c>
      <c r="W41" t="str">
        <f>waterRAS!W16</f>
        <v>increase</v>
      </c>
      <c r="X41" t="s">
        <v>445</v>
      </c>
      <c r="Y41">
        <f>waterRAS!X16</f>
        <v>125</v>
      </c>
      <c r="Z41" t="str">
        <f>waterRAS!Y16</f>
        <v>const</v>
      </c>
      <c r="AA41" t="s">
        <v>445</v>
      </c>
      <c r="AB41">
        <f>waterRAS!Z16</f>
        <v>15</v>
      </c>
      <c r="AC41" t="str">
        <f>waterRAS!AA16</f>
        <v>const</v>
      </c>
      <c r="AD41" t="s">
        <v>445</v>
      </c>
      <c r="AE41">
        <f>waterRAS!AB16</f>
        <v>65</v>
      </c>
      <c r="AF41" t="str">
        <f>waterRAS!AC16</f>
        <v>const</v>
      </c>
      <c r="AG41" t="s">
        <v>445</v>
      </c>
      <c r="AH41">
        <f>waterRAS!AD16</f>
        <v>7.0000000000000007E-2</v>
      </c>
      <c r="AI41" t="str">
        <f>waterRAS!AE16</f>
        <v>increase</v>
      </c>
      <c r="AJ41" t="s">
        <v>445</v>
      </c>
      <c r="AK41">
        <f>waterRAS!AF16</f>
        <v>0.05</v>
      </c>
      <c r="AL41" t="str">
        <f>waterRAS!AG16</f>
        <v>const</v>
      </c>
      <c r="AM41" t="s">
        <v>445</v>
      </c>
      <c r="AN41">
        <f>waterRAS!AJ16</f>
        <v>4.0000000000000001E-3</v>
      </c>
      <c r="AO41" t="str">
        <f>waterRAS!AK16</f>
        <v>const</v>
      </c>
      <c r="AP41" t="s">
        <v>445</v>
      </c>
      <c r="AQ41">
        <f>waterRAS!AH16</f>
        <v>1.4999999999999999E-2</v>
      </c>
      <c r="AR41" t="str">
        <f>waterRAS!AI16</f>
        <v>increase</v>
      </c>
      <c r="AS41" t="s">
        <v>445</v>
      </c>
      <c r="AT41">
        <f>waterRAS!AL16</f>
        <v>4.4999999999999998E-2</v>
      </c>
      <c r="AU41" t="str">
        <f>waterRAS!AM16</f>
        <v>increase</v>
      </c>
      <c r="AV41" t="s">
        <v>445</v>
      </c>
    </row>
    <row r="42" spans="1:57" x14ac:dyDescent="0.2">
      <c r="A42" t="str">
        <f>general!A12</f>
        <v>Shaw2022a</v>
      </c>
      <c r="B42" t="str">
        <f>general!B12</f>
        <v>FM</v>
      </c>
      <c r="C42" t="str">
        <f>IF(general!D12="permanent","No","Yes")</f>
        <v>Yes</v>
      </c>
      <c r="D42" t="s">
        <v>514</v>
      </c>
      <c r="E42" t="s">
        <v>142</v>
      </c>
      <c r="F42">
        <f>rearing!H13</f>
        <v>49</v>
      </c>
      <c r="G42">
        <f>waterRAS!D13</f>
        <v>7.86</v>
      </c>
      <c r="H42">
        <f>waterRAS!H13</f>
        <v>26.6</v>
      </c>
      <c r="I42">
        <f>waterRAS!I13</f>
        <v>995</v>
      </c>
      <c r="S42">
        <f>waterRAS!T13</f>
        <v>4.2</v>
      </c>
      <c r="T42" t="str">
        <f>waterRAS!U13</f>
        <v>increase</v>
      </c>
      <c r="U42" t="s">
        <v>445</v>
      </c>
      <c r="V42">
        <f>waterRAS!V13</f>
        <v>15</v>
      </c>
      <c r="W42" t="str">
        <f>waterRAS!W13</f>
        <v>increase</v>
      </c>
      <c r="X42" t="s">
        <v>445</v>
      </c>
      <c r="Y42">
        <f>waterRAS!X13</f>
        <v>125</v>
      </c>
      <c r="Z42" t="str">
        <f>waterRAS!Y13</f>
        <v>const</v>
      </c>
      <c r="AA42" t="s">
        <v>445</v>
      </c>
      <c r="AB42">
        <f>waterRAS!Z13</f>
        <v>15</v>
      </c>
      <c r="AC42" t="str">
        <f>waterRAS!AA13</f>
        <v>const</v>
      </c>
      <c r="AD42" t="s">
        <v>445</v>
      </c>
      <c r="AE42">
        <f>waterRAS!AB13</f>
        <v>65</v>
      </c>
      <c r="AF42" t="str">
        <f>waterRAS!AC13</f>
        <v>const</v>
      </c>
      <c r="AG42" t="s">
        <v>445</v>
      </c>
      <c r="AH42">
        <f>waterRAS!AD13</f>
        <v>7.0000000000000007E-2</v>
      </c>
      <c r="AI42" t="str">
        <f>waterRAS!AE13</f>
        <v>increase</v>
      </c>
      <c r="AJ42" t="s">
        <v>445</v>
      </c>
      <c r="AK42">
        <f>waterRAS!AF13</f>
        <v>0.05</v>
      </c>
      <c r="AL42" t="str">
        <f>waterRAS!AG13</f>
        <v>const</v>
      </c>
      <c r="AM42" t="s">
        <v>445</v>
      </c>
      <c r="AN42">
        <f>waterRAS!AJ13</f>
        <v>4.0000000000000001E-3</v>
      </c>
      <c r="AO42" t="str">
        <f>waterRAS!AK13</f>
        <v>const</v>
      </c>
      <c r="AP42" t="s">
        <v>445</v>
      </c>
      <c r="AQ42">
        <f>waterRAS!AH13</f>
        <v>0.02</v>
      </c>
      <c r="AR42" t="str">
        <f>waterRAS!AI13</f>
        <v>increase</v>
      </c>
      <c r="AS42" t="s">
        <v>445</v>
      </c>
      <c r="AT42">
        <f>waterRAS!AL13</f>
        <v>1.4999999999999999E-2</v>
      </c>
      <c r="AU42" t="str">
        <f>waterRAS!AM13</f>
        <v>increase</v>
      </c>
      <c r="AV42" t="s">
        <v>445</v>
      </c>
    </row>
    <row r="43" spans="1:57" x14ac:dyDescent="0.2">
      <c r="A43" t="str">
        <f>general!A13</f>
        <v>Shaw2022a</v>
      </c>
      <c r="B43" t="str">
        <f>general!B13</f>
        <v>BSF</v>
      </c>
      <c r="C43" t="str">
        <f>IF(general!D13="permanent","No","Yes")</f>
        <v>Yes</v>
      </c>
      <c r="D43" t="s">
        <v>514</v>
      </c>
      <c r="E43" t="s">
        <v>142</v>
      </c>
      <c r="F43">
        <f>rearing!H14</f>
        <v>49</v>
      </c>
      <c r="G43">
        <f>waterRAS!D14</f>
        <v>7.9</v>
      </c>
      <c r="H43">
        <f>waterRAS!H14</f>
        <v>26.6</v>
      </c>
      <c r="I43">
        <f>waterRAS!I14</f>
        <v>1006</v>
      </c>
      <c r="S43">
        <f>waterRAS!T14</f>
        <v>3</v>
      </c>
      <c r="T43" t="str">
        <f>waterRAS!U14</f>
        <v>increase</v>
      </c>
      <c r="U43" t="s">
        <v>445</v>
      </c>
      <c r="V43">
        <f>waterRAS!V14</f>
        <v>23</v>
      </c>
      <c r="W43" t="str">
        <f>waterRAS!W14</f>
        <v>increase</v>
      </c>
      <c r="X43" t="s">
        <v>445</v>
      </c>
      <c r="Y43">
        <f>waterRAS!X14</f>
        <v>125</v>
      </c>
      <c r="Z43" t="str">
        <f>waterRAS!Y14</f>
        <v>const</v>
      </c>
      <c r="AA43" t="s">
        <v>445</v>
      </c>
      <c r="AB43">
        <f>waterRAS!Z14</f>
        <v>18</v>
      </c>
      <c r="AC43" t="str">
        <f>waterRAS!AA14</f>
        <v>const</v>
      </c>
      <c r="AD43" t="s">
        <v>445</v>
      </c>
      <c r="AE43">
        <f>waterRAS!AB14</f>
        <v>65</v>
      </c>
      <c r="AF43" t="str">
        <f>waterRAS!AC14</f>
        <v>const</v>
      </c>
      <c r="AG43" t="s">
        <v>445</v>
      </c>
      <c r="AH43">
        <f>waterRAS!AD14</f>
        <v>7.0000000000000007E-2</v>
      </c>
      <c r="AI43" t="str">
        <f>waterRAS!AE14</f>
        <v>increase</v>
      </c>
      <c r="AJ43" t="s">
        <v>445</v>
      </c>
      <c r="AK43">
        <f>waterRAS!AF14</f>
        <v>0.05</v>
      </c>
      <c r="AL43" t="str">
        <f>waterRAS!AG14</f>
        <v>const</v>
      </c>
      <c r="AM43" t="s">
        <v>445</v>
      </c>
      <c r="AN43">
        <f>waterRAS!AJ14</f>
        <v>4.0000000000000001E-3</v>
      </c>
      <c r="AO43" t="str">
        <f>waterRAS!AK14</f>
        <v>const</v>
      </c>
      <c r="AP43" t="s">
        <v>445</v>
      </c>
      <c r="AQ43">
        <f>waterRAS!AH14</f>
        <v>2.8000000000000001E-2</v>
      </c>
      <c r="AR43" t="str">
        <f>waterRAS!AI14</f>
        <v>increase</v>
      </c>
      <c r="AS43" t="s">
        <v>445</v>
      </c>
      <c r="AT43">
        <f>waterRAS!AL14</f>
        <v>0.03</v>
      </c>
      <c r="AU43" t="str">
        <f>waterRAS!AM14</f>
        <v>increase</v>
      </c>
      <c r="AV43" t="s">
        <v>445</v>
      </c>
    </row>
    <row r="44" spans="1:57" x14ac:dyDescent="0.2">
      <c r="A44" t="str">
        <f>general!A14</f>
        <v>Shaw2022a</v>
      </c>
      <c r="B44" t="str">
        <f>general!B14</f>
        <v>PBM</v>
      </c>
      <c r="C44" t="str">
        <f>IF(general!D14="permanent","No","Yes")</f>
        <v>Yes</v>
      </c>
      <c r="D44" t="s">
        <v>514</v>
      </c>
      <c r="E44" t="s">
        <v>142</v>
      </c>
      <c r="F44">
        <f>rearing!H15</f>
        <v>49</v>
      </c>
      <c r="G44">
        <f>waterRAS!D15</f>
        <v>8.09</v>
      </c>
      <c r="H44">
        <f>waterRAS!H15</f>
        <v>26.6</v>
      </c>
      <c r="I44">
        <f>waterRAS!I15</f>
        <v>965</v>
      </c>
      <c r="S44">
        <f>waterRAS!T15</f>
        <v>1.5</v>
      </c>
      <c r="T44" t="str">
        <f>waterRAS!U15</f>
        <v>increase</v>
      </c>
      <c r="U44" t="s">
        <v>445</v>
      </c>
      <c r="V44">
        <f>waterRAS!V15</f>
        <v>15</v>
      </c>
      <c r="W44" t="str">
        <f>waterRAS!W15</f>
        <v>increase</v>
      </c>
      <c r="X44" t="s">
        <v>445</v>
      </c>
      <c r="Y44">
        <f>waterRAS!X15</f>
        <v>125</v>
      </c>
      <c r="Z44" t="str">
        <f>waterRAS!Y15</f>
        <v>const</v>
      </c>
      <c r="AA44" t="s">
        <v>445</v>
      </c>
      <c r="AB44">
        <f>waterRAS!Z15</f>
        <v>15</v>
      </c>
      <c r="AC44" t="str">
        <f>waterRAS!AA15</f>
        <v>const</v>
      </c>
      <c r="AD44" t="s">
        <v>445</v>
      </c>
      <c r="AE44">
        <f>waterRAS!AB15</f>
        <v>65</v>
      </c>
      <c r="AF44" t="str">
        <f>waterRAS!AC15</f>
        <v>const</v>
      </c>
      <c r="AG44" t="s">
        <v>445</v>
      </c>
      <c r="AH44">
        <f>waterRAS!AD15</f>
        <v>7.0000000000000007E-2</v>
      </c>
      <c r="AI44" t="str">
        <f>waterRAS!AE15</f>
        <v>increase</v>
      </c>
      <c r="AJ44" t="s">
        <v>445</v>
      </c>
      <c r="AK44">
        <f>waterRAS!AF15</f>
        <v>0.05</v>
      </c>
      <c r="AL44" t="str">
        <f>waterRAS!AG15</f>
        <v>const</v>
      </c>
      <c r="AM44" t="s">
        <v>445</v>
      </c>
      <c r="AN44">
        <f>waterRAS!AJ15</f>
        <v>4.0000000000000001E-3</v>
      </c>
      <c r="AO44" t="str">
        <f>waterRAS!AK15</f>
        <v>const</v>
      </c>
      <c r="AP44" t="s">
        <v>445</v>
      </c>
      <c r="AQ44">
        <f>waterRAS!AH15</f>
        <v>1.4999999999999999E-2</v>
      </c>
      <c r="AR44" t="str">
        <f>waterRAS!AI15</f>
        <v>increase</v>
      </c>
      <c r="AS44" t="s">
        <v>445</v>
      </c>
      <c r="AT44">
        <f>waterRAS!AL15</f>
        <v>5.0000000000000001E-3</v>
      </c>
      <c r="AU44" t="str">
        <f>waterRAS!AM15</f>
        <v>const</v>
      </c>
      <c r="AV44" t="s">
        <v>445</v>
      </c>
    </row>
    <row r="45" spans="1:57" x14ac:dyDescent="0.2">
      <c r="A45" t="str">
        <f>general!A48</f>
        <v>Suhl2016</v>
      </c>
      <c r="B45" t="str">
        <f>general!B48</f>
        <v>Aquaponic</v>
      </c>
      <c r="C45" t="str">
        <f>IF(general!D48="permanent","No","Yes")</f>
        <v>Yes</v>
      </c>
      <c r="D45" t="s">
        <v>514</v>
      </c>
      <c r="E45" t="s">
        <v>142</v>
      </c>
      <c r="J45">
        <f>waterRAS!L49</f>
        <v>24.2</v>
      </c>
      <c r="L45" t="s">
        <v>445</v>
      </c>
      <c r="P45">
        <f>waterRAS!P49</f>
        <v>14.6</v>
      </c>
      <c r="R45" t="s">
        <v>445</v>
      </c>
      <c r="S45">
        <f>waterRAS!T49</f>
        <v>8</v>
      </c>
      <c r="U45" t="s">
        <v>445</v>
      </c>
      <c r="V45">
        <f>waterRAS!V49</f>
        <v>30.2</v>
      </c>
      <c r="X45" t="s">
        <v>445</v>
      </c>
      <c r="Y45">
        <f>waterRAS!X49</f>
        <v>89.3</v>
      </c>
      <c r="AA45" t="s">
        <v>445</v>
      </c>
      <c r="AB45">
        <f>waterRAS!Z49</f>
        <v>13.9</v>
      </c>
      <c r="AD45" t="s">
        <v>445</v>
      </c>
      <c r="AE45">
        <f>waterRAS!AB49</f>
        <v>38.5</v>
      </c>
      <c r="AG45" t="s">
        <v>445</v>
      </c>
    </row>
    <row r="46" spans="1:57" x14ac:dyDescent="0.2">
      <c r="A46" t="str">
        <f>general!A23</f>
        <v>Tetreault2021</v>
      </c>
      <c r="B46" t="str">
        <f>general!B23</f>
        <v>AER1</v>
      </c>
      <c r="C46" t="str">
        <f>IF(general!D23="permanent","No","Yes")</f>
        <v>Yes</v>
      </c>
      <c r="D46" t="s">
        <v>513</v>
      </c>
      <c r="E46" t="s">
        <v>142</v>
      </c>
      <c r="F46">
        <f>waterREMIN!E24</f>
        <v>15</v>
      </c>
      <c r="G46">
        <f>waterREMIN!F24</f>
        <v>7.3</v>
      </c>
      <c r="J46">
        <f>waterREMIN!J24</f>
        <v>1.4926067999999999</v>
      </c>
      <c r="L46" t="s">
        <v>445</v>
      </c>
      <c r="P46">
        <f>waterREMIN!L24</f>
        <v>168.25281479999998</v>
      </c>
      <c r="R46" t="s">
        <v>445</v>
      </c>
      <c r="S46">
        <f>waterREMIN!P24</f>
        <v>3.6269999999999998</v>
      </c>
      <c r="U46" t="s">
        <v>445</v>
      </c>
      <c r="V46">
        <f>waterREMIN!R24</f>
        <v>401.35680000000002</v>
      </c>
      <c r="X46" t="s">
        <v>445</v>
      </c>
      <c r="Y46">
        <f>waterREMIN!T24</f>
        <v>29.363299999999999</v>
      </c>
      <c r="AA46" t="s">
        <v>445</v>
      </c>
      <c r="AB46">
        <f>waterREMIN!V24</f>
        <v>21.6692</v>
      </c>
      <c r="AD46" t="s">
        <v>445</v>
      </c>
      <c r="AH46">
        <f>waterREMIN!Z24</f>
        <v>0.25950000000000001</v>
      </c>
      <c r="AJ46" t="s">
        <v>445</v>
      </c>
      <c r="AK46">
        <f>waterREMIN!AB24</f>
        <v>1.7789999999999999</v>
      </c>
      <c r="AM46" t="s">
        <v>445</v>
      </c>
      <c r="AN46">
        <f>waterREMIN!AD24</f>
        <v>0.26100000000000001</v>
      </c>
      <c r="AP46" t="s">
        <v>445</v>
      </c>
      <c r="AQ46">
        <f>waterREMIN!AF24</f>
        <v>0.16750000000000001</v>
      </c>
      <c r="AS46" t="s">
        <v>445</v>
      </c>
      <c r="AT46">
        <f>waterREMIN!AH24</f>
        <v>0.79800000000000004</v>
      </c>
      <c r="AV46" t="s">
        <v>445</v>
      </c>
      <c r="BC46">
        <f>waterREMIN!AJ24</f>
        <v>34.49</v>
      </c>
      <c r="BE46" t="s">
        <v>445</v>
      </c>
    </row>
    <row r="47" spans="1:57" x14ac:dyDescent="0.2">
      <c r="A47" t="str">
        <f>general!A24</f>
        <v>Tetreault2021b</v>
      </c>
      <c r="B47" t="str">
        <f>general!B24</f>
        <v>ANA1</v>
      </c>
      <c r="C47" t="str">
        <f>IF(general!D24="permanent","No","Yes")</f>
        <v>Yes</v>
      </c>
      <c r="D47" t="s">
        <v>513</v>
      </c>
      <c r="E47" t="s">
        <v>143</v>
      </c>
      <c r="F47">
        <f>waterREMIN!E25</f>
        <v>15</v>
      </c>
      <c r="G47">
        <f>waterREMIN!F25</f>
        <v>7.5</v>
      </c>
      <c r="S47">
        <f>waterREMIN!P25</f>
        <v>5.1058889999999995</v>
      </c>
      <c r="U47" t="s">
        <v>445</v>
      </c>
      <c r="Y47">
        <f>waterREMIN!T25</f>
        <v>21.072090000000003</v>
      </c>
      <c r="AA47" t="s">
        <v>445</v>
      </c>
      <c r="AB47">
        <f>waterREMIN!V25</f>
        <v>17.56128</v>
      </c>
      <c r="AD47" t="s">
        <v>445</v>
      </c>
      <c r="AK47">
        <f>waterREMIN!AB25</f>
        <v>1.7605979999999999</v>
      </c>
      <c r="AM47" t="s">
        <v>445</v>
      </c>
      <c r="AN47">
        <f>waterREMIN!AD25</f>
        <v>0.15923200000000001</v>
      </c>
      <c r="AP47" t="s">
        <v>445</v>
      </c>
      <c r="AQ47">
        <f>waterREMIN!AF25</f>
        <v>0.13741500000000001</v>
      </c>
      <c r="AS47" t="s">
        <v>445</v>
      </c>
      <c r="AT47">
        <f>waterREMIN!AH25</f>
        <v>0.64268999999999998</v>
      </c>
      <c r="AV47" t="s">
        <v>445</v>
      </c>
    </row>
    <row r="48" spans="1:57" x14ac:dyDescent="0.2">
      <c r="A48" t="s">
        <v>435</v>
      </c>
      <c r="B48" t="s">
        <v>537</v>
      </c>
      <c r="C48" t="str">
        <f>IF(general!D113="permanent","No","Yes")</f>
        <v>Yes</v>
      </c>
      <c r="D48" t="s">
        <v>518</v>
      </c>
      <c r="E48" t="s">
        <v>142</v>
      </c>
    </row>
  </sheetData>
  <conditionalFormatting sqref="C2:E236">
    <cfRule type="containsText" dxfId="2" priority="1" operator="containsText" text="Yes">
      <formula>NOT(ISERROR(SEARCH("Yes",C2)))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33C1-0ED2-46EF-B56A-E7A51A8D7F03}">
  <dimension ref="A2:C20"/>
  <sheetViews>
    <sheetView workbookViewId="0">
      <selection activeCell="B17" sqref="B17"/>
    </sheetView>
  </sheetViews>
  <sheetFormatPr baseColWidth="10" defaultColWidth="8.83203125" defaultRowHeight="16" x14ac:dyDescent="0.2"/>
  <sheetData>
    <row r="2" spans="1:3" x14ac:dyDescent="0.2">
      <c r="B2" t="s">
        <v>520</v>
      </c>
      <c r="C2" t="s">
        <v>534</v>
      </c>
    </row>
    <row r="3" spans="1:3" x14ac:dyDescent="0.2">
      <c r="A3" t="s">
        <v>46</v>
      </c>
      <c r="B3">
        <f>AVERAGE(waterAVERAGE!G2:G49)</f>
        <v>6.8290476190476186</v>
      </c>
    </row>
    <row r="4" spans="1:3" x14ac:dyDescent="0.2">
      <c r="A4" t="s">
        <v>533</v>
      </c>
      <c r="B4">
        <f>AVERAGE(waterAVERAGE!G2:I49)</f>
        <v>214.77317073170732</v>
      </c>
    </row>
    <row r="5" spans="1:3" x14ac:dyDescent="0.2">
      <c r="A5" t="s">
        <v>523</v>
      </c>
      <c r="B5">
        <f>AVERAGE(waterAVERAGE!J2:J49)</f>
        <v>51.007921671428576</v>
      </c>
    </row>
    <row r="6" spans="1:3" x14ac:dyDescent="0.2">
      <c r="A6" t="s">
        <v>522</v>
      </c>
      <c r="B6">
        <f>AVERAGE(waterAVERAGE!J2:M49)</f>
        <v>42.011964905882351</v>
      </c>
    </row>
    <row r="7" spans="1:3" x14ac:dyDescent="0.2">
      <c r="A7" t="s">
        <v>521</v>
      </c>
      <c r="B7">
        <f>AVERAGE(waterAVERAGE!J2:P49)</f>
        <v>65.783353957142879</v>
      </c>
    </row>
    <row r="8" spans="1:3" x14ac:dyDescent="0.2">
      <c r="A8" t="s">
        <v>524</v>
      </c>
      <c r="B8">
        <f>AVERAGE(waterAVERAGE!S2:S49)</f>
        <v>15.381437591269837</v>
      </c>
    </row>
    <row r="9" spans="1:3" x14ac:dyDescent="0.2">
      <c r="A9" t="s">
        <v>30</v>
      </c>
      <c r="B9">
        <f>AVERAGE(waterAVERAGE!V2:V49)</f>
        <v>51.261467217813056</v>
      </c>
    </row>
    <row r="10" spans="1:3" x14ac:dyDescent="0.2">
      <c r="A10" t="s">
        <v>31</v>
      </c>
      <c r="B10">
        <f>AVERAGE(waterAVERAGE!Y2:Y49)</f>
        <v>147.72572449374999</v>
      </c>
    </row>
    <row r="11" spans="1:3" x14ac:dyDescent="0.2">
      <c r="A11" t="s">
        <v>32</v>
      </c>
      <c r="B11">
        <f>AVERAGE(waterAVERAGE!AB2:AB49)</f>
        <v>24.863747051700681</v>
      </c>
    </row>
    <row r="12" spans="1:3" x14ac:dyDescent="0.2">
      <c r="A12" t="s">
        <v>525</v>
      </c>
      <c r="B12">
        <f>AVERAGE(waterAVERAGE!AE2:AE49)</f>
        <v>56.85282500000001</v>
      </c>
    </row>
    <row r="13" spans="1:3" x14ac:dyDescent="0.2">
      <c r="A13" t="s">
        <v>526</v>
      </c>
      <c r="B13">
        <f>AVERAGE(waterAVERAGE!AH2:AH49)</f>
        <v>0.54540841959972386</v>
      </c>
    </row>
    <row r="14" spans="1:3" x14ac:dyDescent="0.2">
      <c r="A14" t="s">
        <v>527</v>
      </c>
      <c r="B14">
        <f>AVERAGE(waterAVERAGE!AK2:AK49)</f>
        <v>0.93431494047619068</v>
      </c>
    </row>
    <row r="15" spans="1:3" x14ac:dyDescent="0.2">
      <c r="A15" t="s">
        <v>528</v>
      </c>
      <c r="B15">
        <f>AVERAGE(waterAVERAGE!AN2:AN49)</f>
        <v>0.27720574603174591</v>
      </c>
    </row>
    <row r="16" spans="1:3" x14ac:dyDescent="0.2">
      <c r="A16" t="s">
        <v>529</v>
      </c>
      <c r="B16">
        <f>AVERAGE(waterAVERAGE!AQ2:AQ49)</f>
        <v>0.19584370340317456</v>
      </c>
    </row>
    <row r="17" spans="1:2" x14ac:dyDescent="0.2">
      <c r="A17" t="s">
        <v>530</v>
      </c>
      <c r="B17">
        <f>AVERAGE(waterAVERAGE!AT2:AT49)</f>
        <v>0.80997531085714281</v>
      </c>
    </row>
    <row r="18" spans="1:2" x14ac:dyDescent="0.2">
      <c r="A18" t="s">
        <v>531</v>
      </c>
    </row>
    <row r="19" spans="1:2" x14ac:dyDescent="0.2">
      <c r="A19" t="s">
        <v>532</v>
      </c>
    </row>
    <row r="20" spans="1:2" x14ac:dyDescent="0.2">
      <c r="A20" t="s">
        <v>407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0774-10BA-8641-89E0-A23D4E7A5ADA}">
  <sheetPr>
    <tabColor rgb="FFFFFF00"/>
  </sheetPr>
  <dimension ref="A1:O41"/>
  <sheetViews>
    <sheetView zoomScale="120" zoomScaleNormal="120" workbookViewId="0">
      <pane ySplit="1" topLeftCell="A2" activePane="bottomLeft" state="frozen"/>
      <selection pane="bottomLeft" activeCell="O26" sqref="O26"/>
    </sheetView>
  </sheetViews>
  <sheetFormatPr baseColWidth="10" defaultColWidth="10.83203125" defaultRowHeight="16" x14ac:dyDescent="0.2"/>
  <cols>
    <col min="2" max="2" width="17" customWidth="1"/>
    <col min="3" max="3" width="11.83203125" bestFit="1" customWidth="1"/>
    <col min="4" max="4" width="10.83203125" bestFit="1" customWidth="1"/>
    <col min="5" max="6" width="3.6640625" bestFit="1" customWidth="1"/>
    <col min="7" max="8" width="3.6640625" customWidth="1"/>
    <col min="9" max="9" width="3.6640625" bestFit="1" customWidth="1"/>
    <col min="10" max="11" width="3.6640625" customWidth="1"/>
    <col min="12" max="13" width="3.83203125" customWidth="1"/>
    <col min="14" max="14" width="3.6640625" bestFit="1" customWidth="1"/>
    <col min="15" max="15" width="15.33203125" customWidth="1"/>
  </cols>
  <sheetData>
    <row r="1" spans="1:15" s="2" customFormat="1" ht="121" x14ac:dyDescent="0.2">
      <c r="A1" s="2" t="s">
        <v>347</v>
      </c>
      <c r="B1" s="2" t="s">
        <v>2</v>
      </c>
      <c r="C1" s="2" t="s">
        <v>103</v>
      </c>
      <c r="D1" s="2" t="s">
        <v>104</v>
      </c>
      <c r="E1" s="5" t="s">
        <v>40</v>
      </c>
      <c r="F1" s="5" t="s">
        <v>41</v>
      </c>
      <c r="G1" s="5" t="s">
        <v>241</v>
      </c>
      <c r="H1" s="5" t="s">
        <v>233</v>
      </c>
      <c r="I1" s="5" t="s">
        <v>146</v>
      </c>
      <c r="J1" s="5" t="s">
        <v>242</v>
      </c>
      <c r="K1" s="5" t="s">
        <v>269</v>
      </c>
      <c r="L1" s="5" t="s">
        <v>43</v>
      </c>
      <c r="M1" s="5" t="s">
        <v>42</v>
      </c>
      <c r="N1" s="5" t="s">
        <v>44</v>
      </c>
      <c r="O1" s="2" t="s">
        <v>45</v>
      </c>
    </row>
    <row r="2" spans="1:15" x14ac:dyDescent="0.2">
      <c r="A2">
        <v>1</v>
      </c>
      <c r="B2" t="s">
        <v>17</v>
      </c>
      <c r="C2">
        <v>2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 t="s">
        <v>39</v>
      </c>
    </row>
    <row r="3" spans="1:15" x14ac:dyDescent="0.2">
      <c r="A3">
        <v>2</v>
      </c>
      <c r="B3" t="s">
        <v>25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t="s">
        <v>47</v>
      </c>
    </row>
    <row r="4" spans="1:15" s="83" customFormat="1" x14ac:dyDescent="0.2">
      <c r="A4" s="83">
        <v>3</v>
      </c>
      <c r="B4" s="83" t="s">
        <v>26</v>
      </c>
      <c r="C4" s="83">
        <v>3</v>
      </c>
      <c r="D4" s="83">
        <v>1</v>
      </c>
      <c r="E4" s="83">
        <v>0</v>
      </c>
      <c r="F4" s="83">
        <v>1</v>
      </c>
      <c r="G4" s="83">
        <v>0</v>
      </c>
      <c r="H4" s="83">
        <v>1</v>
      </c>
      <c r="I4" s="83">
        <v>0</v>
      </c>
      <c r="J4" s="83">
        <v>0</v>
      </c>
      <c r="L4" s="83">
        <v>0</v>
      </c>
      <c r="M4" s="83">
        <v>0</v>
      </c>
      <c r="N4" s="83">
        <v>0</v>
      </c>
      <c r="O4" s="83" t="s">
        <v>48</v>
      </c>
    </row>
    <row r="5" spans="1:15" x14ac:dyDescent="0.2">
      <c r="A5">
        <v>4</v>
      </c>
      <c r="B5" t="s">
        <v>28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1</v>
      </c>
      <c r="O5" t="s">
        <v>66</v>
      </c>
    </row>
    <row r="6" spans="1:15" s="64" customFormat="1" x14ac:dyDescent="0.2">
      <c r="A6">
        <v>5</v>
      </c>
      <c r="B6" s="64" t="s">
        <v>599</v>
      </c>
      <c r="C6" s="64">
        <v>4</v>
      </c>
      <c r="D6" s="64">
        <v>4</v>
      </c>
      <c r="E6" s="64">
        <v>0</v>
      </c>
      <c r="F6" s="64">
        <v>1</v>
      </c>
      <c r="G6" s="64">
        <v>1</v>
      </c>
      <c r="H6" s="64">
        <v>0</v>
      </c>
      <c r="I6" s="64">
        <v>0</v>
      </c>
      <c r="J6" s="64">
        <v>0</v>
      </c>
      <c r="L6" s="64">
        <v>0</v>
      </c>
      <c r="M6" s="64">
        <v>0</v>
      </c>
      <c r="N6" s="64">
        <v>0</v>
      </c>
      <c r="O6" s="64" t="s">
        <v>97</v>
      </c>
    </row>
    <row r="7" spans="1:15" x14ac:dyDescent="0.2">
      <c r="A7">
        <v>6</v>
      </c>
      <c r="B7" t="s">
        <v>147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L7">
        <v>0</v>
      </c>
      <c r="M7">
        <v>0</v>
      </c>
      <c r="N7">
        <v>0</v>
      </c>
      <c r="O7" t="s">
        <v>244</v>
      </c>
    </row>
    <row r="8" spans="1:15" s="6" customFormat="1" x14ac:dyDescent="0.2">
      <c r="A8">
        <v>7</v>
      </c>
      <c r="B8" s="6" t="s">
        <v>156</v>
      </c>
      <c r="C8" s="6">
        <v>3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L8" s="6">
        <v>0</v>
      </c>
      <c r="M8" s="6">
        <v>0</v>
      </c>
      <c r="N8" s="6">
        <v>1</v>
      </c>
      <c r="O8" s="6" t="s">
        <v>157</v>
      </c>
    </row>
    <row r="9" spans="1:15" x14ac:dyDescent="0.2">
      <c r="A9">
        <v>8</v>
      </c>
      <c r="B9" t="s">
        <v>164</v>
      </c>
      <c r="C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0</v>
      </c>
      <c r="M9">
        <v>0</v>
      </c>
      <c r="N9">
        <v>0</v>
      </c>
      <c r="O9" t="s">
        <v>165</v>
      </c>
    </row>
    <row r="10" spans="1:15" s="83" customFormat="1" x14ac:dyDescent="0.2">
      <c r="A10" s="83">
        <v>9</v>
      </c>
      <c r="B10" s="83" t="s">
        <v>167</v>
      </c>
      <c r="C10" s="83">
        <v>1</v>
      </c>
      <c r="D10" s="83">
        <v>3</v>
      </c>
      <c r="E10" s="83">
        <v>0</v>
      </c>
      <c r="F10" s="83">
        <v>1</v>
      </c>
      <c r="G10" s="83">
        <v>1</v>
      </c>
      <c r="H10" s="83">
        <v>1</v>
      </c>
      <c r="I10" s="83">
        <v>1</v>
      </c>
      <c r="J10" s="83">
        <v>0</v>
      </c>
      <c r="L10" s="83">
        <v>0</v>
      </c>
      <c r="M10" s="83">
        <v>0</v>
      </c>
      <c r="N10" s="83">
        <v>0</v>
      </c>
      <c r="O10" s="83" t="s">
        <v>168</v>
      </c>
    </row>
    <row r="11" spans="1:15" s="83" customFormat="1" x14ac:dyDescent="0.2">
      <c r="A11" s="83">
        <v>10</v>
      </c>
      <c r="B11" s="83" t="s">
        <v>176</v>
      </c>
      <c r="C11" s="83">
        <v>1</v>
      </c>
      <c r="D11" s="83">
        <v>3</v>
      </c>
      <c r="E11" s="83">
        <v>0</v>
      </c>
      <c r="F11" s="83">
        <v>1</v>
      </c>
      <c r="G11" s="83">
        <v>0</v>
      </c>
      <c r="H11" s="83">
        <v>0</v>
      </c>
      <c r="I11" s="83">
        <v>0</v>
      </c>
      <c r="J11" s="83">
        <v>0</v>
      </c>
      <c r="L11" s="83">
        <v>0</v>
      </c>
      <c r="M11" s="83">
        <v>0</v>
      </c>
      <c r="N11" s="83">
        <v>0</v>
      </c>
      <c r="O11" s="83" t="s">
        <v>177</v>
      </c>
    </row>
    <row r="12" spans="1:15" s="40" customFormat="1" x14ac:dyDescent="0.2">
      <c r="A12">
        <v>11</v>
      </c>
      <c r="B12" s="40" t="s">
        <v>180</v>
      </c>
      <c r="C12" s="40">
        <v>7</v>
      </c>
      <c r="D12" s="40">
        <v>3</v>
      </c>
      <c r="E12" s="40">
        <v>0</v>
      </c>
      <c r="F12" s="40">
        <v>1</v>
      </c>
      <c r="G12" s="40">
        <v>1</v>
      </c>
      <c r="H12" s="40">
        <v>0</v>
      </c>
      <c r="I12" s="40">
        <v>0</v>
      </c>
      <c r="J12" s="40">
        <v>0</v>
      </c>
      <c r="L12" s="40">
        <v>0</v>
      </c>
      <c r="M12" s="40">
        <v>1</v>
      </c>
      <c r="N12" s="40">
        <v>0</v>
      </c>
      <c r="O12" s="40" t="s">
        <v>181</v>
      </c>
    </row>
    <row r="13" spans="1:15" s="6" customFormat="1" x14ac:dyDescent="0.2">
      <c r="A13">
        <v>12</v>
      </c>
      <c r="B13" s="6" t="s">
        <v>184</v>
      </c>
      <c r="C13" s="6">
        <v>3</v>
      </c>
      <c r="E13" s="6">
        <v>0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L13" s="6">
        <v>0</v>
      </c>
      <c r="M13" s="6">
        <v>0</v>
      </c>
      <c r="N13" s="6">
        <v>1</v>
      </c>
      <c r="O13" s="6" t="s">
        <v>185</v>
      </c>
    </row>
    <row r="14" spans="1:15" s="6" customFormat="1" x14ac:dyDescent="0.2">
      <c r="A14">
        <v>13</v>
      </c>
      <c r="B14" s="6" t="s">
        <v>206</v>
      </c>
      <c r="C14" s="6">
        <v>3</v>
      </c>
      <c r="D14" s="6">
        <v>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L14" s="6">
        <v>0</v>
      </c>
      <c r="M14" s="6">
        <v>0</v>
      </c>
      <c r="N14" s="6">
        <v>0</v>
      </c>
      <c r="O14" s="6" t="s">
        <v>209</v>
      </c>
    </row>
    <row r="15" spans="1:15" s="6" customFormat="1" x14ac:dyDescent="0.2">
      <c r="A15">
        <v>14</v>
      </c>
      <c r="B15" s="6" t="s">
        <v>207</v>
      </c>
      <c r="C15" s="6">
        <v>2</v>
      </c>
      <c r="D15" s="6">
        <v>1</v>
      </c>
      <c r="E15" s="6">
        <v>0</v>
      </c>
      <c r="F15" s="6">
        <v>0</v>
      </c>
      <c r="G15" s="6">
        <v>1</v>
      </c>
      <c r="H15" s="6">
        <v>0</v>
      </c>
      <c r="I15" s="6">
        <v>1</v>
      </c>
      <c r="J15" s="6">
        <v>0</v>
      </c>
      <c r="L15" s="6">
        <v>1</v>
      </c>
      <c r="M15" s="6">
        <v>0</v>
      </c>
      <c r="N15" s="6">
        <v>0</v>
      </c>
      <c r="O15" s="6" t="s">
        <v>208</v>
      </c>
    </row>
    <row r="16" spans="1:15" x14ac:dyDescent="0.2">
      <c r="A16">
        <v>15</v>
      </c>
      <c r="B16" t="s">
        <v>224</v>
      </c>
      <c r="C16">
        <v>2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L16">
        <v>0</v>
      </c>
      <c r="M16">
        <v>0</v>
      </c>
      <c r="N16">
        <v>0</v>
      </c>
      <c r="O16" t="s">
        <v>225</v>
      </c>
    </row>
    <row r="17" spans="1:15" x14ac:dyDescent="0.2">
      <c r="A17">
        <v>16</v>
      </c>
      <c r="B17" t="s">
        <v>228</v>
      </c>
      <c r="C17">
        <v>3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 t="s">
        <v>219</v>
      </c>
    </row>
    <row r="18" spans="1:15" x14ac:dyDescent="0.2">
      <c r="A18">
        <v>17</v>
      </c>
      <c r="B18" t="s">
        <v>220</v>
      </c>
      <c r="C18">
        <v>2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L18">
        <v>0</v>
      </c>
      <c r="M18">
        <v>0</v>
      </c>
      <c r="N18">
        <v>1</v>
      </c>
      <c r="O18" t="s">
        <v>221</v>
      </c>
    </row>
    <row r="19" spans="1:15" s="83" customFormat="1" x14ac:dyDescent="0.2">
      <c r="A19" s="83">
        <v>18</v>
      </c>
      <c r="B19" s="83" t="s">
        <v>222</v>
      </c>
      <c r="C19" s="83">
        <v>2</v>
      </c>
      <c r="D19" s="83">
        <v>3</v>
      </c>
      <c r="E19" s="83">
        <v>0</v>
      </c>
      <c r="F19" s="83">
        <v>1</v>
      </c>
      <c r="H19" s="83">
        <v>0</v>
      </c>
      <c r="I19" s="83">
        <v>0</v>
      </c>
      <c r="L19" s="83">
        <v>0</v>
      </c>
      <c r="O19" s="83" t="s">
        <v>223</v>
      </c>
    </row>
    <row r="20" spans="1:15" x14ac:dyDescent="0.2">
      <c r="A20">
        <v>19</v>
      </c>
      <c r="B20" t="s">
        <v>226</v>
      </c>
      <c r="C20">
        <v>3</v>
      </c>
      <c r="D20">
        <v>3</v>
      </c>
      <c r="E20">
        <v>0</v>
      </c>
      <c r="H20">
        <v>0</v>
      </c>
      <c r="I20">
        <v>0</v>
      </c>
      <c r="L20">
        <v>0</v>
      </c>
      <c r="N20">
        <v>1</v>
      </c>
      <c r="O20" t="s">
        <v>227</v>
      </c>
    </row>
    <row r="21" spans="1:15" x14ac:dyDescent="0.2">
      <c r="A21">
        <v>20</v>
      </c>
      <c r="B21" t="s">
        <v>287</v>
      </c>
      <c r="C21">
        <v>3</v>
      </c>
      <c r="D21">
        <v>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 t="s">
        <v>286</v>
      </c>
    </row>
    <row r="22" spans="1:15" x14ac:dyDescent="0.2">
      <c r="A22">
        <v>21</v>
      </c>
      <c r="B22" t="s">
        <v>288</v>
      </c>
      <c r="C22">
        <v>3</v>
      </c>
      <c r="D22">
        <v>3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 t="s">
        <v>290</v>
      </c>
    </row>
    <row r="23" spans="1:15" x14ac:dyDescent="0.2">
      <c r="A23">
        <v>22</v>
      </c>
      <c r="B23" t="s">
        <v>289</v>
      </c>
      <c r="C23">
        <v>3</v>
      </c>
      <c r="D23">
        <v>3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1</v>
      </c>
      <c r="O23" t="s">
        <v>291</v>
      </c>
    </row>
    <row r="24" spans="1:15" x14ac:dyDescent="0.2">
      <c r="A24">
        <v>23</v>
      </c>
      <c r="B24" t="s">
        <v>294</v>
      </c>
      <c r="C24">
        <v>2</v>
      </c>
      <c r="E24">
        <v>1</v>
      </c>
      <c r="F24">
        <v>1</v>
      </c>
      <c r="H24">
        <v>1</v>
      </c>
      <c r="M24">
        <v>1</v>
      </c>
      <c r="N24">
        <v>1</v>
      </c>
      <c r="O24" t="s">
        <v>302</v>
      </c>
    </row>
    <row r="25" spans="1:15" x14ac:dyDescent="0.2">
      <c r="A25">
        <v>24</v>
      </c>
      <c r="B25" t="s">
        <v>327</v>
      </c>
      <c r="C25">
        <v>3</v>
      </c>
      <c r="D25">
        <v>1</v>
      </c>
      <c r="E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331</v>
      </c>
    </row>
    <row r="26" spans="1:15" x14ac:dyDescent="0.2">
      <c r="A26">
        <v>25</v>
      </c>
      <c r="B26" t="s">
        <v>295</v>
      </c>
      <c r="C26">
        <v>2</v>
      </c>
      <c r="O26" t="s">
        <v>329</v>
      </c>
    </row>
    <row r="27" spans="1:15" x14ac:dyDescent="0.2">
      <c r="A27">
        <v>26</v>
      </c>
      <c r="B27" t="s">
        <v>328</v>
      </c>
      <c r="C27">
        <v>2</v>
      </c>
      <c r="O27" t="s">
        <v>330</v>
      </c>
    </row>
    <row r="28" spans="1:15" x14ac:dyDescent="0.2">
      <c r="A28">
        <v>27</v>
      </c>
      <c r="B28" t="s">
        <v>346</v>
      </c>
      <c r="C28">
        <v>3</v>
      </c>
      <c r="D28">
        <v>3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 t="s">
        <v>351</v>
      </c>
    </row>
    <row r="29" spans="1:15" x14ac:dyDescent="0.2">
      <c r="A29">
        <v>28</v>
      </c>
      <c r="B29" t="s">
        <v>349</v>
      </c>
      <c r="C29">
        <v>3</v>
      </c>
      <c r="D29">
        <v>3</v>
      </c>
      <c r="J29">
        <v>1</v>
      </c>
      <c r="N29">
        <v>1</v>
      </c>
      <c r="O29" t="s">
        <v>350</v>
      </c>
    </row>
    <row r="30" spans="1:15" x14ac:dyDescent="0.2">
      <c r="A30">
        <v>29</v>
      </c>
      <c r="B30" t="s">
        <v>355</v>
      </c>
      <c r="C30">
        <v>1</v>
      </c>
      <c r="D30">
        <v>1</v>
      </c>
      <c r="J30">
        <v>1</v>
      </c>
      <c r="O30" t="s">
        <v>356</v>
      </c>
    </row>
    <row r="31" spans="1:15" x14ac:dyDescent="0.2">
      <c r="A31">
        <v>30</v>
      </c>
      <c r="B31" t="s">
        <v>365</v>
      </c>
      <c r="C31">
        <v>9</v>
      </c>
      <c r="D31">
        <v>4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366</v>
      </c>
    </row>
    <row r="32" spans="1:15" x14ac:dyDescent="0.2">
      <c r="A32">
        <v>31</v>
      </c>
      <c r="B32" t="s">
        <v>386</v>
      </c>
      <c r="C32">
        <v>2</v>
      </c>
      <c r="D32">
        <v>3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 t="s">
        <v>390</v>
      </c>
    </row>
    <row r="33" spans="1:15" x14ac:dyDescent="0.2">
      <c r="A33">
        <v>32</v>
      </c>
      <c r="B33" t="s">
        <v>389</v>
      </c>
      <c r="E33">
        <v>0</v>
      </c>
      <c r="F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O33" t="s">
        <v>391</v>
      </c>
    </row>
    <row r="34" spans="1:15" x14ac:dyDescent="0.2">
      <c r="A34">
        <v>33</v>
      </c>
      <c r="B34" t="s">
        <v>392</v>
      </c>
      <c r="C34">
        <v>6</v>
      </c>
      <c r="D34">
        <v>3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 t="s">
        <v>393</v>
      </c>
    </row>
    <row r="35" spans="1:15" x14ac:dyDescent="0.2">
      <c r="A35">
        <v>34</v>
      </c>
      <c r="B35" t="s">
        <v>402</v>
      </c>
      <c r="C35">
        <v>3</v>
      </c>
      <c r="O35" t="s">
        <v>438</v>
      </c>
    </row>
    <row r="36" spans="1:15" x14ac:dyDescent="0.2">
      <c r="A36">
        <v>35</v>
      </c>
      <c r="B36" t="s">
        <v>429</v>
      </c>
      <c r="C36">
        <v>2</v>
      </c>
      <c r="D36">
        <v>1</v>
      </c>
      <c r="J36">
        <v>1</v>
      </c>
      <c r="K36">
        <v>0</v>
      </c>
      <c r="L36">
        <v>0</v>
      </c>
      <c r="O36" t="s">
        <v>437</v>
      </c>
    </row>
    <row r="37" spans="1:15" x14ac:dyDescent="0.2">
      <c r="A37">
        <v>36</v>
      </c>
      <c r="B37" t="s">
        <v>430</v>
      </c>
      <c r="C37">
        <v>4</v>
      </c>
      <c r="D37">
        <v>4</v>
      </c>
      <c r="E37">
        <v>0</v>
      </c>
      <c r="F37">
        <v>1</v>
      </c>
      <c r="H37">
        <v>0</v>
      </c>
      <c r="I37">
        <v>0</v>
      </c>
      <c r="O37" t="s">
        <v>436</v>
      </c>
    </row>
    <row r="38" spans="1:15" x14ac:dyDescent="0.2">
      <c r="A38">
        <v>37</v>
      </c>
      <c r="B38" t="s">
        <v>431</v>
      </c>
      <c r="O38" t="s">
        <v>432</v>
      </c>
    </row>
    <row r="39" spans="1:15" x14ac:dyDescent="0.2">
      <c r="A39">
        <v>38</v>
      </c>
      <c r="B39" t="s">
        <v>433</v>
      </c>
      <c r="O39" t="s">
        <v>434</v>
      </c>
    </row>
    <row r="40" spans="1:15" x14ac:dyDescent="0.2">
      <c r="A40">
        <v>39</v>
      </c>
      <c r="B40" t="s">
        <v>435</v>
      </c>
      <c r="C40">
        <v>4</v>
      </c>
      <c r="D40">
        <v>24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 t="s">
        <v>597</v>
      </c>
    </row>
    <row r="41" spans="1:15" x14ac:dyDescent="0.2">
      <c r="A41">
        <v>40</v>
      </c>
      <c r="B41" t="s">
        <v>598</v>
      </c>
      <c r="C41">
        <v>4</v>
      </c>
      <c r="O41" t="s">
        <v>600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E6B7-9647-B24F-B55C-3DA8AE197A6C}">
  <sheetPr>
    <tabColor rgb="FFFFFF00"/>
  </sheetPr>
  <dimension ref="A1:N206"/>
  <sheetViews>
    <sheetView workbookViewId="0">
      <pane ySplit="1" topLeftCell="A89" activePane="bottomLeft" state="frozen"/>
      <selection pane="bottomLeft" activeCell="J120" sqref="J120"/>
    </sheetView>
  </sheetViews>
  <sheetFormatPr baseColWidth="10" defaultColWidth="11" defaultRowHeight="16" x14ac:dyDescent="0.2"/>
  <cols>
    <col min="1" max="1" width="12.83203125" customWidth="1"/>
    <col min="2" max="2" width="12.33203125" customWidth="1"/>
    <col min="5" max="5" width="16.1640625" customWidth="1"/>
    <col min="6" max="7" width="13.33203125" customWidth="1"/>
    <col min="10" max="11" width="17.5" customWidth="1"/>
  </cols>
  <sheetData>
    <row r="1" spans="1:14" s="2" customFormat="1" x14ac:dyDescent="0.2">
      <c r="A1" s="2" t="str">
        <f>rearing!A2</f>
        <v>Reference_ID</v>
      </c>
      <c r="B1" s="2" t="str">
        <f>rearing!C2</f>
        <v>Treatment_ID</v>
      </c>
      <c r="C1" s="2" t="s">
        <v>449</v>
      </c>
      <c r="D1" s="2" t="s">
        <v>450</v>
      </c>
      <c r="E1" s="2" t="s">
        <v>468</v>
      </c>
      <c r="F1" s="2" t="s">
        <v>469</v>
      </c>
      <c r="G1" s="2" t="s">
        <v>470</v>
      </c>
      <c r="H1" s="2" t="s">
        <v>456</v>
      </c>
      <c r="I1" s="2" t="s">
        <v>457</v>
      </c>
      <c r="J1" s="2" t="s">
        <v>458</v>
      </c>
      <c r="K1" s="2" t="s">
        <v>466</v>
      </c>
      <c r="L1" s="2" t="s">
        <v>455</v>
      </c>
      <c r="M1" s="2" t="s">
        <v>474</v>
      </c>
      <c r="N1" s="2" t="s">
        <v>471</v>
      </c>
    </row>
    <row r="2" spans="1:14" x14ac:dyDescent="0.2">
      <c r="A2" t="str">
        <f>rearing!A3</f>
        <v>Monsees2017</v>
      </c>
      <c r="B2" t="str">
        <f>rearing!C3</f>
        <v>Exp2_aerated</v>
      </c>
      <c r="C2" t="s">
        <v>451</v>
      </c>
      <c r="D2" t="str">
        <f>plantRetention!C3</f>
        <v>-</v>
      </c>
      <c r="E2">
        <f>waterIN!E3</f>
        <v>0</v>
      </c>
      <c r="F2" t="str">
        <f>rearing!B3</f>
        <v>Nile tilapia</v>
      </c>
      <c r="G2">
        <f>plantRetention!F3</f>
        <v>0</v>
      </c>
      <c r="H2">
        <f>waterRAS!E3</f>
        <v>0</v>
      </c>
      <c r="I2">
        <f>waterRAS!F3</f>
        <v>0</v>
      </c>
      <c r="J2">
        <f>waterRAS!G3</f>
        <v>0</v>
      </c>
      <c r="K2" t="str">
        <f>waterREMIN!D3</f>
        <v>aerobic</v>
      </c>
      <c r="L2" t="str">
        <f>waterTRANS!D3</f>
        <v>-</v>
      </c>
      <c r="M2">
        <f>waterTRANS!E3</f>
        <v>0</v>
      </c>
      <c r="N2" t="str">
        <f>plantRetention!D3</f>
        <v>-</v>
      </c>
    </row>
    <row r="3" spans="1:14" x14ac:dyDescent="0.2">
      <c r="A3" t="str">
        <f>rearing!A4</f>
        <v>Monsees2017</v>
      </c>
      <c r="B3" t="str">
        <f>rearing!C4</f>
        <v>Exp2_unaerated</v>
      </c>
      <c r="C3" t="s">
        <v>451</v>
      </c>
      <c r="D3" t="str">
        <f>plantRetention!C4</f>
        <v>-</v>
      </c>
      <c r="E3">
        <f>waterIN!E4</f>
        <v>0</v>
      </c>
      <c r="F3" t="str">
        <f>rearing!B4</f>
        <v>Nile tilapia</v>
      </c>
      <c r="G3">
        <f>plantRetention!F4</f>
        <v>0</v>
      </c>
      <c r="H3">
        <f>waterRAS!E4</f>
        <v>0</v>
      </c>
      <c r="I3">
        <f>waterRAS!F4</f>
        <v>0</v>
      </c>
      <c r="J3">
        <f>waterRAS!G4</f>
        <v>0</v>
      </c>
      <c r="K3" t="str">
        <f>waterREMIN!D4</f>
        <v>anaerobic</v>
      </c>
      <c r="L3" t="str">
        <f>waterTRANS!D4</f>
        <v>-</v>
      </c>
      <c r="M3">
        <f>waterTRANS!E4</f>
        <v>0</v>
      </c>
      <c r="N3" t="str">
        <f>plantRetention!D4</f>
        <v>-</v>
      </c>
    </row>
    <row r="4" spans="1:14" x14ac:dyDescent="0.2">
      <c r="A4" t="str">
        <f>rearing!A5</f>
        <v>Delaide2018</v>
      </c>
      <c r="B4" t="str">
        <f>rearing!C5</f>
        <v>AER</v>
      </c>
      <c r="C4" t="s">
        <v>451</v>
      </c>
      <c r="D4" t="str">
        <f>plantRetention!C5</f>
        <v>-</v>
      </c>
      <c r="E4">
        <f>waterIN!E5</f>
        <v>0</v>
      </c>
      <c r="F4" t="str">
        <f>rearing!B5</f>
        <v>Nile tilapia</v>
      </c>
      <c r="G4">
        <f>plantRetention!F5</f>
        <v>0</v>
      </c>
      <c r="H4">
        <f>waterRAS!E5</f>
        <v>0</v>
      </c>
      <c r="I4">
        <f>waterRAS!F5</f>
        <v>0</v>
      </c>
      <c r="J4">
        <f>waterRAS!G5</f>
        <v>0</v>
      </c>
      <c r="K4" t="str">
        <f>waterREMIN!D5</f>
        <v>aerobic</v>
      </c>
      <c r="L4" t="str">
        <f>waterTRANS!D5</f>
        <v>-</v>
      </c>
      <c r="M4">
        <f>waterTRANS!E5</f>
        <v>0</v>
      </c>
      <c r="N4" t="str">
        <f>plantRetention!D5</f>
        <v>-</v>
      </c>
    </row>
    <row r="5" spans="1:14" x14ac:dyDescent="0.2">
      <c r="A5" t="str">
        <f>rearing!A6</f>
        <v>Goddek2018</v>
      </c>
      <c r="B5" t="str">
        <f>rearing!C6</f>
        <v>pH+</v>
      </c>
      <c r="C5" t="s">
        <v>451</v>
      </c>
      <c r="D5" t="str">
        <f>plantRetention!C6</f>
        <v>-</v>
      </c>
      <c r="E5">
        <f>waterIN!E6</f>
        <v>0</v>
      </c>
      <c r="F5" t="str">
        <f>rearing!B6</f>
        <v>African catfish</v>
      </c>
      <c r="G5">
        <f>plantRetention!F6</f>
        <v>0</v>
      </c>
      <c r="H5">
        <f>waterRAS!E6</f>
        <v>0</v>
      </c>
      <c r="I5">
        <f>waterRAS!F6</f>
        <v>0</v>
      </c>
      <c r="J5">
        <f>waterRAS!G6</f>
        <v>0</v>
      </c>
      <c r="K5" t="str">
        <f>waterREMIN!D6</f>
        <v>anaerobic</v>
      </c>
      <c r="L5" t="str">
        <f>waterTRANS!D6</f>
        <v>-</v>
      </c>
      <c r="M5">
        <f>waterTRANS!E6</f>
        <v>0</v>
      </c>
      <c r="N5" t="str">
        <f>plantRetention!D6</f>
        <v>-</v>
      </c>
    </row>
    <row r="6" spans="1:14" x14ac:dyDescent="0.2">
      <c r="A6" t="str">
        <f>rearing!A7</f>
        <v>Goddek2018</v>
      </c>
      <c r="B6" t="str">
        <f>rearing!C7</f>
        <v>pH-</v>
      </c>
      <c r="C6" t="s">
        <v>451</v>
      </c>
      <c r="D6" t="str">
        <f>plantRetention!C7</f>
        <v>-</v>
      </c>
      <c r="E6">
        <f>waterIN!E7</f>
        <v>0</v>
      </c>
      <c r="F6" t="str">
        <f>rearing!B7</f>
        <v>African catfish</v>
      </c>
      <c r="G6">
        <f>plantRetention!F7</f>
        <v>0</v>
      </c>
      <c r="H6">
        <f>waterRAS!E7</f>
        <v>0</v>
      </c>
      <c r="I6">
        <f>waterRAS!F7</f>
        <v>0</v>
      </c>
      <c r="J6">
        <f>waterRAS!G7</f>
        <v>0</v>
      </c>
      <c r="K6" t="str">
        <f>waterREMIN!D7</f>
        <v>anaerobic</v>
      </c>
      <c r="L6" t="str">
        <f>waterTRANS!D7</f>
        <v>-</v>
      </c>
      <c r="M6">
        <f>waterTRANS!E7</f>
        <v>0</v>
      </c>
      <c r="N6" t="str">
        <f>plantRetention!D7</f>
        <v>-</v>
      </c>
    </row>
    <row r="7" spans="1:14" x14ac:dyDescent="0.2">
      <c r="A7" t="str">
        <f>rearing!A8</f>
        <v>Goddek2018</v>
      </c>
      <c r="B7" t="str">
        <f>rearing!C8</f>
        <v>Uliege_aerobic</v>
      </c>
      <c r="C7" t="s">
        <v>451</v>
      </c>
      <c r="D7" t="str">
        <f>plantRetention!C8</f>
        <v>-</v>
      </c>
      <c r="E7">
        <f>waterIN!E8</f>
        <v>0</v>
      </c>
      <c r="F7" t="str">
        <f>rearing!B8</f>
        <v>Nile tilapia</v>
      </c>
      <c r="G7">
        <f>plantRetention!F8</f>
        <v>0</v>
      </c>
      <c r="H7">
        <f>waterRAS!E8</f>
        <v>0</v>
      </c>
      <c r="I7">
        <f>waterRAS!F8</f>
        <v>0</v>
      </c>
      <c r="J7">
        <f>waterRAS!G8</f>
        <v>0</v>
      </c>
      <c r="K7" t="str">
        <f>waterREMIN!D8</f>
        <v>aerobic</v>
      </c>
      <c r="L7" t="str">
        <f>waterTRANS!D8</f>
        <v>-</v>
      </c>
      <c r="M7">
        <f>waterTRANS!E8</f>
        <v>0</v>
      </c>
      <c r="N7" t="str">
        <f>plantRetention!D8</f>
        <v>-</v>
      </c>
    </row>
    <row r="8" spans="1:14" x14ac:dyDescent="0.2">
      <c r="A8" t="str">
        <f>rearing!A9</f>
        <v>Seawright1998</v>
      </c>
      <c r="B8">
        <f>rearing!C9</f>
        <v>1</v>
      </c>
      <c r="C8" t="s">
        <v>452</v>
      </c>
      <c r="D8" t="str">
        <f>plantRetention!C9</f>
        <v>permanent</v>
      </c>
      <c r="E8">
        <f>waterIN!E9</f>
        <v>0</v>
      </c>
      <c r="F8" t="str">
        <f>rearing!B9</f>
        <v>Nile tilapia</v>
      </c>
      <c r="G8" t="str">
        <f>plantRetention!F9</f>
        <v>Lactuca sativa longifolia</v>
      </c>
      <c r="H8" t="str">
        <f>waterRAS!E9</f>
        <v>TRUE</v>
      </c>
      <c r="I8" t="str">
        <f>waterRAS!F9</f>
        <v>FALSE</v>
      </c>
      <c r="J8" t="str">
        <f>waterRAS!G9</f>
        <v>FALSE</v>
      </c>
      <c r="K8">
        <f>waterREMIN!D9</f>
        <v>0</v>
      </c>
      <c r="L8" t="str">
        <f>waterTRANS!D9</f>
        <v>Fertilizer</v>
      </c>
      <c r="M8" t="str">
        <f>waterTRANS!E9</f>
        <v>TRUE</v>
      </c>
      <c r="N8">
        <f>plantRetention!D9</f>
        <v>0</v>
      </c>
    </row>
    <row r="9" spans="1:14" x14ac:dyDescent="0.2">
      <c r="A9" t="str">
        <f>rearing!A10</f>
        <v>Seawright1998</v>
      </c>
      <c r="B9">
        <f>rearing!C10</f>
        <v>2</v>
      </c>
      <c r="C9" t="s">
        <v>452</v>
      </c>
      <c r="D9" t="str">
        <f>plantRetention!C10</f>
        <v>permanent</v>
      </c>
      <c r="E9">
        <f>waterIN!E10</f>
        <v>0</v>
      </c>
      <c r="F9" t="str">
        <f>rearing!B10</f>
        <v>Nile tilapia</v>
      </c>
      <c r="G9" t="str">
        <f>plantRetention!F10</f>
        <v>Lactuca sativa longifolia</v>
      </c>
      <c r="H9" t="str">
        <f>waterRAS!E10</f>
        <v>TRUE</v>
      </c>
      <c r="I9" t="str">
        <f>waterRAS!F10</f>
        <v>FALSE</v>
      </c>
      <c r="J9" t="str">
        <f>waterRAS!G10</f>
        <v>FALSE</v>
      </c>
      <c r="K9">
        <f>waterREMIN!D10</f>
        <v>0</v>
      </c>
      <c r="L9" t="str">
        <f>waterTRANS!D10</f>
        <v>Fertilizer</v>
      </c>
      <c r="M9" t="str">
        <f>waterTRANS!E10</f>
        <v>TRUE</v>
      </c>
      <c r="N9">
        <f>plantRetention!D10</f>
        <v>0</v>
      </c>
    </row>
    <row r="10" spans="1:14" x14ac:dyDescent="0.2">
      <c r="A10" t="str">
        <f>rearing!A11</f>
        <v>Seawright1998</v>
      </c>
      <c r="B10">
        <f>rearing!C11</f>
        <v>3</v>
      </c>
      <c r="C10" t="s">
        <v>452</v>
      </c>
      <c r="D10" t="str">
        <f>plantRetention!C11</f>
        <v>permanent</v>
      </c>
      <c r="E10">
        <f>waterIN!E11</f>
        <v>0</v>
      </c>
      <c r="F10" t="str">
        <f>rearing!B11</f>
        <v>Nile tilapia</v>
      </c>
      <c r="G10" t="str">
        <f>plantRetention!F11</f>
        <v>Lactuca sativa longifolia</v>
      </c>
      <c r="H10" t="str">
        <f>waterRAS!E11</f>
        <v>TRUE</v>
      </c>
      <c r="I10" t="str">
        <f>waterRAS!F11</f>
        <v>FALSE</v>
      </c>
      <c r="J10" t="str">
        <f>waterRAS!G11</f>
        <v>FALSE</v>
      </c>
      <c r="K10">
        <f>waterREMIN!D11</f>
        <v>0</v>
      </c>
      <c r="L10" t="str">
        <f>waterTRANS!D11</f>
        <v>Fertilizer</v>
      </c>
      <c r="M10" t="str">
        <f>waterTRANS!E11</f>
        <v>TRUE</v>
      </c>
      <c r="N10">
        <f>plantRetention!D11</f>
        <v>0</v>
      </c>
    </row>
    <row r="11" spans="1:14" x14ac:dyDescent="0.2">
      <c r="A11" t="str">
        <f>rearing!A12</f>
        <v>Seawright1998</v>
      </c>
      <c r="B11">
        <f>rearing!C12</f>
        <v>4</v>
      </c>
      <c r="C11" t="s">
        <v>452</v>
      </c>
      <c r="D11" t="str">
        <f>plantRetention!C12</f>
        <v>permanent</v>
      </c>
      <c r="E11">
        <f>waterIN!E12</f>
        <v>0</v>
      </c>
      <c r="F11" t="str">
        <f>rearing!B12</f>
        <v>Nile tilapia</v>
      </c>
      <c r="G11" t="str">
        <f>plantRetention!F12</f>
        <v>Lactuca sativa longifolia</v>
      </c>
      <c r="H11" t="str">
        <f>waterRAS!E12</f>
        <v>TRUE</v>
      </c>
      <c r="I11" t="str">
        <f>waterRAS!F12</f>
        <v>FALSE</v>
      </c>
      <c r="J11" t="str">
        <f>waterRAS!G12</f>
        <v>FALSE</v>
      </c>
      <c r="K11">
        <f>waterREMIN!D12</f>
        <v>0</v>
      </c>
      <c r="L11" t="str">
        <f>waterTRANS!D12</f>
        <v>Fertilizer</v>
      </c>
      <c r="M11" t="str">
        <f>waterTRANS!E12</f>
        <v>TRUE</v>
      </c>
      <c r="N11">
        <f>plantRetention!D12</f>
        <v>0</v>
      </c>
    </row>
    <row r="12" spans="1:14" x14ac:dyDescent="0.2">
      <c r="A12" t="str">
        <f>rearing!A13</f>
        <v>Shaw2022a</v>
      </c>
      <c r="B12" t="str">
        <f>rearing!C13</f>
        <v>FM</v>
      </c>
      <c r="C12" t="s">
        <v>460</v>
      </c>
      <c r="D12" t="str">
        <f>plantRetention!C13</f>
        <v>-</v>
      </c>
      <c r="E12">
        <f>waterIN!E13</f>
        <v>0</v>
      </c>
      <c r="F12" t="str">
        <f>rearing!B13</f>
        <v>Nile tilapia</v>
      </c>
      <c r="G12">
        <f>plantRetention!F13</f>
        <v>0</v>
      </c>
      <c r="H12">
        <f>waterRAS!E13</f>
        <v>0</v>
      </c>
      <c r="I12">
        <f>waterRAS!F13</f>
        <v>0</v>
      </c>
      <c r="J12">
        <f>waterRAS!G13</f>
        <v>0</v>
      </c>
      <c r="K12">
        <f>waterREMIN!D13</f>
        <v>0</v>
      </c>
      <c r="L12" t="str">
        <f>waterTRANS!D13</f>
        <v>-</v>
      </c>
      <c r="M12">
        <f>waterTRANS!E13</f>
        <v>0</v>
      </c>
      <c r="N12" t="str">
        <f>plantRetention!D13</f>
        <v>-</v>
      </c>
    </row>
    <row r="13" spans="1:14" x14ac:dyDescent="0.2">
      <c r="A13" t="str">
        <f>rearing!A14</f>
        <v>Shaw2022a</v>
      </c>
      <c r="B13" t="str">
        <f>rearing!C14</f>
        <v>BSF</v>
      </c>
      <c r="C13" t="s">
        <v>460</v>
      </c>
      <c r="D13" t="str">
        <f>plantRetention!C14</f>
        <v>-</v>
      </c>
      <c r="E13">
        <f>waterIN!E14</f>
        <v>0</v>
      </c>
      <c r="F13" t="str">
        <f>rearing!B14</f>
        <v>Nile tilapia</v>
      </c>
      <c r="G13">
        <f>plantRetention!F14</f>
        <v>0</v>
      </c>
      <c r="H13">
        <f>waterRAS!E14</f>
        <v>0</v>
      </c>
      <c r="I13">
        <f>waterRAS!F14</f>
        <v>0</v>
      </c>
      <c r="J13">
        <f>waterRAS!G14</f>
        <v>0</v>
      </c>
      <c r="K13">
        <f>waterREMIN!D14</f>
        <v>0</v>
      </c>
      <c r="L13" t="str">
        <f>waterTRANS!D14</f>
        <v>-</v>
      </c>
      <c r="M13">
        <f>waterTRANS!E14</f>
        <v>0</v>
      </c>
      <c r="N13" t="str">
        <f>plantRetention!D14</f>
        <v>-</v>
      </c>
    </row>
    <row r="14" spans="1:14" x14ac:dyDescent="0.2">
      <c r="A14" t="str">
        <f>rearing!A15</f>
        <v>Shaw2022a</v>
      </c>
      <c r="B14" t="str">
        <f>rearing!C15</f>
        <v>PBM</v>
      </c>
      <c r="C14" t="s">
        <v>460</v>
      </c>
      <c r="D14" t="str">
        <f>plantRetention!C15</f>
        <v>-</v>
      </c>
      <c r="E14">
        <f>waterIN!E15</f>
        <v>0</v>
      </c>
      <c r="F14" t="str">
        <f>rearing!B15</f>
        <v>Nile tilapia</v>
      </c>
      <c r="G14">
        <f>plantRetention!F15</f>
        <v>0</v>
      </c>
      <c r="H14">
        <f>waterRAS!E15</f>
        <v>0</v>
      </c>
      <c r="I14">
        <f>waterRAS!F15</f>
        <v>0</v>
      </c>
      <c r="J14">
        <f>waterRAS!G15</f>
        <v>0</v>
      </c>
      <c r="K14">
        <f>waterREMIN!D15</f>
        <v>0</v>
      </c>
      <c r="L14" t="str">
        <f>waterTRANS!D15</f>
        <v>-</v>
      </c>
      <c r="M14">
        <f>waterTRANS!E15</f>
        <v>0</v>
      </c>
      <c r="N14" t="str">
        <f>plantRetention!D15</f>
        <v>-</v>
      </c>
    </row>
    <row r="15" spans="1:14" x14ac:dyDescent="0.2">
      <c r="A15" t="str">
        <f>rearing!A16</f>
        <v>Shaw2022a</v>
      </c>
      <c r="B15" t="str">
        <f>rearing!C16</f>
        <v>PM</v>
      </c>
      <c r="C15" t="s">
        <v>460</v>
      </c>
      <c r="D15" t="str">
        <f>plantRetention!C16</f>
        <v>-</v>
      </c>
      <c r="E15">
        <f>waterIN!E16</f>
        <v>0</v>
      </c>
      <c r="F15" t="str">
        <f>rearing!B16</f>
        <v>Nile tilapia</v>
      </c>
      <c r="G15">
        <f>plantRetention!F16</f>
        <v>0</v>
      </c>
      <c r="H15">
        <f>waterRAS!E16</f>
        <v>0</v>
      </c>
      <c r="I15">
        <f>waterRAS!F16</f>
        <v>0</v>
      </c>
      <c r="J15">
        <f>waterRAS!G16</f>
        <v>0</v>
      </c>
      <c r="K15">
        <f>waterREMIN!D16</f>
        <v>0</v>
      </c>
      <c r="L15" t="str">
        <f>waterTRANS!D16</f>
        <v>-</v>
      </c>
      <c r="M15">
        <f>waterTRANS!E16</f>
        <v>0</v>
      </c>
      <c r="N15" t="str">
        <f>plantRetention!D16</f>
        <v>-</v>
      </c>
    </row>
    <row r="16" spans="1:14" x14ac:dyDescent="0.2">
      <c r="A16" t="str">
        <f>rearing!A17</f>
        <v>Panana2021</v>
      </c>
      <c r="B16" t="str">
        <f>rearing!C17</f>
        <v>pH-Natural</v>
      </c>
      <c r="C16" t="s">
        <v>451</v>
      </c>
      <c r="D16" t="str">
        <f>plantRetention!C17</f>
        <v>-</v>
      </c>
      <c r="E16" t="str">
        <f>waterIN!E17</f>
        <v>well</v>
      </c>
      <c r="F16" t="str">
        <f>rearing!B17</f>
        <v>Pikeperch</v>
      </c>
      <c r="G16">
        <f>plantRetention!F17</f>
        <v>0</v>
      </c>
      <c r="H16">
        <f>waterRAS!E17</f>
        <v>0</v>
      </c>
      <c r="I16">
        <f>waterRAS!F17</f>
        <v>0</v>
      </c>
      <c r="J16">
        <f>waterRAS!G17</f>
        <v>0</v>
      </c>
      <c r="K16" t="str">
        <f>waterREMIN!D17</f>
        <v>aerobic</v>
      </c>
      <c r="L16">
        <f>waterTRANS!D17</f>
        <v>0</v>
      </c>
      <c r="M16">
        <f>waterTRANS!E17</f>
        <v>0</v>
      </c>
      <c r="N16" t="str">
        <f>plantRetention!D17</f>
        <v>-</v>
      </c>
    </row>
    <row r="17" spans="1:14" x14ac:dyDescent="0.2">
      <c r="A17" t="str">
        <f>rearing!A18</f>
        <v>Panana2021</v>
      </c>
      <c r="B17" t="str">
        <f>rearing!C18</f>
        <v>pH-Induced</v>
      </c>
      <c r="C17" t="s">
        <v>451</v>
      </c>
      <c r="D17" t="str">
        <f>plantRetention!C18</f>
        <v>-</v>
      </c>
      <c r="E17" t="str">
        <f>waterIN!E18</f>
        <v>well</v>
      </c>
      <c r="F17" t="str">
        <f>rearing!B18</f>
        <v>Pikeperch</v>
      </c>
      <c r="G17">
        <f>plantRetention!F18</f>
        <v>0</v>
      </c>
      <c r="H17">
        <f>waterRAS!E18</f>
        <v>0</v>
      </c>
      <c r="I17">
        <f>waterRAS!F18</f>
        <v>0</v>
      </c>
      <c r="J17">
        <f>waterRAS!G18</f>
        <v>0</v>
      </c>
      <c r="K17" t="str">
        <f>waterREMIN!D18</f>
        <v>aerobic</v>
      </c>
      <c r="L17">
        <f>waterTRANS!D18</f>
        <v>0</v>
      </c>
      <c r="M17">
        <f>waterTRANS!E18</f>
        <v>0</v>
      </c>
      <c r="N17" t="str">
        <f>plantRetention!D18</f>
        <v>-</v>
      </c>
    </row>
    <row r="18" spans="1:14" x14ac:dyDescent="0.2">
      <c r="A18" t="str">
        <f>rearing!A19</f>
        <v>Goddek2016</v>
      </c>
      <c r="B18" t="str">
        <f>rearing!C19</f>
        <v>AER</v>
      </c>
      <c r="C18" t="s">
        <v>459</v>
      </c>
      <c r="D18" t="str">
        <f>plantRetention!C19</f>
        <v>-</v>
      </c>
      <c r="E18">
        <f>waterIN!E19</f>
        <v>0</v>
      </c>
      <c r="F18" t="str">
        <f>rearing!B19</f>
        <v>Nile tilapia</v>
      </c>
      <c r="G18">
        <f>plantRetention!F19</f>
        <v>0</v>
      </c>
      <c r="H18">
        <f>waterRAS!E19</f>
        <v>0</v>
      </c>
      <c r="I18">
        <f>waterRAS!F19</f>
        <v>0</v>
      </c>
      <c r="J18">
        <f>waterRAS!G19</f>
        <v>0</v>
      </c>
      <c r="K18" t="str">
        <f>waterREMIN!D19</f>
        <v>aerobic</v>
      </c>
      <c r="L18">
        <f>waterTRANS!D19</f>
        <v>0</v>
      </c>
      <c r="M18">
        <f>waterTRANS!E19</f>
        <v>0</v>
      </c>
      <c r="N18" t="str">
        <f>plantRetention!D19</f>
        <v>-</v>
      </c>
    </row>
    <row r="19" spans="1:14" x14ac:dyDescent="0.2">
      <c r="A19" t="str">
        <f>rearing!A20</f>
        <v>Goddek2016</v>
      </c>
      <c r="B19" t="str">
        <f>rearing!C20</f>
        <v>ANA</v>
      </c>
      <c r="C19" t="s">
        <v>459</v>
      </c>
      <c r="D19" t="str">
        <f>plantRetention!C20</f>
        <v>-</v>
      </c>
      <c r="E19">
        <f>waterIN!E20</f>
        <v>0</v>
      </c>
      <c r="F19" t="str">
        <f>rearing!B20</f>
        <v>Nile tilapia</v>
      </c>
      <c r="G19">
        <f>plantRetention!F20</f>
        <v>0</v>
      </c>
      <c r="H19">
        <f>waterRAS!E20</f>
        <v>0</v>
      </c>
      <c r="I19">
        <f>waterRAS!F20</f>
        <v>0</v>
      </c>
      <c r="J19">
        <f>waterRAS!G20</f>
        <v>0</v>
      </c>
      <c r="K19" t="str">
        <f>waterREMIN!D20</f>
        <v>anaerobic</v>
      </c>
      <c r="L19">
        <f>waterTRANS!D20</f>
        <v>0</v>
      </c>
      <c r="M19">
        <f>waterTRANS!E20</f>
        <v>0</v>
      </c>
      <c r="N19" t="str">
        <f>plantRetention!D20</f>
        <v>-</v>
      </c>
    </row>
    <row r="20" spans="1:14" x14ac:dyDescent="0.2">
      <c r="A20" t="str">
        <f>rearing!A21</f>
        <v>Monsees2017b</v>
      </c>
      <c r="B20" t="str">
        <f>rearing!C21</f>
        <v>RAS A</v>
      </c>
      <c r="C20" t="s">
        <v>460</v>
      </c>
      <c r="D20" t="str">
        <f>plantRetention!C21</f>
        <v>-</v>
      </c>
      <c r="E20">
        <f>waterIN!E21</f>
        <v>0</v>
      </c>
      <c r="F20" t="str">
        <f>rearing!B21</f>
        <v>Nile tilapia</v>
      </c>
      <c r="G20">
        <f>plantRetention!F21</f>
        <v>0</v>
      </c>
      <c r="H20" t="str">
        <f>waterRAS!E21</f>
        <v>FALSE</v>
      </c>
      <c r="I20" t="str">
        <f>waterRAS!F21</f>
        <v>FALSE</v>
      </c>
      <c r="J20" t="str">
        <f>waterRAS!G21</f>
        <v>TRUE</v>
      </c>
      <c r="K20">
        <f>waterREMIN!D21</f>
        <v>0</v>
      </c>
      <c r="L20">
        <f>waterTRANS!D21</f>
        <v>0</v>
      </c>
      <c r="M20">
        <f>waterTRANS!E21</f>
        <v>0</v>
      </c>
      <c r="N20" t="str">
        <f>plantRetention!D21</f>
        <v>-</v>
      </c>
    </row>
    <row r="21" spans="1:14" x14ac:dyDescent="0.2">
      <c r="A21" t="str">
        <f>rearing!A22</f>
        <v>Monsees2017b</v>
      </c>
      <c r="B21" t="str">
        <f>rearing!C22</f>
        <v>RAS C+Hydro C</v>
      </c>
      <c r="C21" t="s">
        <v>452</v>
      </c>
      <c r="D21" t="str">
        <f>plantRetention!C22</f>
        <v>permanent</v>
      </c>
      <c r="E21">
        <f>waterIN!E22</f>
        <v>0</v>
      </c>
      <c r="F21" t="str">
        <f>rearing!B22</f>
        <v>Nile tilapia</v>
      </c>
      <c r="G21">
        <f>plantRetention!F22</f>
        <v>0</v>
      </c>
      <c r="H21" t="str">
        <f>waterRAS!E22</f>
        <v>FALSE</v>
      </c>
      <c r="I21" t="str">
        <f>waterRAS!F22</f>
        <v>FALSE</v>
      </c>
      <c r="J21" t="str">
        <f>waterRAS!G22</f>
        <v>TRUE</v>
      </c>
      <c r="K21">
        <f>waterREMIN!D22</f>
        <v>0</v>
      </c>
      <c r="L21">
        <f>waterTRANS!D22</f>
        <v>0</v>
      </c>
      <c r="M21">
        <f>waterTRANS!E22</f>
        <v>0</v>
      </c>
      <c r="N21" t="str">
        <f>plantRetention!D22</f>
        <v>Nutrient film technique</v>
      </c>
    </row>
    <row r="22" spans="1:14" x14ac:dyDescent="0.2">
      <c r="A22" t="str">
        <f>rearing!A23</f>
        <v>Monsees2017b</v>
      </c>
      <c r="B22" t="str">
        <f>rearing!C23</f>
        <v>RAS D/Hydro D</v>
      </c>
      <c r="C22" t="s">
        <v>452</v>
      </c>
      <c r="D22" t="str">
        <f>plantRetention!C23</f>
        <v>on-demand</v>
      </c>
      <c r="E22">
        <f>waterIN!E23</f>
        <v>0</v>
      </c>
      <c r="F22" t="str">
        <f>rearing!B23</f>
        <v>Nile tilapia</v>
      </c>
      <c r="G22" t="str">
        <f>plantRetention!F23</f>
        <v>Lactuca sativa</v>
      </c>
      <c r="H22" t="str">
        <f>waterRAS!E23</f>
        <v>FALSE</v>
      </c>
      <c r="I22" t="str">
        <f>waterRAS!F23</f>
        <v>FALSE</v>
      </c>
      <c r="J22" t="str">
        <f>waterRAS!G23</f>
        <v>TRUE</v>
      </c>
      <c r="K22">
        <f>waterREMIN!D23</f>
        <v>0</v>
      </c>
      <c r="L22">
        <f>waterTRANS!D23</f>
        <v>0</v>
      </c>
      <c r="M22">
        <f>waterTRANS!E23</f>
        <v>0</v>
      </c>
      <c r="N22" t="str">
        <f>plantRetention!D23</f>
        <v>Nutrient film technique</v>
      </c>
    </row>
    <row r="23" spans="1:14" x14ac:dyDescent="0.2">
      <c r="A23" t="str">
        <f>rearing!A24</f>
        <v>Tetreault2021</v>
      </c>
      <c r="B23" t="str">
        <f>rearing!C24</f>
        <v>AER1</v>
      </c>
      <c r="C23" t="s">
        <v>451</v>
      </c>
      <c r="D23" t="str">
        <f>plantRetention!C24</f>
        <v>-</v>
      </c>
      <c r="E23">
        <f>waterIN!E24</f>
        <v>0</v>
      </c>
      <c r="F23" t="str">
        <f>rearing!B24</f>
        <v>Nile tilapia</v>
      </c>
      <c r="G23">
        <f>plantRetention!F24</f>
        <v>0</v>
      </c>
      <c r="H23" t="str">
        <f>waterRAS!E24</f>
        <v>FALSE</v>
      </c>
      <c r="I23" t="str">
        <f>waterRAS!F24</f>
        <v>TRUE</v>
      </c>
      <c r="J23" t="str">
        <f>waterRAS!G24</f>
        <v>FALSE</v>
      </c>
      <c r="K23" t="str">
        <f>waterREMIN!D24</f>
        <v>aerobic</v>
      </c>
      <c r="L23">
        <f>waterTRANS!D24</f>
        <v>0</v>
      </c>
      <c r="M23">
        <f>waterTRANS!E24</f>
        <v>0</v>
      </c>
      <c r="N23" t="str">
        <f>plantRetention!D24</f>
        <v>-</v>
      </c>
    </row>
    <row r="24" spans="1:14" x14ac:dyDescent="0.2">
      <c r="A24" t="str">
        <f>rearing!A25</f>
        <v>Tetreault2021b</v>
      </c>
      <c r="B24" t="str">
        <f>rearing!C25</f>
        <v>ANA1</v>
      </c>
      <c r="C24" t="s">
        <v>451</v>
      </c>
      <c r="D24" t="str">
        <f>plantRetention!C25</f>
        <v>-</v>
      </c>
      <c r="E24">
        <f>waterIN!E25</f>
        <v>0</v>
      </c>
      <c r="F24" t="str">
        <f>rearing!B25</f>
        <v>Nile tilapia</v>
      </c>
      <c r="G24">
        <f>plantRetention!F25</f>
        <v>0</v>
      </c>
      <c r="H24">
        <f>waterRAS!E25</f>
        <v>0</v>
      </c>
      <c r="I24">
        <f>waterRAS!F25</f>
        <v>0</v>
      </c>
      <c r="J24">
        <f>waterRAS!G25</f>
        <v>0</v>
      </c>
      <c r="K24" t="str">
        <f>waterREMIN!D25</f>
        <v>anaerobic</v>
      </c>
      <c r="L24">
        <f>waterTRANS!D25</f>
        <v>0</v>
      </c>
      <c r="M24">
        <f>waterTRANS!E25</f>
        <v>0</v>
      </c>
      <c r="N24" t="str">
        <f>plantRetention!D25</f>
        <v>-</v>
      </c>
    </row>
    <row r="25" spans="1:14" x14ac:dyDescent="0.2">
      <c r="A25" t="str">
        <f>rearing!A26</f>
        <v>Siqwepu2020</v>
      </c>
      <c r="B25" t="str">
        <f>rearing!C26</f>
        <v>FeSO4-20</v>
      </c>
      <c r="C25" t="s">
        <v>460</v>
      </c>
      <c r="D25">
        <f>plantRetention!C26</f>
        <v>0</v>
      </c>
      <c r="E25">
        <f>waterIN!E26</f>
        <v>0</v>
      </c>
      <c r="F25" t="str">
        <f>rearing!B26</f>
        <v>African catfish</v>
      </c>
      <c r="G25">
        <f>plantRetention!F26</f>
        <v>0</v>
      </c>
      <c r="H25">
        <f>waterRAS!E26</f>
        <v>0</v>
      </c>
      <c r="I25">
        <f>waterRAS!F26</f>
        <v>0</v>
      </c>
      <c r="J25">
        <f>waterRAS!G26</f>
        <v>0</v>
      </c>
      <c r="K25">
        <f>waterREMIN!D26</f>
        <v>0</v>
      </c>
      <c r="L25">
        <f>waterTRANS!D26</f>
        <v>0</v>
      </c>
      <c r="M25">
        <f>waterTRANS!E26</f>
        <v>0</v>
      </c>
      <c r="N25">
        <f>plantRetention!D26</f>
        <v>0</v>
      </c>
    </row>
    <row r="26" spans="1:14" x14ac:dyDescent="0.2">
      <c r="A26" t="str">
        <f>rearing!A27</f>
        <v>Siqwepu2020</v>
      </c>
      <c r="B26" t="str">
        <f>rearing!C27</f>
        <v>FeSO4-30</v>
      </c>
      <c r="C26" t="s">
        <v>460</v>
      </c>
      <c r="D26">
        <f>plantRetention!C27</f>
        <v>0</v>
      </c>
      <c r="E26">
        <f>waterIN!E27</f>
        <v>0</v>
      </c>
      <c r="F26" t="str">
        <f>rearing!B27</f>
        <v>African catfish</v>
      </c>
      <c r="G26">
        <f>plantRetention!F27</f>
        <v>0</v>
      </c>
      <c r="H26">
        <f>waterRAS!E27</f>
        <v>0</v>
      </c>
      <c r="I26">
        <f>waterRAS!F27</f>
        <v>0</v>
      </c>
      <c r="J26">
        <f>waterRAS!G27</f>
        <v>0</v>
      </c>
      <c r="K26">
        <f>waterREMIN!D27</f>
        <v>0</v>
      </c>
      <c r="L26">
        <f>waterTRANS!D27</f>
        <v>0</v>
      </c>
      <c r="M26">
        <f>waterTRANS!E27</f>
        <v>0</v>
      </c>
      <c r="N26">
        <f>plantRetention!D27</f>
        <v>0</v>
      </c>
    </row>
    <row r="27" spans="1:14" x14ac:dyDescent="0.2">
      <c r="A27" t="str">
        <f>rearing!A28</f>
        <v>Siqwepu2020</v>
      </c>
      <c r="B27" t="str">
        <f>rearing!C28</f>
        <v>FeSO4-60</v>
      </c>
      <c r="C27" t="s">
        <v>460</v>
      </c>
      <c r="D27">
        <f>plantRetention!C28</f>
        <v>0</v>
      </c>
      <c r="E27">
        <f>waterIN!E28</f>
        <v>0</v>
      </c>
      <c r="F27" t="str">
        <f>rearing!B28</f>
        <v>African catfish</v>
      </c>
      <c r="G27">
        <f>plantRetention!F28</f>
        <v>0</v>
      </c>
      <c r="H27">
        <f>waterRAS!E28</f>
        <v>0</v>
      </c>
      <c r="I27">
        <f>waterRAS!F28</f>
        <v>0</v>
      </c>
      <c r="J27">
        <f>waterRAS!G28</f>
        <v>0</v>
      </c>
      <c r="K27">
        <f>waterREMIN!D28</f>
        <v>0</v>
      </c>
      <c r="L27">
        <f>waterTRANS!D28</f>
        <v>0</v>
      </c>
      <c r="M27">
        <f>waterTRANS!E28</f>
        <v>0</v>
      </c>
      <c r="N27">
        <f>plantRetention!D28</f>
        <v>0</v>
      </c>
    </row>
    <row r="28" spans="1:14" x14ac:dyDescent="0.2">
      <c r="A28" t="str">
        <f>rearing!A29</f>
        <v>Siqwepu2020</v>
      </c>
      <c r="B28" t="str">
        <f>rearing!C29</f>
        <v>FeAA-5</v>
      </c>
      <c r="C28" t="s">
        <v>460</v>
      </c>
      <c r="D28">
        <f>plantRetention!C29</f>
        <v>0</v>
      </c>
      <c r="E28">
        <f>waterIN!E29</f>
        <v>0</v>
      </c>
      <c r="F28" t="str">
        <f>rearing!B29</f>
        <v>African catfish</v>
      </c>
      <c r="G28">
        <f>plantRetention!F29</f>
        <v>0</v>
      </c>
      <c r="H28">
        <f>waterRAS!E29</f>
        <v>0</v>
      </c>
      <c r="I28">
        <f>waterRAS!F29</f>
        <v>0</v>
      </c>
      <c r="J28">
        <f>waterRAS!G29</f>
        <v>0</v>
      </c>
      <c r="K28">
        <f>waterREMIN!D29</f>
        <v>0</v>
      </c>
      <c r="L28">
        <f>waterTRANS!D29</f>
        <v>0</v>
      </c>
      <c r="M28">
        <f>waterTRANS!E29</f>
        <v>0</v>
      </c>
      <c r="N28">
        <f>plantRetention!D29</f>
        <v>0</v>
      </c>
    </row>
    <row r="29" spans="1:14" x14ac:dyDescent="0.2">
      <c r="A29" t="str">
        <f>rearing!A30</f>
        <v>Siqwepu2020</v>
      </c>
      <c r="B29" t="str">
        <f>rearing!C30</f>
        <v>FeAA-10</v>
      </c>
      <c r="C29" t="s">
        <v>460</v>
      </c>
      <c r="D29">
        <f>plantRetention!C30</f>
        <v>0</v>
      </c>
      <c r="E29">
        <f>waterIN!E30</f>
        <v>0</v>
      </c>
      <c r="F29" t="str">
        <f>rearing!B30</f>
        <v>African catfish</v>
      </c>
      <c r="G29">
        <f>plantRetention!F30</f>
        <v>0</v>
      </c>
      <c r="H29">
        <f>waterRAS!E30</f>
        <v>0</v>
      </c>
      <c r="I29">
        <f>waterRAS!F30</f>
        <v>0</v>
      </c>
      <c r="J29">
        <f>waterRAS!G30</f>
        <v>0</v>
      </c>
      <c r="K29">
        <f>waterREMIN!D30</f>
        <v>0</v>
      </c>
      <c r="L29">
        <f>waterTRANS!D30</f>
        <v>0</v>
      </c>
      <c r="M29">
        <f>waterTRANS!E30</f>
        <v>0</v>
      </c>
      <c r="N29">
        <f>plantRetention!D30</f>
        <v>0</v>
      </c>
    </row>
    <row r="30" spans="1:14" x14ac:dyDescent="0.2">
      <c r="A30" t="str">
        <f>rearing!A31</f>
        <v>Siqwepu2020</v>
      </c>
      <c r="B30" t="str">
        <f>rearing!C31</f>
        <v>FeAA-20</v>
      </c>
      <c r="C30" t="s">
        <v>460</v>
      </c>
      <c r="D30">
        <f>plantRetention!C31</f>
        <v>0</v>
      </c>
      <c r="E30">
        <f>waterIN!E31</f>
        <v>0</v>
      </c>
      <c r="F30" t="str">
        <f>rearing!B31</f>
        <v>African catfish</v>
      </c>
      <c r="G30">
        <f>plantRetention!F31</f>
        <v>0</v>
      </c>
      <c r="H30">
        <f>waterRAS!E31</f>
        <v>0</v>
      </c>
      <c r="I30">
        <f>waterRAS!F31</f>
        <v>0</v>
      </c>
      <c r="J30">
        <f>waterRAS!G31</f>
        <v>0</v>
      </c>
      <c r="K30">
        <f>waterREMIN!D31</f>
        <v>0</v>
      </c>
      <c r="L30">
        <f>waterTRANS!D31</f>
        <v>0</v>
      </c>
      <c r="M30">
        <f>waterTRANS!E31</f>
        <v>0</v>
      </c>
      <c r="N30">
        <f>plantRetention!D31</f>
        <v>0</v>
      </c>
    </row>
    <row r="31" spans="1:14" x14ac:dyDescent="0.2">
      <c r="A31" t="str">
        <f>rearing!A32</f>
        <v>Siqwepu2020</v>
      </c>
      <c r="B31" t="str">
        <f>rearing!C32</f>
        <v>Control</v>
      </c>
      <c r="C31" t="s">
        <v>460</v>
      </c>
      <c r="D31">
        <f>plantRetention!C32</f>
        <v>0</v>
      </c>
      <c r="E31">
        <f>waterIN!E32</f>
        <v>0</v>
      </c>
      <c r="F31" t="str">
        <f>rearing!B32</f>
        <v>African catfish</v>
      </c>
      <c r="G31">
        <f>plantRetention!F32</f>
        <v>0</v>
      </c>
      <c r="H31">
        <f>waterRAS!E32</f>
        <v>0</v>
      </c>
      <c r="I31">
        <f>waterRAS!F32</f>
        <v>0</v>
      </c>
      <c r="J31">
        <f>waterRAS!G32</f>
        <v>0</v>
      </c>
      <c r="K31">
        <f>waterREMIN!D32</f>
        <v>0</v>
      </c>
      <c r="L31">
        <f>waterTRANS!D32</f>
        <v>0</v>
      </c>
      <c r="M31">
        <f>waterTRANS!E32</f>
        <v>0</v>
      </c>
      <c r="N31">
        <f>plantRetention!D32</f>
        <v>0</v>
      </c>
    </row>
    <row r="32" spans="1:14" x14ac:dyDescent="0.2">
      <c r="A32" t="str">
        <f>rearing!A33</f>
        <v>Delaide2021</v>
      </c>
      <c r="B32" t="str">
        <f>rearing!C33</f>
        <v>AE</v>
      </c>
      <c r="C32" t="s">
        <v>459</v>
      </c>
      <c r="D32" t="str">
        <f>plantRetention!C33</f>
        <v>-</v>
      </c>
      <c r="E32" t="str">
        <f>waterIN!E33</f>
        <v>rain</v>
      </c>
      <c r="F32" t="str">
        <f>rearing!B33</f>
        <v>Pikeperch</v>
      </c>
      <c r="G32" t="str">
        <f>plantRetention!F33</f>
        <v>Lactuca sativa</v>
      </c>
      <c r="H32" t="str">
        <f>waterRAS!E33</f>
        <v>FALSE</v>
      </c>
      <c r="I32" t="str">
        <f>waterRAS!F33</f>
        <v>FALSE</v>
      </c>
      <c r="J32" t="str">
        <f>waterRAS!G33</f>
        <v>FALSE</v>
      </c>
      <c r="K32" t="str">
        <f>waterREMIN!D33</f>
        <v>aerobic</v>
      </c>
      <c r="L32" t="str">
        <f>waterTRANS!D33</f>
        <v>-</v>
      </c>
      <c r="M32">
        <f>waterTRANS!E33</f>
        <v>0</v>
      </c>
      <c r="N32" t="str">
        <f>plantRetention!D33</f>
        <v>Deep flow technique</v>
      </c>
    </row>
    <row r="33" spans="1:14" x14ac:dyDescent="0.2">
      <c r="A33" t="str">
        <f>rearing!A34</f>
        <v>Delaide2021</v>
      </c>
      <c r="B33" t="str">
        <f>rearing!C34</f>
        <v>AEC</v>
      </c>
      <c r="C33" t="s">
        <v>459</v>
      </c>
      <c r="D33" t="str">
        <f>plantRetention!C34</f>
        <v>-</v>
      </c>
      <c r="E33" t="str">
        <f>waterIN!E34</f>
        <v>rain</v>
      </c>
      <c r="F33" t="str">
        <f>rearing!B34</f>
        <v>Pikeperch</v>
      </c>
      <c r="G33" t="str">
        <f>plantRetention!F34</f>
        <v>Lactuca sativa</v>
      </c>
      <c r="H33" t="str">
        <f>waterRAS!E34</f>
        <v>FALSE</v>
      </c>
      <c r="I33" t="str">
        <f>waterRAS!F34</f>
        <v>FALSE</v>
      </c>
      <c r="J33" t="str">
        <f>waterRAS!G34</f>
        <v>FALSE</v>
      </c>
      <c r="K33" t="str">
        <f>waterREMIN!D34</f>
        <v>anaerobic</v>
      </c>
      <c r="L33" t="str">
        <f>waterTRANS!D34</f>
        <v>-</v>
      </c>
      <c r="M33">
        <f>waterTRANS!E34</f>
        <v>0</v>
      </c>
      <c r="N33" t="str">
        <f>plantRetention!D34</f>
        <v>Deep flow technique</v>
      </c>
    </row>
    <row r="34" spans="1:14" x14ac:dyDescent="0.2">
      <c r="A34" t="str">
        <f>rearing!A35</f>
        <v>Delaide2021</v>
      </c>
      <c r="B34" t="str">
        <f>rearing!C35</f>
        <v>Std_E1</v>
      </c>
      <c r="C34" t="s">
        <v>459</v>
      </c>
      <c r="D34" t="str">
        <f>plantRetention!C35</f>
        <v>-</v>
      </c>
      <c r="E34" t="str">
        <f>waterIN!E35</f>
        <v>rain</v>
      </c>
      <c r="F34" t="str">
        <f>rearing!B35</f>
        <v>Pikeperch</v>
      </c>
      <c r="G34" t="str">
        <f>plantRetention!F35</f>
        <v>Lactuca sativa</v>
      </c>
      <c r="H34" t="str">
        <f>waterRAS!E35</f>
        <v>FALSE</v>
      </c>
      <c r="I34" t="str">
        <f>waterRAS!F35</f>
        <v>FALSE</v>
      </c>
      <c r="J34" t="str">
        <f>waterRAS!G35</f>
        <v>FALSE</v>
      </c>
      <c r="K34">
        <f>waterREMIN!D35</f>
        <v>0</v>
      </c>
      <c r="L34" t="str">
        <f>waterTRANS!D35</f>
        <v>Fertilizer</v>
      </c>
      <c r="M34">
        <f>waterTRANS!E35</f>
        <v>0</v>
      </c>
      <c r="N34" t="str">
        <f>plantRetention!D35</f>
        <v>Deep flow technique</v>
      </c>
    </row>
    <row r="35" spans="1:14" x14ac:dyDescent="0.2">
      <c r="A35" t="str">
        <f>rearing!A36</f>
        <v>Delaide2021</v>
      </c>
      <c r="B35" t="str">
        <f>rearing!C36</f>
        <v>AE-NPK</v>
      </c>
      <c r="C35" t="s">
        <v>459</v>
      </c>
      <c r="D35" t="str">
        <f>plantRetention!C36</f>
        <v>-</v>
      </c>
      <c r="E35" t="str">
        <f>waterIN!E36</f>
        <v>rain</v>
      </c>
      <c r="F35" t="str">
        <f>rearing!B36</f>
        <v>Pikeperch</v>
      </c>
      <c r="G35">
        <f>plantRetention!F36</f>
        <v>0</v>
      </c>
      <c r="H35" t="str">
        <f>waterRAS!E36</f>
        <v>FALSE</v>
      </c>
      <c r="I35" t="str">
        <f>waterRAS!F36</f>
        <v>FALSE</v>
      </c>
      <c r="J35" t="str">
        <f>waterRAS!G36</f>
        <v>FALSE</v>
      </c>
      <c r="K35" t="str">
        <f>waterREMIN!D36</f>
        <v>aerobic</v>
      </c>
      <c r="L35" t="str">
        <f>waterTRANS!D36</f>
        <v>Fertilizer</v>
      </c>
      <c r="M35">
        <f>waterTRANS!E36</f>
        <v>0</v>
      </c>
      <c r="N35" t="str">
        <f>plantRetention!D36</f>
        <v>Deep flow technique</v>
      </c>
    </row>
    <row r="36" spans="1:14" x14ac:dyDescent="0.2">
      <c r="A36" t="str">
        <f>rearing!A37</f>
        <v>Delaide2021</v>
      </c>
      <c r="B36" t="str">
        <f>rearing!C37</f>
        <v>AN-NPK</v>
      </c>
      <c r="C36" t="s">
        <v>459</v>
      </c>
      <c r="D36" t="str">
        <f>plantRetention!C37</f>
        <v>-</v>
      </c>
      <c r="E36" t="str">
        <f>waterIN!E37</f>
        <v>rain</v>
      </c>
      <c r="F36" t="str">
        <f>rearing!B37</f>
        <v>Pikeperch</v>
      </c>
      <c r="G36">
        <f>plantRetention!F37</f>
        <v>0</v>
      </c>
      <c r="H36" t="str">
        <f>waterRAS!E37</f>
        <v>FALSE</v>
      </c>
      <c r="I36" t="str">
        <f>waterRAS!F37</f>
        <v>FALSE</v>
      </c>
      <c r="J36" t="str">
        <f>waterRAS!G37</f>
        <v>FALSE</v>
      </c>
      <c r="K36" t="str">
        <f>waterREMIN!D37</f>
        <v>anaerobic</v>
      </c>
      <c r="L36" t="str">
        <f>waterTRANS!D37</f>
        <v>Fertilizer</v>
      </c>
      <c r="M36">
        <f>waterTRANS!E37</f>
        <v>0</v>
      </c>
      <c r="N36" t="str">
        <f>plantRetention!D37</f>
        <v>Deep flow technique</v>
      </c>
    </row>
    <row r="37" spans="1:14" x14ac:dyDescent="0.2">
      <c r="A37" t="str">
        <f>rearing!A38</f>
        <v>Delaide2021</v>
      </c>
      <c r="B37" t="str">
        <f>rearing!C38</f>
        <v>Std_E2</v>
      </c>
      <c r="C37" t="s">
        <v>459</v>
      </c>
      <c r="D37" t="str">
        <f>plantRetention!C38</f>
        <v>-</v>
      </c>
      <c r="E37" t="str">
        <f>waterIN!E38</f>
        <v>rain</v>
      </c>
      <c r="F37" t="str">
        <f>rearing!B38</f>
        <v>Pikeperch</v>
      </c>
      <c r="G37">
        <f>plantRetention!F38</f>
        <v>0</v>
      </c>
      <c r="H37" t="str">
        <f>waterRAS!E38</f>
        <v>FALSE</v>
      </c>
      <c r="I37" t="str">
        <f>waterRAS!F38</f>
        <v>FALSE</v>
      </c>
      <c r="J37" t="str">
        <f>waterRAS!G38</f>
        <v>FALSE</v>
      </c>
      <c r="K37">
        <f>waterREMIN!D38</f>
        <v>0</v>
      </c>
      <c r="L37" t="str">
        <f>waterTRANS!D38</f>
        <v>Fertilizer</v>
      </c>
      <c r="M37">
        <f>waterTRANS!E38</f>
        <v>0</v>
      </c>
      <c r="N37" t="str">
        <f>plantRetention!D38</f>
        <v>Deep flow technique</v>
      </c>
    </row>
    <row r="38" spans="1:14" x14ac:dyDescent="0.2">
      <c r="A38" t="str">
        <f>rearing!A39</f>
        <v>Atique2022</v>
      </c>
      <c r="B38" t="str">
        <f>rearing!C39</f>
        <v>RAS</v>
      </c>
      <c r="C38" t="s">
        <v>460</v>
      </c>
      <c r="D38" t="str">
        <f>plantRetention!C39</f>
        <v>-</v>
      </c>
      <c r="E38" t="str">
        <f>waterIN!E39</f>
        <v>tap</v>
      </c>
      <c r="F38" t="str">
        <f>rearing!B39</f>
        <v>Rainbow trout</v>
      </c>
      <c r="G38">
        <f>plantRetention!F39</f>
        <v>0</v>
      </c>
      <c r="H38">
        <f>waterRAS!E39</f>
        <v>0</v>
      </c>
      <c r="I38">
        <f>waterRAS!F39</f>
        <v>0</v>
      </c>
      <c r="J38">
        <f>waterRAS!G39</f>
        <v>0</v>
      </c>
      <c r="K38">
        <f>waterREMIN!D39</f>
        <v>0</v>
      </c>
      <c r="L38">
        <f>waterTRANS!D39</f>
        <v>0</v>
      </c>
      <c r="M38">
        <f>waterTRANS!E39</f>
        <v>0</v>
      </c>
      <c r="N38" t="str">
        <f>plantRetention!D39</f>
        <v>-</v>
      </c>
    </row>
    <row r="39" spans="1:14" x14ac:dyDescent="0.2">
      <c r="A39" t="str">
        <f>rearing!A40</f>
        <v>Atique2022</v>
      </c>
      <c r="B39" t="str">
        <f>rearing!C40</f>
        <v>Aquaponic</v>
      </c>
      <c r="C39" t="s">
        <v>452</v>
      </c>
      <c r="D39" t="str">
        <f>plantRetention!C40</f>
        <v>permanent</v>
      </c>
      <c r="E39" t="str">
        <f>waterIN!E40</f>
        <v>tap</v>
      </c>
      <c r="F39" t="str">
        <f>rearing!B40</f>
        <v>Rainbow trout</v>
      </c>
      <c r="G39">
        <f>plantRetention!F40</f>
        <v>0</v>
      </c>
      <c r="H39">
        <f>waterRAS!E40</f>
        <v>0</v>
      </c>
      <c r="I39">
        <f>waterRAS!F40</f>
        <v>0</v>
      </c>
      <c r="J39">
        <f>waterRAS!G40</f>
        <v>0</v>
      </c>
      <c r="K39">
        <f>waterREMIN!D40</f>
        <v>0</v>
      </c>
      <c r="L39">
        <f>waterTRANS!D40</f>
        <v>0</v>
      </c>
      <c r="M39">
        <f>waterTRANS!E40</f>
        <v>0</v>
      </c>
      <c r="N39">
        <f>plantRetention!D40</f>
        <v>0</v>
      </c>
    </row>
    <row r="40" spans="1:14" x14ac:dyDescent="0.2">
      <c r="A40" t="str">
        <f>rearing!A41</f>
        <v>Atique2022</v>
      </c>
      <c r="B40" t="str">
        <f>rearing!C41</f>
        <v>Hydroponic</v>
      </c>
      <c r="C40" t="s">
        <v>459</v>
      </c>
      <c r="D40" t="str">
        <f>plantRetention!C41</f>
        <v>-</v>
      </c>
      <c r="E40" t="str">
        <f>waterIN!E41</f>
        <v>tap</v>
      </c>
      <c r="F40" t="str">
        <f>rearing!B41</f>
        <v>Rainbow trout</v>
      </c>
      <c r="G40">
        <f>plantRetention!F41</f>
        <v>0</v>
      </c>
      <c r="H40">
        <f>waterRAS!E41</f>
        <v>0</v>
      </c>
      <c r="I40">
        <f>waterRAS!F41</f>
        <v>0</v>
      </c>
      <c r="J40">
        <f>waterRAS!G41</f>
        <v>0</v>
      </c>
      <c r="K40">
        <f>waterREMIN!D41</f>
        <v>0</v>
      </c>
      <c r="L40">
        <f>waterTRANS!D41</f>
        <v>0</v>
      </c>
      <c r="M40">
        <f>waterTRANS!E41</f>
        <v>0</v>
      </c>
      <c r="N40" t="str">
        <f>plantRetention!D41</f>
        <v>-</v>
      </c>
    </row>
    <row r="41" spans="1:14" x14ac:dyDescent="0.2">
      <c r="A41" t="str">
        <f>rearing!A42</f>
        <v>Zhu2022</v>
      </c>
      <c r="B41" t="str">
        <f>rearing!C42</f>
        <v>Aquaponic</v>
      </c>
      <c r="C41" t="s">
        <v>452</v>
      </c>
      <c r="D41" t="str">
        <f>plantRetention!C42</f>
        <v>permanent</v>
      </c>
      <c r="E41">
        <f>waterIN!E42</f>
        <v>0</v>
      </c>
      <c r="F41" t="str">
        <f>rearing!B42</f>
        <v>African catfish</v>
      </c>
      <c r="G41">
        <f>plantRetention!F42</f>
        <v>0</v>
      </c>
      <c r="H41">
        <f>waterRAS!E42</f>
        <v>0</v>
      </c>
      <c r="I41">
        <f>waterRAS!F42</f>
        <v>0</v>
      </c>
      <c r="J41">
        <f>waterRAS!G42</f>
        <v>0</v>
      </c>
      <c r="K41" t="str">
        <f>waterREMIN!D42</f>
        <v>anaerobic</v>
      </c>
      <c r="L41">
        <f>waterTRANS!D42</f>
        <v>0</v>
      </c>
      <c r="M41">
        <f>waterTRANS!E42</f>
        <v>0</v>
      </c>
      <c r="N41">
        <f>plantRetention!D42</f>
        <v>0</v>
      </c>
    </row>
    <row r="42" spans="1:14" x14ac:dyDescent="0.2">
      <c r="A42" t="str">
        <f>rearing!A43</f>
        <v>Zhu2022</v>
      </c>
      <c r="B42" t="str">
        <f>rearing!C43</f>
        <v>Hydroponic</v>
      </c>
      <c r="C42" t="s">
        <v>459</v>
      </c>
      <c r="D42" t="str">
        <f>plantRetention!C43</f>
        <v>-</v>
      </c>
      <c r="E42">
        <f>waterIN!E43</f>
        <v>0</v>
      </c>
      <c r="F42" t="str">
        <f>rearing!B43</f>
        <v>African catfish</v>
      </c>
      <c r="G42">
        <f>plantRetention!F43</f>
        <v>0</v>
      </c>
      <c r="H42">
        <f>waterRAS!E43</f>
        <v>0</v>
      </c>
      <c r="I42">
        <f>waterRAS!F43</f>
        <v>0</v>
      </c>
      <c r="J42">
        <f>waterRAS!G43</f>
        <v>0</v>
      </c>
      <c r="K42" t="str">
        <f>waterREMIN!D43</f>
        <v>anaerobic</v>
      </c>
      <c r="L42">
        <f>waterTRANS!D43</f>
        <v>0</v>
      </c>
      <c r="M42">
        <f>waterTRANS!E43</f>
        <v>0</v>
      </c>
      <c r="N42" t="str">
        <f>plantRetention!D43</f>
        <v>-</v>
      </c>
    </row>
    <row r="43" spans="1:14" x14ac:dyDescent="0.2">
      <c r="A43" t="str">
        <f>rearing!A44</f>
        <v>Delaide2019</v>
      </c>
      <c r="B43" t="str">
        <f>rearing!C44</f>
        <v>AP</v>
      </c>
      <c r="C43" t="s">
        <v>451</v>
      </c>
      <c r="D43" t="str">
        <f>plantRetention!C44</f>
        <v>-</v>
      </c>
      <c r="E43" t="str">
        <f>waterIN!E44</f>
        <v>well</v>
      </c>
      <c r="F43" t="str">
        <f>rearing!B44</f>
        <v>Pikeperch</v>
      </c>
      <c r="G43" t="str">
        <f>plantRetention!F44</f>
        <v>Solanum lycopersicum</v>
      </c>
      <c r="H43">
        <f>waterRAS!E44</f>
        <v>0</v>
      </c>
      <c r="I43">
        <f>waterRAS!F44</f>
        <v>0</v>
      </c>
      <c r="J43">
        <f>waterRAS!G44</f>
        <v>0</v>
      </c>
      <c r="K43">
        <f>waterREMIN!D44</f>
        <v>0</v>
      </c>
      <c r="L43" t="str">
        <f>waterTRANS!D44</f>
        <v>Fertilizer</v>
      </c>
      <c r="M43">
        <f>waterTRANS!E44</f>
        <v>0</v>
      </c>
      <c r="N43" t="str">
        <f>plantRetention!D44</f>
        <v>Drip irrigation</v>
      </c>
    </row>
    <row r="44" spans="1:14" x14ac:dyDescent="0.2">
      <c r="A44" t="str">
        <f>rearing!A45</f>
        <v>Delaide2019</v>
      </c>
      <c r="B44" t="str">
        <f>rearing!C45</f>
        <v>Control</v>
      </c>
      <c r="C44" t="s">
        <v>451</v>
      </c>
      <c r="D44" t="str">
        <f>plantRetention!C45</f>
        <v>-</v>
      </c>
      <c r="E44" t="str">
        <f>waterIN!E45</f>
        <v>well</v>
      </c>
      <c r="F44" t="str">
        <f>rearing!B45</f>
        <v>Pikeperch</v>
      </c>
      <c r="G44" t="str">
        <f>plantRetention!F45</f>
        <v>Solanum lycopersicum</v>
      </c>
      <c r="H44">
        <f>waterRAS!E45</f>
        <v>0</v>
      </c>
      <c r="I44">
        <f>waterRAS!F45</f>
        <v>0</v>
      </c>
      <c r="J44">
        <f>waterRAS!G45</f>
        <v>0</v>
      </c>
      <c r="K44">
        <f>waterREMIN!D45</f>
        <v>0</v>
      </c>
      <c r="L44" t="str">
        <f>waterTRANS!D45</f>
        <v>Fertilizer</v>
      </c>
      <c r="M44">
        <f>waterTRANS!E45</f>
        <v>0</v>
      </c>
      <c r="N44" t="str">
        <f>plantRetention!D45</f>
        <v>Drip irrigation</v>
      </c>
    </row>
    <row r="45" spans="1:14" x14ac:dyDescent="0.2">
      <c r="A45" t="str">
        <f>rearing!A46</f>
        <v>Knaus2022</v>
      </c>
      <c r="B45" t="str">
        <f>rearing!C46</f>
        <v>EbbFlow</v>
      </c>
      <c r="C45" t="s">
        <v>452</v>
      </c>
      <c r="D45" t="str">
        <f>plantRetention!C46</f>
        <v>on-demand</v>
      </c>
      <c r="E45">
        <f>waterIN!E46</f>
        <v>0</v>
      </c>
      <c r="F45" t="str">
        <f>rearing!B46</f>
        <v>African catfish</v>
      </c>
      <c r="G45" t="str">
        <f>plantRetention!F46</f>
        <v>Mentha spicata</v>
      </c>
      <c r="H45">
        <f>waterRAS!E46</f>
        <v>0</v>
      </c>
      <c r="I45">
        <f>waterRAS!F46</f>
        <v>0</v>
      </c>
      <c r="J45">
        <f>waterRAS!G46</f>
        <v>0</v>
      </c>
      <c r="K45">
        <f>waterREMIN!D46</f>
        <v>0</v>
      </c>
      <c r="L45">
        <f>waterTRANS!D46</f>
        <v>0</v>
      </c>
      <c r="M45">
        <f>waterTRANS!E46</f>
        <v>0</v>
      </c>
      <c r="N45" t="str">
        <f>plantRetention!D46</f>
        <v>Ebb-Flow</v>
      </c>
    </row>
    <row r="46" spans="1:14" x14ac:dyDescent="0.2">
      <c r="A46" t="str">
        <f>rearing!A47</f>
        <v>Knaus2022</v>
      </c>
      <c r="B46" t="str">
        <f>rearing!C47</f>
        <v>FloatingRaft</v>
      </c>
      <c r="C46" t="s">
        <v>452</v>
      </c>
      <c r="D46" t="str">
        <f>plantRetention!C47</f>
        <v>on-demand</v>
      </c>
      <c r="E46">
        <f>waterIN!E47</f>
        <v>0</v>
      </c>
      <c r="F46" t="str">
        <f>rearing!B47</f>
        <v>African catfish</v>
      </c>
      <c r="G46" t="str">
        <f>plantRetention!F47</f>
        <v>Mentha spicata</v>
      </c>
      <c r="H46">
        <f>waterRAS!E47</f>
        <v>0</v>
      </c>
      <c r="I46">
        <f>waterRAS!F47</f>
        <v>0</v>
      </c>
      <c r="J46">
        <f>waterRAS!G47</f>
        <v>0</v>
      </c>
      <c r="K46">
        <f>waterREMIN!D47</f>
        <v>0</v>
      </c>
      <c r="L46">
        <f>waterTRANS!D47</f>
        <v>0</v>
      </c>
      <c r="M46">
        <f>waterTRANS!E47</f>
        <v>0</v>
      </c>
      <c r="N46" t="str">
        <f>plantRetention!D47</f>
        <v>Floating Raft</v>
      </c>
    </row>
    <row r="47" spans="1:14" x14ac:dyDescent="0.2">
      <c r="A47" t="str">
        <f>rearing!A48</f>
        <v>Knaus2022</v>
      </c>
      <c r="B47" t="str">
        <f>rearing!C48</f>
        <v>GrowPipe</v>
      </c>
      <c r="C47" t="s">
        <v>452</v>
      </c>
      <c r="D47" t="str">
        <f>plantRetention!C48</f>
        <v>on-demand</v>
      </c>
      <c r="E47">
        <f>waterIN!E48</f>
        <v>0</v>
      </c>
      <c r="F47" t="str">
        <f>rearing!B48</f>
        <v>African catfish</v>
      </c>
      <c r="G47" t="str">
        <f>plantRetention!F48</f>
        <v>Mentha spicata</v>
      </c>
      <c r="H47">
        <f>waterRAS!E48</f>
        <v>0</v>
      </c>
      <c r="I47">
        <f>waterRAS!F48</f>
        <v>0</v>
      </c>
      <c r="J47">
        <f>waterRAS!G48</f>
        <v>0</v>
      </c>
      <c r="K47">
        <f>waterREMIN!D48</f>
        <v>0</v>
      </c>
      <c r="L47">
        <f>waterTRANS!D48</f>
        <v>0</v>
      </c>
      <c r="M47">
        <f>waterTRANS!E48</f>
        <v>0</v>
      </c>
      <c r="N47" t="str">
        <f>plantRetention!D48</f>
        <v>Grow Pipe</v>
      </c>
    </row>
    <row r="48" spans="1:14" x14ac:dyDescent="0.2">
      <c r="A48" t="str">
        <f>rearing!A49</f>
        <v>Suhl2016</v>
      </c>
      <c r="B48" t="str">
        <f>rearing!C49</f>
        <v>Aquaponic</v>
      </c>
      <c r="C48" t="s">
        <v>452</v>
      </c>
      <c r="D48" t="str">
        <f>plantRetention!C49</f>
        <v>on-demand</v>
      </c>
      <c r="E48">
        <f>waterIN!E49</f>
        <v>0</v>
      </c>
      <c r="F48" t="str">
        <f>rearing!B49</f>
        <v>Nile tilapia</v>
      </c>
      <c r="G48" t="str">
        <f>plantRetention!F49</f>
        <v>Solanum lycopersicum</v>
      </c>
      <c r="H48">
        <f>waterRAS!E49</f>
        <v>0</v>
      </c>
      <c r="I48">
        <f>waterRAS!F49</f>
        <v>0</v>
      </c>
      <c r="J48">
        <f>waterRAS!G49</f>
        <v>0</v>
      </c>
      <c r="K48">
        <f>waterREMIN!D49</f>
        <v>0</v>
      </c>
      <c r="L48" t="str">
        <f>waterTRANS!D49</f>
        <v>Fertilizer</v>
      </c>
      <c r="M48">
        <f>waterTRANS!E49</f>
        <v>0</v>
      </c>
      <c r="N48">
        <f>plantRetention!D49</f>
        <v>0</v>
      </c>
    </row>
    <row r="49" spans="1:14" x14ac:dyDescent="0.2">
      <c r="A49" t="str">
        <f>rearing!A50</f>
        <v>Suhl2016</v>
      </c>
      <c r="B49" t="str">
        <f>rearing!C50</f>
        <v>Hydroponic</v>
      </c>
      <c r="C49" t="s">
        <v>459</v>
      </c>
      <c r="D49" t="s">
        <v>409</v>
      </c>
      <c r="E49">
        <f>waterIN!E50</f>
        <v>0</v>
      </c>
      <c r="F49" t="str">
        <f>rearing!B50</f>
        <v>Nile tilapia</v>
      </c>
      <c r="G49" t="str">
        <f>plantRetention!F50</f>
        <v>Solanum lycopersicum</v>
      </c>
      <c r="H49">
        <f>waterRAS!E50</f>
        <v>0</v>
      </c>
      <c r="I49">
        <f>waterRAS!F50</f>
        <v>0</v>
      </c>
      <c r="J49">
        <f>waterRAS!G50</f>
        <v>0</v>
      </c>
      <c r="K49">
        <f>waterREMIN!D50</f>
        <v>0</v>
      </c>
      <c r="L49" t="str">
        <f>waterTRANS!D50</f>
        <v>Fertilizer</v>
      </c>
      <c r="M49">
        <f>waterTRANS!E50</f>
        <v>0</v>
      </c>
      <c r="N49">
        <f>plantRetention!D50</f>
        <v>0</v>
      </c>
    </row>
    <row r="50" spans="1:14" x14ac:dyDescent="0.2">
      <c r="A50" t="str">
        <f>rearing!A51</f>
        <v>Medina2016</v>
      </c>
      <c r="B50" t="str">
        <f>rearing!C51</f>
        <v>Control</v>
      </c>
      <c r="C50" t="s">
        <v>452</v>
      </c>
      <c r="D50" t="str">
        <f>plantRetention!C51</f>
        <v>permanent</v>
      </c>
      <c r="E50">
        <f>waterIN!E51</f>
        <v>0</v>
      </c>
      <c r="F50" t="str">
        <f>rearing!B51</f>
        <v>Blue tilapia</v>
      </c>
      <c r="G50" t="str">
        <f>plantRetention!F51</f>
        <v>Amaranthus tricolor</v>
      </c>
      <c r="H50">
        <f>waterRAS!E51</f>
        <v>0</v>
      </c>
      <c r="I50">
        <f>waterRAS!F51</f>
        <v>0</v>
      </c>
      <c r="J50">
        <f>waterRAS!G51</f>
        <v>0</v>
      </c>
      <c r="K50">
        <f>waterREMIN!D51</f>
        <v>0</v>
      </c>
      <c r="L50">
        <f>waterTRANS!D51</f>
        <v>0</v>
      </c>
      <c r="M50">
        <f>waterTRANS!E51</f>
        <v>0</v>
      </c>
      <c r="N50" t="str">
        <f>plantRetention!D51</f>
        <v>Clay gravel</v>
      </c>
    </row>
    <row r="51" spans="1:14" x14ac:dyDescent="0.2">
      <c r="A51" t="str">
        <f>rearing!A52</f>
        <v>Medina2016</v>
      </c>
      <c r="B51" t="str">
        <f>rearing!C52</f>
        <v>Alternative</v>
      </c>
      <c r="C51" t="s">
        <v>452</v>
      </c>
      <c r="D51" t="str">
        <f>plantRetention!C52</f>
        <v>permanent</v>
      </c>
      <c r="E51">
        <f>waterIN!E52</f>
        <v>0</v>
      </c>
      <c r="F51" t="str">
        <f>rearing!B52</f>
        <v>Blue tilapia</v>
      </c>
      <c r="G51" t="str">
        <f>plantRetention!F52</f>
        <v>Amaranthus tricolor</v>
      </c>
      <c r="H51">
        <f>waterRAS!E52</f>
        <v>0</v>
      </c>
      <c r="I51">
        <f>waterRAS!F52</f>
        <v>0</v>
      </c>
      <c r="J51">
        <f>waterRAS!G52</f>
        <v>0</v>
      </c>
      <c r="K51">
        <f>waterREMIN!D52</f>
        <v>0</v>
      </c>
      <c r="L51">
        <f>waterTRANS!D52</f>
        <v>0</v>
      </c>
      <c r="M51">
        <f>waterTRANS!E52</f>
        <v>0</v>
      </c>
      <c r="N51" t="str">
        <f>plantRetention!D52</f>
        <v>Clay gravel</v>
      </c>
    </row>
    <row r="52" spans="1:14" x14ac:dyDescent="0.2">
      <c r="A52" t="str">
        <f>rearing!A53</f>
        <v>Schmautz2016</v>
      </c>
      <c r="B52" t="str">
        <f>rearing!C53</f>
        <v>NFT</v>
      </c>
      <c r="C52" t="s">
        <v>452</v>
      </c>
      <c r="D52" t="str">
        <f>plantRetention!C53</f>
        <v>permanent</v>
      </c>
      <c r="E52">
        <f>waterIN!E53</f>
        <v>0</v>
      </c>
      <c r="F52" t="str">
        <f>rearing!B53</f>
        <v>Nile tilapia</v>
      </c>
      <c r="G52" t="str">
        <f>plantRetention!F53</f>
        <v>Solanum lycopersicum</v>
      </c>
      <c r="H52">
        <f>waterRAS!E53</f>
        <v>0</v>
      </c>
      <c r="I52">
        <f>waterRAS!F53</f>
        <v>0</v>
      </c>
      <c r="J52">
        <f>waterRAS!G53</f>
        <v>0</v>
      </c>
      <c r="K52">
        <f>waterREMIN!D53</f>
        <v>0</v>
      </c>
      <c r="L52">
        <f>waterTRANS!D53</f>
        <v>0</v>
      </c>
      <c r="M52">
        <f>waterTRANS!E53</f>
        <v>0</v>
      </c>
      <c r="N52" t="str">
        <f>plantRetention!D53</f>
        <v>Nutrient film technique</v>
      </c>
    </row>
    <row r="53" spans="1:14" x14ac:dyDescent="0.2">
      <c r="A53" t="str">
        <f>rearing!A54</f>
        <v>Schmautz2016</v>
      </c>
      <c r="B53" t="str">
        <f>rearing!C54</f>
        <v>Raft</v>
      </c>
      <c r="C53" t="s">
        <v>452</v>
      </c>
      <c r="D53" t="str">
        <f>plantRetention!C54</f>
        <v>permanent</v>
      </c>
      <c r="E53">
        <f>waterIN!E54</f>
        <v>0</v>
      </c>
      <c r="F53" t="str">
        <f>rearing!B54</f>
        <v>Nile tilapia</v>
      </c>
      <c r="G53" t="str">
        <f>plantRetention!F54</f>
        <v>Solanum lycopersicum</v>
      </c>
      <c r="H53">
        <f>waterRAS!E54</f>
        <v>0</v>
      </c>
      <c r="I53">
        <f>waterRAS!F54</f>
        <v>0</v>
      </c>
      <c r="J53">
        <f>waterRAS!G54</f>
        <v>0</v>
      </c>
      <c r="K53">
        <f>waterREMIN!D54</f>
        <v>0</v>
      </c>
      <c r="L53">
        <f>waterTRANS!D54</f>
        <v>0</v>
      </c>
      <c r="M53">
        <f>waterTRANS!E54</f>
        <v>0</v>
      </c>
      <c r="N53" t="str">
        <f>plantRetention!D54</f>
        <v>Floating Raft</v>
      </c>
    </row>
    <row r="54" spans="1:14" x14ac:dyDescent="0.2">
      <c r="A54" t="str">
        <f>rearing!A55</f>
        <v>Schmautz2016</v>
      </c>
      <c r="B54" t="str">
        <f>rearing!C55</f>
        <v>Drip</v>
      </c>
      <c r="C54" t="s">
        <v>452</v>
      </c>
      <c r="D54" t="str">
        <f>plantRetention!C55</f>
        <v>permanent</v>
      </c>
      <c r="E54">
        <f>waterIN!E55</f>
        <v>0</v>
      </c>
      <c r="F54" t="str">
        <f>rearing!B55</f>
        <v>Nile tilapia</v>
      </c>
      <c r="G54" t="str">
        <f>plantRetention!F55</f>
        <v>Solanum lycopersicum</v>
      </c>
      <c r="H54">
        <f>waterRAS!E55</f>
        <v>0</v>
      </c>
      <c r="I54">
        <f>waterRAS!F55</f>
        <v>0</v>
      </c>
      <c r="J54">
        <f>waterRAS!G55</f>
        <v>0</v>
      </c>
      <c r="K54">
        <f>waterREMIN!D55</f>
        <v>0</v>
      </c>
      <c r="L54">
        <f>waterTRANS!D55</f>
        <v>0</v>
      </c>
      <c r="M54">
        <f>waterTRANS!E55</f>
        <v>0</v>
      </c>
      <c r="N54" t="str">
        <f>plantRetention!D55</f>
        <v>Drip irrigation</v>
      </c>
    </row>
    <row r="55" spans="1:14" x14ac:dyDescent="0.2">
      <c r="A55" t="str">
        <f>rearing!A56</f>
        <v>Knaus2020</v>
      </c>
      <c r="B55" t="str">
        <f>rearing!C56</f>
        <v>GrowPipe</v>
      </c>
      <c r="C55" t="s">
        <v>452</v>
      </c>
      <c r="D55" t="str">
        <f>plantRetention!C56</f>
        <v>on-demand</v>
      </c>
      <c r="E55">
        <f>waterIN!E56</f>
        <v>0</v>
      </c>
      <c r="F55" t="str">
        <f>rearing!B56</f>
        <v>African catfish</v>
      </c>
      <c r="G55" t="str">
        <f>plantRetention!F56</f>
        <v>Ocium basalicum</v>
      </c>
      <c r="H55">
        <f>waterRAS!E56</f>
        <v>0</v>
      </c>
      <c r="I55">
        <f>waterRAS!F56</f>
        <v>0</v>
      </c>
      <c r="J55">
        <f>waterRAS!G56</f>
        <v>0</v>
      </c>
      <c r="K55">
        <f>waterREMIN!D56</f>
        <v>0</v>
      </c>
      <c r="L55">
        <f>waterTRANS!D56</f>
        <v>0</v>
      </c>
      <c r="M55">
        <f>waterTRANS!E56</f>
        <v>0</v>
      </c>
      <c r="N55" t="str">
        <f>plantRetention!D56</f>
        <v>Grow Pipe</v>
      </c>
    </row>
    <row r="56" spans="1:14" x14ac:dyDescent="0.2">
      <c r="A56" t="str">
        <f>rearing!A57</f>
        <v>Knaus2020</v>
      </c>
      <c r="B56" t="str">
        <f>rearing!C57</f>
        <v>Raft</v>
      </c>
      <c r="C56" t="s">
        <v>452</v>
      </c>
      <c r="D56" t="str">
        <f>plantRetention!C57</f>
        <v>on-demand</v>
      </c>
      <c r="E56">
        <f>waterIN!E57</f>
        <v>0</v>
      </c>
      <c r="F56" t="str">
        <f>rearing!B57</f>
        <v>African catfish</v>
      </c>
      <c r="G56" t="str">
        <f>plantRetention!F57</f>
        <v>Ocium basalicum</v>
      </c>
      <c r="H56">
        <f>waterRAS!E57</f>
        <v>0</v>
      </c>
      <c r="I56">
        <f>waterRAS!F57</f>
        <v>0</v>
      </c>
      <c r="J56">
        <f>waterRAS!G57</f>
        <v>0</v>
      </c>
      <c r="K56">
        <f>waterREMIN!D57</f>
        <v>0</v>
      </c>
      <c r="L56">
        <f>waterTRANS!D57</f>
        <v>0</v>
      </c>
      <c r="M56">
        <f>waterTRANS!E57</f>
        <v>0</v>
      </c>
      <c r="N56" t="str">
        <f>plantRetention!D57</f>
        <v>Floating Raft</v>
      </c>
    </row>
    <row r="57" spans="1:14" x14ac:dyDescent="0.2">
      <c r="A57" t="str">
        <f>rearing!A58</f>
        <v>Knaus2020</v>
      </c>
      <c r="B57" t="str">
        <f>rearing!C58</f>
        <v>Gravel</v>
      </c>
      <c r="C57" t="s">
        <v>452</v>
      </c>
      <c r="D57" t="str">
        <f>plantRetention!C58</f>
        <v>on-demand</v>
      </c>
      <c r="E57">
        <f>waterIN!E58</f>
        <v>0</v>
      </c>
      <c r="F57" t="str">
        <f>rearing!B58</f>
        <v>African catfish</v>
      </c>
      <c r="G57" t="str">
        <f>plantRetention!F58</f>
        <v>Ocium basalicum</v>
      </c>
      <c r="H57">
        <f>waterRAS!E58</f>
        <v>0</v>
      </c>
      <c r="I57">
        <f>waterRAS!F58</f>
        <v>0</v>
      </c>
      <c r="J57">
        <f>waterRAS!G58</f>
        <v>0</v>
      </c>
      <c r="K57">
        <f>waterREMIN!D58</f>
        <v>0</v>
      </c>
      <c r="L57">
        <f>waterTRANS!D58</f>
        <v>0</v>
      </c>
      <c r="M57">
        <f>waterTRANS!E58</f>
        <v>0</v>
      </c>
      <c r="N57" t="str">
        <f>plantRetention!D58</f>
        <v>Gravel Substrate</v>
      </c>
    </row>
    <row r="58" spans="1:14" x14ac:dyDescent="0.2">
      <c r="A58" t="str">
        <f>rearing!A59</f>
        <v>Pasch2021</v>
      </c>
      <c r="B58" t="str">
        <f>rearing!C59</f>
        <v>Aeroponics</v>
      </c>
      <c r="C58" t="s">
        <v>452</v>
      </c>
      <c r="D58" t="str">
        <f>plantRetention!C59</f>
        <v>on-demand</v>
      </c>
      <c r="E58">
        <f>waterIN!E59</f>
        <v>0</v>
      </c>
      <c r="F58" t="str">
        <f>rearing!B59</f>
        <v>African catfish</v>
      </c>
      <c r="G58" t="str">
        <f>plantRetention!F59</f>
        <v>Ocium basalicum</v>
      </c>
      <c r="H58">
        <f>waterRAS!E59</f>
        <v>0</v>
      </c>
      <c r="I58">
        <f>waterRAS!F59</f>
        <v>0</v>
      </c>
      <c r="J58">
        <f>waterRAS!G59</f>
        <v>0</v>
      </c>
      <c r="K58">
        <f>waterREMIN!D59</f>
        <v>0</v>
      </c>
      <c r="L58">
        <f>waterTRANS!D59</f>
        <v>0</v>
      </c>
      <c r="M58">
        <f>waterTRANS!E59</f>
        <v>0</v>
      </c>
      <c r="N58" t="str">
        <f>plantRetention!D59</f>
        <v>Aeroponics</v>
      </c>
    </row>
    <row r="59" spans="1:14" x14ac:dyDescent="0.2">
      <c r="A59" t="str">
        <f>rearing!A60</f>
        <v>Pasch2021</v>
      </c>
      <c r="B59" t="str">
        <f>rearing!C60</f>
        <v>DRF</v>
      </c>
      <c r="C59" t="s">
        <v>452</v>
      </c>
      <c r="D59" t="str">
        <f>plantRetention!C60</f>
        <v>on-demand</v>
      </c>
      <c r="E59">
        <f>waterIN!E60</f>
        <v>0</v>
      </c>
      <c r="F59" t="str">
        <f>rearing!B60</f>
        <v>African catfish</v>
      </c>
      <c r="G59" t="str">
        <f>plantRetention!F60</f>
        <v>Ocium basalicum</v>
      </c>
      <c r="H59">
        <f>waterRAS!E60</f>
        <v>0</v>
      </c>
      <c r="I59">
        <f>waterRAS!F60</f>
        <v>0</v>
      </c>
      <c r="J59">
        <f>waterRAS!G60</f>
        <v>0</v>
      </c>
      <c r="K59">
        <f>waterREMIN!D60</f>
        <v>0</v>
      </c>
      <c r="L59">
        <f>waterTRANS!D60</f>
        <v>0</v>
      </c>
      <c r="M59">
        <f>waterTRANS!E60</f>
        <v>0</v>
      </c>
      <c r="N59" t="str">
        <f>plantRetention!D60</f>
        <v>Dynamic Root Floating</v>
      </c>
    </row>
    <row r="60" spans="1:14" x14ac:dyDescent="0.2">
      <c r="A60" t="str">
        <f>rearing!A61</f>
        <v>Pasch2021</v>
      </c>
      <c r="B60" t="str">
        <f>rearing!C61</f>
        <v>Raft</v>
      </c>
      <c r="C60" t="s">
        <v>452</v>
      </c>
      <c r="D60" t="str">
        <f>plantRetention!C61</f>
        <v>on-demand</v>
      </c>
      <c r="E60">
        <f>waterIN!E61</f>
        <v>0</v>
      </c>
      <c r="F60" t="str">
        <f>rearing!B61</f>
        <v>African catfish</v>
      </c>
      <c r="G60" t="str">
        <f>plantRetention!F61</f>
        <v>Ocium basalicum</v>
      </c>
      <c r="H60">
        <f>waterRAS!E61</f>
        <v>0</v>
      </c>
      <c r="I60">
        <f>waterRAS!F61</f>
        <v>0</v>
      </c>
      <c r="J60">
        <f>waterRAS!G61</f>
        <v>0</v>
      </c>
      <c r="K60">
        <f>waterREMIN!D61</f>
        <v>0</v>
      </c>
      <c r="L60">
        <f>waterTRANS!D61</f>
        <v>0</v>
      </c>
      <c r="M60">
        <f>waterTRANS!E61</f>
        <v>0</v>
      </c>
      <c r="N60" t="str">
        <f>plantRetention!D61</f>
        <v>Floating Raft</v>
      </c>
    </row>
    <row r="61" spans="1:14" x14ac:dyDescent="0.2">
      <c r="A61" t="str">
        <f>rearing!A62</f>
        <v>Pasch2021a</v>
      </c>
      <c r="B61" t="str">
        <f>rearing!C62</f>
        <v>DRF</v>
      </c>
      <c r="C61" t="s">
        <v>452</v>
      </c>
      <c r="D61" t="str">
        <f>plantRetention!C62</f>
        <v>on-demand</v>
      </c>
      <c r="E61">
        <f>waterIN!E62</f>
        <v>0</v>
      </c>
      <c r="F61" t="str">
        <f>rearing!B62</f>
        <v>African catfish</v>
      </c>
      <c r="G61" t="str">
        <f>plantRetention!F62</f>
        <v>Ocium basalicum</v>
      </c>
      <c r="H61">
        <f>waterRAS!E62</f>
        <v>0</v>
      </c>
      <c r="I61">
        <f>waterRAS!F62</f>
        <v>0</v>
      </c>
      <c r="J61">
        <f>waterRAS!G62</f>
        <v>0</v>
      </c>
      <c r="K61">
        <f>waterREMIN!D62</f>
        <v>0</v>
      </c>
      <c r="L61">
        <f>waterTRANS!D62</f>
        <v>0</v>
      </c>
      <c r="M61">
        <f>waterTRANS!E62</f>
        <v>0</v>
      </c>
      <c r="N61" t="str">
        <f>plantRetention!D62</f>
        <v>Dynamic Root Floating</v>
      </c>
    </row>
    <row r="62" spans="1:14" x14ac:dyDescent="0.2">
      <c r="A62" t="str">
        <f>rearing!A63</f>
        <v>Pasch2021a</v>
      </c>
      <c r="B62" t="str">
        <f>rearing!C63</f>
        <v>Raft</v>
      </c>
      <c r="C62" t="s">
        <v>452</v>
      </c>
      <c r="D62" t="str">
        <f>plantRetention!C63</f>
        <v>on-demand</v>
      </c>
      <c r="E62">
        <f>waterIN!E63</f>
        <v>0</v>
      </c>
      <c r="F62" t="str">
        <f>rearing!B63</f>
        <v>African catfish</v>
      </c>
      <c r="G62" t="str">
        <f>plantRetention!F63</f>
        <v>Ocium basalicum</v>
      </c>
      <c r="H62">
        <f>waterRAS!E63</f>
        <v>0</v>
      </c>
      <c r="I62">
        <f>waterRAS!F63</f>
        <v>0</v>
      </c>
      <c r="J62">
        <f>waterRAS!G63</f>
        <v>0</v>
      </c>
      <c r="K62">
        <f>waterREMIN!D63</f>
        <v>0</v>
      </c>
      <c r="L62">
        <f>waterTRANS!D63</f>
        <v>0</v>
      </c>
      <c r="M62">
        <f>waterTRANS!E63</f>
        <v>0</v>
      </c>
      <c r="N62" t="str">
        <f>plantRetention!D63</f>
        <v>Floating Raft</v>
      </c>
    </row>
    <row r="63" spans="1:14" x14ac:dyDescent="0.2">
      <c r="A63" t="str">
        <f>rearing!A64</f>
        <v>Pasch2021a</v>
      </c>
      <c r="B63" t="str">
        <f>rearing!C64</f>
        <v>GrowPipe</v>
      </c>
      <c r="C63" t="s">
        <v>452</v>
      </c>
      <c r="D63" t="str">
        <f>plantRetention!C64</f>
        <v>on-demand</v>
      </c>
      <c r="E63">
        <f>waterIN!E64</f>
        <v>0</v>
      </c>
      <c r="F63" t="str">
        <f>rearing!B64</f>
        <v>African catfish</v>
      </c>
      <c r="G63" t="str">
        <f>plantRetention!F64</f>
        <v>Ocium basalicum</v>
      </c>
      <c r="H63">
        <f>waterRAS!E64</f>
        <v>0</v>
      </c>
      <c r="I63">
        <f>waterRAS!F64</f>
        <v>0</v>
      </c>
      <c r="J63">
        <f>waterRAS!G64</f>
        <v>0</v>
      </c>
      <c r="K63">
        <f>waterREMIN!D64</f>
        <v>0</v>
      </c>
      <c r="L63">
        <f>waterTRANS!D64</f>
        <v>0</v>
      </c>
      <c r="M63">
        <f>waterTRANS!E64</f>
        <v>0</v>
      </c>
      <c r="N63" t="str">
        <f>plantRetention!D64</f>
        <v>Grow Pipe</v>
      </c>
    </row>
    <row r="64" spans="1:14" x14ac:dyDescent="0.2">
      <c r="A64" t="str">
        <f>rearing!A65</f>
        <v>Delaide2017</v>
      </c>
      <c r="B64" t="str">
        <f>rearing!C65</f>
        <v>Lettuce</v>
      </c>
      <c r="C64" t="s">
        <v>452</v>
      </c>
      <c r="D64" t="str">
        <f>plantRetention!C65</f>
        <v>permanent</v>
      </c>
      <c r="E64">
        <f>waterIN!E65</f>
        <v>0</v>
      </c>
      <c r="F64" t="str">
        <f>rearing!B65</f>
        <v>Nile tilapia</v>
      </c>
      <c r="G64" t="str">
        <f>plantRetention!F65</f>
        <v>Latuca sativa</v>
      </c>
      <c r="H64">
        <f>waterRAS!E65</f>
        <v>0</v>
      </c>
      <c r="I64">
        <f>waterRAS!F65</f>
        <v>0</v>
      </c>
      <c r="J64">
        <f>waterRAS!G65</f>
        <v>0</v>
      </c>
      <c r="K64">
        <f>waterREMIN!D65</f>
        <v>0</v>
      </c>
      <c r="L64">
        <f>waterTRANS!D65</f>
        <v>0</v>
      </c>
      <c r="M64">
        <f>waterTRANS!E65</f>
        <v>0</v>
      </c>
      <c r="N64" t="str">
        <f>plantRetention!D65</f>
        <v>Deep flow technique</v>
      </c>
    </row>
    <row r="65" spans="1:14" x14ac:dyDescent="0.2">
      <c r="A65" t="str">
        <f>rearing!A66</f>
        <v>Delaide2017</v>
      </c>
      <c r="B65" t="str">
        <f>rearing!C66</f>
        <v>Basil</v>
      </c>
      <c r="C65" t="s">
        <v>452</v>
      </c>
      <c r="D65" t="str">
        <f>plantRetention!C66</f>
        <v>permanent</v>
      </c>
      <c r="E65">
        <f>waterIN!E66</f>
        <v>0</v>
      </c>
      <c r="F65" t="str">
        <f>rearing!B66</f>
        <v>Nile tilapia</v>
      </c>
      <c r="G65" t="str">
        <f>plantRetention!F66</f>
        <v>Ocium basalicum</v>
      </c>
      <c r="H65">
        <f>waterRAS!E66</f>
        <v>0</v>
      </c>
      <c r="I65">
        <f>waterRAS!F66</f>
        <v>0</v>
      </c>
      <c r="J65">
        <f>waterRAS!G66</f>
        <v>0</v>
      </c>
      <c r="K65">
        <f>waterREMIN!D66</f>
        <v>0</v>
      </c>
      <c r="L65">
        <f>waterTRANS!D66</f>
        <v>0</v>
      </c>
      <c r="M65">
        <f>waterTRANS!E66</f>
        <v>0</v>
      </c>
      <c r="N65" t="str">
        <f>plantRetention!D66</f>
        <v>Deep flow technique</v>
      </c>
    </row>
    <row r="66" spans="1:14" x14ac:dyDescent="0.2">
      <c r="A66" t="str">
        <f>rearing!A67</f>
        <v>Lunda2019</v>
      </c>
      <c r="B66" t="str">
        <f>rearing!C67</f>
        <v>FROV</v>
      </c>
      <c r="D66" t="str">
        <f>plantRetention!C67</f>
        <v>on-demand</v>
      </c>
      <c r="E66">
        <f>waterIN!E67</f>
        <v>0</v>
      </c>
      <c r="F66">
        <f>rearing!B67</f>
        <v>0</v>
      </c>
      <c r="G66">
        <f>plantRetention!F67</f>
        <v>0</v>
      </c>
      <c r="H66">
        <f>waterRAS!E67</f>
        <v>0</v>
      </c>
      <c r="I66">
        <f>waterRAS!F67</f>
        <v>0</v>
      </c>
      <c r="J66">
        <f>waterRAS!G67</f>
        <v>0</v>
      </c>
      <c r="K66">
        <f>waterREMIN!D67</f>
        <v>0</v>
      </c>
      <c r="L66">
        <f>waterTRANS!D67</f>
        <v>0</v>
      </c>
      <c r="M66">
        <f>waterTRANS!E67</f>
        <v>0</v>
      </c>
      <c r="N66" t="str">
        <f>plantRetention!D67</f>
        <v>-</v>
      </c>
    </row>
    <row r="67" spans="1:14" x14ac:dyDescent="0.2">
      <c r="A67" t="str">
        <f>rearing!A68</f>
        <v>Lunda2019</v>
      </c>
      <c r="B67" t="str">
        <f>rearing!C68</f>
        <v>ANAPARTNERS</v>
      </c>
      <c r="D67" t="str">
        <f>plantRetention!C68</f>
        <v>-</v>
      </c>
      <c r="E67">
        <f>waterIN!E68</f>
        <v>0</v>
      </c>
      <c r="F67">
        <f>rearing!B68</f>
        <v>0</v>
      </c>
      <c r="G67">
        <f>plantRetention!F68</f>
        <v>0</v>
      </c>
      <c r="H67">
        <f>waterRAS!E68</f>
        <v>0</v>
      </c>
      <c r="I67">
        <f>waterRAS!F68</f>
        <v>0</v>
      </c>
      <c r="J67">
        <f>waterRAS!G68</f>
        <v>0</v>
      </c>
      <c r="K67">
        <f>waterREMIN!D68</f>
        <v>0</v>
      </c>
      <c r="L67">
        <f>waterTRANS!D68</f>
        <v>0</v>
      </c>
      <c r="M67">
        <f>waterTRANS!E68</f>
        <v>0</v>
      </c>
      <c r="N67" t="str">
        <f>plantRetention!D68</f>
        <v>-</v>
      </c>
    </row>
    <row r="68" spans="1:14" x14ac:dyDescent="0.2">
      <c r="A68" t="str">
        <f>rearing!A69</f>
        <v>Lunda2019</v>
      </c>
      <c r="B68" t="str">
        <f>rearing!C69</f>
        <v>ROKYTNO</v>
      </c>
      <c r="D68" t="str">
        <f>plantRetention!C69</f>
        <v>-</v>
      </c>
      <c r="E68">
        <f>waterIN!E69</f>
        <v>0</v>
      </c>
      <c r="F68">
        <f>rearing!B69</f>
        <v>0</v>
      </c>
      <c r="G68">
        <f>plantRetention!F69</f>
        <v>0</v>
      </c>
      <c r="H68">
        <f>waterRAS!E69</f>
        <v>0</v>
      </c>
      <c r="I68">
        <f>waterRAS!F69</f>
        <v>0</v>
      </c>
      <c r="J68">
        <f>waterRAS!G69</f>
        <v>0</v>
      </c>
      <c r="K68">
        <f>waterREMIN!D69</f>
        <v>0</v>
      </c>
      <c r="L68">
        <f>waterTRANS!D69</f>
        <v>0</v>
      </c>
      <c r="M68">
        <f>waterTRANS!E69</f>
        <v>0</v>
      </c>
      <c r="N68" t="str">
        <f>plantRetention!D69</f>
        <v>-</v>
      </c>
    </row>
    <row r="69" spans="1:14" x14ac:dyDescent="0.2">
      <c r="A69" t="str">
        <f>rearing!A70</f>
        <v>Knaus2017</v>
      </c>
      <c r="B69" t="str">
        <f>rearing!C70</f>
        <v>Unit I</v>
      </c>
      <c r="C69" t="s">
        <v>452</v>
      </c>
      <c r="D69" t="str">
        <f>plantRetention!C70</f>
        <v>permanent</v>
      </c>
      <c r="E69">
        <f>waterIN!E70</f>
        <v>0</v>
      </c>
      <c r="F69" t="str">
        <f>rearing!B70</f>
        <v>Nile tilapia</v>
      </c>
      <c r="G69">
        <f>plantRetention!F70</f>
        <v>0</v>
      </c>
      <c r="H69">
        <f>waterRAS!E70</f>
        <v>0</v>
      </c>
      <c r="I69">
        <f>waterRAS!F70</f>
        <v>0</v>
      </c>
      <c r="J69">
        <f>waterRAS!G70</f>
        <v>0</v>
      </c>
      <c r="K69">
        <f>waterREMIN!D70</f>
        <v>0</v>
      </c>
      <c r="L69">
        <f>waterTRANS!D70</f>
        <v>0</v>
      </c>
      <c r="M69">
        <f>waterTRANS!E70</f>
        <v>0</v>
      </c>
      <c r="N69">
        <f>plantRetention!D70</f>
        <v>0</v>
      </c>
    </row>
    <row r="70" spans="1:14" x14ac:dyDescent="0.2">
      <c r="A70" t="str">
        <f>rearing!A71</f>
        <v>Knaus2017</v>
      </c>
      <c r="B70" t="str">
        <f>rearing!C71</f>
        <v>Unit I</v>
      </c>
      <c r="C70" t="s">
        <v>452</v>
      </c>
      <c r="D70" t="str">
        <f>plantRetention!C71</f>
        <v>permanent</v>
      </c>
      <c r="E70">
        <f>waterIN!E71</f>
        <v>0</v>
      </c>
      <c r="F70" t="str">
        <f>rearing!B71</f>
        <v>Nile tilapia</v>
      </c>
      <c r="G70">
        <f>plantRetention!F71</f>
        <v>0</v>
      </c>
      <c r="H70">
        <f>waterRAS!E71</f>
        <v>0</v>
      </c>
      <c r="I70">
        <f>waterRAS!F71</f>
        <v>0</v>
      </c>
      <c r="J70">
        <f>waterRAS!G71</f>
        <v>0</v>
      </c>
      <c r="K70">
        <f>waterREMIN!D71</f>
        <v>0</v>
      </c>
      <c r="L70">
        <f>waterTRANS!D71</f>
        <v>0</v>
      </c>
      <c r="M70">
        <f>waterTRANS!E71</f>
        <v>0</v>
      </c>
      <c r="N70">
        <f>plantRetention!D71</f>
        <v>0</v>
      </c>
    </row>
    <row r="71" spans="1:14" x14ac:dyDescent="0.2">
      <c r="A71" t="str">
        <f>rearing!A72</f>
        <v>Knaus2017</v>
      </c>
      <c r="B71" t="str">
        <f>rearing!C72</f>
        <v>Unit II</v>
      </c>
      <c r="C71" t="s">
        <v>452</v>
      </c>
      <c r="D71" t="str">
        <f>plantRetention!C72</f>
        <v>permanent</v>
      </c>
      <c r="E71">
        <f>waterIN!E72</f>
        <v>0</v>
      </c>
      <c r="F71" t="str">
        <f>rearing!B72</f>
        <v>African catfish</v>
      </c>
      <c r="G71">
        <f>plantRetention!F72</f>
        <v>0</v>
      </c>
      <c r="H71">
        <f>waterRAS!E72</f>
        <v>0</v>
      </c>
      <c r="I71">
        <f>waterRAS!F72</f>
        <v>0</v>
      </c>
      <c r="J71">
        <f>waterRAS!G72</f>
        <v>0</v>
      </c>
      <c r="K71">
        <f>waterREMIN!D72</f>
        <v>0</v>
      </c>
      <c r="L71">
        <f>waterTRANS!D72</f>
        <v>0</v>
      </c>
      <c r="M71">
        <f>waterTRANS!E72</f>
        <v>0</v>
      </c>
      <c r="N71">
        <f>plantRetention!D72</f>
        <v>0</v>
      </c>
    </row>
    <row r="72" spans="1:14" x14ac:dyDescent="0.2">
      <c r="A72" t="str">
        <f>rearing!A73</f>
        <v>Knaus2017</v>
      </c>
      <c r="B72" t="str">
        <f>rearing!C73</f>
        <v>Unit II</v>
      </c>
      <c r="C72" t="s">
        <v>452</v>
      </c>
      <c r="D72" t="str">
        <f>plantRetention!C73</f>
        <v>permanent</v>
      </c>
      <c r="E72">
        <f>waterIN!E73</f>
        <v>0</v>
      </c>
      <c r="F72" t="str">
        <f>rearing!B73</f>
        <v>African catfish</v>
      </c>
      <c r="G72">
        <f>plantRetention!F73</f>
        <v>0</v>
      </c>
      <c r="H72">
        <f>waterRAS!E73</f>
        <v>0</v>
      </c>
      <c r="I72">
        <f>waterRAS!F73</f>
        <v>0</v>
      </c>
      <c r="J72">
        <f>waterRAS!G73</f>
        <v>0</v>
      </c>
      <c r="K72">
        <f>waterREMIN!D73</f>
        <v>0</v>
      </c>
      <c r="L72">
        <f>waterTRANS!D73</f>
        <v>0</v>
      </c>
      <c r="M72">
        <f>waterTRANS!E73</f>
        <v>0</v>
      </c>
      <c r="N72">
        <f>plantRetention!D73</f>
        <v>0</v>
      </c>
    </row>
    <row r="73" spans="1:14" x14ac:dyDescent="0.2">
      <c r="A73" t="str">
        <f>rearing!A74</f>
        <v>Knaus2017a</v>
      </c>
      <c r="B73" t="str">
        <f>rearing!C74</f>
        <v>Unit I</v>
      </c>
      <c r="C73" t="s">
        <v>452</v>
      </c>
      <c r="D73" t="str">
        <f>plantRetention!C74</f>
        <v>permanent</v>
      </c>
      <c r="E73">
        <f>waterIN!E74</f>
        <v>0</v>
      </c>
      <c r="F73" t="str">
        <f>rearing!B74</f>
        <v>Nile tilapia</v>
      </c>
      <c r="G73">
        <f>plantRetention!F74</f>
        <v>0</v>
      </c>
      <c r="H73">
        <f>waterRAS!E74</f>
        <v>0</v>
      </c>
      <c r="I73">
        <f>waterRAS!F74</f>
        <v>0</v>
      </c>
      <c r="J73">
        <f>waterRAS!G74</f>
        <v>0</v>
      </c>
      <c r="K73">
        <f>waterREMIN!D74</f>
        <v>0</v>
      </c>
      <c r="L73">
        <f>waterTRANS!D74</f>
        <v>0</v>
      </c>
      <c r="M73">
        <f>waterTRANS!E74</f>
        <v>0</v>
      </c>
      <c r="N73">
        <f>plantRetention!D74</f>
        <v>0</v>
      </c>
    </row>
    <row r="74" spans="1:14" x14ac:dyDescent="0.2">
      <c r="A74" t="str">
        <f>rearing!A75</f>
        <v>Knaus2017a</v>
      </c>
      <c r="B74" t="str">
        <f>rearing!C75</f>
        <v>Unit II</v>
      </c>
      <c r="C74" t="s">
        <v>452</v>
      </c>
      <c r="D74" t="str">
        <f>plantRetention!C75</f>
        <v>permanent</v>
      </c>
      <c r="E74">
        <f>waterIN!E75</f>
        <v>0</v>
      </c>
      <c r="F74" t="str">
        <f>rearing!B75</f>
        <v>Common Carp</v>
      </c>
      <c r="G74">
        <f>plantRetention!F75</f>
        <v>0</v>
      </c>
      <c r="H74">
        <f>waterRAS!E75</f>
        <v>0</v>
      </c>
      <c r="I74">
        <f>waterRAS!F75</f>
        <v>0</v>
      </c>
      <c r="J74">
        <f>waterRAS!G75</f>
        <v>0</v>
      </c>
      <c r="K74">
        <f>waterREMIN!D75</f>
        <v>0</v>
      </c>
      <c r="L74">
        <f>waterTRANS!D75</f>
        <v>0</v>
      </c>
      <c r="M74">
        <f>waterTRANS!E75</f>
        <v>0</v>
      </c>
      <c r="N74">
        <f>plantRetention!D75</f>
        <v>0</v>
      </c>
    </row>
    <row r="75" spans="1:14" x14ac:dyDescent="0.2">
      <c r="A75" t="str">
        <f>rearing!A76</f>
        <v>Monsees2019</v>
      </c>
      <c r="B75" t="str">
        <f>rearing!C76</f>
        <v>Control</v>
      </c>
      <c r="C75" t="s">
        <v>459</v>
      </c>
      <c r="D75" t="str">
        <f>plantRetention!C76</f>
        <v>-</v>
      </c>
      <c r="E75">
        <f>waterIN!E76</f>
        <v>0</v>
      </c>
      <c r="F75" t="str">
        <f>rearing!B76</f>
        <v>Nile tilapia</v>
      </c>
      <c r="G75" t="str">
        <f>plantRetention!F76</f>
        <v>Lactuca sativa</v>
      </c>
      <c r="H75" t="str">
        <f>waterRAS!E76</f>
        <v>FALSE</v>
      </c>
      <c r="I75" t="str">
        <f>waterRAS!F76</f>
        <v>FALSE</v>
      </c>
      <c r="J75" t="str">
        <f>waterRAS!G76</f>
        <v>TRUE</v>
      </c>
      <c r="K75">
        <f>waterREMIN!D76</f>
        <v>0</v>
      </c>
      <c r="L75" t="str">
        <f>waterTRANS!D76</f>
        <v>Fertilizer</v>
      </c>
      <c r="M75">
        <f>waterTRANS!E76</f>
        <v>0</v>
      </c>
      <c r="N75" t="str">
        <f>plantRetention!D76</f>
        <v>Nutrient film technique</v>
      </c>
    </row>
    <row r="76" spans="1:14" x14ac:dyDescent="0.2">
      <c r="A76" t="str">
        <f>rearing!A77</f>
        <v>Monsees2019</v>
      </c>
      <c r="B76" t="str">
        <f>rearing!C77</f>
        <v>APunt</v>
      </c>
      <c r="C76" t="s">
        <v>459</v>
      </c>
      <c r="D76" t="str">
        <f>plantRetention!C77</f>
        <v>-</v>
      </c>
      <c r="E76">
        <f>waterIN!E77</f>
        <v>0</v>
      </c>
      <c r="F76" t="str">
        <f>rearing!B77</f>
        <v>Nile tilapia</v>
      </c>
      <c r="G76" t="str">
        <f>plantRetention!F77</f>
        <v>Lactuca sativa</v>
      </c>
      <c r="H76" t="str">
        <f>waterRAS!E77</f>
        <v>FALSE</v>
      </c>
      <c r="I76" t="str">
        <f>waterRAS!F77</f>
        <v>FALSE</v>
      </c>
      <c r="J76" t="str">
        <f>waterRAS!G77</f>
        <v>TRUE</v>
      </c>
      <c r="K76">
        <f>waterREMIN!D77</f>
        <v>0</v>
      </c>
      <c r="L76" t="str">
        <f>waterTRANS!D77</f>
        <v>-</v>
      </c>
      <c r="M76">
        <f>waterTRANS!E77</f>
        <v>0</v>
      </c>
      <c r="N76" t="str">
        <f>plantRetention!D77</f>
        <v>Nutrient film technique</v>
      </c>
    </row>
    <row r="77" spans="1:14" x14ac:dyDescent="0.2">
      <c r="A77" t="str">
        <f>rearing!A78</f>
        <v>Monsees2019</v>
      </c>
      <c r="B77" t="str">
        <f>rearing!C78</f>
        <v>APdis</v>
      </c>
      <c r="C77" t="s">
        <v>459</v>
      </c>
      <c r="D77" t="str">
        <f>plantRetention!C78</f>
        <v>-</v>
      </c>
      <c r="E77">
        <f>waterIN!E78</f>
        <v>0</v>
      </c>
      <c r="F77" t="str">
        <f>rearing!B78</f>
        <v>Nile tilapia</v>
      </c>
      <c r="G77" t="str">
        <f>plantRetention!F78</f>
        <v>Lactuca sativa</v>
      </c>
      <c r="H77" t="str">
        <f>waterRAS!E78</f>
        <v>FALSE</v>
      </c>
      <c r="I77" t="str">
        <f>waterRAS!F78</f>
        <v>FALSE</v>
      </c>
      <c r="J77" t="str">
        <f>waterRAS!G78</f>
        <v>TRUE</v>
      </c>
      <c r="K77">
        <f>waterREMIN!D78</f>
        <v>0</v>
      </c>
      <c r="L77" t="str">
        <f>waterTRANS!D78</f>
        <v>Fertilizer</v>
      </c>
      <c r="M77">
        <f>waterTRANS!E78</f>
        <v>0</v>
      </c>
      <c r="N77" t="str">
        <f>plantRetention!D78</f>
        <v>Nutrient film technique</v>
      </c>
    </row>
    <row r="78" spans="1:14" x14ac:dyDescent="0.2">
      <c r="A78" t="str">
        <f>rearing!A79</f>
        <v>Rodgers2022</v>
      </c>
      <c r="B78" t="str">
        <f>rearing!C79</f>
        <v>CON</v>
      </c>
      <c r="C78" t="s">
        <v>459</v>
      </c>
      <c r="D78" t="str">
        <f>plantRetention!C79</f>
        <v>-</v>
      </c>
      <c r="E78">
        <f>waterIN!E79</f>
        <v>0</v>
      </c>
      <c r="F78" t="str">
        <f>rearing!B79</f>
        <v>Koi carp</v>
      </c>
      <c r="G78" t="str">
        <f>plantRetention!F79</f>
        <v>Ocimum basalicum</v>
      </c>
      <c r="H78">
        <f>waterRAS!E79</f>
        <v>0</v>
      </c>
      <c r="I78">
        <f>waterRAS!F79</f>
        <v>0</v>
      </c>
      <c r="J78">
        <f>waterRAS!G79</f>
        <v>0</v>
      </c>
      <c r="K78">
        <f>waterREMIN!D79</f>
        <v>0</v>
      </c>
      <c r="L78" t="str">
        <f>waterTRANS!D79</f>
        <v>Fertilizer</v>
      </c>
      <c r="M78">
        <f>waterTRANS!E79</f>
        <v>0</v>
      </c>
      <c r="N78" t="str">
        <f>plantRetention!D79</f>
        <v>Dutch bucket</v>
      </c>
    </row>
    <row r="79" spans="1:14" x14ac:dyDescent="0.2">
      <c r="A79" t="str">
        <f>rearing!A80</f>
        <v>Rodgers2022</v>
      </c>
      <c r="B79" t="str">
        <f>rearing!C80</f>
        <v>DAP</v>
      </c>
      <c r="C79" t="s">
        <v>452</v>
      </c>
      <c r="D79" t="str">
        <f>plantRetention!C80</f>
        <v>on-demand</v>
      </c>
      <c r="E79">
        <f>waterIN!E80</f>
        <v>0</v>
      </c>
      <c r="F79" t="str">
        <f>rearing!B80</f>
        <v>Koi carp</v>
      </c>
      <c r="G79" t="str">
        <f>plantRetention!F80</f>
        <v>Ocimum basalicum</v>
      </c>
      <c r="H79">
        <f>waterRAS!E80</f>
        <v>0</v>
      </c>
      <c r="I79">
        <f>waterRAS!F80</f>
        <v>0</v>
      </c>
      <c r="J79">
        <f>waterRAS!G80</f>
        <v>0</v>
      </c>
      <c r="K79" t="str">
        <f>waterREMIN!D80</f>
        <v>aerobic</v>
      </c>
      <c r="L79" t="str">
        <f>waterTRANS!D80</f>
        <v>-</v>
      </c>
      <c r="M79">
        <f>waterTRANS!E80</f>
        <v>0</v>
      </c>
      <c r="N79" t="str">
        <f>plantRetention!D80</f>
        <v>Dutch bucket</v>
      </c>
    </row>
    <row r="80" spans="1:14" x14ac:dyDescent="0.2">
      <c r="A80" t="str">
        <f>rearing!A81</f>
        <v>Rodgers2022</v>
      </c>
      <c r="B80" t="str">
        <f>rearing!C81</f>
        <v>DAP+</v>
      </c>
      <c r="C80" t="s">
        <v>452</v>
      </c>
      <c r="D80" t="str">
        <f>plantRetention!C81</f>
        <v>on-demand</v>
      </c>
      <c r="E80">
        <f>waterIN!E81</f>
        <v>0</v>
      </c>
      <c r="F80" t="str">
        <f>rearing!B81</f>
        <v>Koi carp</v>
      </c>
      <c r="G80" t="str">
        <f>plantRetention!F81</f>
        <v>Ocimum basalicum</v>
      </c>
      <c r="H80">
        <f>waterRAS!E81</f>
        <v>0</v>
      </c>
      <c r="I80">
        <f>waterRAS!F81</f>
        <v>0</v>
      </c>
      <c r="J80">
        <f>waterRAS!G81</f>
        <v>0</v>
      </c>
      <c r="K80" t="str">
        <f>waterREMIN!D81</f>
        <v>aerobic</v>
      </c>
      <c r="L80" t="str">
        <f>waterTRANS!D81</f>
        <v>Fertilizer</v>
      </c>
      <c r="M80">
        <f>waterTRANS!E81</f>
        <v>0</v>
      </c>
      <c r="N80" t="str">
        <f>plantRetention!D81</f>
        <v>Dutch bucket</v>
      </c>
    </row>
    <row r="81" spans="1:14" x14ac:dyDescent="0.2">
      <c r="A81" t="str">
        <f>rearing!A82</f>
        <v>Cerozi2020</v>
      </c>
      <c r="B81" t="str">
        <f>rearing!C82</f>
        <v>System</v>
      </c>
      <c r="C81" t="s">
        <v>452</v>
      </c>
      <c r="D81" t="str">
        <f>plantRetention!C82</f>
        <v>-</v>
      </c>
      <c r="E81">
        <f>waterIN!E82</f>
        <v>0</v>
      </c>
      <c r="F81" t="str">
        <f>rearing!B82</f>
        <v>Blue tilapia</v>
      </c>
      <c r="G81">
        <f>plantRetention!F82</f>
        <v>0</v>
      </c>
      <c r="H81">
        <f>waterRAS!E82</f>
        <v>0</v>
      </c>
      <c r="I81">
        <f>waterRAS!F82</f>
        <v>0</v>
      </c>
      <c r="J81">
        <f>waterRAS!G82</f>
        <v>0</v>
      </c>
      <c r="K81">
        <f>waterREMIN!D82</f>
        <v>0</v>
      </c>
      <c r="L81" t="str">
        <f>waterTRANS!D82</f>
        <v>-</v>
      </c>
      <c r="M81">
        <f>waterTRANS!E82</f>
        <v>0</v>
      </c>
      <c r="N81" t="str">
        <f>plantRetention!D82</f>
        <v>-</v>
      </c>
    </row>
    <row r="82" spans="1:14" x14ac:dyDescent="0.2">
      <c r="A82" t="str">
        <f>rearing!A83</f>
        <v>Khiari2019</v>
      </c>
      <c r="B82" t="str">
        <f>rearing!C83</f>
        <v>30_5.5</v>
      </c>
      <c r="C82" t="s">
        <v>451</v>
      </c>
      <c r="D82" t="str">
        <f>plantRetention!C83</f>
        <v>-</v>
      </c>
      <c r="E82">
        <f>waterIN!E83</f>
        <v>0</v>
      </c>
      <c r="F82" t="str">
        <f>rearing!B83</f>
        <v>Nile tilapia</v>
      </c>
      <c r="G82">
        <f>plantRetention!F83</f>
        <v>0</v>
      </c>
      <c r="H82">
        <f>waterRAS!E83</f>
        <v>0</v>
      </c>
      <c r="I82">
        <f>waterRAS!F83</f>
        <v>0</v>
      </c>
      <c r="J82">
        <f>waterRAS!G83</f>
        <v>0</v>
      </c>
      <c r="K82" t="str">
        <f>waterREMIN!D83</f>
        <v>aerobic</v>
      </c>
      <c r="L82">
        <f>waterTRANS!D83</f>
        <v>0</v>
      </c>
      <c r="M82">
        <f>waterTRANS!E83</f>
        <v>0</v>
      </c>
      <c r="N82" t="str">
        <f>plantRetention!D83</f>
        <v>-</v>
      </c>
    </row>
    <row r="83" spans="1:14" x14ac:dyDescent="0.2">
      <c r="A83" t="str">
        <f>rearing!A84</f>
        <v>Khiari2019</v>
      </c>
      <c r="B83" t="str">
        <f>rearing!C84</f>
        <v>30_6.0</v>
      </c>
      <c r="C83" t="s">
        <v>451</v>
      </c>
      <c r="D83" t="str">
        <f>plantRetention!C84</f>
        <v>-</v>
      </c>
      <c r="E83">
        <f>waterIN!E84</f>
        <v>0</v>
      </c>
      <c r="F83" t="str">
        <f>rearing!B84</f>
        <v>Nile tilapia</v>
      </c>
      <c r="G83">
        <f>plantRetention!F84</f>
        <v>0</v>
      </c>
      <c r="H83">
        <f>waterRAS!E84</f>
        <v>0</v>
      </c>
      <c r="I83">
        <f>waterRAS!F84</f>
        <v>0</v>
      </c>
      <c r="J83">
        <f>waterRAS!G84</f>
        <v>0</v>
      </c>
      <c r="K83" t="str">
        <f>waterREMIN!D84</f>
        <v>aerobic</v>
      </c>
      <c r="L83">
        <f>waterTRANS!D84</f>
        <v>0</v>
      </c>
      <c r="M83">
        <f>waterTRANS!E84</f>
        <v>0</v>
      </c>
      <c r="N83" t="str">
        <f>plantRetention!D84</f>
        <v>-</v>
      </c>
    </row>
    <row r="84" spans="1:14" x14ac:dyDescent="0.2">
      <c r="A84" t="str">
        <f>rearing!A85</f>
        <v>Khiari2019</v>
      </c>
      <c r="B84" t="str">
        <f>rearing!C85</f>
        <v>30_6.5</v>
      </c>
      <c r="C84" t="s">
        <v>451</v>
      </c>
      <c r="D84" t="str">
        <f>plantRetention!C85</f>
        <v>-</v>
      </c>
      <c r="E84">
        <f>waterIN!E85</f>
        <v>0</v>
      </c>
      <c r="F84" t="str">
        <f>rearing!B85</f>
        <v>Nile tilapia</v>
      </c>
      <c r="G84">
        <f>plantRetention!F85</f>
        <v>0</v>
      </c>
      <c r="H84">
        <f>waterRAS!E85</f>
        <v>0</v>
      </c>
      <c r="I84">
        <f>waterRAS!F85</f>
        <v>0</v>
      </c>
      <c r="J84">
        <f>waterRAS!G85</f>
        <v>0</v>
      </c>
      <c r="K84" t="str">
        <f>waterREMIN!D85</f>
        <v>aerobic</v>
      </c>
      <c r="L84">
        <f>waterTRANS!D85</f>
        <v>0</v>
      </c>
      <c r="M84">
        <f>waterTRANS!E85</f>
        <v>0</v>
      </c>
      <c r="N84" t="str">
        <f>plantRetention!D85</f>
        <v>-</v>
      </c>
    </row>
    <row r="85" spans="1:14" x14ac:dyDescent="0.2">
      <c r="A85" t="str">
        <f>rearing!A86</f>
        <v>Khiari2019</v>
      </c>
      <c r="B85" t="str">
        <f>rearing!C86</f>
        <v>35_5.5</v>
      </c>
      <c r="C85" t="s">
        <v>451</v>
      </c>
      <c r="D85" t="str">
        <f>plantRetention!C86</f>
        <v>-</v>
      </c>
      <c r="E85">
        <f>waterIN!E86</f>
        <v>0</v>
      </c>
      <c r="F85" t="str">
        <f>rearing!B86</f>
        <v>Nile tilapia</v>
      </c>
      <c r="G85">
        <f>plantRetention!F86</f>
        <v>0</v>
      </c>
      <c r="H85">
        <f>waterRAS!E86</f>
        <v>0</v>
      </c>
      <c r="I85">
        <f>waterRAS!F86</f>
        <v>0</v>
      </c>
      <c r="J85">
        <f>waterRAS!G86</f>
        <v>0</v>
      </c>
      <c r="K85" t="str">
        <f>waterREMIN!D86</f>
        <v>aerobic</v>
      </c>
      <c r="L85">
        <f>waterTRANS!D86</f>
        <v>0</v>
      </c>
      <c r="M85">
        <f>waterTRANS!E86</f>
        <v>0</v>
      </c>
      <c r="N85" t="str">
        <f>plantRetention!D86</f>
        <v>-</v>
      </c>
    </row>
    <row r="86" spans="1:14" x14ac:dyDescent="0.2">
      <c r="A86" t="str">
        <f>rearing!A87</f>
        <v>Khiari2019</v>
      </c>
      <c r="B86" t="str">
        <f>rearing!C87</f>
        <v>35_6.0</v>
      </c>
      <c r="C86" t="s">
        <v>451</v>
      </c>
      <c r="D86" t="str">
        <f>plantRetention!C87</f>
        <v>-</v>
      </c>
      <c r="E86">
        <f>waterIN!E87</f>
        <v>0</v>
      </c>
      <c r="F86" t="str">
        <f>rearing!B87</f>
        <v>Nile tilapia</v>
      </c>
      <c r="G86">
        <f>plantRetention!F87</f>
        <v>0</v>
      </c>
      <c r="H86">
        <f>waterRAS!E87</f>
        <v>0</v>
      </c>
      <c r="I86">
        <f>waterRAS!F87</f>
        <v>0</v>
      </c>
      <c r="J86">
        <f>waterRAS!G87</f>
        <v>0</v>
      </c>
      <c r="K86" t="str">
        <f>waterREMIN!D87</f>
        <v>aerobic</v>
      </c>
      <c r="L86">
        <f>waterTRANS!D87</f>
        <v>0</v>
      </c>
      <c r="M86">
        <f>waterTRANS!E87</f>
        <v>0</v>
      </c>
      <c r="N86" t="str">
        <f>plantRetention!D87</f>
        <v>-</v>
      </c>
    </row>
    <row r="87" spans="1:14" x14ac:dyDescent="0.2">
      <c r="A87" t="str">
        <f>rearing!A88</f>
        <v>Khiari2019</v>
      </c>
      <c r="B87" t="str">
        <f>rearing!C88</f>
        <v>35_6.5</v>
      </c>
      <c r="C87" t="s">
        <v>451</v>
      </c>
      <c r="D87" t="str">
        <f>plantRetention!C88</f>
        <v>-</v>
      </c>
      <c r="E87">
        <f>waterIN!E88</f>
        <v>0</v>
      </c>
      <c r="F87" t="str">
        <f>rearing!B88</f>
        <v>Nile tilapia</v>
      </c>
      <c r="G87">
        <f>plantRetention!F88</f>
        <v>0</v>
      </c>
      <c r="H87">
        <f>waterRAS!E88</f>
        <v>0</v>
      </c>
      <c r="I87">
        <f>waterRAS!F88</f>
        <v>0</v>
      </c>
      <c r="J87">
        <f>waterRAS!G88</f>
        <v>0</v>
      </c>
      <c r="K87" t="str">
        <f>waterREMIN!D88</f>
        <v>aerobic</v>
      </c>
      <c r="L87">
        <f>waterTRANS!D88</f>
        <v>0</v>
      </c>
      <c r="M87">
        <f>waterTRANS!E88</f>
        <v>0</v>
      </c>
      <c r="N87" t="str">
        <f>plantRetention!D88</f>
        <v>-</v>
      </c>
    </row>
    <row r="88" spans="1:14" x14ac:dyDescent="0.2">
      <c r="A88" t="str">
        <f>rearing!A89</f>
        <v>Khiari2019</v>
      </c>
      <c r="B88" t="str">
        <f>rearing!C89</f>
        <v>40_5.5</v>
      </c>
      <c r="C88" t="s">
        <v>451</v>
      </c>
      <c r="D88" t="str">
        <f>plantRetention!C89</f>
        <v>-</v>
      </c>
      <c r="E88">
        <f>waterIN!E89</f>
        <v>0</v>
      </c>
      <c r="F88" t="str">
        <f>rearing!B89</f>
        <v>Nile tilapia</v>
      </c>
      <c r="G88">
        <f>plantRetention!F89</f>
        <v>0</v>
      </c>
      <c r="H88">
        <f>waterRAS!E89</f>
        <v>0</v>
      </c>
      <c r="I88">
        <f>waterRAS!F89</f>
        <v>0</v>
      </c>
      <c r="J88">
        <f>waterRAS!G89</f>
        <v>0</v>
      </c>
      <c r="K88" t="str">
        <f>waterREMIN!D89</f>
        <v>aerobic</v>
      </c>
      <c r="L88">
        <f>waterTRANS!D89</f>
        <v>0</v>
      </c>
      <c r="M88">
        <f>waterTRANS!E89</f>
        <v>0</v>
      </c>
      <c r="N88" t="str">
        <f>plantRetention!D89</f>
        <v>-</v>
      </c>
    </row>
    <row r="89" spans="1:14" x14ac:dyDescent="0.2">
      <c r="A89" t="str">
        <f>rearing!A90</f>
        <v>Khiari2019</v>
      </c>
      <c r="B89" t="str">
        <f>rearing!C90</f>
        <v>40_6.0</v>
      </c>
      <c r="C89" t="s">
        <v>451</v>
      </c>
      <c r="D89" t="str">
        <f>plantRetention!C90</f>
        <v>-</v>
      </c>
      <c r="E89">
        <f>waterIN!E90</f>
        <v>0</v>
      </c>
      <c r="F89" t="str">
        <f>rearing!B90</f>
        <v>Nile tilapia</v>
      </c>
      <c r="G89">
        <f>plantRetention!F90</f>
        <v>0</v>
      </c>
      <c r="H89">
        <f>waterRAS!E90</f>
        <v>0</v>
      </c>
      <c r="I89">
        <f>waterRAS!F90</f>
        <v>0</v>
      </c>
      <c r="J89">
        <f>waterRAS!G90</f>
        <v>0</v>
      </c>
      <c r="K89" t="str">
        <f>waterREMIN!D90</f>
        <v>aerobic</v>
      </c>
      <c r="L89">
        <f>waterTRANS!D90</f>
        <v>0</v>
      </c>
      <c r="M89">
        <f>waterTRANS!E90</f>
        <v>0</v>
      </c>
      <c r="N89" t="str">
        <f>plantRetention!D90</f>
        <v>-</v>
      </c>
    </row>
    <row r="90" spans="1:14" x14ac:dyDescent="0.2">
      <c r="A90" t="str">
        <f>rearing!A91</f>
        <v>Khiari2019</v>
      </c>
      <c r="B90" t="str">
        <f>rearing!C91</f>
        <v>40_6.5</v>
      </c>
      <c r="C90" t="s">
        <v>451</v>
      </c>
      <c r="D90" t="str">
        <f>plantRetention!C91</f>
        <v>-</v>
      </c>
      <c r="E90">
        <f>waterIN!E91</f>
        <v>0</v>
      </c>
      <c r="F90" t="str">
        <f>rearing!B91</f>
        <v>Nile tilapia</v>
      </c>
      <c r="G90">
        <f>plantRetention!F91</f>
        <v>0</v>
      </c>
      <c r="H90">
        <f>waterRAS!E91</f>
        <v>0</v>
      </c>
      <c r="I90">
        <f>waterRAS!F91</f>
        <v>0</v>
      </c>
      <c r="J90">
        <f>waterRAS!G91</f>
        <v>0</v>
      </c>
      <c r="K90" t="str">
        <f>waterREMIN!D91</f>
        <v>aerobic</v>
      </c>
      <c r="L90">
        <f>waterTRANS!D91</f>
        <v>0</v>
      </c>
      <c r="M90">
        <f>waterTRANS!E91</f>
        <v>0</v>
      </c>
      <c r="N90" t="str">
        <f>plantRetention!D91</f>
        <v>-</v>
      </c>
    </row>
    <row r="91" spans="1:14" x14ac:dyDescent="0.2">
      <c r="A91" t="str">
        <f>rearing!A92</f>
        <v>Delaide2018</v>
      </c>
      <c r="B91" t="str">
        <f>rearing!C92</f>
        <v>ANR</v>
      </c>
      <c r="C91" t="s">
        <v>451</v>
      </c>
      <c r="D91" t="str">
        <f>plantRetention!C92</f>
        <v>-</v>
      </c>
      <c r="E91">
        <f>waterIN!E92</f>
        <v>0</v>
      </c>
      <c r="F91" t="str">
        <f>rearing!B92</f>
        <v>Nile tilapia</v>
      </c>
      <c r="G91">
        <f>plantRetention!F92</f>
        <v>0</v>
      </c>
      <c r="H91">
        <f>waterRAS!E92</f>
        <v>0</v>
      </c>
      <c r="I91">
        <f>waterRAS!F92</f>
        <v>0</v>
      </c>
      <c r="J91">
        <f>waterRAS!G92</f>
        <v>0</v>
      </c>
      <c r="K91" t="str">
        <f>waterREMIN!D92</f>
        <v>anaerobic</v>
      </c>
      <c r="L91">
        <f>waterTRANS!D92</f>
        <v>0</v>
      </c>
      <c r="M91">
        <f>waterTRANS!E92</f>
        <v>0</v>
      </c>
      <c r="N91" t="str">
        <f>plantRetention!D92</f>
        <v>-</v>
      </c>
    </row>
    <row r="92" spans="1:14" x14ac:dyDescent="0.2">
      <c r="A92" t="str">
        <f>rearing!A93</f>
        <v>Monsees2017</v>
      </c>
      <c r="B92" t="str">
        <f>rearing!C93</f>
        <v>Exp1_anaerobic</v>
      </c>
      <c r="C92" t="s">
        <v>451</v>
      </c>
      <c r="D92" t="str">
        <f>plantRetention!C93</f>
        <v>-</v>
      </c>
      <c r="E92">
        <f>waterIN!E93</f>
        <v>0</v>
      </c>
      <c r="F92" t="str">
        <f>rearing!B93</f>
        <v>Nile tilapia</v>
      </c>
      <c r="G92">
        <f>plantRetention!F93</f>
        <v>0</v>
      </c>
      <c r="H92">
        <f>waterRAS!E93</f>
        <v>0</v>
      </c>
      <c r="I92">
        <f>waterRAS!F93</f>
        <v>0</v>
      </c>
      <c r="J92">
        <f>waterRAS!G93</f>
        <v>0</v>
      </c>
      <c r="K92" t="str">
        <f>waterREMIN!D93</f>
        <v>anaerobic</v>
      </c>
      <c r="L92">
        <f>waterTRANS!D93</f>
        <v>0</v>
      </c>
      <c r="M92">
        <f>waterTRANS!E93</f>
        <v>0</v>
      </c>
      <c r="N92" t="str">
        <f>plantRetention!D93</f>
        <v>-</v>
      </c>
    </row>
    <row r="93" spans="1:14" x14ac:dyDescent="0.2">
      <c r="A93" t="str">
        <f>rearing!A94</f>
        <v>Roosta2013</v>
      </c>
      <c r="B93" t="str">
        <f>rearing!C94</f>
        <v>Rep1</v>
      </c>
      <c r="C93" t="s">
        <v>452</v>
      </c>
      <c r="D93" t="str">
        <f>plantRetention!C94</f>
        <v>permanent</v>
      </c>
      <c r="E93" t="str">
        <f>waterIN!E94</f>
        <v>tap</v>
      </c>
      <c r="F93" t="str">
        <f>rearing!B94</f>
        <v>Common Carp</v>
      </c>
      <c r="G93">
        <f>plantRetention!F94</f>
        <v>0</v>
      </c>
      <c r="H93">
        <f>waterRAS!E94</f>
        <v>0</v>
      </c>
      <c r="I93">
        <f>waterRAS!F94</f>
        <v>0</v>
      </c>
      <c r="J93">
        <f>waterRAS!G94</f>
        <v>0</v>
      </c>
      <c r="K93">
        <f>waterREMIN!D94</f>
        <v>0</v>
      </c>
      <c r="L93">
        <f>waterTRANS!D94</f>
        <v>0</v>
      </c>
      <c r="M93">
        <f>waterTRANS!E94</f>
        <v>0</v>
      </c>
      <c r="N93">
        <f>plantRetention!D94</f>
        <v>0</v>
      </c>
    </row>
    <row r="94" spans="1:14" x14ac:dyDescent="0.2">
      <c r="A94" t="str">
        <f>rearing!A95</f>
        <v>Roosta2013</v>
      </c>
      <c r="B94" t="str">
        <f>rearing!C95</f>
        <v>Rep2</v>
      </c>
      <c r="C94" t="s">
        <v>452</v>
      </c>
      <c r="D94" t="str">
        <f>plantRetention!C95</f>
        <v>permanent</v>
      </c>
      <c r="E94" t="str">
        <f>waterIN!E95</f>
        <v>tap</v>
      </c>
      <c r="F94" t="str">
        <f>rearing!B95</f>
        <v>Grass carp</v>
      </c>
      <c r="G94">
        <f>plantRetention!F95</f>
        <v>0</v>
      </c>
      <c r="H94">
        <f>waterRAS!E95</f>
        <v>0</v>
      </c>
      <c r="I94">
        <f>waterRAS!F95</f>
        <v>0</v>
      </c>
      <c r="J94">
        <f>waterRAS!G95</f>
        <v>0</v>
      </c>
      <c r="K94">
        <f>waterREMIN!D95</f>
        <v>0</v>
      </c>
      <c r="L94" t="str">
        <f>waterTRANS!D95</f>
        <v>Fertilizer</v>
      </c>
      <c r="M94">
        <f>waterTRANS!E95</f>
        <v>0</v>
      </c>
      <c r="N94">
        <f>plantRetention!D95</f>
        <v>0</v>
      </c>
    </row>
    <row r="95" spans="1:14" x14ac:dyDescent="0.2">
      <c r="A95" t="str">
        <f>rearing!A96</f>
        <v>Roosta2013</v>
      </c>
      <c r="B95" t="str">
        <f>rearing!C96</f>
        <v>Rep3</v>
      </c>
      <c r="C95" t="s">
        <v>452</v>
      </c>
      <c r="D95" t="str">
        <f>plantRetention!C96</f>
        <v>permanent</v>
      </c>
      <c r="E95" t="str">
        <f>waterIN!E96</f>
        <v>tap</v>
      </c>
      <c r="F95" t="str">
        <f>rearing!B96</f>
        <v>Silver carp</v>
      </c>
      <c r="G95">
        <f>plantRetention!F96</f>
        <v>0</v>
      </c>
      <c r="H95">
        <f>waterRAS!E96</f>
        <v>0</v>
      </c>
      <c r="I95">
        <f>waterRAS!F96</f>
        <v>0</v>
      </c>
      <c r="J95">
        <f>waterRAS!G96</f>
        <v>0</v>
      </c>
      <c r="K95">
        <f>waterREMIN!D96</f>
        <v>0</v>
      </c>
      <c r="L95">
        <f>waterTRANS!D96</f>
        <v>0</v>
      </c>
      <c r="M95">
        <f>waterTRANS!E96</f>
        <v>0</v>
      </c>
      <c r="N95">
        <f>plantRetention!D96</f>
        <v>0</v>
      </c>
    </row>
    <row r="96" spans="1:14" x14ac:dyDescent="0.2">
      <c r="A96" t="str">
        <f>rearing!A97</f>
        <v>Roosta2014</v>
      </c>
      <c r="B96" t="str">
        <f>rearing!C97</f>
        <v>Rep1</v>
      </c>
      <c r="C96" t="s">
        <v>452</v>
      </c>
      <c r="D96" t="str">
        <f>plantRetention!C97</f>
        <v>permanent</v>
      </c>
      <c r="E96" t="str">
        <f>waterIN!E97</f>
        <v>tap</v>
      </c>
      <c r="F96" t="str">
        <f>rearing!B97</f>
        <v>Common Carp</v>
      </c>
      <c r="G96" t="str">
        <f>plantRetention!F97</f>
        <v>Ocimum basalicum</v>
      </c>
      <c r="H96">
        <f>waterRAS!E97</f>
        <v>0</v>
      </c>
      <c r="I96">
        <f>waterRAS!F97</f>
        <v>0</v>
      </c>
      <c r="J96">
        <f>waterRAS!G97</f>
        <v>0</v>
      </c>
      <c r="K96">
        <f>waterREMIN!D97</f>
        <v>0</v>
      </c>
      <c r="L96" t="str">
        <f>waterTRANS!D97</f>
        <v>-</v>
      </c>
      <c r="M96">
        <f>waterTRANS!E97</f>
        <v>0</v>
      </c>
      <c r="N96">
        <f>plantRetention!D97</f>
        <v>0</v>
      </c>
    </row>
    <row r="97" spans="1:14" x14ac:dyDescent="0.2">
      <c r="A97" t="str">
        <f>rearing!A98</f>
        <v>Roosta2014</v>
      </c>
      <c r="B97" t="str">
        <f>rearing!C98</f>
        <v>Rep2</v>
      </c>
      <c r="C97" t="s">
        <v>452</v>
      </c>
      <c r="D97" t="str">
        <f>plantRetention!C98</f>
        <v>permanent</v>
      </c>
      <c r="E97" t="str">
        <f>waterIN!E98</f>
        <v>tap</v>
      </c>
      <c r="F97" t="str">
        <f>rearing!B98</f>
        <v>Grass carp</v>
      </c>
      <c r="G97" t="str">
        <f>plantRetention!F98</f>
        <v>Ocimum basalicum</v>
      </c>
      <c r="H97">
        <f>waterRAS!E98</f>
        <v>0</v>
      </c>
      <c r="I97">
        <f>waterRAS!F98</f>
        <v>0</v>
      </c>
      <c r="J97">
        <f>waterRAS!G98</f>
        <v>0</v>
      </c>
      <c r="K97">
        <f>waterREMIN!D98</f>
        <v>0</v>
      </c>
      <c r="L97" t="str">
        <f>waterTRANS!D98</f>
        <v>Fertilizer</v>
      </c>
      <c r="M97">
        <f>waterTRANS!E98</f>
        <v>0</v>
      </c>
      <c r="N97">
        <f>plantRetention!D98</f>
        <v>0</v>
      </c>
    </row>
    <row r="98" spans="1:14" x14ac:dyDescent="0.2">
      <c r="A98" t="str">
        <f>rearing!A99</f>
        <v>Roosta2014</v>
      </c>
      <c r="B98" t="str">
        <f>rearing!C99</f>
        <v>Rep3</v>
      </c>
      <c r="C98" t="s">
        <v>452</v>
      </c>
      <c r="D98" t="str">
        <f>plantRetention!C99</f>
        <v>permanent</v>
      </c>
      <c r="E98" t="str">
        <f>waterIN!E99</f>
        <v>tap</v>
      </c>
      <c r="F98" t="str">
        <f>rearing!B99</f>
        <v>Silver carp</v>
      </c>
      <c r="G98" t="str">
        <f>plantRetention!F99</f>
        <v>Ocimum basalicum</v>
      </c>
      <c r="H98">
        <f>waterRAS!E99</f>
        <v>0</v>
      </c>
      <c r="I98">
        <f>waterRAS!F99</f>
        <v>0</v>
      </c>
      <c r="J98">
        <f>waterRAS!G99</f>
        <v>0</v>
      </c>
      <c r="K98">
        <f>waterREMIN!D99</f>
        <v>0</v>
      </c>
      <c r="L98">
        <f>waterTRANS!D99</f>
        <v>0</v>
      </c>
      <c r="M98">
        <f>waterTRANS!E99</f>
        <v>0</v>
      </c>
      <c r="N98">
        <f>plantRetention!D99</f>
        <v>0</v>
      </c>
    </row>
    <row r="99" spans="1:14" x14ac:dyDescent="0.2">
      <c r="A99" t="str">
        <f>rearing!A100</f>
        <v>Yang2020</v>
      </c>
      <c r="B99" t="str">
        <f>rearing!C100</f>
        <v>AP_Tomato</v>
      </c>
      <c r="C99" t="s">
        <v>452</v>
      </c>
      <c r="D99" t="str">
        <f>plantRetention!C100</f>
        <v>permanent</v>
      </c>
      <c r="E99" t="str">
        <f>waterIN!E100</f>
        <v>osmosis</v>
      </c>
      <c r="F99" t="str">
        <f>rearing!B100</f>
        <v>Nile tilapia</v>
      </c>
      <c r="G99" t="str">
        <f>plantRetention!F100</f>
        <v>Solanum lycopersicum</v>
      </c>
      <c r="H99" t="str">
        <f>waterRAS!E100</f>
        <v>TRUE</v>
      </c>
      <c r="I99" t="str">
        <f>waterRAS!F100</f>
        <v>TRUE</v>
      </c>
      <c r="J99" t="str">
        <f>waterRAS!G100</f>
        <v>TRUE</v>
      </c>
      <c r="K99">
        <f>waterREMIN!D100</f>
        <v>0</v>
      </c>
      <c r="L99" t="str">
        <f>waterTRANS!D100</f>
        <v xml:space="preserve"> </v>
      </c>
      <c r="M99">
        <f>waterTRANS!E100</f>
        <v>0</v>
      </c>
      <c r="N99">
        <f>plantRetention!D100</f>
        <v>0</v>
      </c>
    </row>
    <row r="100" spans="1:14" x14ac:dyDescent="0.2">
      <c r="A100" t="str">
        <f>rearing!A101</f>
        <v>Yang2020</v>
      </c>
      <c r="B100" t="str">
        <f>rearing!C101</f>
        <v>AP_Basil</v>
      </c>
      <c r="C100" t="s">
        <v>452</v>
      </c>
      <c r="D100" t="str">
        <f>plantRetention!C101</f>
        <v>permanent</v>
      </c>
      <c r="E100" t="str">
        <f>waterIN!E101</f>
        <v>osmosis</v>
      </c>
      <c r="F100" t="str">
        <f>rearing!B101</f>
        <v>Nile tilapia</v>
      </c>
      <c r="G100" t="str">
        <f>plantRetention!F101</f>
        <v>Ocimum basalicum</v>
      </c>
      <c r="H100" t="str">
        <f>waterRAS!E101</f>
        <v>TRUE</v>
      </c>
      <c r="I100" t="str">
        <f>waterRAS!F101</f>
        <v>TRUE</v>
      </c>
      <c r="J100" t="str">
        <f>waterRAS!G101</f>
        <v>TRUE</v>
      </c>
      <c r="K100">
        <f>waterREMIN!D101</f>
        <v>0</v>
      </c>
      <c r="L100">
        <f>waterTRANS!D101</f>
        <v>0</v>
      </c>
      <c r="M100">
        <f>waterTRANS!E101</f>
        <v>0</v>
      </c>
      <c r="N100">
        <f>plantRetention!D101</f>
        <v>0</v>
      </c>
    </row>
    <row r="101" spans="1:14" x14ac:dyDescent="0.2">
      <c r="A101" t="str">
        <f>rearing!A102</f>
        <v>Yang2020</v>
      </c>
      <c r="B101" t="str">
        <f>rearing!C102</f>
        <v>AP_Lettuce</v>
      </c>
      <c r="C101" t="s">
        <v>452</v>
      </c>
      <c r="D101" t="str">
        <f>plantRetention!C102</f>
        <v>permanent</v>
      </c>
      <c r="E101" t="str">
        <f>waterIN!E102</f>
        <v>osmosis</v>
      </c>
      <c r="F101" t="str">
        <f>rearing!B102</f>
        <v>Nile tilapia</v>
      </c>
      <c r="G101" t="str">
        <f>plantRetention!F102</f>
        <v>Latuca sativa</v>
      </c>
      <c r="H101" t="str">
        <f>waterRAS!E102</f>
        <v>TRUE</v>
      </c>
      <c r="I101" t="str">
        <f>waterRAS!F102</f>
        <v>TRUE</v>
      </c>
      <c r="J101" t="str">
        <f>waterRAS!G102</f>
        <v>TRUE</v>
      </c>
      <c r="K101">
        <f>waterREMIN!D102</f>
        <v>0</v>
      </c>
      <c r="L101">
        <f>waterTRANS!D102</f>
        <v>0</v>
      </c>
      <c r="M101">
        <f>waterTRANS!E102</f>
        <v>0</v>
      </c>
      <c r="N101">
        <f>plantRetention!D102</f>
        <v>0</v>
      </c>
    </row>
    <row r="102" spans="1:14" x14ac:dyDescent="0.2">
      <c r="A102" t="str">
        <f>rearing!A103</f>
        <v>Yang2020</v>
      </c>
      <c r="B102" t="str">
        <f>rearing!C103</f>
        <v>HP_Tomato</v>
      </c>
      <c r="C102" t="s">
        <v>459</v>
      </c>
      <c r="D102" t="str">
        <f>plantRetention!C103</f>
        <v>-</v>
      </c>
      <c r="E102" t="str">
        <f>waterIN!E103</f>
        <v>osmosis</v>
      </c>
      <c r="F102">
        <f>rearing!B103</f>
        <v>0</v>
      </c>
      <c r="G102" t="str">
        <f>plantRetention!F103</f>
        <v>Solanum lycopersicum</v>
      </c>
      <c r="H102">
        <f>waterRAS!E103</f>
        <v>0</v>
      </c>
      <c r="I102">
        <f>waterRAS!F103</f>
        <v>0</v>
      </c>
      <c r="J102">
        <f>waterRAS!G103</f>
        <v>0</v>
      </c>
      <c r="K102">
        <f>waterREMIN!D103</f>
        <v>0</v>
      </c>
      <c r="L102" t="str">
        <f>waterTRANS!D103</f>
        <v>Fertilizer</v>
      </c>
      <c r="M102">
        <f>waterTRANS!E103</f>
        <v>0</v>
      </c>
      <c r="N102">
        <f>plantRetention!D103</f>
        <v>0</v>
      </c>
    </row>
    <row r="103" spans="1:14" x14ac:dyDescent="0.2">
      <c r="A103" t="str">
        <f>rearing!A104</f>
        <v>Yang2020</v>
      </c>
      <c r="B103" t="str">
        <f>rearing!C104</f>
        <v>HP_Basil</v>
      </c>
      <c r="C103" t="s">
        <v>459</v>
      </c>
      <c r="D103" t="str">
        <f>plantRetention!C104</f>
        <v>-</v>
      </c>
      <c r="E103" t="str">
        <f>waterIN!E104</f>
        <v>osmosis</v>
      </c>
      <c r="F103">
        <f>rearing!B104</f>
        <v>0</v>
      </c>
      <c r="G103" t="str">
        <f>plantRetention!F104</f>
        <v>Ocimum basalicum</v>
      </c>
      <c r="H103">
        <f>waterRAS!E104</f>
        <v>0</v>
      </c>
      <c r="I103">
        <f>waterRAS!F104</f>
        <v>0</v>
      </c>
      <c r="J103">
        <f>waterRAS!G104</f>
        <v>0</v>
      </c>
      <c r="K103">
        <f>waterREMIN!D104</f>
        <v>0</v>
      </c>
      <c r="L103" t="str">
        <f>waterTRANS!D104</f>
        <v>Fertilizer</v>
      </c>
      <c r="M103">
        <f>waterTRANS!E104</f>
        <v>0</v>
      </c>
      <c r="N103">
        <f>plantRetention!D104</f>
        <v>0</v>
      </c>
    </row>
    <row r="104" spans="1:14" x14ac:dyDescent="0.2">
      <c r="A104" t="str">
        <f>rearing!A105</f>
        <v>Yang2020</v>
      </c>
      <c r="B104" t="str">
        <f>rearing!C105</f>
        <v>HP_Lettuce</v>
      </c>
      <c r="C104" t="s">
        <v>459</v>
      </c>
      <c r="D104" t="str">
        <f>plantRetention!C105</f>
        <v>-</v>
      </c>
      <c r="E104" t="str">
        <f>waterIN!E105</f>
        <v>osmosis</v>
      </c>
      <c r="F104">
        <f>rearing!B105</f>
        <v>0</v>
      </c>
      <c r="G104" t="str">
        <f>plantRetention!F105</f>
        <v>Latuca sativa</v>
      </c>
      <c r="H104">
        <f>waterRAS!E105</f>
        <v>0</v>
      </c>
      <c r="I104">
        <f>waterRAS!F105</f>
        <v>0</v>
      </c>
      <c r="J104">
        <f>waterRAS!G105</f>
        <v>0</v>
      </c>
      <c r="K104">
        <f>waterREMIN!D105</f>
        <v>0</v>
      </c>
      <c r="L104" t="str">
        <f>waterTRANS!D105</f>
        <v>Fertilizer</v>
      </c>
      <c r="M104">
        <f>waterTRANS!E105</f>
        <v>0</v>
      </c>
      <c r="N104">
        <f>plantRetention!D105</f>
        <v>0</v>
      </c>
    </row>
    <row r="105" spans="1:14" x14ac:dyDescent="0.2">
      <c r="A105" t="str">
        <f>rearing!A106</f>
        <v>Anderson2017</v>
      </c>
      <c r="B105" t="str">
        <f>rearing!C106</f>
        <v>H5</v>
      </c>
      <c r="C105" t="s">
        <v>459</v>
      </c>
      <c r="D105" t="str">
        <f>plantRetention!C106</f>
        <v>-</v>
      </c>
      <c r="E105">
        <f>waterIN!E106</f>
        <v>0</v>
      </c>
      <c r="F105">
        <f>rearing!B106</f>
        <v>0</v>
      </c>
      <c r="G105" t="s">
        <v>172</v>
      </c>
      <c r="H105">
        <f>waterRAS!E106</f>
        <v>0</v>
      </c>
      <c r="I105">
        <f>waterRAS!F106</f>
        <v>0</v>
      </c>
      <c r="J105">
        <f>waterRAS!G106</f>
        <v>0</v>
      </c>
      <c r="K105">
        <f>waterREMIN!D106</f>
        <v>0</v>
      </c>
      <c r="L105">
        <f>waterTRANS!D106</f>
        <v>0</v>
      </c>
      <c r="M105">
        <f>waterTRANS!E106</f>
        <v>0</v>
      </c>
      <c r="N105">
        <f>plantRetention!D106</f>
        <v>0</v>
      </c>
    </row>
    <row r="106" spans="1:14" x14ac:dyDescent="0.2">
      <c r="A106" t="str">
        <f>rearing!A107</f>
        <v>Anderson2017</v>
      </c>
      <c r="B106" t="str">
        <f>rearing!C107</f>
        <v>H7</v>
      </c>
      <c r="C106" t="s">
        <v>459</v>
      </c>
      <c r="D106" t="str">
        <f>plantRetention!C107</f>
        <v>-</v>
      </c>
      <c r="E106">
        <f>waterIN!E107</f>
        <v>0</v>
      </c>
      <c r="F106">
        <f>rearing!B107</f>
        <v>0</v>
      </c>
      <c r="G106" t="s">
        <v>172</v>
      </c>
      <c r="H106">
        <f>waterRAS!E107</f>
        <v>0</v>
      </c>
      <c r="I106">
        <f>waterRAS!F107</f>
        <v>0</v>
      </c>
      <c r="J106">
        <f>waterRAS!G107</f>
        <v>0</v>
      </c>
      <c r="K106">
        <f>waterREMIN!D107</f>
        <v>0</v>
      </c>
      <c r="L106">
        <f>waterTRANS!D107</f>
        <v>0</v>
      </c>
      <c r="M106">
        <f>waterTRANS!E107</f>
        <v>0</v>
      </c>
      <c r="N106">
        <f>plantRetention!D107</f>
        <v>0</v>
      </c>
    </row>
    <row r="107" spans="1:14" x14ac:dyDescent="0.2">
      <c r="A107" t="str">
        <f>rearing!A108</f>
        <v>Anderson2017</v>
      </c>
      <c r="B107" t="str">
        <f>rearing!C108</f>
        <v>A7</v>
      </c>
      <c r="C107" t="s">
        <v>459</v>
      </c>
      <c r="D107" t="str">
        <f>plantRetention!C108</f>
        <v>permanent</v>
      </c>
      <c r="E107" t="str">
        <f>waterIN!E108</f>
        <v>tap</v>
      </c>
      <c r="F107" t="str">
        <f>rearing!B108</f>
        <v>Koi carp</v>
      </c>
      <c r="G107" t="s">
        <v>172</v>
      </c>
      <c r="H107">
        <f>waterRAS!E108</f>
        <v>0</v>
      </c>
      <c r="I107">
        <f>waterRAS!F108</f>
        <v>0</v>
      </c>
      <c r="J107">
        <f>waterRAS!G108</f>
        <v>0</v>
      </c>
      <c r="K107">
        <f>waterREMIN!D108</f>
        <v>0</v>
      </c>
      <c r="L107">
        <f>waterTRANS!D108</f>
        <v>0</v>
      </c>
      <c r="M107">
        <f>waterTRANS!E108</f>
        <v>0</v>
      </c>
      <c r="N107">
        <f>plantRetention!D108</f>
        <v>0</v>
      </c>
    </row>
    <row r="108" spans="1:14" x14ac:dyDescent="0.2">
      <c r="A108" t="str">
        <f>rearing!A109</f>
        <v>Blanchard2020</v>
      </c>
      <c r="B108" t="str">
        <f>rearing!C109</f>
        <v>pH7</v>
      </c>
      <c r="C108" t="s">
        <v>459</v>
      </c>
      <c r="D108" t="str">
        <f>plantRetention!C109</f>
        <v>on-demand</v>
      </c>
      <c r="E108">
        <f>waterIN!E109</f>
        <v>0</v>
      </c>
      <c r="F108" t="str">
        <f>rearing!B109</f>
        <v>Nile tilapia</v>
      </c>
      <c r="G108" t="s">
        <v>172</v>
      </c>
      <c r="H108" t="str">
        <f>waterRAS!E109</f>
        <v>FALSE</v>
      </c>
      <c r="I108" t="str">
        <f>waterRAS!F109</f>
        <v>FALSE</v>
      </c>
      <c r="J108" t="str">
        <f>waterRAS!G109</f>
        <v>TRUE</v>
      </c>
      <c r="K108">
        <f>waterREMIN!D109</f>
        <v>0</v>
      </c>
      <c r="L108">
        <f>waterTRANS!D109</f>
        <v>0</v>
      </c>
      <c r="M108">
        <f>waterTRANS!E109</f>
        <v>0</v>
      </c>
      <c r="N108" t="str">
        <f>plantRetention!D109</f>
        <v>Dutch bucket</v>
      </c>
    </row>
    <row r="109" spans="1:14" x14ac:dyDescent="0.2">
      <c r="A109" t="str">
        <f>rearing!A110</f>
        <v>Blanchard2020</v>
      </c>
      <c r="B109" t="str">
        <f>rearing!C110</f>
        <v>pH6.5</v>
      </c>
      <c r="C109" t="s">
        <v>459</v>
      </c>
      <c r="D109" t="str">
        <f>plantRetention!C110</f>
        <v>on-demand</v>
      </c>
      <c r="E109">
        <f>waterIN!E110</f>
        <v>0</v>
      </c>
      <c r="F109" t="str">
        <f>rearing!B110</f>
        <v>Nile tilapia</v>
      </c>
      <c r="G109" t="s">
        <v>172</v>
      </c>
      <c r="H109" t="str">
        <f>waterRAS!E110</f>
        <v>FALSE</v>
      </c>
      <c r="I109" t="str">
        <f>waterRAS!F110</f>
        <v>FALSE</v>
      </c>
      <c r="J109" t="str">
        <f>waterRAS!G110</f>
        <v>TRUE</v>
      </c>
      <c r="K109">
        <f>waterREMIN!D110</f>
        <v>0</v>
      </c>
      <c r="L109">
        <f>waterTRANS!D110</f>
        <v>0</v>
      </c>
      <c r="M109">
        <f>waterTRANS!E110</f>
        <v>0</v>
      </c>
      <c r="N109" t="str">
        <f>plantRetention!D110</f>
        <v>Dutch bucket</v>
      </c>
    </row>
    <row r="110" spans="1:14" x14ac:dyDescent="0.2">
      <c r="A110" t="str">
        <f>rearing!A111</f>
        <v>Blanchard2020</v>
      </c>
      <c r="B110" t="str">
        <f>rearing!C111</f>
        <v>pH5.8</v>
      </c>
      <c r="C110" t="s">
        <v>459</v>
      </c>
      <c r="D110" t="str">
        <f>plantRetention!C111</f>
        <v>on-demand</v>
      </c>
      <c r="E110">
        <f>waterIN!E111</f>
        <v>0</v>
      </c>
      <c r="F110" t="str">
        <f>rearing!B111</f>
        <v>Nile tilapia</v>
      </c>
      <c r="G110" t="s">
        <v>172</v>
      </c>
      <c r="H110" t="str">
        <f>waterRAS!E111</f>
        <v>FALSE</v>
      </c>
      <c r="I110" t="str">
        <f>waterRAS!F111</f>
        <v>FALSE</v>
      </c>
      <c r="J110" t="str">
        <f>waterRAS!G111</f>
        <v>TRUE</v>
      </c>
      <c r="K110">
        <f>waterREMIN!D111</f>
        <v>0</v>
      </c>
      <c r="L110">
        <f>waterTRANS!D111</f>
        <v>0</v>
      </c>
      <c r="M110">
        <f>waterTRANS!E111</f>
        <v>0</v>
      </c>
      <c r="N110" t="str">
        <f>plantRetention!D111</f>
        <v>Dutch bucket</v>
      </c>
    </row>
    <row r="111" spans="1:14" x14ac:dyDescent="0.2">
      <c r="A111" t="str">
        <f>rearing!A112</f>
        <v>Blanchard2020</v>
      </c>
      <c r="B111" t="str">
        <f>rearing!C112</f>
        <v>pH5</v>
      </c>
      <c r="C111" t="s">
        <v>459</v>
      </c>
      <c r="D111" t="str">
        <f>plantRetention!C112</f>
        <v>on-demand</v>
      </c>
      <c r="E111">
        <f>waterIN!E112</f>
        <v>0</v>
      </c>
      <c r="F111" t="str">
        <f>rearing!B112</f>
        <v>Nile tilapia</v>
      </c>
      <c r="G111" t="s">
        <v>172</v>
      </c>
      <c r="H111" t="str">
        <f>waterRAS!E112</f>
        <v>FALSE</v>
      </c>
      <c r="I111" t="str">
        <f>waterRAS!F112</f>
        <v>FALSE</v>
      </c>
      <c r="J111" t="str">
        <f>waterRAS!G112</f>
        <v>TRUE</v>
      </c>
      <c r="K111">
        <f>waterREMIN!D112</f>
        <v>0</v>
      </c>
      <c r="L111">
        <f>waterTRANS!D112</f>
        <v>0</v>
      </c>
      <c r="M111">
        <f>waterTRANS!E112</f>
        <v>0</v>
      </c>
      <c r="N111" t="str">
        <f>plantRetention!D112</f>
        <v>Dutch bucket</v>
      </c>
    </row>
    <row r="112" spans="1:14" x14ac:dyDescent="0.2">
      <c r="A112" t="str">
        <f>rearing!A113</f>
        <v>Pinero2020</v>
      </c>
      <c r="B112" t="str">
        <f>rearing!C113</f>
        <v>100S</v>
      </c>
      <c r="C112" t="s">
        <v>459</v>
      </c>
      <c r="D112">
        <f>plantRetention!C113</f>
        <v>0</v>
      </c>
      <c r="E112">
        <f>waterIN!E113</f>
        <v>0</v>
      </c>
      <c r="F112" t="str">
        <f>rearing!B113</f>
        <v>Nile tilapia</v>
      </c>
      <c r="G112" t="s">
        <v>172</v>
      </c>
      <c r="H112">
        <f>waterRAS!E113</f>
        <v>0</v>
      </c>
      <c r="I112">
        <f>waterRAS!F113</f>
        <v>0</v>
      </c>
      <c r="J112">
        <f>waterRAS!G113</f>
        <v>0</v>
      </c>
      <c r="K112">
        <f>waterREMIN!D113</f>
        <v>0</v>
      </c>
      <c r="L112" t="str">
        <f>waterTRANS!D113</f>
        <v>Fertilizer</v>
      </c>
      <c r="M112" t="str">
        <f>waterTRANS!E113</f>
        <v>FALSE</v>
      </c>
      <c r="N112">
        <f>plantRetention!D113</f>
        <v>0</v>
      </c>
    </row>
    <row r="113" spans="1:14" x14ac:dyDescent="0.2">
      <c r="A113" t="str">
        <f>rearing!A114</f>
        <v>Pinero2021</v>
      </c>
      <c r="B113" t="str">
        <f>rearing!C114</f>
        <v>50F50D</v>
      </c>
      <c r="C113" t="s">
        <v>459</v>
      </c>
      <c r="D113">
        <f>plantRetention!C114</f>
        <v>0</v>
      </c>
      <c r="E113">
        <f>waterIN!E114</f>
        <v>0</v>
      </c>
      <c r="F113" t="str">
        <f>rearing!B114</f>
        <v>Nile tilapia</v>
      </c>
      <c r="G113" t="s">
        <v>172</v>
      </c>
      <c r="H113">
        <f>waterRAS!E114</f>
        <v>0</v>
      </c>
      <c r="I113">
        <f>waterRAS!F114</f>
        <v>0</v>
      </c>
      <c r="J113">
        <f>waterRAS!G114</f>
        <v>0</v>
      </c>
      <c r="K113">
        <f>waterREMIN!D114</f>
        <v>0</v>
      </c>
      <c r="L113">
        <f>waterTRANS!D114</f>
        <v>0</v>
      </c>
      <c r="M113" t="str">
        <f>waterTRANS!E114</f>
        <v>FALSE</v>
      </c>
      <c r="N113">
        <f>plantRetention!D114</f>
        <v>0</v>
      </c>
    </row>
    <row r="114" spans="1:14" x14ac:dyDescent="0.2">
      <c r="A114" t="str">
        <f>rearing!A115</f>
        <v>Pinero2022</v>
      </c>
      <c r="B114" t="str">
        <f>rearing!C115</f>
        <v>50F50D+S</v>
      </c>
      <c r="C114" t="s">
        <v>459</v>
      </c>
      <c r="D114">
        <f>plantRetention!C115</f>
        <v>0</v>
      </c>
      <c r="E114">
        <f>waterIN!E115</f>
        <v>0</v>
      </c>
      <c r="F114" t="str">
        <f>rearing!B115</f>
        <v>Nile tilapia</v>
      </c>
      <c r="G114" t="s">
        <v>172</v>
      </c>
      <c r="H114">
        <f>waterRAS!E115</f>
        <v>0</v>
      </c>
      <c r="I114">
        <f>waterRAS!F115</f>
        <v>0</v>
      </c>
      <c r="J114">
        <f>waterRAS!G115</f>
        <v>0</v>
      </c>
      <c r="K114">
        <f>waterREMIN!D115</f>
        <v>0</v>
      </c>
      <c r="L114" t="str">
        <f>waterTRANS!D115</f>
        <v>Fertilizer</v>
      </c>
      <c r="M114" t="str">
        <f>waterTRANS!E115</f>
        <v>FALSE</v>
      </c>
      <c r="N114">
        <f>plantRetention!D115</f>
        <v>0</v>
      </c>
    </row>
    <row r="115" spans="1:14" x14ac:dyDescent="0.2">
      <c r="A115" t="str">
        <f>rearing!A116</f>
        <v>Pinero2023</v>
      </c>
      <c r="B115" t="str">
        <f>rearing!C116</f>
        <v>50F50D+F</v>
      </c>
      <c r="C115" t="s">
        <v>459</v>
      </c>
      <c r="D115">
        <f>plantRetention!C116</f>
        <v>0</v>
      </c>
      <c r="E115">
        <f>waterIN!E116</f>
        <v>0</v>
      </c>
      <c r="F115" t="str">
        <f>rearing!B116</f>
        <v>Nile tilapia</v>
      </c>
      <c r="G115" t="s">
        <v>172</v>
      </c>
      <c r="H115">
        <f>waterRAS!E116</f>
        <v>0</v>
      </c>
      <c r="I115">
        <f>waterRAS!F116</f>
        <v>0</v>
      </c>
      <c r="J115">
        <f>waterRAS!G116</f>
        <v>0</v>
      </c>
      <c r="K115">
        <f>waterREMIN!D116</f>
        <v>0</v>
      </c>
      <c r="L115">
        <f>waterTRANS!D116</f>
        <v>0</v>
      </c>
      <c r="M115" t="str">
        <f>waterTRANS!E116</f>
        <v>FALSE</v>
      </c>
      <c r="N115">
        <f>plantRetention!D116</f>
        <v>0</v>
      </c>
    </row>
    <row r="154" spans="1:14" x14ac:dyDescent="0.2">
      <c r="A154">
        <f>rearing!A161</f>
        <v>0</v>
      </c>
      <c r="B154">
        <f>rearing!C161</f>
        <v>0</v>
      </c>
      <c r="D154" t="e">
        <f>plantRetention!#REF!</f>
        <v>#REF!</v>
      </c>
      <c r="E154">
        <f>waterIN!E139</f>
        <v>0</v>
      </c>
      <c r="F154">
        <f>rearing!B161</f>
        <v>0</v>
      </c>
      <c r="G154" t="e">
        <f>plantRetention!#REF!</f>
        <v>#REF!</v>
      </c>
      <c r="H154">
        <f>waterRAS!E161</f>
        <v>0</v>
      </c>
      <c r="I154">
        <f>waterRAS!F161</f>
        <v>0</v>
      </c>
      <c r="J154">
        <f>waterRAS!G161</f>
        <v>0</v>
      </c>
      <c r="K154">
        <f>waterREMIN!D153</f>
        <v>0</v>
      </c>
      <c r="L154">
        <f>waterTRANS!D165</f>
        <v>0</v>
      </c>
      <c r="M154">
        <f>waterTRANS!E165</f>
        <v>0</v>
      </c>
      <c r="N154" t="e">
        <f>plantRetention!#REF!</f>
        <v>#REF!</v>
      </c>
    </row>
    <row r="155" spans="1:14" x14ac:dyDescent="0.2">
      <c r="A155">
        <f>rearing!A162</f>
        <v>0</v>
      </c>
      <c r="B155">
        <f>rearing!C162</f>
        <v>0</v>
      </c>
      <c r="D155" t="e">
        <f>plantRetention!#REF!</f>
        <v>#REF!</v>
      </c>
      <c r="E155">
        <f>waterIN!E140</f>
        <v>0</v>
      </c>
      <c r="F155">
        <f>rearing!B162</f>
        <v>0</v>
      </c>
      <c r="G155" t="e">
        <f>plantRetention!#REF!</f>
        <v>#REF!</v>
      </c>
      <c r="H155">
        <f>waterRAS!E162</f>
        <v>0</v>
      </c>
      <c r="I155">
        <f>waterRAS!F162</f>
        <v>0</v>
      </c>
      <c r="J155">
        <f>waterRAS!G162</f>
        <v>0</v>
      </c>
      <c r="K155">
        <f>waterREMIN!D154</f>
        <v>0</v>
      </c>
      <c r="L155">
        <f>waterTRANS!D166</f>
        <v>0</v>
      </c>
      <c r="M155">
        <f>waterTRANS!E166</f>
        <v>0</v>
      </c>
      <c r="N155" t="e">
        <f>plantRetention!#REF!</f>
        <v>#REF!</v>
      </c>
    </row>
    <row r="156" spans="1:14" x14ac:dyDescent="0.2">
      <c r="A156">
        <f>rearing!A163</f>
        <v>0</v>
      </c>
      <c r="B156">
        <f>rearing!C163</f>
        <v>0</v>
      </c>
      <c r="D156" t="e">
        <f>plantRetention!#REF!</f>
        <v>#REF!</v>
      </c>
      <c r="E156">
        <f>waterIN!E141</f>
        <v>0</v>
      </c>
      <c r="F156">
        <f>rearing!B163</f>
        <v>0</v>
      </c>
      <c r="G156" t="e">
        <f>plantRetention!#REF!</f>
        <v>#REF!</v>
      </c>
      <c r="H156">
        <f>waterRAS!E163</f>
        <v>0</v>
      </c>
      <c r="I156">
        <f>waterRAS!F163</f>
        <v>0</v>
      </c>
      <c r="J156">
        <f>waterRAS!G163</f>
        <v>0</v>
      </c>
      <c r="K156">
        <f>waterREMIN!D155</f>
        <v>0</v>
      </c>
      <c r="L156">
        <f>waterTRANS!D167</f>
        <v>0</v>
      </c>
      <c r="M156">
        <f>waterTRANS!E167</f>
        <v>0</v>
      </c>
      <c r="N156" t="e">
        <f>plantRetention!#REF!</f>
        <v>#REF!</v>
      </c>
    </row>
    <row r="157" spans="1:14" x14ac:dyDescent="0.2">
      <c r="A157">
        <f>rearing!A164</f>
        <v>0</v>
      </c>
      <c r="B157">
        <f>rearing!C164</f>
        <v>0</v>
      </c>
      <c r="D157" t="e">
        <f>plantRetention!#REF!</f>
        <v>#REF!</v>
      </c>
      <c r="E157">
        <f>waterIN!E142</f>
        <v>0</v>
      </c>
      <c r="F157">
        <f>rearing!B164</f>
        <v>0</v>
      </c>
      <c r="G157" t="e">
        <f>plantRetention!#REF!</f>
        <v>#REF!</v>
      </c>
      <c r="H157">
        <f>waterRAS!E164</f>
        <v>0</v>
      </c>
      <c r="I157">
        <f>waterRAS!F164</f>
        <v>0</v>
      </c>
      <c r="J157">
        <f>waterRAS!G164</f>
        <v>0</v>
      </c>
      <c r="K157">
        <f>waterREMIN!D156</f>
        <v>0</v>
      </c>
      <c r="L157">
        <f>waterTRANS!D168</f>
        <v>0</v>
      </c>
      <c r="M157">
        <f>waterTRANS!E168</f>
        <v>0</v>
      </c>
      <c r="N157" t="e">
        <f>plantRetention!#REF!</f>
        <v>#REF!</v>
      </c>
    </row>
    <row r="158" spans="1:14" x14ac:dyDescent="0.2">
      <c r="A158">
        <f>rearing!A165</f>
        <v>0</v>
      </c>
      <c r="B158">
        <f>rearing!C165</f>
        <v>0</v>
      </c>
      <c r="D158" t="e">
        <f>plantRetention!#REF!</f>
        <v>#REF!</v>
      </c>
      <c r="E158">
        <f>waterIN!E143</f>
        <v>0</v>
      </c>
      <c r="F158">
        <f>rearing!B165</f>
        <v>0</v>
      </c>
      <c r="G158" t="e">
        <f>plantRetention!#REF!</f>
        <v>#REF!</v>
      </c>
      <c r="H158">
        <f>waterRAS!E165</f>
        <v>0</v>
      </c>
      <c r="I158">
        <f>waterRAS!F165</f>
        <v>0</v>
      </c>
      <c r="J158">
        <f>waterRAS!G165</f>
        <v>0</v>
      </c>
      <c r="K158">
        <f>waterREMIN!D157</f>
        <v>0</v>
      </c>
      <c r="L158">
        <f>waterTRANS!D169</f>
        <v>0</v>
      </c>
      <c r="M158">
        <f>waterTRANS!E169</f>
        <v>0</v>
      </c>
      <c r="N158" t="e">
        <f>plantRetention!#REF!</f>
        <v>#REF!</v>
      </c>
    </row>
    <row r="159" spans="1:14" x14ac:dyDescent="0.2">
      <c r="A159">
        <f>rearing!A166</f>
        <v>0</v>
      </c>
      <c r="B159">
        <f>rearing!C166</f>
        <v>0</v>
      </c>
      <c r="D159" t="e">
        <f>plantRetention!#REF!</f>
        <v>#REF!</v>
      </c>
      <c r="E159">
        <f>waterIN!E144</f>
        <v>0</v>
      </c>
      <c r="F159">
        <f>rearing!B166</f>
        <v>0</v>
      </c>
      <c r="G159" t="e">
        <f>plantRetention!#REF!</f>
        <v>#REF!</v>
      </c>
      <c r="H159">
        <f>waterRAS!E166</f>
        <v>0</v>
      </c>
      <c r="I159">
        <f>waterRAS!F166</f>
        <v>0</v>
      </c>
      <c r="J159">
        <f>waterRAS!G166</f>
        <v>0</v>
      </c>
      <c r="K159">
        <f>waterREMIN!D158</f>
        <v>0</v>
      </c>
      <c r="L159">
        <f>waterTRANS!D170</f>
        <v>0</v>
      </c>
      <c r="M159">
        <f>waterTRANS!E170</f>
        <v>0</v>
      </c>
      <c r="N159" t="e">
        <f>plantRetention!#REF!</f>
        <v>#REF!</v>
      </c>
    </row>
    <row r="160" spans="1:14" x14ac:dyDescent="0.2">
      <c r="A160">
        <f>rearing!A167</f>
        <v>0</v>
      </c>
      <c r="B160">
        <f>rearing!C167</f>
        <v>0</v>
      </c>
      <c r="D160" t="e">
        <f>plantRetention!#REF!</f>
        <v>#REF!</v>
      </c>
      <c r="E160">
        <f>waterIN!E145</f>
        <v>0</v>
      </c>
      <c r="F160">
        <f>rearing!B167</f>
        <v>0</v>
      </c>
      <c r="G160" t="e">
        <f>plantRetention!#REF!</f>
        <v>#REF!</v>
      </c>
      <c r="H160">
        <f>waterRAS!E167</f>
        <v>0</v>
      </c>
      <c r="I160">
        <f>waterRAS!F167</f>
        <v>0</v>
      </c>
      <c r="J160">
        <f>waterRAS!G167</f>
        <v>0</v>
      </c>
      <c r="K160">
        <f>waterREMIN!D159</f>
        <v>0</v>
      </c>
      <c r="L160">
        <f>waterTRANS!D171</f>
        <v>0</v>
      </c>
      <c r="M160">
        <f>waterTRANS!E171</f>
        <v>0</v>
      </c>
      <c r="N160" t="e">
        <f>plantRetention!#REF!</f>
        <v>#REF!</v>
      </c>
    </row>
    <row r="161" spans="1:14" x14ac:dyDescent="0.2">
      <c r="A161">
        <f>rearing!A168</f>
        <v>0</v>
      </c>
      <c r="B161">
        <f>rearing!C168</f>
        <v>0</v>
      </c>
      <c r="D161" t="e">
        <f>plantRetention!#REF!</f>
        <v>#REF!</v>
      </c>
      <c r="E161">
        <f>waterIN!E146</f>
        <v>0</v>
      </c>
      <c r="F161">
        <f>rearing!B168</f>
        <v>0</v>
      </c>
      <c r="G161" t="e">
        <f>plantRetention!#REF!</f>
        <v>#REF!</v>
      </c>
      <c r="H161">
        <f>waterRAS!E168</f>
        <v>0</v>
      </c>
      <c r="I161">
        <f>waterRAS!F168</f>
        <v>0</v>
      </c>
      <c r="J161">
        <f>waterRAS!G168</f>
        <v>0</v>
      </c>
      <c r="K161">
        <f>waterREMIN!D160</f>
        <v>0</v>
      </c>
      <c r="L161">
        <f>waterTRANS!D172</f>
        <v>0</v>
      </c>
      <c r="M161">
        <f>waterTRANS!E172</f>
        <v>0</v>
      </c>
      <c r="N161" t="e">
        <f>plantRetention!#REF!</f>
        <v>#REF!</v>
      </c>
    </row>
    <row r="162" spans="1:14" x14ac:dyDescent="0.2">
      <c r="A162">
        <f>rearing!A169</f>
        <v>0</v>
      </c>
      <c r="B162">
        <f>rearing!C169</f>
        <v>0</v>
      </c>
      <c r="D162" t="e">
        <f>plantRetention!#REF!</f>
        <v>#REF!</v>
      </c>
      <c r="E162">
        <f>waterIN!E147</f>
        <v>0</v>
      </c>
      <c r="F162">
        <f>rearing!B169</f>
        <v>0</v>
      </c>
      <c r="G162" t="e">
        <f>plantRetention!#REF!</f>
        <v>#REF!</v>
      </c>
      <c r="H162">
        <f>waterRAS!E169</f>
        <v>0</v>
      </c>
      <c r="I162">
        <f>waterRAS!F169</f>
        <v>0</v>
      </c>
      <c r="J162">
        <f>waterRAS!G169</f>
        <v>0</v>
      </c>
      <c r="K162">
        <f>waterREMIN!D161</f>
        <v>0</v>
      </c>
      <c r="L162">
        <f>waterTRANS!D173</f>
        <v>0</v>
      </c>
      <c r="M162">
        <f>waterTRANS!E173</f>
        <v>0</v>
      </c>
      <c r="N162" t="e">
        <f>plantRetention!#REF!</f>
        <v>#REF!</v>
      </c>
    </row>
    <row r="163" spans="1:14" x14ac:dyDescent="0.2">
      <c r="A163">
        <f>rearing!A170</f>
        <v>0</v>
      </c>
      <c r="B163">
        <f>rearing!C170</f>
        <v>0</v>
      </c>
      <c r="D163" t="e">
        <f>plantRetention!#REF!</f>
        <v>#REF!</v>
      </c>
      <c r="E163">
        <f>waterIN!E148</f>
        <v>0</v>
      </c>
      <c r="F163">
        <f>rearing!B170</f>
        <v>0</v>
      </c>
      <c r="G163" t="e">
        <f>plantRetention!#REF!</f>
        <v>#REF!</v>
      </c>
      <c r="H163">
        <f>waterRAS!E170</f>
        <v>0</v>
      </c>
      <c r="I163">
        <f>waterRAS!F170</f>
        <v>0</v>
      </c>
      <c r="J163">
        <f>waterRAS!G170</f>
        <v>0</v>
      </c>
      <c r="K163">
        <f>waterREMIN!D162</f>
        <v>0</v>
      </c>
      <c r="L163">
        <f>waterTRANS!D174</f>
        <v>0</v>
      </c>
      <c r="M163">
        <f>waterTRANS!E174</f>
        <v>0</v>
      </c>
      <c r="N163" t="e">
        <f>plantRetention!#REF!</f>
        <v>#REF!</v>
      </c>
    </row>
    <row r="164" spans="1:14" x14ac:dyDescent="0.2">
      <c r="A164">
        <f>rearing!A171</f>
        <v>0</v>
      </c>
      <c r="B164">
        <f>rearing!C171</f>
        <v>0</v>
      </c>
      <c r="D164" t="e">
        <f>plantRetention!#REF!</f>
        <v>#REF!</v>
      </c>
      <c r="E164">
        <f>waterIN!E149</f>
        <v>0</v>
      </c>
      <c r="F164">
        <f>rearing!B171</f>
        <v>0</v>
      </c>
      <c r="G164" t="e">
        <f>plantRetention!#REF!</f>
        <v>#REF!</v>
      </c>
      <c r="H164">
        <f>waterRAS!E171</f>
        <v>0</v>
      </c>
      <c r="I164">
        <f>waterRAS!F171</f>
        <v>0</v>
      </c>
      <c r="J164">
        <f>waterRAS!G171</f>
        <v>0</v>
      </c>
      <c r="K164">
        <f>waterREMIN!D163</f>
        <v>0</v>
      </c>
      <c r="L164">
        <f>waterTRANS!D175</f>
        <v>0</v>
      </c>
      <c r="M164">
        <f>waterTRANS!E175</f>
        <v>0</v>
      </c>
      <c r="N164" t="e">
        <f>plantRetention!#REF!</f>
        <v>#REF!</v>
      </c>
    </row>
    <row r="165" spans="1:14" x14ac:dyDescent="0.2">
      <c r="A165">
        <f>rearing!A172</f>
        <v>0</v>
      </c>
      <c r="B165">
        <f>rearing!C172</f>
        <v>0</v>
      </c>
      <c r="D165" t="e">
        <f>plantRetention!#REF!</f>
        <v>#REF!</v>
      </c>
      <c r="E165">
        <f>waterIN!E150</f>
        <v>0</v>
      </c>
      <c r="F165">
        <f>rearing!B172</f>
        <v>0</v>
      </c>
      <c r="G165" t="e">
        <f>plantRetention!#REF!</f>
        <v>#REF!</v>
      </c>
      <c r="H165">
        <f>waterRAS!E172</f>
        <v>0</v>
      </c>
      <c r="I165">
        <f>waterRAS!F172</f>
        <v>0</v>
      </c>
      <c r="J165">
        <f>waterRAS!G172</f>
        <v>0</v>
      </c>
      <c r="K165">
        <f>waterREMIN!D164</f>
        <v>0</v>
      </c>
      <c r="L165">
        <f>waterTRANS!D176</f>
        <v>0</v>
      </c>
      <c r="M165">
        <f>waterTRANS!E176</f>
        <v>0</v>
      </c>
      <c r="N165" t="e">
        <f>plantRetention!#REF!</f>
        <v>#REF!</v>
      </c>
    </row>
    <row r="166" spans="1:14" x14ac:dyDescent="0.2">
      <c r="A166">
        <f>rearing!A173</f>
        <v>0</v>
      </c>
      <c r="B166">
        <f>rearing!C173</f>
        <v>0</v>
      </c>
      <c r="D166" t="e">
        <f>plantRetention!#REF!</f>
        <v>#REF!</v>
      </c>
      <c r="E166">
        <f>waterIN!E151</f>
        <v>0</v>
      </c>
      <c r="F166">
        <f>rearing!B173</f>
        <v>0</v>
      </c>
      <c r="G166" t="e">
        <f>plantRetention!#REF!</f>
        <v>#REF!</v>
      </c>
      <c r="H166">
        <f>waterRAS!E173</f>
        <v>0</v>
      </c>
      <c r="I166">
        <f>waterRAS!F173</f>
        <v>0</v>
      </c>
      <c r="J166">
        <f>waterRAS!G173</f>
        <v>0</v>
      </c>
      <c r="K166">
        <f>waterREMIN!D165</f>
        <v>0</v>
      </c>
      <c r="L166">
        <f>waterTRANS!D177</f>
        <v>0</v>
      </c>
      <c r="M166">
        <f>waterTRANS!E177</f>
        <v>0</v>
      </c>
      <c r="N166" t="e">
        <f>plantRetention!#REF!</f>
        <v>#REF!</v>
      </c>
    </row>
    <row r="167" spans="1:14" x14ac:dyDescent="0.2">
      <c r="A167">
        <f>rearing!A174</f>
        <v>0</v>
      </c>
      <c r="B167">
        <f>rearing!C174</f>
        <v>0</v>
      </c>
      <c r="D167" t="e">
        <f>plantRetention!#REF!</f>
        <v>#REF!</v>
      </c>
      <c r="E167">
        <f>waterIN!E152</f>
        <v>0</v>
      </c>
      <c r="F167">
        <f>rearing!B174</f>
        <v>0</v>
      </c>
      <c r="G167" t="e">
        <f>plantRetention!#REF!</f>
        <v>#REF!</v>
      </c>
      <c r="H167">
        <f>waterRAS!E174</f>
        <v>0</v>
      </c>
      <c r="I167">
        <f>waterRAS!F174</f>
        <v>0</v>
      </c>
      <c r="J167">
        <f>waterRAS!G174</f>
        <v>0</v>
      </c>
      <c r="K167">
        <f>waterREMIN!D166</f>
        <v>0</v>
      </c>
      <c r="L167">
        <f>waterTRANS!D178</f>
        <v>0</v>
      </c>
      <c r="M167">
        <f>waterTRANS!E178</f>
        <v>0</v>
      </c>
      <c r="N167" t="e">
        <f>plantRetention!#REF!</f>
        <v>#REF!</v>
      </c>
    </row>
    <row r="168" spans="1:14" x14ac:dyDescent="0.2">
      <c r="A168">
        <f>rearing!A175</f>
        <v>0</v>
      </c>
      <c r="B168">
        <f>rearing!C175</f>
        <v>0</v>
      </c>
      <c r="D168" t="e">
        <f>plantRetention!#REF!</f>
        <v>#REF!</v>
      </c>
      <c r="E168">
        <f>waterIN!E153</f>
        <v>0</v>
      </c>
      <c r="F168">
        <f>rearing!B175</f>
        <v>0</v>
      </c>
      <c r="G168" t="e">
        <f>plantRetention!#REF!</f>
        <v>#REF!</v>
      </c>
      <c r="H168">
        <f>waterRAS!E175</f>
        <v>0</v>
      </c>
      <c r="I168">
        <f>waterRAS!F175</f>
        <v>0</v>
      </c>
      <c r="J168">
        <f>waterRAS!G175</f>
        <v>0</v>
      </c>
      <c r="K168">
        <f>waterREMIN!D167</f>
        <v>0</v>
      </c>
      <c r="L168">
        <f>waterTRANS!D179</f>
        <v>0</v>
      </c>
      <c r="M168">
        <f>waterTRANS!E179</f>
        <v>0</v>
      </c>
      <c r="N168" t="e">
        <f>plantRetention!#REF!</f>
        <v>#REF!</v>
      </c>
    </row>
    <row r="169" spans="1:14" x14ac:dyDescent="0.2">
      <c r="A169">
        <f>rearing!A176</f>
        <v>0</v>
      </c>
      <c r="B169">
        <f>rearing!C176</f>
        <v>0</v>
      </c>
      <c r="D169" t="e">
        <f>plantRetention!#REF!</f>
        <v>#REF!</v>
      </c>
      <c r="E169">
        <f>waterIN!E154</f>
        <v>0</v>
      </c>
      <c r="F169">
        <f>rearing!B176</f>
        <v>0</v>
      </c>
      <c r="G169" t="e">
        <f>plantRetention!#REF!</f>
        <v>#REF!</v>
      </c>
      <c r="H169">
        <f>waterRAS!E176</f>
        <v>0</v>
      </c>
      <c r="I169">
        <f>waterRAS!F176</f>
        <v>0</v>
      </c>
      <c r="J169">
        <f>waterRAS!G176</f>
        <v>0</v>
      </c>
      <c r="K169">
        <f>waterREMIN!D168</f>
        <v>0</v>
      </c>
      <c r="L169">
        <f>waterTRANS!D180</f>
        <v>0</v>
      </c>
      <c r="M169">
        <f>waterTRANS!E180</f>
        <v>0</v>
      </c>
      <c r="N169" t="e">
        <f>plantRetention!#REF!</f>
        <v>#REF!</v>
      </c>
    </row>
    <row r="170" spans="1:14" x14ac:dyDescent="0.2">
      <c r="A170">
        <f>rearing!A177</f>
        <v>0</v>
      </c>
      <c r="B170">
        <f>rearing!C177</f>
        <v>0</v>
      </c>
      <c r="D170" t="e">
        <f>plantRetention!#REF!</f>
        <v>#REF!</v>
      </c>
      <c r="E170">
        <f>waterIN!E155</f>
        <v>0</v>
      </c>
      <c r="F170">
        <f>rearing!B177</f>
        <v>0</v>
      </c>
      <c r="G170" t="e">
        <f>plantRetention!#REF!</f>
        <v>#REF!</v>
      </c>
      <c r="H170">
        <f>waterRAS!E177</f>
        <v>0</v>
      </c>
      <c r="I170">
        <f>waterRAS!F177</f>
        <v>0</v>
      </c>
      <c r="J170">
        <f>waterRAS!G177</f>
        <v>0</v>
      </c>
      <c r="K170">
        <f>waterREMIN!D169</f>
        <v>0</v>
      </c>
      <c r="L170">
        <f>waterTRANS!D181</f>
        <v>0</v>
      </c>
      <c r="M170">
        <f>waterTRANS!E181</f>
        <v>0</v>
      </c>
      <c r="N170" t="e">
        <f>plantRetention!#REF!</f>
        <v>#REF!</v>
      </c>
    </row>
    <row r="171" spans="1:14" x14ac:dyDescent="0.2">
      <c r="A171">
        <f>rearing!A178</f>
        <v>0</v>
      </c>
      <c r="B171">
        <f>rearing!C178</f>
        <v>0</v>
      </c>
      <c r="D171" t="e">
        <f>plantRetention!#REF!</f>
        <v>#REF!</v>
      </c>
      <c r="E171">
        <f>waterIN!E156</f>
        <v>0</v>
      </c>
      <c r="F171">
        <f>rearing!B178</f>
        <v>0</v>
      </c>
      <c r="G171" t="e">
        <f>plantRetention!#REF!</f>
        <v>#REF!</v>
      </c>
      <c r="H171">
        <f>waterRAS!E178</f>
        <v>0</v>
      </c>
      <c r="I171">
        <f>waterRAS!F178</f>
        <v>0</v>
      </c>
      <c r="J171">
        <f>waterRAS!G178</f>
        <v>0</v>
      </c>
      <c r="K171">
        <f>waterREMIN!D170</f>
        <v>0</v>
      </c>
      <c r="L171">
        <f>waterTRANS!D182</f>
        <v>0</v>
      </c>
      <c r="M171">
        <f>waterTRANS!E182</f>
        <v>0</v>
      </c>
      <c r="N171" t="e">
        <f>plantRetention!#REF!</f>
        <v>#REF!</v>
      </c>
    </row>
    <row r="172" spans="1:14" x14ac:dyDescent="0.2">
      <c r="A172">
        <f>rearing!A179</f>
        <v>0</v>
      </c>
      <c r="B172">
        <f>rearing!C179</f>
        <v>0</v>
      </c>
      <c r="D172" t="e">
        <f>plantRetention!#REF!</f>
        <v>#REF!</v>
      </c>
      <c r="E172">
        <f>waterIN!E157</f>
        <v>0</v>
      </c>
      <c r="F172">
        <f>rearing!B179</f>
        <v>0</v>
      </c>
      <c r="G172" t="e">
        <f>plantRetention!#REF!</f>
        <v>#REF!</v>
      </c>
      <c r="H172">
        <f>waterRAS!E179</f>
        <v>0</v>
      </c>
      <c r="I172">
        <f>waterRAS!F179</f>
        <v>0</v>
      </c>
      <c r="J172">
        <f>waterRAS!G179</f>
        <v>0</v>
      </c>
      <c r="K172">
        <f>waterREMIN!D171</f>
        <v>0</v>
      </c>
      <c r="L172">
        <f>waterTRANS!D183</f>
        <v>0</v>
      </c>
      <c r="M172">
        <f>waterTRANS!E183</f>
        <v>0</v>
      </c>
      <c r="N172" t="e">
        <f>plantRetention!#REF!</f>
        <v>#REF!</v>
      </c>
    </row>
    <row r="173" spans="1:14" x14ac:dyDescent="0.2">
      <c r="A173">
        <f>rearing!A180</f>
        <v>0</v>
      </c>
      <c r="B173">
        <f>rearing!C180</f>
        <v>0</v>
      </c>
      <c r="D173" t="e">
        <f>plantRetention!#REF!</f>
        <v>#REF!</v>
      </c>
      <c r="E173">
        <f>waterIN!E158</f>
        <v>0</v>
      </c>
      <c r="F173">
        <f>rearing!B180</f>
        <v>0</v>
      </c>
      <c r="G173" t="e">
        <f>plantRetention!#REF!</f>
        <v>#REF!</v>
      </c>
      <c r="H173">
        <f>waterRAS!E180</f>
        <v>0</v>
      </c>
      <c r="I173">
        <f>waterRAS!F180</f>
        <v>0</v>
      </c>
      <c r="J173">
        <f>waterRAS!G180</f>
        <v>0</v>
      </c>
      <c r="K173">
        <f>waterREMIN!D172</f>
        <v>0</v>
      </c>
      <c r="L173">
        <f>waterTRANS!D184</f>
        <v>0</v>
      </c>
      <c r="M173">
        <f>waterTRANS!E184</f>
        <v>0</v>
      </c>
      <c r="N173" t="e">
        <f>plantRetention!#REF!</f>
        <v>#REF!</v>
      </c>
    </row>
    <row r="174" spans="1:14" x14ac:dyDescent="0.2">
      <c r="A174">
        <f>rearing!A181</f>
        <v>0</v>
      </c>
      <c r="B174">
        <f>rearing!C181</f>
        <v>0</v>
      </c>
      <c r="D174" t="e">
        <f>plantRetention!#REF!</f>
        <v>#REF!</v>
      </c>
      <c r="E174">
        <f>waterIN!E159</f>
        <v>0</v>
      </c>
      <c r="F174">
        <f>rearing!B181</f>
        <v>0</v>
      </c>
      <c r="G174" t="e">
        <f>plantRetention!#REF!</f>
        <v>#REF!</v>
      </c>
      <c r="H174">
        <f>waterRAS!E181</f>
        <v>0</v>
      </c>
      <c r="I174">
        <f>waterRAS!F181</f>
        <v>0</v>
      </c>
      <c r="J174">
        <f>waterRAS!G181</f>
        <v>0</v>
      </c>
      <c r="K174">
        <f>waterREMIN!D173</f>
        <v>0</v>
      </c>
      <c r="L174">
        <f>waterTRANS!D185</f>
        <v>0</v>
      </c>
      <c r="M174">
        <f>waterTRANS!E185</f>
        <v>0</v>
      </c>
      <c r="N174" t="e">
        <f>plantRetention!#REF!</f>
        <v>#REF!</v>
      </c>
    </row>
    <row r="175" spans="1:14" x14ac:dyDescent="0.2">
      <c r="A175">
        <f>rearing!A182</f>
        <v>0</v>
      </c>
      <c r="B175">
        <f>rearing!C182</f>
        <v>0</v>
      </c>
      <c r="D175" t="e">
        <f>plantRetention!#REF!</f>
        <v>#REF!</v>
      </c>
      <c r="E175">
        <f>waterIN!E160</f>
        <v>0</v>
      </c>
      <c r="F175">
        <f>rearing!B182</f>
        <v>0</v>
      </c>
      <c r="G175" t="e">
        <f>plantRetention!#REF!</f>
        <v>#REF!</v>
      </c>
      <c r="H175">
        <f>waterRAS!E182</f>
        <v>0</v>
      </c>
      <c r="I175">
        <f>waterRAS!F182</f>
        <v>0</v>
      </c>
      <c r="J175">
        <f>waterRAS!G182</f>
        <v>0</v>
      </c>
      <c r="K175">
        <f>waterREMIN!D174</f>
        <v>0</v>
      </c>
      <c r="L175">
        <f>waterTRANS!D186</f>
        <v>0</v>
      </c>
      <c r="M175">
        <f>waterTRANS!E186</f>
        <v>0</v>
      </c>
      <c r="N175" t="e">
        <f>plantRetention!#REF!</f>
        <v>#REF!</v>
      </c>
    </row>
    <row r="176" spans="1:14" x14ac:dyDescent="0.2">
      <c r="A176">
        <f>rearing!A183</f>
        <v>0</v>
      </c>
      <c r="B176">
        <f>rearing!C183</f>
        <v>0</v>
      </c>
      <c r="D176" t="e">
        <f>plantRetention!#REF!</f>
        <v>#REF!</v>
      </c>
      <c r="E176">
        <f>waterIN!E161</f>
        <v>0</v>
      </c>
      <c r="F176">
        <f>rearing!B183</f>
        <v>0</v>
      </c>
      <c r="G176" t="e">
        <f>plantRetention!#REF!</f>
        <v>#REF!</v>
      </c>
      <c r="H176">
        <f>waterRAS!E183</f>
        <v>0</v>
      </c>
      <c r="I176">
        <f>waterRAS!F183</f>
        <v>0</v>
      </c>
      <c r="J176">
        <f>waterRAS!G183</f>
        <v>0</v>
      </c>
      <c r="K176">
        <f>waterREMIN!D175</f>
        <v>0</v>
      </c>
      <c r="L176">
        <f>waterTRANS!D187</f>
        <v>0</v>
      </c>
      <c r="M176">
        <f>waterTRANS!E187</f>
        <v>0</v>
      </c>
      <c r="N176" t="e">
        <f>plantRetention!#REF!</f>
        <v>#REF!</v>
      </c>
    </row>
    <row r="177" spans="1:14" x14ac:dyDescent="0.2">
      <c r="A177">
        <f>rearing!A184</f>
        <v>0</v>
      </c>
      <c r="B177">
        <f>rearing!C184</f>
        <v>0</v>
      </c>
      <c r="D177" t="e">
        <f>plantRetention!#REF!</f>
        <v>#REF!</v>
      </c>
      <c r="E177">
        <f>waterIN!E162</f>
        <v>0</v>
      </c>
      <c r="F177">
        <f>rearing!B184</f>
        <v>0</v>
      </c>
      <c r="G177" t="e">
        <f>plantRetention!#REF!</f>
        <v>#REF!</v>
      </c>
      <c r="H177">
        <f>waterRAS!E184</f>
        <v>0</v>
      </c>
      <c r="I177">
        <f>waterRAS!F184</f>
        <v>0</v>
      </c>
      <c r="J177">
        <f>waterRAS!G184</f>
        <v>0</v>
      </c>
      <c r="K177">
        <f>waterREMIN!D176</f>
        <v>0</v>
      </c>
      <c r="L177">
        <f>waterTRANS!D188</f>
        <v>0</v>
      </c>
      <c r="M177">
        <f>waterTRANS!E188</f>
        <v>0</v>
      </c>
      <c r="N177" t="e">
        <f>plantRetention!#REF!</f>
        <v>#REF!</v>
      </c>
    </row>
    <row r="178" spans="1:14" x14ac:dyDescent="0.2">
      <c r="A178">
        <f>rearing!A185</f>
        <v>0</v>
      </c>
      <c r="B178">
        <f>rearing!C185</f>
        <v>0</v>
      </c>
      <c r="D178" t="e">
        <f>plantRetention!#REF!</f>
        <v>#REF!</v>
      </c>
      <c r="E178">
        <f>waterIN!E163</f>
        <v>0</v>
      </c>
      <c r="F178">
        <f>rearing!B185</f>
        <v>0</v>
      </c>
      <c r="G178" t="e">
        <f>plantRetention!#REF!</f>
        <v>#REF!</v>
      </c>
      <c r="H178">
        <f>waterRAS!E185</f>
        <v>0</v>
      </c>
      <c r="I178">
        <f>waterRAS!F185</f>
        <v>0</v>
      </c>
      <c r="J178">
        <f>waterRAS!G185</f>
        <v>0</v>
      </c>
      <c r="K178">
        <f>waterREMIN!D177</f>
        <v>0</v>
      </c>
      <c r="L178">
        <f>waterTRANS!D189</f>
        <v>0</v>
      </c>
      <c r="M178">
        <f>waterTRANS!E189</f>
        <v>0</v>
      </c>
      <c r="N178" t="e">
        <f>plantRetention!#REF!</f>
        <v>#REF!</v>
      </c>
    </row>
    <row r="179" spans="1:14" x14ac:dyDescent="0.2">
      <c r="A179">
        <f>rearing!A186</f>
        <v>0</v>
      </c>
      <c r="B179">
        <f>rearing!C186</f>
        <v>0</v>
      </c>
      <c r="D179" t="e">
        <f>plantRetention!#REF!</f>
        <v>#REF!</v>
      </c>
      <c r="E179">
        <f>waterIN!E164</f>
        <v>0</v>
      </c>
      <c r="F179">
        <f>rearing!B186</f>
        <v>0</v>
      </c>
      <c r="G179" t="e">
        <f>plantRetention!#REF!</f>
        <v>#REF!</v>
      </c>
      <c r="H179">
        <f>waterRAS!E186</f>
        <v>0</v>
      </c>
      <c r="I179">
        <f>waterRAS!F186</f>
        <v>0</v>
      </c>
      <c r="J179">
        <f>waterRAS!G186</f>
        <v>0</v>
      </c>
      <c r="K179">
        <f>waterREMIN!D178</f>
        <v>0</v>
      </c>
      <c r="L179">
        <f>waterTRANS!D190</f>
        <v>0</v>
      </c>
      <c r="M179">
        <f>waterTRANS!E190</f>
        <v>0</v>
      </c>
      <c r="N179" t="e">
        <f>plantRetention!#REF!</f>
        <v>#REF!</v>
      </c>
    </row>
    <row r="180" spans="1:14" x14ac:dyDescent="0.2">
      <c r="A180">
        <f>rearing!A187</f>
        <v>0</v>
      </c>
      <c r="B180">
        <f>rearing!C187</f>
        <v>0</v>
      </c>
      <c r="D180" t="e">
        <f>plantRetention!#REF!</f>
        <v>#REF!</v>
      </c>
      <c r="E180">
        <f>waterIN!E165</f>
        <v>0</v>
      </c>
      <c r="F180">
        <f>rearing!B187</f>
        <v>0</v>
      </c>
      <c r="G180" t="e">
        <f>plantRetention!#REF!</f>
        <v>#REF!</v>
      </c>
      <c r="H180">
        <f>waterRAS!E187</f>
        <v>0</v>
      </c>
      <c r="I180">
        <f>waterRAS!F187</f>
        <v>0</v>
      </c>
      <c r="J180">
        <f>waterRAS!G187</f>
        <v>0</v>
      </c>
      <c r="K180">
        <f>waterREMIN!D179</f>
        <v>0</v>
      </c>
      <c r="L180">
        <f>waterTRANS!D191</f>
        <v>0</v>
      </c>
      <c r="M180">
        <f>waterTRANS!E191</f>
        <v>0</v>
      </c>
      <c r="N180" t="e">
        <f>plantRetention!#REF!</f>
        <v>#REF!</v>
      </c>
    </row>
    <row r="181" spans="1:14" x14ac:dyDescent="0.2">
      <c r="A181">
        <f>rearing!A188</f>
        <v>0</v>
      </c>
      <c r="B181">
        <f>rearing!C188</f>
        <v>0</v>
      </c>
      <c r="D181" t="e">
        <f>plantRetention!#REF!</f>
        <v>#REF!</v>
      </c>
      <c r="E181">
        <f>waterIN!E166</f>
        <v>0</v>
      </c>
      <c r="F181">
        <f>rearing!B188</f>
        <v>0</v>
      </c>
      <c r="G181" t="e">
        <f>plantRetention!#REF!</f>
        <v>#REF!</v>
      </c>
      <c r="H181">
        <f>waterRAS!E188</f>
        <v>0</v>
      </c>
      <c r="I181">
        <f>waterRAS!F188</f>
        <v>0</v>
      </c>
      <c r="J181">
        <f>waterRAS!G188</f>
        <v>0</v>
      </c>
      <c r="K181">
        <f>waterREMIN!D180</f>
        <v>0</v>
      </c>
      <c r="L181">
        <f>waterTRANS!D192</f>
        <v>0</v>
      </c>
      <c r="M181">
        <f>waterTRANS!E192</f>
        <v>0</v>
      </c>
      <c r="N181" t="e">
        <f>plantRetention!#REF!</f>
        <v>#REF!</v>
      </c>
    </row>
    <row r="182" spans="1:14" x14ac:dyDescent="0.2">
      <c r="A182">
        <f>rearing!A189</f>
        <v>0</v>
      </c>
      <c r="B182">
        <f>rearing!C189</f>
        <v>0</v>
      </c>
      <c r="D182" t="e">
        <f>plantRetention!#REF!</f>
        <v>#REF!</v>
      </c>
      <c r="E182">
        <f>waterIN!E167</f>
        <v>0</v>
      </c>
      <c r="F182">
        <f>rearing!B189</f>
        <v>0</v>
      </c>
      <c r="G182" t="e">
        <f>plantRetention!#REF!</f>
        <v>#REF!</v>
      </c>
      <c r="H182">
        <f>waterRAS!E189</f>
        <v>0</v>
      </c>
      <c r="I182">
        <f>waterRAS!F189</f>
        <v>0</v>
      </c>
      <c r="J182">
        <f>waterRAS!G189</f>
        <v>0</v>
      </c>
      <c r="K182">
        <f>waterREMIN!D181</f>
        <v>0</v>
      </c>
      <c r="L182">
        <f>waterTRANS!D193</f>
        <v>0</v>
      </c>
      <c r="M182">
        <f>waterTRANS!E193</f>
        <v>0</v>
      </c>
      <c r="N182" t="e">
        <f>plantRetention!#REF!</f>
        <v>#REF!</v>
      </c>
    </row>
    <row r="183" spans="1:14" x14ac:dyDescent="0.2">
      <c r="A183">
        <f>rearing!A190</f>
        <v>0</v>
      </c>
      <c r="B183">
        <f>rearing!C190</f>
        <v>0</v>
      </c>
      <c r="D183" t="e">
        <f>plantRetention!#REF!</f>
        <v>#REF!</v>
      </c>
      <c r="E183">
        <f>waterIN!E168</f>
        <v>0</v>
      </c>
      <c r="F183">
        <f>rearing!B190</f>
        <v>0</v>
      </c>
      <c r="G183" t="e">
        <f>plantRetention!#REF!</f>
        <v>#REF!</v>
      </c>
      <c r="H183">
        <f>waterRAS!E190</f>
        <v>0</v>
      </c>
      <c r="I183">
        <f>waterRAS!F190</f>
        <v>0</v>
      </c>
      <c r="J183">
        <f>waterRAS!G190</f>
        <v>0</v>
      </c>
      <c r="K183">
        <f>waterREMIN!D182</f>
        <v>0</v>
      </c>
      <c r="L183">
        <f>waterTRANS!D194</f>
        <v>0</v>
      </c>
      <c r="M183">
        <f>waterTRANS!E194</f>
        <v>0</v>
      </c>
      <c r="N183" t="e">
        <f>plantRetention!#REF!</f>
        <v>#REF!</v>
      </c>
    </row>
    <row r="184" spans="1:14" x14ac:dyDescent="0.2">
      <c r="A184">
        <f>rearing!A191</f>
        <v>0</v>
      </c>
      <c r="B184">
        <f>rearing!C191</f>
        <v>0</v>
      </c>
      <c r="D184" t="e">
        <f>plantRetention!#REF!</f>
        <v>#REF!</v>
      </c>
      <c r="E184">
        <f>waterIN!E169</f>
        <v>0</v>
      </c>
      <c r="F184">
        <f>rearing!B191</f>
        <v>0</v>
      </c>
      <c r="G184" t="e">
        <f>plantRetention!#REF!</f>
        <v>#REF!</v>
      </c>
      <c r="H184">
        <f>waterRAS!E191</f>
        <v>0</v>
      </c>
      <c r="I184">
        <f>waterRAS!F191</f>
        <v>0</v>
      </c>
      <c r="J184">
        <f>waterRAS!G191</f>
        <v>0</v>
      </c>
      <c r="K184">
        <f>waterREMIN!D183</f>
        <v>0</v>
      </c>
      <c r="L184">
        <f>waterTRANS!D195</f>
        <v>0</v>
      </c>
      <c r="M184">
        <f>waterTRANS!E195</f>
        <v>0</v>
      </c>
      <c r="N184" t="e">
        <f>plantRetention!#REF!</f>
        <v>#REF!</v>
      </c>
    </row>
    <row r="185" spans="1:14" x14ac:dyDescent="0.2">
      <c r="A185">
        <f>rearing!A192</f>
        <v>0</v>
      </c>
      <c r="B185">
        <f>rearing!C192</f>
        <v>0</v>
      </c>
      <c r="D185" t="e">
        <f>plantRetention!#REF!</f>
        <v>#REF!</v>
      </c>
      <c r="E185">
        <f>waterIN!E170</f>
        <v>0</v>
      </c>
      <c r="F185">
        <f>rearing!B192</f>
        <v>0</v>
      </c>
      <c r="G185" t="e">
        <f>plantRetention!#REF!</f>
        <v>#REF!</v>
      </c>
      <c r="H185">
        <f>waterRAS!E192</f>
        <v>0</v>
      </c>
      <c r="I185">
        <f>waterRAS!F192</f>
        <v>0</v>
      </c>
      <c r="J185">
        <f>waterRAS!G192</f>
        <v>0</v>
      </c>
      <c r="K185">
        <f>waterREMIN!D184</f>
        <v>0</v>
      </c>
      <c r="L185">
        <f>waterTRANS!D196</f>
        <v>0</v>
      </c>
      <c r="M185">
        <f>waterTRANS!E196</f>
        <v>0</v>
      </c>
      <c r="N185" t="e">
        <f>plantRetention!#REF!</f>
        <v>#REF!</v>
      </c>
    </row>
    <row r="186" spans="1:14" x14ac:dyDescent="0.2">
      <c r="A186">
        <f>rearing!A193</f>
        <v>0</v>
      </c>
      <c r="B186">
        <f>rearing!C193</f>
        <v>0</v>
      </c>
      <c r="D186" t="e">
        <f>plantRetention!#REF!</f>
        <v>#REF!</v>
      </c>
      <c r="E186">
        <f>waterIN!E171</f>
        <v>0</v>
      </c>
      <c r="F186">
        <f>rearing!B193</f>
        <v>0</v>
      </c>
      <c r="G186" t="e">
        <f>plantRetention!#REF!</f>
        <v>#REF!</v>
      </c>
      <c r="H186">
        <f>waterRAS!E193</f>
        <v>0</v>
      </c>
      <c r="I186">
        <f>waterRAS!F193</f>
        <v>0</v>
      </c>
      <c r="J186">
        <f>waterRAS!G193</f>
        <v>0</v>
      </c>
      <c r="K186">
        <f>waterREMIN!D185</f>
        <v>0</v>
      </c>
      <c r="L186">
        <f>waterTRANS!D197</f>
        <v>0</v>
      </c>
      <c r="M186">
        <f>waterTRANS!E197</f>
        <v>0</v>
      </c>
      <c r="N186" t="e">
        <f>plantRetention!#REF!</f>
        <v>#REF!</v>
      </c>
    </row>
    <row r="187" spans="1:14" x14ac:dyDescent="0.2">
      <c r="A187">
        <f>rearing!A194</f>
        <v>0</v>
      </c>
      <c r="B187">
        <f>rearing!C194</f>
        <v>0</v>
      </c>
      <c r="D187" t="e">
        <f>plantRetention!#REF!</f>
        <v>#REF!</v>
      </c>
      <c r="E187">
        <f>waterIN!E172</f>
        <v>0</v>
      </c>
      <c r="F187">
        <f>rearing!B194</f>
        <v>0</v>
      </c>
      <c r="G187" t="e">
        <f>plantRetention!#REF!</f>
        <v>#REF!</v>
      </c>
      <c r="H187">
        <f>waterRAS!E194</f>
        <v>0</v>
      </c>
      <c r="I187">
        <f>waterRAS!F194</f>
        <v>0</v>
      </c>
      <c r="J187">
        <f>waterRAS!G194</f>
        <v>0</v>
      </c>
      <c r="K187">
        <f>waterREMIN!D186</f>
        <v>0</v>
      </c>
      <c r="L187">
        <f>waterTRANS!D198</f>
        <v>0</v>
      </c>
      <c r="M187">
        <f>waterTRANS!E198</f>
        <v>0</v>
      </c>
      <c r="N187" t="e">
        <f>plantRetention!#REF!</f>
        <v>#REF!</v>
      </c>
    </row>
    <row r="188" spans="1:14" x14ac:dyDescent="0.2">
      <c r="A188">
        <f>rearing!A195</f>
        <v>0</v>
      </c>
      <c r="B188">
        <f>rearing!C195</f>
        <v>0</v>
      </c>
      <c r="D188" t="e">
        <f>plantRetention!#REF!</f>
        <v>#REF!</v>
      </c>
      <c r="E188">
        <f>waterIN!E173</f>
        <v>0</v>
      </c>
      <c r="F188">
        <f>rearing!B195</f>
        <v>0</v>
      </c>
      <c r="G188" t="e">
        <f>plantRetention!#REF!</f>
        <v>#REF!</v>
      </c>
      <c r="H188">
        <f>waterRAS!E195</f>
        <v>0</v>
      </c>
      <c r="I188">
        <f>waterRAS!F195</f>
        <v>0</v>
      </c>
      <c r="J188">
        <f>waterRAS!G195</f>
        <v>0</v>
      </c>
      <c r="K188">
        <f>waterREMIN!D187</f>
        <v>0</v>
      </c>
      <c r="L188">
        <f>waterTRANS!D199</f>
        <v>0</v>
      </c>
      <c r="M188">
        <f>waterTRANS!E199</f>
        <v>0</v>
      </c>
      <c r="N188" t="e">
        <f>plantRetention!#REF!</f>
        <v>#REF!</v>
      </c>
    </row>
    <row r="189" spans="1:14" x14ac:dyDescent="0.2">
      <c r="A189">
        <f>rearing!A196</f>
        <v>0</v>
      </c>
      <c r="B189">
        <f>rearing!C196</f>
        <v>0</v>
      </c>
      <c r="D189" t="e">
        <f>plantRetention!#REF!</f>
        <v>#REF!</v>
      </c>
      <c r="E189">
        <f>waterIN!E174</f>
        <v>0</v>
      </c>
      <c r="F189">
        <f>rearing!B196</f>
        <v>0</v>
      </c>
      <c r="G189" t="e">
        <f>plantRetention!#REF!</f>
        <v>#REF!</v>
      </c>
      <c r="H189">
        <f>waterRAS!E196</f>
        <v>0</v>
      </c>
      <c r="I189">
        <f>waterRAS!F196</f>
        <v>0</v>
      </c>
      <c r="J189">
        <f>waterRAS!G196</f>
        <v>0</v>
      </c>
      <c r="K189">
        <f>waterREMIN!D188</f>
        <v>0</v>
      </c>
      <c r="L189">
        <f>waterTRANS!D200</f>
        <v>0</v>
      </c>
      <c r="M189">
        <f>waterTRANS!E200</f>
        <v>0</v>
      </c>
      <c r="N189" t="e">
        <f>plantRetention!#REF!</f>
        <v>#REF!</v>
      </c>
    </row>
    <row r="190" spans="1:14" x14ac:dyDescent="0.2">
      <c r="A190">
        <f>rearing!A197</f>
        <v>0</v>
      </c>
      <c r="B190">
        <f>rearing!C197</f>
        <v>0</v>
      </c>
      <c r="D190" t="e">
        <f>plantRetention!#REF!</f>
        <v>#REF!</v>
      </c>
      <c r="E190">
        <f>waterIN!E175</f>
        <v>0</v>
      </c>
      <c r="F190">
        <f>rearing!B197</f>
        <v>0</v>
      </c>
      <c r="G190" t="e">
        <f>plantRetention!#REF!</f>
        <v>#REF!</v>
      </c>
      <c r="H190">
        <f>waterRAS!E197</f>
        <v>0</v>
      </c>
      <c r="I190">
        <f>waterRAS!F197</f>
        <v>0</v>
      </c>
      <c r="J190">
        <f>waterRAS!G197</f>
        <v>0</v>
      </c>
      <c r="K190">
        <f>waterREMIN!D189</f>
        <v>0</v>
      </c>
      <c r="L190">
        <f>waterTRANS!D201</f>
        <v>0</v>
      </c>
      <c r="M190">
        <f>waterTRANS!E201</f>
        <v>0</v>
      </c>
      <c r="N190" t="e">
        <f>plantRetention!#REF!</f>
        <v>#REF!</v>
      </c>
    </row>
    <row r="191" spans="1:14" x14ac:dyDescent="0.2">
      <c r="A191">
        <f>rearing!A198</f>
        <v>0</v>
      </c>
      <c r="B191">
        <f>rearing!C198</f>
        <v>0</v>
      </c>
      <c r="D191" t="e">
        <f>plantRetention!#REF!</f>
        <v>#REF!</v>
      </c>
      <c r="E191">
        <f>waterIN!E176</f>
        <v>0</v>
      </c>
      <c r="F191">
        <f>rearing!B198</f>
        <v>0</v>
      </c>
      <c r="G191" t="e">
        <f>plantRetention!#REF!</f>
        <v>#REF!</v>
      </c>
      <c r="H191">
        <f>waterRAS!E198</f>
        <v>0</v>
      </c>
      <c r="I191">
        <f>waterRAS!F198</f>
        <v>0</v>
      </c>
      <c r="J191">
        <f>waterRAS!G198</f>
        <v>0</v>
      </c>
      <c r="K191">
        <f>waterREMIN!D190</f>
        <v>0</v>
      </c>
      <c r="L191">
        <f>waterTRANS!D202</f>
        <v>0</v>
      </c>
      <c r="M191">
        <f>waterTRANS!E202</f>
        <v>0</v>
      </c>
      <c r="N191" t="e">
        <f>plantRetention!#REF!</f>
        <v>#REF!</v>
      </c>
    </row>
    <row r="192" spans="1:14" x14ac:dyDescent="0.2">
      <c r="A192">
        <f>rearing!A199</f>
        <v>0</v>
      </c>
      <c r="B192">
        <f>rearing!C199</f>
        <v>0</v>
      </c>
      <c r="D192" t="e">
        <f>plantRetention!#REF!</f>
        <v>#REF!</v>
      </c>
      <c r="E192">
        <f>waterIN!E177</f>
        <v>0</v>
      </c>
      <c r="F192">
        <f>rearing!B199</f>
        <v>0</v>
      </c>
      <c r="G192" t="e">
        <f>plantRetention!#REF!</f>
        <v>#REF!</v>
      </c>
      <c r="H192">
        <f>waterRAS!E199</f>
        <v>0</v>
      </c>
      <c r="I192">
        <f>waterRAS!F199</f>
        <v>0</v>
      </c>
      <c r="J192">
        <f>waterRAS!G199</f>
        <v>0</v>
      </c>
      <c r="K192">
        <f>waterREMIN!D191</f>
        <v>0</v>
      </c>
      <c r="L192">
        <f>waterTRANS!D203</f>
        <v>0</v>
      </c>
      <c r="M192">
        <f>waterTRANS!E203</f>
        <v>0</v>
      </c>
      <c r="N192" t="e">
        <f>plantRetention!#REF!</f>
        <v>#REF!</v>
      </c>
    </row>
    <row r="193" spans="1:14" x14ac:dyDescent="0.2">
      <c r="A193">
        <f>rearing!A200</f>
        <v>0</v>
      </c>
      <c r="B193">
        <f>rearing!C200</f>
        <v>0</v>
      </c>
      <c r="D193" t="e">
        <f>plantRetention!#REF!</f>
        <v>#REF!</v>
      </c>
      <c r="E193">
        <f>waterIN!E178</f>
        <v>0</v>
      </c>
      <c r="F193">
        <f>rearing!B200</f>
        <v>0</v>
      </c>
      <c r="G193" t="e">
        <f>plantRetention!#REF!</f>
        <v>#REF!</v>
      </c>
      <c r="H193">
        <f>waterRAS!E200</f>
        <v>0</v>
      </c>
      <c r="I193">
        <f>waterRAS!F200</f>
        <v>0</v>
      </c>
      <c r="J193">
        <f>waterRAS!G200</f>
        <v>0</v>
      </c>
      <c r="K193">
        <f>waterREMIN!D192</f>
        <v>0</v>
      </c>
      <c r="L193">
        <f>waterTRANS!D204</f>
        <v>0</v>
      </c>
      <c r="M193">
        <f>waterTRANS!E204</f>
        <v>0</v>
      </c>
      <c r="N193" t="e">
        <f>plantRetention!#REF!</f>
        <v>#REF!</v>
      </c>
    </row>
    <row r="194" spans="1:14" x14ac:dyDescent="0.2">
      <c r="A194">
        <f>rearing!A201</f>
        <v>0</v>
      </c>
      <c r="B194">
        <f>rearing!C201</f>
        <v>0</v>
      </c>
      <c r="D194" t="e">
        <f>plantRetention!#REF!</f>
        <v>#REF!</v>
      </c>
      <c r="E194">
        <f>waterIN!E179</f>
        <v>0</v>
      </c>
      <c r="F194">
        <f>rearing!B201</f>
        <v>0</v>
      </c>
      <c r="G194" t="e">
        <f>plantRetention!#REF!</f>
        <v>#REF!</v>
      </c>
      <c r="H194">
        <f>waterRAS!E201</f>
        <v>0</v>
      </c>
      <c r="I194">
        <f>waterRAS!F201</f>
        <v>0</v>
      </c>
      <c r="J194">
        <f>waterRAS!G201</f>
        <v>0</v>
      </c>
      <c r="K194">
        <f>waterREMIN!D193</f>
        <v>0</v>
      </c>
      <c r="L194">
        <f>waterTRANS!D205</f>
        <v>0</v>
      </c>
      <c r="M194">
        <f>waterTRANS!E205</f>
        <v>0</v>
      </c>
      <c r="N194" t="e">
        <f>plantRetention!#REF!</f>
        <v>#REF!</v>
      </c>
    </row>
    <row r="195" spans="1:14" x14ac:dyDescent="0.2">
      <c r="A195">
        <f>rearing!A202</f>
        <v>0</v>
      </c>
      <c r="B195">
        <f>rearing!C202</f>
        <v>0</v>
      </c>
      <c r="D195" t="e">
        <f>plantRetention!#REF!</f>
        <v>#REF!</v>
      </c>
      <c r="E195">
        <f>waterIN!E180</f>
        <v>0</v>
      </c>
      <c r="F195">
        <f>rearing!B202</f>
        <v>0</v>
      </c>
      <c r="G195" t="e">
        <f>plantRetention!#REF!</f>
        <v>#REF!</v>
      </c>
      <c r="H195">
        <f>waterRAS!E202</f>
        <v>0</v>
      </c>
      <c r="I195">
        <f>waterRAS!F202</f>
        <v>0</v>
      </c>
      <c r="J195">
        <f>waterRAS!G202</f>
        <v>0</v>
      </c>
      <c r="K195">
        <f>waterREMIN!D194</f>
        <v>0</v>
      </c>
      <c r="L195">
        <f>waterTRANS!D206</f>
        <v>0</v>
      </c>
      <c r="M195">
        <f>waterTRANS!E206</f>
        <v>0</v>
      </c>
      <c r="N195" t="e">
        <f>plantRetention!#REF!</f>
        <v>#REF!</v>
      </c>
    </row>
    <row r="196" spans="1:14" x14ac:dyDescent="0.2">
      <c r="A196">
        <f>rearing!A203</f>
        <v>0</v>
      </c>
      <c r="B196">
        <f>rearing!C203</f>
        <v>0</v>
      </c>
      <c r="D196" t="e">
        <f>plantRetention!#REF!</f>
        <v>#REF!</v>
      </c>
      <c r="E196">
        <f>waterIN!E181</f>
        <v>0</v>
      </c>
      <c r="F196">
        <f>rearing!B203</f>
        <v>0</v>
      </c>
      <c r="G196" t="e">
        <f>plantRetention!#REF!</f>
        <v>#REF!</v>
      </c>
      <c r="H196">
        <f>waterRAS!E203</f>
        <v>0</v>
      </c>
      <c r="I196">
        <f>waterRAS!F203</f>
        <v>0</v>
      </c>
      <c r="J196">
        <f>waterRAS!G203</f>
        <v>0</v>
      </c>
      <c r="K196">
        <f>waterREMIN!D195</f>
        <v>0</v>
      </c>
      <c r="L196">
        <f>waterTRANS!D207</f>
        <v>0</v>
      </c>
      <c r="M196">
        <f>waterTRANS!E207</f>
        <v>0</v>
      </c>
      <c r="N196" t="e">
        <f>plantRetention!#REF!</f>
        <v>#REF!</v>
      </c>
    </row>
    <row r="197" spans="1:14" x14ac:dyDescent="0.2">
      <c r="A197">
        <f>rearing!A204</f>
        <v>0</v>
      </c>
      <c r="B197">
        <f>rearing!C204</f>
        <v>0</v>
      </c>
      <c r="D197" t="e">
        <f>plantRetention!#REF!</f>
        <v>#REF!</v>
      </c>
      <c r="E197">
        <f>waterIN!E182</f>
        <v>0</v>
      </c>
      <c r="F197">
        <f>rearing!B204</f>
        <v>0</v>
      </c>
      <c r="G197" t="e">
        <f>plantRetention!#REF!</f>
        <v>#REF!</v>
      </c>
      <c r="H197">
        <f>waterRAS!E204</f>
        <v>0</v>
      </c>
      <c r="I197">
        <f>waterRAS!F204</f>
        <v>0</v>
      </c>
      <c r="J197">
        <f>waterRAS!G204</f>
        <v>0</v>
      </c>
      <c r="K197">
        <f>waterREMIN!D196</f>
        <v>0</v>
      </c>
      <c r="L197">
        <f>waterTRANS!D208</f>
        <v>0</v>
      </c>
      <c r="M197">
        <f>waterTRANS!E208</f>
        <v>0</v>
      </c>
      <c r="N197" t="e">
        <f>plantRetention!#REF!</f>
        <v>#REF!</v>
      </c>
    </row>
    <row r="198" spans="1:14" x14ac:dyDescent="0.2">
      <c r="A198">
        <f>rearing!A205</f>
        <v>0</v>
      </c>
      <c r="B198">
        <f>rearing!C205</f>
        <v>0</v>
      </c>
      <c r="D198" t="e">
        <f>plantRetention!#REF!</f>
        <v>#REF!</v>
      </c>
      <c r="E198">
        <f>waterIN!E183</f>
        <v>0</v>
      </c>
      <c r="F198">
        <f>rearing!B205</f>
        <v>0</v>
      </c>
      <c r="G198" t="e">
        <f>plantRetention!#REF!</f>
        <v>#REF!</v>
      </c>
      <c r="H198">
        <f>waterRAS!E205</f>
        <v>0</v>
      </c>
      <c r="I198">
        <f>waterRAS!F205</f>
        <v>0</v>
      </c>
      <c r="J198">
        <f>waterRAS!G205</f>
        <v>0</v>
      </c>
      <c r="K198">
        <f>waterREMIN!D197</f>
        <v>0</v>
      </c>
      <c r="L198">
        <f>waterTRANS!D209</f>
        <v>0</v>
      </c>
      <c r="M198">
        <f>waterTRANS!E209</f>
        <v>0</v>
      </c>
      <c r="N198" t="e">
        <f>plantRetention!#REF!</f>
        <v>#REF!</v>
      </c>
    </row>
    <row r="199" spans="1:14" x14ac:dyDescent="0.2">
      <c r="A199">
        <f>rearing!A206</f>
        <v>0</v>
      </c>
      <c r="B199">
        <f>rearing!C206</f>
        <v>0</v>
      </c>
      <c r="D199" t="e">
        <f>plantRetention!#REF!</f>
        <v>#REF!</v>
      </c>
      <c r="E199">
        <f>waterIN!E184</f>
        <v>0</v>
      </c>
      <c r="F199">
        <f>rearing!B206</f>
        <v>0</v>
      </c>
      <c r="G199" t="e">
        <f>plantRetention!#REF!</f>
        <v>#REF!</v>
      </c>
      <c r="H199">
        <f>waterRAS!E206</f>
        <v>0</v>
      </c>
      <c r="I199">
        <f>waterRAS!F206</f>
        <v>0</v>
      </c>
      <c r="J199">
        <f>waterRAS!G206</f>
        <v>0</v>
      </c>
      <c r="K199">
        <f>waterREMIN!D198</f>
        <v>0</v>
      </c>
      <c r="L199">
        <f>waterTRANS!D210</f>
        <v>0</v>
      </c>
      <c r="M199">
        <f>waterTRANS!E210</f>
        <v>0</v>
      </c>
      <c r="N199" t="e">
        <f>plantRetention!#REF!</f>
        <v>#REF!</v>
      </c>
    </row>
    <row r="200" spans="1:14" x14ac:dyDescent="0.2">
      <c r="A200">
        <f>rearing!A207</f>
        <v>0</v>
      </c>
      <c r="B200">
        <f>rearing!C207</f>
        <v>0</v>
      </c>
      <c r="D200" t="e">
        <f>plantRetention!#REF!</f>
        <v>#REF!</v>
      </c>
      <c r="E200">
        <f>waterIN!E185</f>
        <v>0</v>
      </c>
      <c r="F200">
        <f>rearing!B207</f>
        <v>0</v>
      </c>
      <c r="G200" t="e">
        <f>plantRetention!#REF!</f>
        <v>#REF!</v>
      </c>
      <c r="H200">
        <f>waterRAS!E207</f>
        <v>0</v>
      </c>
      <c r="I200">
        <f>waterRAS!F207</f>
        <v>0</v>
      </c>
      <c r="J200">
        <f>waterRAS!G207</f>
        <v>0</v>
      </c>
      <c r="K200">
        <f>waterREMIN!D199</f>
        <v>0</v>
      </c>
      <c r="L200">
        <f>waterTRANS!D211</f>
        <v>0</v>
      </c>
      <c r="M200">
        <f>waterTRANS!E211</f>
        <v>0</v>
      </c>
      <c r="N200" t="e">
        <f>plantRetention!#REF!</f>
        <v>#REF!</v>
      </c>
    </row>
    <row r="201" spans="1:14" x14ac:dyDescent="0.2">
      <c r="A201">
        <f>rearing!A208</f>
        <v>0</v>
      </c>
      <c r="B201">
        <f>rearing!C208</f>
        <v>0</v>
      </c>
      <c r="D201" t="e">
        <f>plantRetention!#REF!</f>
        <v>#REF!</v>
      </c>
      <c r="E201">
        <f>waterIN!E186</f>
        <v>0</v>
      </c>
      <c r="F201">
        <f>rearing!B208</f>
        <v>0</v>
      </c>
      <c r="G201" t="e">
        <f>plantRetention!#REF!</f>
        <v>#REF!</v>
      </c>
      <c r="H201">
        <f>waterRAS!E208</f>
        <v>0</v>
      </c>
      <c r="I201">
        <f>waterRAS!F208</f>
        <v>0</v>
      </c>
      <c r="J201">
        <f>waterRAS!G208</f>
        <v>0</v>
      </c>
      <c r="K201">
        <f>waterREMIN!D200</f>
        <v>0</v>
      </c>
      <c r="L201">
        <f>waterTRANS!D212</f>
        <v>0</v>
      </c>
      <c r="M201">
        <f>waterTRANS!E212</f>
        <v>0</v>
      </c>
      <c r="N201" t="e">
        <f>plantRetention!#REF!</f>
        <v>#REF!</v>
      </c>
    </row>
    <row r="202" spans="1:14" x14ac:dyDescent="0.2">
      <c r="A202">
        <f>rearing!A209</f>
        <v>0</v>
      </c>
      <c r="B202">
        <f>rearing!C209</f>
        <v>0</v>
      </c>
      <c r="D202" t="e">
        <f>plantRetention!#REF!</f>
        <v>#REF!</v>
      </c>
      <c r="E202">
        <f>waterIN!E187</f>
        <v>0</v>
      </c>
      <c r="F202">
        <f>rearing!B209</f>
        <v>0</v>
      </c>
      <c r="G202" t="e">
        <f>plantRetention!#REF!</f>
        <v>#REF!</v>
      </c>
      <c r="H202">
        <f>waterRAS!E209</f>
        <v>0</v>
      </c>
      <c r="I202">
        <f>waterRAS!F209</f>
        <v>0</v>
      </c>
      <c r="J202">
        <f>waterRAS!G209</f>
        <v>0</v>
      </c>
      <c r="K202">
        <f>waterREMIN!D201</f>
        <v>0</v>
      </c>
      <c r="L202">
        <f>waterTRANS!D213</f>
        <v>0</v>
      </c>
      <c r="M202">
        <f>waterTRANS!E213</f>
        <v>0</v>
      </c>
      <c r="N202" t="e">
        <f>plantRetention!#REF!</f>
        <v>#REF!</v>
      </c>
    </row>
    <row r="203" spans="1:14" x14ac:dyDescent="0.2">
      <c r="A203">
        <f>rearing!A210</f>
        <v>0</v>
      </c>
      <c r="B203">
        <f>rearing!C210</f>
        <v>0</v>
      </c>
      <c r="D203" t="e">
        <f>plantRetention!#REF!</f>
        <v>#REF!</v>
      </c>
      <c r="E203">
        <f>waterIN!E188</f>
        <v>0</v>
      </c>
      <c r="F203">
        <f>rearing!B210</f>
        <v>0</v>
      </c>
      <c r="G203" t="e">
        <f>plantRetention!#REF!</f>
        <v>#REF!</v>
      </c>
      <c r="H203">
        <f>waterRAS!E210</f>
        <v>0</v>
      </c>
      <c r="I203">
        <f>waterRAS!F210</f>
        <v>0</v>
      </c>
      <c r="J203">
        <f>waterRAS!G210</f>
        <v>0</v>
      </c>
      <c r="K203">
        <f>waterREMIN!D202</f>
        <v>0</v>
      </c>
      <c r="L203">
        <f>waterTRANS!D214</f>
        <v>0</v>
      </c>
      <c r="M203">
        <f>waterTRANS!E214</f>
        <v>0</v>
      </c>
      <c r="N203" t="e">
        <f>plantRetention!#REF!</f>
        <v>#REF!</v>
      </c>
    </row>
    <row r="204" spans="1:14" x14ac:dyDescent="0.2">
      <c r="A204">
        <f>rearing!A211</f>
        <v>0</v>
      </c>
      <c r="B204">
        <f>rearing!C211</f>
        <v>0</v>
      </c>
      <c r="D204" t="e">
        <f>plantRetention!#REF!</f>
        <v>#REF!</v>
      </c>
      <c r="E204">
        <f>waterIN!E189</f>
        <v>0</v>
      </c>
      <c r="F204">
        <f>rearing!B211</f>
        <v>0</v>
      </c>
      <c r="G204" t="e">
        <f>plantRetention!#REF!</f>
        <v>#REF!</v>
      </c>
      <c r="H204">
        <f>waterRAS!E211</f>
        <v>0</v>
      </c>
      <c r="I204">
        <f>waterRAS!F211</f>
        <v>0</v>
      </c>
      <c r="J204">
        <f>waterRAS!G211</f>
        <v>0</v>
      </c>
      <c r="K204">
        <f>waterREMIN!D203</f>
        <v>0</v>
      </c>
      <c r="L204">
        <f>waterTRANS!D215</f>
        <v>0</v>
      </c>
      <c r="M204">
        <f>waterTRANS!E215</f>
        <v>0</v>
      </c>
      <c r="N204" t="e">
        <f>plantRetention!#REF!</f>
        <v>#REF!</v>
      </c>
    </row>
    <row r="205" spans="1:14" x14ac:dyDescent="0.2">
      <c r="A205">
        <f>rearing!A212</f>
        <v>0</v>
      </c>
      <c r="B205">
        <f>rearing!C212</f>
        <v>0</v>
      </c>
      <c r="D205" t="e">
        <f>plantRetention!#REF!</f>
        <v>#REF!</v>
      </c>
      <c r="E205">
        <f>waterIN!E190</f>
        <v>0</v>
      </c>
      <c r="F205">
        <f>rearing!B212</f>
        <v>0</v>
      </c>
      <c r="G205" t="e">
        <f>plantRetention!#REF!</f>
        <v>#REF!</v>
      </c>
      <c r="H205">
        <f>waterRAS!E212</f>
        <v>0</v>
      </c>
      <c r="I205">
        <f>waterRAS!F212</f>
        <v>0</v>
      </c>
      <c r="J205">
        <f>waterRAS!G212</f>
        <v>0</v>
      </c>
      <c r="K205">
        <f>waterREMIN!D204</f>
        <v>0</v>
      </c>
      <c r="L205">
        <f>waterTRANS!D216</f>
        <v>0</v>
      </c>
      <c r="M205">
        <f>waterTRANS!E216</f>
        <v>0</v>
      </c>
      <c r="N205" t="e">
        <f>plantRetention!#REF!</f>
        <v>#REF!</v>
      </c>
    </row>
    <row r="206" spans="1:14" x14ac:dyDescent="0.2">
      <c r="A206">
        <f>rearing!A213</f>
        <v>0</v>
      </c>
      <c r="B206">
        <f>rearing!C213</f>
        <v>0</v>
      </c>
      <c r="D206" t="e">
        <f>plantRetention!#REF!</f>
        <v>#REF!</v>
      </c>
      <c r="E206">
        <f>waterIN!E191</f>
        <v>0</v>
      </c>
      <c r="F206">
        <f>rearing!B213</f>
        <v>0</v>
      </c>
      <c r="G206" t="e">
        <f>plantRetention!#REF!</f>
        <v>#REF!</v>
      </c>
      <c r="H206">
        <f>waterRAS!E213</f>
        <v>0</v>
      </c>
      <c r="I206">
        <f>waterRAS!F213</f>
        <v>0</v>
      </c>
      <c r="J206">
        <f>waterRAS!G213</f>
        <v>0</v>
      </c>
      <c r="K206">
        <f>waterREMIN!D205</f>
        <v>0</v>
      </c>
      <c r="L206">
        <f>waterTRANS!D217</f>
        <v>0</v>
      </c>
      <c r="M206">
        <f>waterTRANS!E217</f>
        <v>0</v>
      </c>
      <c r="N206" t="e">
        <f>plantRetention!#REF!</f>
        <v>#REF!</v>
      </c>
    </row>
  </sheetData>
  <phoneticPr fontId="15" type="noConversion"/>
  <conditionalFormatting sqref="C2:N1048576">
    <cfRule type="containsBlanks" dxfId="1" priority="2">
      <formula>LEN(TRIM(C2))=0</formula>
    </cfRule>
  </conditionalFormatting>
  <conditionalFormatting sqref="C1:N1048576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DE00-57E5-BC45-9824-9BA4E3805CA0}">
  <sheetPr>
    <tabColor rgb="FF00B0F0"/>
  </sheetPr>
  <dimension ref="A1:U116"/>
  <sheetViews>
    <sheetView zoomScale="130" zoomScaleNormal="130" workbookViewId="0">
      <pane xSplit="3" ySplit="2" topLeftCell="L12" activePane="bottomRight" state="frozen"/>
      <selection pane="topRight" activeCell="D1" sqref="D1"/>
      <selection pane="bottomLeft" activeCell="A3" sqref="A3"/>
      <selection pane="bottomRight" activeCell="O14" sqref="O14"/>
    </sheetView>
  </sheetViews>
  <sheetFormatPr baseColWidth="10" defaultColWidth="10.83203125" defaultRowHeight="16" x14ac:dyDescent="0.2"/>
  <cols>
    <col min="1" max="1" width="15.83203125" style="7" customWidth="1"/>
    <col min="2" max="2" width="14" style="7" customWidth="1"/>
    <col min="3" max="3" width="13" style="7" customWidth="1"/>
    <col min="4" max="4" width="17.33203125" style="7" customWidth="1"/>
    <col min="5" max="5" width="18.83203125" style="7" customWidth="1"/>
    <col min="6" max="6" width="16" style="7" customWidth="1"/>
    <col min="7" max="7" width="10.83203125" style="7"/>
    <col min="8" max="8" width="12.33203125" style="7" customWidth="1"/>
    <col min="9" max="12" width="10.83203125" style="7"/>
    <col min="13" max="13" width="14.83203125" style="7" customWidth="1"/>
    <col min="14" max="14" width="7.33203125" style="7" customWidth="1"/>
    <col min="15" max="15" width="22" style="7" customWidth="1"/>
    <col min="16" max="16" width="10.83203125" style="7"/>
    <col min="17" max="17" width="12.1640625" style="7" customWidth="1"/>
    <col min="18" max="18" width="14.33203125" style="7" customWidth="1"/>
    <col min="19" max="21" width="10.83203125" style="7"/>
  </cols>
  <sheetData>
    <row r="1" spans="1:21" x14ac:dyDescent="0.2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x14ac:dyDescent="0.2">
      <c r="A2" s="1" t="s">
        <v>2</v>
      </c>
      <c r="B2" s="1" t="s">
        <v>19</v>
      </c>
      <c r="C2" s="1" t="s">
        <v>98</v>
      </c>
      <c r="D2" s="1" t="s">
        <v>559</v>
      </c>
      <c r="E2" s="1" t="s">
        <v>560</v>
      </c>
      <c r="F2" s="1" t="s">
        <v>561</v>
      </c>
      <c r="G2" s="1" t="s">
        <v>547</v>
      </c>
      <c r="H2" s="1" t="s">
        <v>548</v>
      </c>
      <c r="I2" s="1" t="s">
        <v>549</v>
      </c>
      <c r="J2" s="1" t="s">
        <v>34</v>
      </c>
      <c r="K2" s="1" t="s">
        <v>550</v>
      </c>
      <c r="L2" s="1" t="s">
        <v>551</v>
      </c>
      <c r="M2" s="1" t="s">
        <v>552</v>
      </c>
      <c r="N2" s="1" t="s">
        <v>35</v>
      </c>
      <c r="O2" s="1" t="s">
        <v>553</v>
      </c>
      <c r="P2" s="1" t="s">
        <v>554</v>
      </c>
      <c r="Q2" s="1" t="s">
        <v>555</v>
      </c>
      <c r="R2" s="1" t="s">
        <v>556</v>
      </c>
      <c r="S2" s="1" t="s">
        <v>557</v>
      </c>
      <c r="T2" s="1" t="s">
        <v>558</v>
      </c>
      <c r="U2" s="1" t="s">
        <v>46</v>
      </c>
    </row>
    <row r="3" spans="1:21" x14ac:dyDescent="0.2">
      <c r="A3" s="7" t="s">
        <v>17</v>
      </c>
      <c r="B3" s="7" t="s">
        <v>160</v>
      </c>
      <c r="C3" s="7" t="s">
        <v>378</v>
      </c>
      <c r="D3" s="7" t="s">
        <v>60</v>
      </c>
      <c r="E3" s="7" t="s">
        <v>56</v>
      </c>
      <c r="F3" s="7" t="s">
        <v>52</v>
      </c>
      <c r="I3" s="7">
        <v>1.7</v>
      </c>
      <c r="J3" s="7">
        <v>3</v>
      </c>
      <c r="L3" s="7">
        <v>16.5</v>
      </c>
      <c r="M3" s="7">
        <v>62</v>
      </c>
      <c r="O3" s="12">
        <f>I3*J3*M3</f>
        <v>316.2</v>
      </c>
      <c r="P3" s="7">
        <v>1.5</v>
      </c>
      <c r="Q3" s="7">
        <v>7</v>
      </c>
      <c r="R3" s="10">
        <f>(P3/Q3)/L3</f>
        <v>1.2987012987012986E-2</v>
      </c>
      <c r="S3" s="7">
        <v>26</v>
      </c>
      <c r="T3" s="7">
        <v>5</v>
      </c>
      <c r="U3" s="7">
        <v>7</v>
      </c>
    </row>
    <row r="4" spans="1:21" x14ac:dyDescent="0.2">
      <c r="A4" s="7" t="s">
        <v>17</v>
      </c>
      <c r="B4" s="7" t="s">
        <v>160</v>
      </c>
      <c r="C4" s="7" t="s">
        <v>379</v>
      </c>
      <c r="D4" s="7" t="s">
        <v>60</v>
      </c>
      <c r="E4" s="7" t="s">
        <v>56</v>
      </c>
      <c r="F4" s="7" t="s">
        <v>52</v>
      </c>
      <c r="I4" s="7">
        <v>1.7</v>
      </c>
      <c r="J4" s="7">
        <v>3</v>
      </c>
      <c r="L4" s="7">
        <v>16.5</v>
      </c>
      <c r="M4" s="7">
        <v>62</v>
      </c>
      <c r="O4" s="12">
        <f>I4*J4*M4</f>
        <v>316.2</v>
      </c>
      <c r="P4" s="7">
        <v>1.5</v>
      </c>
      <c r="Q4" s="7">
        <v>7</v>
      </c>
      <c r="R4" s="10">
        <f>(P4/Q4)/L4</f>
        <v>1.2987012987012986E-2</v>
      </c>
      <c r="S4" s="7">
        <v>26</v>
      </c>
      <c r="T4" s="7">
        <v>5</v>
      </c>
      <c r="U4" s="7">
        <v>7</v>
      </c>
    </row>
    <row r="5" spans="1:21" x14ac:dyDescent="0.2">
      <c r="A5" s="7" t="s">
        <v>25</v>
      </c>
      <c r="B5" s="7" t="s">
        <v>160</v>
      </c>
      <c r="C5" s="7" t="s">
        <v>158</v>
      </c>
      <c r="D5" s="7" t="s">
        <v>162</v>
      </c>
      <c r="E5" s="7" t="s">
        <v>57</v>
      </c>
      <c r="F5" s="7" t="s">
        <v>53</v>
      </c>
      <c r="R5" s="10"/>
      <c r="U5" s="7">
        <v>6.66</v>
      </c>
    </row>
    <row r="6" spans="1:21" x14ac:dyDescent="0.2">
      <c r="A6" s="7" t="s">
        <v>26</v>
      </c>
      <c r="B6" s="7" t="s">
        <v>182</v>
      </c>
      <c r="C6" s="7" t="s">
        <v>152</v>
      </c>
      <c r="D6" s="7" t="s">
        <v>61</v>
      </c>
      <c r="E6" s="7" t="s">
        <v>58</v>
      </c>
      <c r="F6" s="7" t="s">
        <v>54</v>
      </c>
      <c r="R6" s="10"/>
      <c r="S6" s="7">
        <v>28</v>
      </c>
      <c r="U6" s="7">
        <v>6.86</v>
      </c>
    </row>
    <row r="7" spans="1:21" x14ac:dyDescent="0.2">
      <c r="A7" s="7" t="s">
        <v>26</v>
      </c>
      <c r="B7" s="7" t="s">
        <v>182</v>
      </c>
      <c r="C7" s="7" t="s">
        <v>153</v>
      </c>
      <c r="D7" s="7" t="s">
        <v>61</v>
      </c>
      <c r="E7" s="7" t="s">
        <v>58</v>
      </c>
      <c r="F7" s="7" t="s">
        <v>54</v>
      </c>
      <c r="R7" s="10"/>
      <c r="S7" s="7">
        <v>28</v>
      </c>
      <c r="U7" s="7">
        <v>6.86</v>
      </c>
    </row>
    <row r="8" spans="1:21" x14ac:dyDescent="0.2">
      <c r="A8" s="7" t="s">
        <v>26</v>
      </c>
      <c r="B8" s="7" t="s">
        <v>160</v>
      </c>
      <c r="C8" s="7" t="s">
        <v>385</v>
      </c>
      <c r="D8" s="7" t="s">
        <v>62</v>
      </c>
      <c r="E8" s="7" t="s">
        <v>59</v>
      </c>
      <c r="F8" s="7" t="s">
        <v>55</v>
      </c>
      <c r="R8" s="10"/>
      <c r="S8" s="7">
        <v>28</v>
      </c>
      <c r="U8" s="7">
        <v>6.48</v>
      </c>
    </row>
    <row r="9" spans="1:21" x14ac:dyDescent="0.2">
      <c r="A9" s="7" t="s">
        <v>28</v>
      </c>
      <c r="B9" s="7" t="s">
        <v>160</v>
      </c>
      <c r="C9" s="7">
        <v>1</v>
      </c>
      <c r="D9" s="7" t="s">
        <v>72</v>
      </c>
      <c r="E9" s="7" t="s">
        <v>70</v>
      </c>
      <c r="F9" s="7" t="s">
        <v>71</v>
      </c>
      <c r="H9" s="7">
        <v>28</v>
      </c>
      <c r="L9" s="7">
        <v>0.32500000000000001</v>
      </c>
      <c r="M9" s="12">
        <f>O9/L9</f>
        <v>0.4646153846153846</v>
      </c>
      <c r="O9" s="7">
        <v>0.151</v>
      </c>
      <c r="P9" s="7">
        <v>0</v>
      </c>
      <c r="Q9" s="7">
        <v>1</v>
      </c>
      <c r="R9" s="10">
        <f>(P9/Q9)/L9</f>
        <v>0</v>
      </c>
    </row>
    <row r="10" spans="1:21" x14ac:dyDescent="0.2">
      <c r="A10" s="7" t="s">
        <v>28</v>
      </c>
      <c r="B10" s="7" t="s">
        <v>160</v>
      </c>
      <c r="C10" s="7">
        <v>2</v>
      </c>
      <c r="D10" s="7" t="s">
        <v>72</v>
      </c>
      <c r="E10" s="7" t="s">
        <v>70</v>
      </c>
      <c r="F10" s="7" t="s">
        <v>71</v>
      </c>
      <c r="H10" s="7">
        <v>28</v>
      </c>
      <c r="L10" s="7">
        <v>0.32500000000000001</v>
      </c>
      <c r="M10" s="12">
        <f t="shared" ref="M10:M12" si="0">O10/L10</f>
        <v>1.1599999999999999</v>
      </c>
      <c r="O10" s="7">
        <v>0.377</v>
      </c>
      <c r="P10" s="7">
        <v>0</v>
      </c>
      <c r="Q10" s="7">
        <v>1</v>
      </c>
      <c r="R10" s="10">
        <f t="shared" ref="R10:R16" si="1">(P10/Q10)/L10</f>
        <v>0</v>
      </c>
    </row>
    <row r="11" spans="1:21" x14ac:dyDescent="0.2">
      <c r="A11" s="7" t="s">
        <v>28</v>
      </c>
      <c r="B11" s="7" t="s">
        <v>160</v>
      </c>
      <c r="C11" s="7">
        <v>3</v>
      </c>
      <c r="D11" s="7" t="s">
        <v>72</v>
      </c>
      <c r="E11" s="7" t="s">
        <v>70</v>
      </c>
      <c r="F11" s="7" t="s">
        <v>71</v>
      </c>
      <c r="H11" s="7">
        <v>28</v>
      </c>
      <c r="L11" s="7">
        <v>0.32500000000000001</v>
      </c>
      <c r="M11" s="12">
        <f t="shared" si="0"/>
        <v>2.7753846153846156</v>
      </c>
      <c r="O11" s="7">
        <v>0.90200000000000002</v>
      </c>
      <c r="P11" s="7">
        <v>0</v>
      </c>
      <c r="Q11" s="7">
        <v>1</v>
      </c>
      <c r="R11" s="10">
        <f t="shared" si="1"/>
        <v>0</v>
      </c>
    </row>
    <row r="12" spans="1:21" x14ac:dyDescent="0.2">
      <c r="A12" s="7" t="s">
        <v>28</v>
      </c>
      <c r="B12" s="7" t="s">
        <v>160</v>
      </c>
      <c r="C12" s="7">
        <v>4</v>
      </c>
      <c r="D12" s="7" t="s">
        <v>72</v>
      </c>
      <c r="E12" s="7" t="s">
        <v>70</v>
      </c>
      <c r="F12" s="7" t="s">
        <v>71</v>
      </c>
      <c r="H12" s="7">
        <v>28</v>
      </c>
      <c r="L12" s="7">
        <v>0.32500000000000001</v>
      </c>
      <c r="M12" s="12">
        <f t="shared" si="0"/>
        <v>5.5507692307692311</v>
      </c>
      <c r="O12" s="7">
        <v>1.804</v>
      </c>
      <c r="P12" s="7">
        <v>0</v>
      </c>
      <c r="Q12" s="7">
        <v>1</v>
      </c>
      <c r="R12" s="10">
        <f t="shared" si="1"/>
        <v>0</v>
      </c>
    </row>
    <row r="13" spans="1:21" x14ac:dyDescent="0.2">
      <c r="A13" s="7" t="s">
        <v>599</v>
      </c>
      <c r="B13" s="7" t="s">
        <v>160</v>
      </c>
      <c r="C13" s="7" t="s">
        <v>99</v>
      </c>
      <c r="D13" s="7" t="s">
        <v>60</v>
      </c>
      <c r="E13" s="7" t="s">
        <v>56</v>
      </c>
      <c r="F13" s="7" t="s">
        <v>52</v>
      </c>
      <c r="G13" s="7">
        <v>11.3</v>
      </c>
      <c r="H13" s="7">
        <v>49</v>
      </c>
      <c r="I13" s="7">
        <v>0.16</v>
      </c>
      <c r="J13" s="7">
        <v>1</v>
      </c>
      <c r="K13" s="7">
        <v>0</v>
      </c>
      <c r="L13" s="7">
        <v>0.16</v>
      </c>
      <c r="M13" s="12">
        <f>G13*N13/1000/I13</f>
        <v>2.1187499999999999</v>
      </c>
      <c r="N13" s="7">
        <v>30</v>
      </c>
      <c r="O13" s="12">
        <f>I13*J13*M13</f>
        <v>0.33899999999999997</v>
      </c>
      <c r="P13" s="7">
        <v>8.0000000000000002E-3</v>
      </c>
      <c r="Q13" s="7">
        <v>1</v>
      </c>
      <c r="R13" s="10">
        <f>(P13/Q13)/L13</f>
        <v>0.05</v>
      </c>
      <c r="S13" s="7">
        <v>26.6</v>
      </c>
      <c r="T13" s="7">
        <v>7.42</v>
      </c>
      <c r="U13" s="7">
        <v>7.86</v>
      </c>
    </row>
    <row r="14" spans="1:21" x14ac:dyDescent="0.2">
      <c r="A14" s="7" t="s">
        <v>599</v>
      </c>
      <c r="B14" s="7" t="s">
        <v>160</v>
      </c>
      <c r="C14" s="7" t="s">
        <v>100</v>
      </c>
      <c r="D14" s="7" t="s">
        <v>60</v>
      </c>
      <c r="E14" s="7" t="s">
        <v>56</v>
      </c>
      <c r="F14" s="7" t="s">
        <v>52</v>
      </c>
      <c r="G14" s="7">
        <v>11.24</v>
      </c>
      <c r="H14" s="7">
        <v>49</v>
      </c>
      <c r="I14" s="7">
        <v>0.16</v>
      </c>
      <c r="J14" s="7">
        <v>1</v>
      </c>
      <c r="K14" s="7">
        <v>0</v>
      </c>
      <c r="L14" s="7">
        <v>0.16</v>
      </c>
      <c r="M14" s="12">
        <f t="shared" ref="M14:M16" si="2">G14*N14/1000/I14</f>
        <v>2.1074999999999999</v>
      </c>
      <c r="N14" s="7">
        <v>30</v>
      </c>
      <c r="O14" s="12">
        <f>I14*J14*M14</f>
        <v>0.3372</v>
      </c>
      <c r="P14" s="7">
        <v>8.0000000000000002E-3</v>
      </c>
      <c r="Q14" s="7">
        <v>1</v>
      </c>
      <c r="R14" s="10">
        <f t="shared" si="1"/>
        <v>0.05</v>
      </c>
      <c r="S14" s="7">
        <v>26.6</v>
      </c>
      <c r="T14" s="7">
        <v>7.25</v>
      </c>
      <c r="U14" s="7">
        <v>7.9</v>
      </c>
    </row>
    <row r="15" spans="1:21" x14ac:dyDescent="0.2">
      <c r="A15" s="7" t="s">
        <v>599</v>
      </c>
      <c r="B15" s="7" t="s">
        <v>160</v>
      </c>
      <c r="C15" s="7" t="s">
        <v>101</v>
      </c>
      <c r="D15" s="7" t="s">
        <v>60</v>
      </c>
      <c r="E15" s="7" t="s">
        <v>56</v>
      </c>
      <c r="F15" s="7" t="s">
        <v>52</v>
      </c>
      <c r="G15" s="7">
        <v>11.15</v>
      </c>
      <c r="H15" s="7">
        <v>49</v>
      </c>
      <c r="I15" s="7">
        <v>0.16</v>
      </c>
      <c r="J15" s="7">
        <v>1</v>
      </c>
      <c r="K15" s="7">
        <v>0</v>
      </c>
      <c r="L15" s="7">
        <v>0.16</v>
      </c>
      <c r="M15" s="12">
        <f t="shared" si="2"/>
        <v>2.0906250000000002</v>
      </c>
      <c r="N15" s="7">
        <v>30</v>
      </c>
      <c r="O15" s="12">
        <f>I15*J15*M15</f>
        <v>0.33450000000000002</v>
      </c>
      <c r="P15" s="7">
        <v>8.0000000000000002E-3</v>
      </c>
      <c r="Q15" s="7">
        <v>1</v>
      </c>
      <c r="R15" s="10">
        <f t="shared" si="1"/>
        <v>0.05</v>
      </c>
      <c r="S15" s="7">
        <v>26.6</v>
      </c>
      <c r="T15" s="7">
        <v>7.46</v>
      </c>
      <c r="U15" s="7">
        <v>8.09</v>
      </c>
    </row>
    <row r="16" spans="1:21" x14ac:dyDescent="0.2">
      <c r="A16" s="7" t="s">
        <v>599</v>
      </c>
      <c r="B16" s="7" t="s">
        <v>160</v>
      </c>
      <c r="C16" s="7" t="s">
        <v>102</v>
      </c>
      <c r="D16" s="7" t="s">
        <v>60</v>
      </c>
      <c r="E16" s="7" t="s">
        <v>56</v>
      </c>
      <c r="F16" s="7" t="s">
        <v>52</v>
      </c>
      <c r="G16" s="7">
        <v>11.36</v>
      </c>
      <c r="H16" s="7">
        <v>49</v>
      </c>
      <c r="I16" s="7">
        <v>0.16</v>
      </c>
      <c r="J16" s="7">
        <v>1</v>
      </c>
      <c r="K16" s="7">
        <v>0</v>
      </c>
      <c r="L16" s="7">
        <v>0.16</v>
      </c>
      <c r="M16" s="12">
        <f t="shared" si="2"/>
        <v>2.1299999999999994</v>
      </c>
      <c r="N16" s="7">
        <v>30</v>
      </c>
      <c r="O16" s="12">
        <f>I16*J16*M16</f>
        <v>0.34079999999999994</v>
      </c>
      <c r="P16" s="7">
        <v>8.0000000000000002E-3</v>
      </c>
      <c r="Q16" s="7">
        <v>1</v>
      </c>
      <c r="R16" s="10">
        <f t="shared" si="1"/>
        <v>0.05</v>
      </c>
      <c r="S16" s="7">
        <v>26.7</v>
      </c>
      <c r="T16" s="7">
        <v>7.29</v>
      </c>
      <c r="U16" s="7">
        <v>7.67</v>
      </c>
    </row>
    <row r="17" spans="1:21" x14ac:dyDescent="0.2">
      <c r="A17" s="7" t="s">
        <v>147</v>
      </c>
      <c r="B17" s="7" t="s">
        <v>148</v>
      </c>
      <c r="C17" s="7" t="s">
        <v>155</v>
      </c>
      <c r="D17" s="7" t="s">
        <v>150</v>
      </c>
      <c r="E17" s="7" t="s">
        <v>149</v>
      </c>
      <c r="F17" s="7" t="s">
        <v>55</v>
      </c>
      <c r="I17" s="7">
        <v>1.8</v>
      </c>
      <c r="J17" s="7">
        <v>20</v>
      </c>
      <c r="L17" s="7">
        <v>160</v>
      </c>
      <c r="M17" s="7">
        <v>15</v>
      </c>
      <c r="Q17" s="7">
        <v>1</v>
      </c>
      <c r="R17" s="10">
        <v>0.15</v>
      </c>
    </row>
    <row r="18" spans="1:21" x14ac:dyDescent="0.2">
      <c r="A18" s="7" t="s">
        <v>147</v>
      </c>
      <c r="B18" s="7" t="s">
        <v>148</v>
      </c>
      <c r="C18" s="7" t="s">
        <v>154</v>
      </c>
      <c r="D18" s="7" t="s">
        <v>150</v>
      </c>
      <c r="E18" s="7" t="s">
        <v>149</v>
      </c>
      <c r="F18" s="7" t="s">
        <v>55</v>
      </c>
      <c r="I18" s="7">
        <v>1.8</v>
      </c>
      <c r="J18" s="7">
        <v>20</v>
      </c>
      <c r="L18" s="7">
        <v>160</v>
      </c>
      <c r="M18" s="7">
        <v>15</v>
      </c>
      <c r="Q18" s="7">
        <v>1</v>
      </c>
      <c r="R18" s="10">
        <v>0.15</v>
      </c>
    </row>
    <row r="19" spans="1:21" x14ac:dyDescent="0.2">
      <c r="A19" s="7" t="s">
        <v>156</v>
      </c>
      <c r="B19" s="7" t="s">
        <v>160</v>
      </c>
      <c r="C19" s="7" t="s">
        <v>158</v>
      </c>
      <c r="D19" s="7" t="s">
        <v>162</v>
      </c>
      <c r="E19" s="7" t="s">
        <v>161</v>
      </c>
      <c r="F19" s="7" t="s">
        <v>53</v>
      </c>
      <c r="S19" s="7">
        <v>22</v>
      </c>
    </row>
    <row r="20" spans="1:21" x14ac:dyDescent="0.2">
      <c r="A20" s="7" t="s">
        <v>156</v>
      </c>
      <c r="B20" s="7" t="s">
        <v>160</v>
      </c>
      <c r="C20" s="7" t="s">
        <v>159</v>
      </c>
      <c r="D20" s="7" t="s">
        <v>162</v>
      </c>
      <c r="E20" s="7" t="s">
        <v>161</v>
      </c>
      <c r="F20" s="7" t="s">
        <v>53</v>
      </c>
      <c r="S20" s="7">
        <v>22</v>
      </c>
    </row>
    <row r="21" spans="1:21" x14ac:dyDescent="0.2">
      <c r="A21" s="7" t="s">
        <v>164</v>
      </c>
      <c r="B21" s="7" t="s">
        <v>160</v>
      </c>
      <c r="C21" s="7" t="s">
        <v>166</v>
      </c>
      <c r="D21" s="7" t="s">
        <v>60</v>
      </c>
      <c r="E21" s="7" t="s">
        <v>56</v>
      </c>
      <c r="F21" s="7" t="s">
        <v>52</v>
      </c>
      <c r="G21" s="7">
        <v>68</v>
      </c>
      <c r="H21" s="7">
        <v>154</v>
      </c>
      <c r="I21" s="7">
        <v>1.7</v>
      </c>
      <c r="J21" s="7">
        <v>4</v>
      </c>
      <c r="K21" s="7">
        <v>9.6999999999999993</v>
      </c>
      <c r="L21" s="7">
        <f>SUM(I21*J21,K21)</f>
        <v>16.5</v>
      </c>
      <c r="M21" s="7">
        <v>4</v>
      </c>
      <c r="N21" s="101">
        <f>O21/(G21/1000)</f>
        <v>983.82352941176475</v>
      </c>
      <c r="O21" s="100">
        <v>66.900000000000006</v>
      </c>
      <c r="R21" s="10">
        <v>5.2999999999999999E-2</v>
      </c>
      <c r="S21" s="7">
        <v>26.8</v>
      </c>
      <c r="T21" s="7">
        <v>6.4</v>
      </c>
      <c r="U21" s="7">
        <v>7.3</v>
      </c>
    </row>
    <row r="22" spans="1:21" x14ac:dyDescent="0.2">
      <c r="A22" s="7" t="s">
        <v>164</v>
      </c>
      <c r="B22" s="7" t="s">
        <v>160</v>
      </c>
      <c r="C22" s="7" t="s">
        <v>516</v>
      </c>
      <c r="D22" s="7" t="s">
        <v>60</v>
      </c>
      <c r="E22" s="7" t="s">
        <v>56</v>
      </c>
      <c r="F22" s="7" t="s">
        <v>52</v>
      </c>
      <c r="G22" s="7">
        <v>68</v>
      </c>
      <c r="H22" s="7">
        <v>154</v>
      </c>
      <c r="I22" s="7">
        <v>1.7</v>
      </c>
      <c r="J22" s="7">
        <v>4</v>
      </c>
      <c r="K22" s="7">
        <v>9.6999999999999993</v>
      </c>
      <c r="L22" s="7">
        <f>SUM(I22*J22,K22)</f>
        <v>16.5</v>
      </c>
      <c r="M22" s="7">
        <v>4</v>
      </c>
      <c r="N22" s="101">
        <f t="shared" ref="N22:N23" si="3">O22/(G22/1000)</f>
        <v>982.35294117647049</v>
      </c>
      <c r="O22" s="100">
        <v>66.8</v>
      </c>
      <c r="R22" s="10">
        <v>2.9000000000000001E-2</v>
      </c>
      <c r="S22" s="7">
        <v>26.8</v>
      </c>
      <c r="T22" s="7">
        <v>6.5</v>
      </c>
      <c r="U22" s="7">
        <v>7.1</v>
      </c>
    </row>
    <row r="23" spans="1:21" x14ac:dyDescent="0.2">
      <c r="A23" s="7" t="s">
        <v>164</v>
      </c>
      <c r="B23" s="7" t="s">
        <v>160</v>
      </c>
      <c r="C23" s="7" t="s">
        <v>517</v>
      </c>
      <c r="D23" s="7" t="s">
        <v>60</v>
      </c>
      <c r="E23" s="7" t="s">
        <v>56</v>
      </c>
      <c r="F23" s="7" t="s">
        <v>52</v>
      </c>
      <c r="G23" s="7">
        <v>68</v>
      </c>
      <c r="H23" s="7">
        <v>154</v>
      </c>
      <c r="I23" s="7">
        <v>1.7</v>
      </c>
      <c r="J23" s="7">
        <v>4</v>
      </c>
      <c r="K23" s="7">
        <v>9.6999999999999993</v>
      </c>
      <c r="L23" s="7">
        <f>SUM(I23*J23,K23)</f>
        <v>16.5</v>
      </c>
      <c r="M23" s="7">
        <v>4</v>
      </c>
      <c r="N23" s="101">
        <f t="shared" si="3"/>
        <v>982.35294117647049</v>
      </c>
      <c r="O23" s="100">
        <v>66.8</v>
      </c>
      <c r="R23" s="10">
        <v>2.8000000000000001E-2</v>
      </c>
      <c r="S23" s="7">
        <v>27.3</v>
      </c>
      <c r="T23" s="7">
        <v>6.3</v>
      </c>
      <c r="U23" s="7">
        <v>7.2</v>
      </c>
    </row>
    <row r="24" spans="1:21" x14ac:dyDescent="0.2">
      <c r="A24" s="7" t="s">
        <v>167</v>
      </c>
      <c r="B24" s="7" t="s">
        <v>160</v>
      </c>
      <c r="C24" s="7" t="s">
        <v>178</v>
      </c>
      <c r="D24" s="7" t="s">
        <v>169</v>
      </c>
      <c r="E24" s="7" t="s">
        <v>170</v>
      </c>
      <c r="F24" s="7" t="s">
        <v>71</v>
      </c>
      <c r="I24" s="7">
        <v>3</v>
      </c>
      <c r="J24" s="7">
        <v>1</v>
      </c>
      <c r="L24" s="7">
        <v>15</v>
      </c>
      <c r="M24" s="7">
        <v>36</v>
      </c>
    </row>
    <row r="25" spans="1:21" x14ac:dyDescent="0.2">
      <c r="A25" s="18" t="s">
        <v>176</v>
      </c>
      <c r="B25" s="18" t="s">
        <v>160</v>
      </c>
      <c r="C25" s="18" t="s">
        <v>179</v>
      </c>
      <c r="D25" s="18" t="s">
        <v>169</v>
      </c>
      <c r="E25" s="18" t="s">
        <v>170</v>
      </c>
      <c r="F25" s="18" t="s">
        <v>71</v>
      </c>
      <c r="G25" s="18"/>
      <c r="H25" s="18"/>
      <c r="I25" s="18">
        <v>3</v>
      </c>
      <c r="J25" s="18">
        <v>1</v>
      </c>
      <c r="K25" s="18"/>
      <c r="L25" s="18">
        <v>15</v>
      </c>
      <c r="M25" s="18">
        <v>36</v>
      </c>
      <c r="N25" s="18"/>
      <c r="O25" s="18"/>
      <c r="P25" s="18"/>
      <c r="Q25" s="18"/>
      <c r="R25" s="18"/>
      <c r="S25" s="18"/>
      <c r="T25" s="18"/>
      <c r="U25" s="18"/>
    </row>
    <row r="26" spans="1:21" s="40" customFormat="1" x14ac:dyDescent="0.2">
      <c r="A26" s="40" t="s">
        <v>180</v>
      </c>
      <c r="B26" s="41" t="s">
        <v>182</v>
      </c>
      <c r="C26" s="41" t="s">
        <v>186</v>
      </c>
      <c r="D26" s="41" t="s">
        <v>194</v>
      </c>
      <c r="E26" s="41" t="s">
        <v>193</v>
      </c>
      <c r="F26" s="41" t="s">
        <v>192</v>
      </c>
      <c r="G26" s="41">
        <v>111</v>
      </c>
      <c r="H26" s="41">
        <v>96</v>
      </c>
      <c r="I26" s="41">
        <v>0.1</v>
      </c>
      <c r="J26" s="41">
        <v>3</v>
      </c>
      <c r="K26" s="41">
        <v>0</v>
      </c>
      <c r="L26" s="41">
        <f t="shared" ref="L26:L32" si="4">I26*J26</f>
        <v>0.30000000000000004</v>
      </c>
      <c r="M26" s="41">
        <f>(G26/1000)/L26</f>
        <v>0.36999999999999994</v>
      </c>
      <c r="N26" s="41">
        <v>10</v>
      </c>
      <c r="O26" s="12">
        <f>I26*J26*M26</f>
        <v>0.111</v>
      </c>
      <c r="P26" s="41"/>
      <c r="Q26" s="41"/>
      <c r="R26" s="41"/>
      <c r="S26" s="41">
        <v>27</v>
      </c>
      <c r="T26" s="41">
        <f t="shared" ref="T26:T32" si="5">AVERAGE(5.06,7.81)</f>
        <v>6.4349999999999996</v>
      </c>
      <c r="U26" s="41">
        <f t="shared" ref="U26:U32" si="6">AVERAGE(5.6,7.3)</f>
        <v>6.4499999999999993</v>
      </c>
    </row>
    <row r="27" spans="1:21" s="40" customFormat="1" x14ac:dyDescent="0.2">
      <c r="A27" s="40" t="s">
        <v>180</v>
      </c>
      <c r="B27" s="41" t="s">
        <v>182</v>
      </c>
      <c r="C27" s="41" t="s">
        <v>187</v>
      </c>
      <c r="D27" s="41" t="s">
        <v>194</v>
      </c>
      <c r="E27" s="41" t="s">
        <v>193</v>
      </c>
      <c r="F27" s="41" t="s">
        <v>192</v>
      </c>
      <c r="G27" s="41">
        <v>113</v>
      </c>
      <c r="H27" s="41">
        <v>96</v>
      </c>
      <c r="I27" s="41">
        <v>0.1</v>
      </c>
      <c r="J27" s="41">
        <v>3</v>
      </c>
      <c r="K27" s="41">
        <v>0</v>
      </c>
      <c r="L27" s="41">
        <f t="shared" si="4"/>
        <v>0.30000000000000004</v>
      </c>
      <c r="M27" s="41">
        <f t="shared" ref="M27:M32" si="7">(G27/1000)/L27</f>
        <v>0.37666666666666659</v>
      </c>
      <c r="N27" s="41">
        <v>10</v>
      </c>
      <c r="O27" s="12">
        <f t="shared" ref="O27:O32" si="8">I27*J27*M27</f>
        <v>0.11299999999999999</v>
      </c>
      <c r="P27" s="41"/>
      <c r="Q27" s="41"/>
      <c r="R27" s="41"/>
      <c r="S27" s="41">
        <v>27</v>
      </c>
      <c r="T27" s="41">
        <f t="shared" si="5"/>
        <v>6.4349999999999996</v>
      </c>
      <c r="U27" s="41">
        <f t="shared" si="6"/>
        <v>6.4499999999999993</v>
      </c>
    </row>
    <row r="28" spans="1:21" s="40" customFormat="1" x14ac:dyDescent="0.2">
      <c r="A28" s="40" t="s">
        <v>180</v>
      </c>
      <c r="B28" s="41" t="s">
        <v>182</v>
      </c>
      <c r="C28" s="41" t="s">
        <v>188</v>
      </c>
      <c r="D28" s="41" t="s">
        <v>194</v>
      </c>
      <c r="E28" s="41" t="s">
        <v>193</v>
      </c>
      <c r="F28" s="41" t="s">
        <v>192</v>
      </c>
      <c r="G28" s="41">
        <v>109</v>
      </c>
      <c r="H28" s="41">
        <v>96</v>
      </c>
      <c r="I28" s="41">
        <v>0.1</v>
      </c>
      <c r="J28" s="41">
        <v>3</v>
      </c>
      <c r="K28" s="41">
        <v>0</v>
      </c>
      <c r="L28" s="41">
        <f t="shared" si="4"/>
        <v>0.30000000000000004</v>
      </c>
      <c r="M28" s="41">
        <f t="shared" si="7"/>
        <v>0.36333333333333329</v>
      </c>
      <c r="N28" s="41">
        <v>10</v>
      </c>
      <c r="O28" s="12">
        <f t="shared" si="8"/>
        <v>0.109</v>
      </c>
      <c r="P28" s="41"/>
      <c r="Q28" s="41"/>
      <c r="R28" s="41"/>
      <c r="S28" s="41">
        <v>27</v>
      </c>
      <c r="T28" s="41">
        <f t="shared" si="5"/>
        <v>6.4349999999999996</v>
      </c>
      <c r="U28" s="41">
        <f t="shared" si="6"/>
        <v>6.4499999999999993</v>
      </c>
    </row>
    <row r="29" spans="1:21" s="40" customFormat="1" x14ac:dyDescent="0.2">
      <c r="A29" s="40" t="s">
        <v>180</v>
      </c>
      <c r="B29" s="41" t="s">
        <v>182</v>
      </c>
      <c r="C29" s="41" t="s">
        <v>189</v>
      </c>
      <c r="D29" s="41" t="s">
        <v>194</v>
      </c>
      <c r="E29" s="41" t="s">
        <v>193</v>
      </c>
      <c r="F29" s="41" t="s">
        <v>192</v>
      </c>
      <c r="G29" s="41">
        <v>118</v>
      </c>
      <c r="H29" s="41">
        <v>96</v>
      </c>
      <c r="I29" s="41">
        <v>0.1</v>
      </c>
      <c r="J29" s="41">
        <v>3</v>
      </c>
      <c r="K29" s="41">
        <v>0</v>
      </c>
      <c r="L29" s="41">
        <f t="shared" si="4"/>
        <v>0.30000000000000004</v>
      </c>
      <c r="M29" s="41">
        <f t="shared" si="7"/>
        <v>0.39333333333333326</v>
      </c>
      <c r="N29" s="41">
        <v>10</v>
      </c>
      <c r="O29" s="12">
        <f t="shared" si="8"/>
        <v>0.11799999999999999</v>
      </c>
      <c r="P29" s="41"/>
      <c r="Q29" s="41"/>
      <c r="R29" s="41"/>
      <c r="S29" s="41">
        <v>27</v>
      </c>
      <c r="T29" s="41">
        <f t="shared" si="5"/>
        <v>6.4349999999999996</v>
      </c>
      <c r="U29" s="41">
        <f t="shared" si="6"/>
        <v>6.4499999999999993</v>
      </c>
    </row>
    <row r="30" spans="1:21" s="40" customFormat="1" x14ac:dyDescent="0.2">
      <c r="A30" s="40" t="s">
        <v>180</v>
      </c>
      <c r="B30" s="41" t="s">
        <v>182</v>
      </c>
      <c r="C30" s="41" t="s">
        <v>190</v>
      </c>
      <c r="D30" s="41" t="s">
        <v>194</v>
      </c>
      <c r="E30" s="41" t="s">
        <v>193</v>
      </c>
      <c r="F30" s="41" t="s">
        <v>192</v>
      </c>
      <c r="G30" s="41">
        <v>121</v>
      </c>
      <c r="H30" s="41">
        <v>96</v>
      </c>
      <c r="I30" s="41">
        <v>0.1</v>
      </c>
      <c r="J30" s="41">
        <v>3</v>
      </c>
      <c r="K30" s="41">
        <v>0</v>
      </c>
      <c r="L30" s="41">
        <f t="shared" si="4"/>
        <v>0.30000000000000004</v>
      </c>
      <c r="M30" s="41">
        <f t="shared" si="7"/>
        <v>0.40333333333333327</v>
      </c>
      <c r="N30" s="41">
        <v>10</v>
      </c>
      <c r="O30" s="12">
        <f t="shared" si="8"/>
        <v>0.121</v>
      </c>
      <c r="P30" s="41"/>
      <c r="Q30" s="41"/>
      <c r="R30" s="41"/>
      <c r="S30" s="41">
        <v>27</v>
      </c>
      <c r="T30" s="41">
        <f t="shared" si="5"/>
        <v>6.4349999999999996</v>
      </c>
      <c r="U30" s="41">
        <f t="shared" si="6"/>
        <v>6.4499999999999993</v>
      </c>
    </row>
    <row r="31" spans="1:21" s="40" customFormat="1" x14ac:dyDescent="0.2">
      <c r="A31" s="40" t="s">
        <v>180</v>
      </c>
      <c r="B31" s="41" t="s">
        <v>182</v>
      </c>
      <c r="C31" s="41" t="s">
        <v>191</v>
      </c>
      <c r="D31" s="41" t="s">
        <v>194</v>
      </c>
      <c r="E31" s="41" t="s">
        <v>193</v>
      </c>
      <c r="F31" s="41" t="s">
        <v>192</v>
      </c>
      <c r="G31" s="41">
        <v>118</v>
      </c>
      <c r="H31" s="41">
        <v>96</v>
      </c>
      <c r="I31" s="41">
        <v>0.1</v>
      </c>
      <c r="J31" s="41">
        <v>3</v>
      </c>
      <c r="K31" s="41">
        <v>0</v>
      </c>
      <c r="L31" s="41">
        <f t="shared" si="4"/>
        <v>0.30000000000000004</v>
      </c>
      <c r="M31" s="41">
        <f t="shared" si="7"/>
        <v>0.39333333333333326</v>
      </c>
      <c r="N31" s="41">
        <v>10</v>
      </c>
      <c r="O31" s="12">
        <f t="shared" si="8"/>
        <v>0.11799999999999999</v>
      </c>
      <c r="P31" s="41"/>
      <c r="Q31" s="41"/>
      <c r="R31" s="41"/>
      <c r="S31" s="41">
        <v>27</v>
      </c>
      <c r="T31" s="41">
        <f t="shared" si="5"/>
        <v>6.4349999999999996</v>
      </c>
      <c r="U31" s="41">
        <f t="shared" si="6"/>
        <v>6.4499999999999993</v>
      </c>
    </row>
    <row r="32" spans="1:21" s="40" customFormat="1" x14ac:dyDescent="0.2">
      <c r="A32" s="40" t="s">
        <v>180</v>
      </c>
      <c r="B32" s="41" t="s">
        <v>182</v>
      </c>
      <c r="C32" s="41" t="s">
        <v>183</v>
      </c>
      <c r="D32" s="41" t="s">
        <v>194</v>
      </c>
      <c r="E32" s="41" t="s">
        <v>193</v>
      </c>
      <c r="F32" s="41" t="s">
        <v>192</v>
      </c>
      <c r="G32" s="41">
        <v>110</v>
      </c>
      <c r="H32" s="41">
        <v>96</v>
      </c>
      <c r="I32" s="41">
        <v>0.1</v>
      </c>
      <c r="J32" s="41">
        <v>3</v>
      </c>
      <c r="K32" s="41">
        <v>0</v>
      </c>
      <c r="L32" s="41">
        <f t="shared" si="4"/>
        <v>0.30000000000000004</v>
      </c>
      <c r="M32" s="41">
        <f t="shared" si="7"/>
        <v>0.36666666666666664</v>
      </c>
      <c r="N32" s="41">
        <v>10</v>
      </c>
      <c r="O32" s="12">
        <f t="shared" si="8"/>
        <v>0.11000000000000001</v>
      </c>
      <c r="P32" s="41"/>
      <c r="Q32" s="41"/>
      <c r="R32" s="41"/>
      <c r="S32" s="41">
        <v>27</v>
      </c>
      <c r="T32" s="41">
        <f t="shared" si="5"/>
        <v>6.4349999999999996</v>
      </c>
      <c r="U32" s="41">
        <f t="shared" si="6"/>
        <v>6.4499999999999993</v>
      </c>
    </row>
    <row r="33" spans="1:21" x14ac:dyDescent="0.2">
      <c r="A33" t="s">
        <v>184</v>
      </c>
      <c r="B33" s="7" t="s">
        <v>148</v>
      </c>
      <c r="C33" s="7" t="s">
        <v>200</v>
      </c>
      <c r="D33" s="7" t="s">
        <v>150</v>
      </c>
      <c r="E33" s="7" t="s">
        <v>149</v>
      </c>
      <c r="F33" s="7" t="s">
        <v>55</v>
      </c>
      <c r="I33" s="7">
        <v>1.8</v>
      </c>
      <c r="J33" s="7">
        <v>20</v>
      </c>
      <c r="L33" s="7">
        <v>160</v>
      </c>
      <c r="M33" s="7">
        <v>15</v>
      </c>
      <c r="O33" s="12">
        <f>I33*J33*M33</f>
        <v>540</v>
      </c>
      <c r="Q33" s="7">
        <v>1</v>
      </c>
      <c r="R33" s="10">
        <v>0.15</v>
      </c>
    </row>
    <row r="34" spans="1:21" x14ac:dyDescent="0.2">
      <c r="A34" t="s">
        <v>184</v>
      </c>
      <c r="B34" s="7" t="s">
        <v>148</v>
      </c>
      <c r="C34" s="7" t="s">
        <v>201</v>
      </c>
      <c r="D34" s="7" t="s">
        <v>150</v>
      </c>
      <c r="E34" s="7" t="s">
        <v>149</v>
      </c>
      <c r="F34" s="7" t="s">
        <v>55</v>
      </c>
      <c r="I34" s="7">
        <v>1.8</v>
      </c>
      <c r="J34" s="7">
        <v>20</v>
      </c>
      <c r="L34" s="7">
        <v>160</v>
      </c>
      <c r="M34" s="7">
        <v>15</v>
      </c>
      <c r="O34" s="12">
        <f t="shared" ref="O34:O38" si="9">I34*J34*M34</f>
        <v>540</v>
      </c>
      <c r="Q34" s="7">
        <v>1</v>
      </c>
      <c r="R34" s="10">
        <v>0.15</v>
      </c>
    </row>
    <row r="35" spans="1:21" x14ac:dyDescent="0.2">
      <c r="A35" t="s">
        <v>184</v>
      </c>
      <c r="B35" s="7" t="s">
        <v>148</v>
      </c>
      <c r="C35" s="7" t="s">
        <v>202</v>
      </c>
      <c r="D35" s="7" t="s">
        <v>150</v>
      </c>
      <c r="E35" s="7" t="s">
        <v>149</v>
      </c>
      <c r="F35" s="7" t="s">
        <v>55</v>
      </c>
      <c r="I35" s="7">
        <v>1.8</v>
      </c>
      <c r="J35" s="7">
        <v>20</v>
      </c>
      <c r="L35" s="7">
        <v>160</v>
      </c>
      <c r="M35" s="7">
        <v>15</v>
      </c>
      <c r="O35" s="12">
        <f t="shared" si="9"/>
        <v>540</v>
      </c>
      <c r="Q35" s="7">
        <v>1</v>
      </c>
      <c r="R35" s="10">
        <v>0.15</v>
      </c>
    </row>
    <row r="36" spans="1:21" x14ac:dyDescent="0.2">
      <c r="A36" s="7" t="s">
        <v>184</v>
      </c>
      <c r="B36" s="7" t="s">
        <v>148</v>
      </c>
      <c r="C36" s="7" t="s">
        <v>203</v>
      </c>
      <c r="D36" s="7" t="s">
        <v>150</v>
      </c>
      <c r="E36" s="7" t="s">
        <v>149</v>
      </c>
      <c r="F36" s="7" t="s">
        <v>55</v>
      </c>
      <c r="I36" s="7">
        <v>1.8</v>
      </c>
      <c r="J36" s="7">
        <v>20</v>
      </c>
      <c r="L36" s="7">
        <v>160</v>
      </c>
      <c r="M36" s="7">
        <v>15</v>
      </c>
      <c r="O36" s="12">
        <f t="shared" si="9"/>
        <v>540</v>
      </c>
      <c r="Q36" s="7">
        <v>1</v>
      </c>
      <c r="R36" s="10">
        <v>0.15</v>
      </c>
    </row>
    <row r="37" spans="1:21" x14ac:dyDescent="0.2">
      <c r="A37" s="7" t="s">
        <v>184</v>
      </c>
      <c r="B37" s="7" t="s">
        <v>148</v>
      </c>
      <c r="C37" s="7" t="s">
        <v>204</v>
      </c>
      <c r="D37" s="7" t="s">
        <v>150</v>
      </c>
      <c r="E37" s="7" t="s">
        <v>149</v>
      </c>
      <c r="F37" s="7" t="s">
        <v>55</v>
      </c>
      <c r="I37" s="7">
        <v>1.8</v>
      </c>
      <c r="J37" s="7">
        <v>20</v>
      </c>
      <c r="L37" s="7">
        <v>160</v>
      </c>
      <c r="M37" s="7">
        <v>15</v>
      </c>
      <c r="O37" s="12">
        <f t="shared" si="9"/>
        <v>540</v>
      </c>
      <c r="Q37" s="7">
        <v>1</v>
      </c>
      <c r="R37" s="10">
        <v>0.15</v>
      </c>
    </row>
    <row r="38" spans="1:21" x14ac:dyDescent="0.2">
      <c r="A38" s="7" t="s">
        <v>184</v>
      </c>
      <c r="B38" s="7" t="s">
        <v>148</v>
      </c>
      <c r="C38" s="7" t="s">
        <v>205</v>
      </c>
      <c r="D38" s="7" t="s">
        <v>150</v>
      </c>
      <c r="E38" s="7" t="s">
        <v>149</v>
      </c>
      <c r="F38" s="7" t="s">
        <v>55</v>
      </c>
      <c r="I38" s="7">
        <v>1.8</v>
      </c>
      <c r="J38" s="7">
        <v>20</v>
      </c>
      <c r="L38" s="7">
        <v>160</v>
      </c>
      <c r="M38" s="7">
        <v>15</v>
      </c>
      <c r="O38" s="12">
        <f t="shared" si="9"/>
        <v>540</v>
      </c>
      <c r="Q38" s="7">
        <v>1</v>
      </c>
      <c r="R38" s="10">
        <v>0.15</v>
      </c>
    </row>
    <row r="39" spans="1:21" x14ac:dyDescent="0.2">
      <c r="A39" s="7" t="s">
        <v>206</v>
      </c>
      <c r="B39" s="7" t="s">
        <v>210</v>
      </c>
      <c r="C39" s="7" t="s">
        <v>211</v>
      </c>
      <c r="D39" s="7" t="s">
        <v>214</v>
      </c>
      <c r="E39" s="7" t="s">
        <v>326</v>
      </c>
      <c r="F39" s="7" t="s">
        <v>215</v>
      </c>
      <c r="G39" s="7">
        <v>100</v>
      </c>
      <c r="H39" s="7">
        <v>42</v>
      </c>
      <c r="I39" s="7">
        <v>0.5</v>
      </c>
      <c r="J39" s="7">
        <v>3</v>
      </c>
      <c r="K39" s="7">
        <v>0.8</v>
      </c>
      <c r="L39" s="7">
        <f>I39*J39+K39</f>
        <v>2.2999999999999998</v>
      </c>
      <c r="M39" s="12">
        <f>0.1*20*J39/I39</f>
        <v>12</v>
      </c>
      <c r="N39" s="7">
        <v>20</v>
      </c>
      <c r="O39" s="12">
        <f>M39*(L39-K39)</f>
        <v>17.999999999999996</v>
      </c>
      <c r="R39" s="10"/>
    </row>
    <row r="40" spans="1:21" x14ac:dyDescent="0.2">
      <c r="A40" s="7" t="s">
        <v>206</v>
      </c>
      <c r="B40" s="7" t="s">
        <v>210</v>
      </c>
      <c r="C40" s="7" t="s">
        <v>212</v>
      </c>
      <c r="D40" s="7" t="s">
        <v>214</v>
      </c>
      <c r="E40" s="7" t="s">
        <v>326</v>
      </c>
      <c r="F40" s="7" t="s">
        <v>215</v>
      </c>
      <c r="G40" s="7">
        <v>100</v>
      </c>
      <c r="H40" s="7">
        <v>42</v>
      </c>
      <c r="I40" s="7">
        <v>0.5</v>
      </c>
      <c r="J40" s="7">
        <v>3</v>
      </c>
      <c r="K40" s="7">
        <v>0.8</v>
      </c>
      <c r="L40" s="7">
        <f>I40*J40+K40</f>
        <v>2.2999999999999998</v>
      </c>
      <c r="M40" s="12">
        <f>0.1*20*J40/I40</f>
        <v>12</v>
      </c>
      <c r="N40" s="7">
        <v>20</v>
      </c>
      <c r="O40" s="12">
        <f>M40*(L40-K40)</f>
        <v>17.999999999999996</v>
      </c>
      <c r="R40" s="10"/>
    </row>
    <row r="41" spans="1:21" x14ac:dyDescent="0.2">
      <c r="A41" s="7" t="s">
        <v>206</v>
      </c>
      <c r="B41" s="7" t="s">
        <v>210</v>
      </c>
      <c r="C41" s="7" t="s">
        <v>213</v>
      </c>
      <c r="D41" s="7" t="s">
        <v>214</v>
      </c>
      <c r="E41" s="7" t="s">
        <v>326</v>
      </c>
      <c r="F41" s="7" t="s">
        <v>215</v>
      </c>
      <c r="H41" s="7">
        <v>42</v>
      </c>
      <c r="R41" s="10"/>
    </row>
    <row r="42" spans="1:21" x14ac:dyDescent="0.2">
      <c r="A42" s="7" t="s">
        <v>207</v>
      </c>
      <c r="B42" s="7" t="s">
        <v>182</v>
      </c>
      <c r="C42" s="7" t="s">
        <v>212</v>
      </c>
      <c r="D42" s="7" t="s">
        <v>231</v>
      </c>
      <c r="E42" s="7" t="s">
        <v>230</v>
      </c>
      <c r="F42" s="7" t="s">
        <v>229</v>
      </c>
      <c r="G42" s="7">
        <v>52.25</v>
      </c>
      <c r="I42" s="7">
        <v>1</v>
      </c>
      <c r="J42" s="7">
        <v>1</v>
      </c>
      <c r="K42" s="7">
        <v>0.1</v>
      </c>
      <c r="L42" s="12">
        <f>I42*J42+K42</f>
        <v>1.1000000000000001</v>
      </c>
      <c r="M42" s="7">
        <v>27.4</v>
      </c>
      <c r="N42" s="7">
        <v>264</v>
      </c>
      <c r="O42" s="7">
        <f>M42*J42*I42</f>
        <v>27.4</v>
      </c>
      <c r="R42" s="10"/>
      <c r="S42" s="7">
        <v>28.1</v>
      </c>
      <c r="T42" s="7">
        <v>9.1999999999999993</v>
      </c>
      <c r="U42" s="7">
        <v>7.18</v>
      </c>
    </row>
    <row r="43" spans="1:21" x14ac:dyDescent="0.2">
      <c r="A43" s="7" t="s">
        <v>207</v>
      </c>
      <c r="B43" s="7" t="s">
        <v>182</v>
      </c>
      <c r="C43" s="7" t="s">
        <v>213</v>
      </c>
      <c r="D43" s="7" t="s">
        <v>231</v>
      </c>
      <c r="E43" s="7" t="s">
        <v>230</v>
      </c>
      <c r="F43" s="7" t="s">
        <v>229</v>
      </c>
      <c r="G43" s="7">
        <v>52.25</v>
      </c>
      <c r="I43" s="7">
        <v>1</v>
      </c>
      <c r="J43" s="7">
        <v>1</v>
      </c>
      <c r="K43" s="7">
        <v>0.1</v>
      </c>
      <c r="L43" s="12">
        <f>I43*J43+K43</f>
        <v>1.1000000000000001</v>
      </c>
      <c r="M43" s="7">
        <v>27.4</v>
      </c>
      <c r="N43" s="7">
        <v>264</v>
      </c>
      <c r="O43" s="7">
        <f>M43*J43*I43</f>
        <v>27.4</v>
      </c>
      <c r="R43" s="10"/>
      <c r="S43" s="7">
        <v>28.1</v>
      </c>
      <c r="T43" s="7">
        <v>9.1999999999999993</v>
      </c>
      <c r="U43" s="7">
        <v>7.18</v>
      </c>
    </row>
    <row r="44" spans="1:21" x14ac:dyDescent="0.2">
      <c r="A44" s="7" t="s">
        <v>224</v>
      </c>
      <c r="B44" s="7" t="s">
        <v>148</v>
      </c>
      <c r="C44" s="7" t="s">
        <v>235</v>
      </c>
      <c r="D44" s="7" t="s">
        <v>150</v>
      </c>
      <c r="E44" s="7" t="s">
        <v>149</v>
      </c>
      <c r="F44" s="7" t="s">
        <v>55</v>
      </c>
      <c r="I44" s="7">
        <v>1.8</v>
      </c>
      <c r="J44" s="7">
        <v>20</v>
      </c>
      <c r="L44" s="7">
        <v>160</v>
      </c>
      <c r="M44" s="7">
        <v>15</v>
      </c>
      <c r="O44" s="12">
        <f t="shared" ref="O44:O45" si="10">M44*J44*I44</f>
        <v>540</v>
      </c>
      <c r="Q44" s="7">
        <v>1</v>
      </c>
      <c r="R44" s="10">
        <v>0.15</v>
      </c>
    </row>
    <row r="45" spans="1:21" x14ac:dyDescent="0.2">
      <c r="A45" s="7" t="s">
        <v>224</v>
      </c>
      <c r="B45" s="7" t="s">
        <v>148</v>
      </c>
      <c r="C45" s="7" t="s">
        <v>183</v>
      </c>
      <c r="D45" s="7" t="s">
        <v>150</v>
      </c>
      <c r="E45" s="7" t="s">
        <v>149</v>
      </c>
      <c r="F45" s="7" t="s">
        <v>55</v>
      </c>
      <c r="I45" s="7">
        <v>1.8</v>
      </c>
      <c r="J45" s="7">
        <v>20</v>
      </c>
      <c r="L45" s="7">
        <v>160</v>
      </c>
      <c r="M45" s="7">
        <v>15</v>
      </c>
      <c r="O45" s="12">
        <f t="shared" si="10"/>
        <v>540</v>
      </c>
      <c r="Q45" s="7">
        <v>1</v>
      </c>
      <c r="R45" s="10">
        <v>0.15</v>
      </c>
    </row>
    <row r="46" spans="1:21" x14ac:dyDescent="0.2">
      <c r="A46" t="s">
        <v>228</v>
      </c>
      <c r="B46" s="7" t="s">
        <v>182</v>
      </c>
      <c r="C46" s="7" t="s">
        <v>245</v>
      </c>
      <c r="D46" s="7" t="s">
        <v>249</v>
      </c>
      <c r="E46" s="7" t="s">
        <v>248</v>
      </c>
      <c r="F46" s="7" t="s">
        <v>52</v>
      </c>
      <c r="G46" s="12">
        <v>710</v>
      </c>
      <c r="H46" s="7">
        <v>54</v>
      </c>
      <c r="I46" s="7">
        <v>1</v>
      </c>
      <c r="J46" s="7">
        <v>9</v>
      </c>
      <c r="K46" s="7">
        <v>4</v>
      </c>
      <c r="L46" s="12">
        <f t="shared" ref="L46:L64" si="11">I46*J46+K46</f>
        <v>13</v>
      </c>
      <c r="M46" s="12">
        <f>N46*G46*0.001/L46</f>
        <v>7.6461538461538465</v>
      </c>
      <c r="N46" s="7">
        <v>140</v>
      </c>
      <c r="O46" s="12">
        <f>M46*J46</f>
        <v>68.815384615384616</v>
      </c>
      <c r="P46" s="7">
        <v>0.8</v>
      </c>
      <c r="Q46" s="7">
        <v>7</v>
      </c>
      <c r="R46" s="16">
        <f>P46/Q46/L46</f>
        <v>8.7912087912087912E-3</v>
      </c>
    </row>
    <row r="47" spans="1:21" x14ac:dyDescent="0.2">
      <c r="A47" t="s">
        <v>228</v>
      </c>
      <c r="B47" s="7" t="s">
        <v>182</v>
      </c>
      <c r="C47" s="7" t="s">
        <v>246</v>
      </c>
      <c r="D47" s="7" t="s">
        <v>249</v>
      </c>
      <c r="E47" s="7" t="s">
        <v>248</v>
      </c>
      <c r="F47" s="7" t="s">
        <v>52</v>
      </c>
      <c r="G47" s="12">
        <v>710</v>
      </c>
      <c r="H47" s="7">
        <v>54</v>
      </c>
      <c r="I47" s="7">
        <v>1</v>
      </c>
      <c r="J47" s="7">
        <v>9</v>
      </c>
      <c r="K47" s="7">
        <v>4</v>
      </c>
      <c r="L47" s="12">
        <f t="shared" si="11"/>
        <v>13</v>
      </c>
      <c r="M47" s="12">
        <f t="shared" ref="M47" si="12">N47*G47*0.001/L47</f>
        <v>7.6461538461538465</v>
      </c>
      <c r="N47" s="7">
        <v>140</v>
      </c>
      <c r="O47" s="12">
        <f>M47*J47</f>
        <v>68.815384615384616</v>
      </c>
      <c r="P47" s="7">
        <v>0.8</v>
      </c>
      <c r="Q47" s="7">
        <v>7</v>
      </c>
      <c r="R47" s="16">
        <f>P47/Q47/L47</f>
        <v>8.7912087912087912E-3</v>
      </c>
    </row>
    <row r="48" spans="1:21" x14ac:dyDescent="0.2">
      <c r="A48" t="s">
        <v>228</v>
      </c>
      <c r="B48" s="7" t="s">
        <v>182</v>
      </c>
      <c r="C48" s="7" t="s">
        <v>247</v>
      </c>
      <c r="D48" s="7" t="s">
        <v>249</v>
      </c>
      <c r="E48" s="7" t="s">
        <v>248</v>
      </c>
      <c r="F48" s="7" t="s">
        <v>52</v>
      </c>
      <c r="G48" s="12">
        <v>710</v>
      </c>
      <c r="H48" s="7">
        <v>54</v>
      </c>
      <c r="I48" s="7">
        <v>1</v>
      </c>
      <c r="J48" s="7">
        <v>9</v>
      </c>
      <c r="K48" s="7">
        <v>4</v>
      </c>
      <c r="L48" s="12">
        <f t="shared" si="11"/>
        <v>13</v>
      </c>
      <c r="M48" s="12">
        <f>N48*G48*0.001/L48</f>
        <v>7.6461538461538465</v>
      </c>
      <c r="N48" s="7">
        <v>140</v>
      </c>
      <c r="O48" s="12">
        <f>M48*J48</f>
        <v>68.815384615384616</v>
      </c>
      <c r="P48" s="7">
        <v>0.8</v>
      </c>
      <c r="Q48" s="7">
        <v>7</v>
      </c>
      <c r="R48" s="16">
        <f>P48/Q48/L48</f>
        <v>8.7912087912087912E-3</v>
      </c>
    </row>
    <row r="49" spans="1:18" x14ac:dyDescent="0.2">
      <c r="A49" t="s">
        <v>220</v>
      </c>
      <c r="B49" s="7" t="s">
        <v>160</v>
      </c>
      <c r="C49" s="7" t="s">
        <v>212</v>
      </c>
      <c r="E49" s="7" t="s">
        <v>267</v>
      </c>
      <c r="F49" s="7" t="s">
        <v>52</v>
      </c>
      <c r="H49" s="7">
        <v>351</v>
      </c>
      <c r="I49" s="7">
        <v>1.8</v>
      </c>
      <c r="J49" s="7">
        <v>4</v>
      </c>
      <c r="K49" s="12">
        <f>1.3+2.34+0.4</f>
        <v>4.04</v>
      </c>
      <c r="L49" s="12">
        <f t="shared" si="11"/>
        <v>11.24</v>
      </c>
      <c r="M49" s="7">
        <v>20.7</v>
      </c>
      <c r="O49" s="12">
        <f>I49*J49*M49</f>
        <v>149.04</v>
      </c>
      <c r="P49" s="12">
        <f>L49*R49</f>
        <v>0.4536</v>
      </c>
      <c r="Q49" s="7">
        <v>1</v>
      </c>
      <c r="R49" s="16">
        <f>7.2*6.3%/L49</f>
        <v>4.0355871886120998E-2</v>
      </c>
    </row>
    <row r="50" spans="1:18" x14ac:dyDescent="0.2">
      <c r="A50" t="s">
        <v>220</v>
      </c>
      <c r="B50" s="7" t="s">
        <v>160</v>
      </c>
      <c r="C50" s="7" t="s">
        <v>213</v>
      </c>
      <c r="E50" s="7" t="s">
        <v>267</v>
      </c>
      <c r="F50" s="7" t="s">
        <v>52</v>
      </c>
      <c r="H50" s="7">
        <v>351</v>
      </c>
      <c r="I50" s="7">
        <v>1.8</v>
      </c>
      <c r="J50" s="7">
        <v>4</v>
      </c>
      <c r="K50" s="12">
        <f>1.3+2.34+0.4</f>
        <v>4.04</v>
      </c>
      <c r="L50" s="12">
        <f t="shared" si="11"/>
        <v>11.24</v>
      </c>
      <c r="M50" s="7">
        <v>20.7</v>
      </c>
      <c r="O50" s="12">
        <f>I50*J50*M50</f>
        <v>149.04</v>
      </c>
      <c r="P50" s="12">
        <f>L50*R50</f>
        <v>0.4536</v>
      </c>
      <c r="Q50" s="7">
        <v>1</v>
      </c>
      <c r="R50" s="16">
        <f>7.2*6.3%/L50</f>
        <v>4.0355871886120998E-2</v>
      </c>
    </row>
    <row r="51" spans="1:18" x14ac:dyDescent="0.2">
      <c r="A51" t="s">
        <v>222</v>
      </c>
      <c r="B51" s="7" t="s">
        <v>275</v>
      </c>
      <c r="C51" s="7" t="s">
        <v>183</v>
      </c>
      <c r="D51" s="7" t="s">
        <v>277</v>
      </c>
      <c r="E51" s="7" t="s">
        <v>276</v>
      </c>
      <c r="F51" s="7" t="s">
        <v>71</v>
      </c>
      <c r="G51" s="7">
        <v>67.3</v>
      </c>
      <c r="H51" s="7">
        <v>60</v>
      </c>
      <c r="I51" s="7">
        <v>0.15</v>
      </c>
      <c r="J51" s="7">
        <v>1</v>
      </c>
      <c r="K51" s="7">
        <v>0</v>
      </c>
      <c r="L51" s="12">
        <f t="shared" si="11"/>
        <v>0.15</v>
      </c>
      <c r="M51" s="12">
        <f t="shared" ref="M51:M56" si="13">N51*G51*0.001/L51</f>
        <v>3.5893333333333333</v>
      </c>
      <c r="N51" s="7">
        <v>8</v>
      </c>
      <c r="O51" s="12">
        <f t="shared" ref="O51:O66" si="14">N51*G51*0.001</f>
        <v>0.53839999999999999</v>
      </c>
    </row>
    <row r="52" spans="1:18" x14ac:dyDescent="0.2">
      <c r="A52" t="s">
        <v>222</v>
      </c>
      <c r="B52" s="7" t="s">
        <v>275</v>
      </c>
      <c r="C52" s="7" t="s">
        <v>274</v>
      </c>
      <c r="D52" s="7" t="s">
        <v>277</v>
      </c>
      <c r="E52" s="7" t="s">
        <v>276</v>
      </c>
      <c r="F52" s="7" t="s">
        <v>71</v>
      </c>
      <c r="G52" s="7">
        <v>67.3</v>
      </c>
      <c r="H52" s="7">
        <v>60</v>
      </c>
      <c r="I52" s="7">
        <v>0.15</v>
      </c>
      <c r="J52" s="7">
        <v>1</v>
      </c>
      <c r="K52" s="7">
        <v>0</v>
      </c>
      <c r="L52" s="12">
        <f t="shared" si="11"/>
        <v>0.15</v>
      </c>
      <c r="M52" s="12">
        <f t="shared" si="13"/>
        <v>3.5893333333333333</v>
      </c>
      <c r="N52" s="7">
        <v>8</v>
      </c>
      <c r="O52" s="12">
        <f t="shared" si="14"/>
        <v>0.53839999999999999</v>
      </c>
    </row>
    <row r="53" spans="1:18" x14ac:dyDescent="0.2">
      <c r="A53" s="7" t="s">
        <v>226</v>
      </c>
      <c r="B53" s="7" t="s">
        <v>160</v>
      </c>
      <c r="C53" s="7" t="s">
        <v>280</v>
      </c>
      <c r="D53" s="7" t="s">
        <v>162</v>
      </c>
      <c r="E53" s="7" t="s">
        <v>161</v>
      </c>
      <c r="F53" s="7" t="s">
        <v>53</v>
      </c>
      <c r="G53" s="7">
        <v>67.8</v>
      </c>
      <c r="H53" s="7">
        <v>220</v>
      </c>
      <c r="I53" s="7">
        <v>2.7</v>
      </c>
      <c r="J53" s="7">
        <v>1</v>
      </c>
      <c r="K53" s="7">
        <f>0.23+0.045+0.58+0.03+0.47+0.065</f>
        <v>1.42</v>
      </c>
      <c r="L53" s="7">
        <f t="shared" si="11"/>
        <v>4.12</v>
      </c>
      <c r="M53" s="12">
        <f t="shared" si="13"/>
        <v>4.9368932038834954</v>
      </c>
      <c r="N53" s="7">
        <v>300</v>
      </c>
      <c r="O53" s="12">
        <f>N53*G53*0.001</f>
        <v>20.34</v>
      </c>
      <c r="P53" s="7">
        <v>0.05</v>
      </c>
      <c r="Q53" s="7">
        <v>3</v>
      </c>
      <c r="R53" s="10">
        <f>P53/Q53/L53</f>
        <v>4.0453074433656954E-3</v>
      </c>
    </row>
    <row r="54" spans="1:18" x14ac:dyDescent="0.2">
      <c r="A54" s="7" t="s">
        <v>226</v>
      </c>
      <c r="B54" s="7" t="s">
        <v>160</v>
      </c>
      <c r="C54" s="7" t="s">
        <v>281</v>
      </c>
      <c r="D54" s="7" t="s">
        <v>162</v>
      </c>
      <c r="E54" s="7" t="s">
        <v>161</v>
      </c>
      <c r="F54" s="7" t="s">
        <v>53</v>
      </c>
      <c r="G54" s="7">
        <v>67.8</v>
      </c>
      <c r="H54" s="7">
        <v>220</v>
      </c>
      <c r="I54" s="7">
        <v>2.7</v>
      </c>
      <c r="J54" s="7">
        <v>1</v>
      </c>
      <c r="K54" s="7">
        <f>0.23+0.045+0.58+0.03+0.47+0.065</f>
        <v>1.42</v>
      </c>
      <c r="L54" s="7">
        <f t="shared" si="11"/>
        <v>4.12</v>
      </c>
      <c r="M54" s="12">
        <f t="shared" si="13"/>
        <v>4.9368932038834954</v>
      </c>
      <c r="N54" s="7">
        <v>300</v>
      </c>
      <c r="O54" s="12">
        <f t="shared" si="14"/>
        <v>20.34</v>
      </c>
      <c r="P54" s="7">
        <v>0.05</v>
      </c>
      <c r="Q54" s="7">
        <v>3</v>
      </c>
      <c r="R54" s="10">
        <f>P54/Q54/L54</f>
        <v>4.0453074433656954E-3</v>
      </c>
    </row>
    <row r="55" spans="1:18" x14ac:dyDescent="0.2">
      <c r="A55" s="7" t="s">
        <v>226</v>
      </c>
      <c r="B55" s="7" t="s">
        <v>160</v>
      </c>
      <c r="C55" s="7" t="s">
        <v>282</v>
      </c>
      <c r="D55" s="7" t="s">
        <v>162</v>
      </c>
      <c r="E55" s="7" t="s">
        <v>161</v>
      </c>
      <c r="F55" s="7" t="s">
        <v>53</v>
      </c>
      <c r="G55" s="7">
        <v>67.8</v>
      </c>
      <c r="H55" s="7">
        <v>220</v>
      </c>
      <c r="I55" s="7">
        <v>2.7</v>
      </c>
      <c r="J55" s="7">
        <v>1</v>
      </c>
      <c r="K55" s="7">
        <f>0.23+0.045+0.58+0.03+0.47+0.065</f>
        <v>1.42</v>
      </c>
      <c r="L55" s="7">
        <f t="shared" si="11"/>
        <v>4.12</v>
      </c>
      <c r="M55" s="12">
        <f t="shared" si="13"/>
        <v>4.9368932038834954</v>
      </c>
      <c r="N55" s="7">
        <v>300</v>
      </c>
      <c r="O55" s="12">
        <f t="shared" si="14"/>
        <v>20.34</v>
      </c>
      <c r="P55" s="7">
        <v>0.05</v>
      </c>
      <c r="Q55" s="7">
        <v>3</v>
      </c>
      <c r="R55" s="10">
        <f>P55/Q55/L55</f>
        <v>4.0453074433656954E-3</v>
      </c>
    </row>
    <row r="56" spans="1:18" x14ac:dyDescent="0.2">
      <c r="A56" s="7" t="s">
        <v>287</v>
      </c>
      <c r="B56" s="7" t="s">
        <v>182</v>
      </c>
      <c r="C56" s="7" t="s">
        <v>247</v>
      </c>
      <c r="D56" s="7" t="s">
        <v>249</v>
      </c>
      <c r="E56" s="7" t="s">
        <v>248</v>
      </c>
      <c r="F56" s="7" t="s">
        <v>52</v>
      </c>
      <c r="G56" s="12">
        <v>510</v>
      </c>
      <c r="H56" s="7">
        <v>71</v>
      </c>
      <c r="I56" s="7">
        <v>1</v>
      </c>
      <c r="J56" s="7">
        <v>9</v>
      </c>
      <c r="K56" s="7">
        <v>4</v>
      </c>
      <c r="L56" s="12">
        <f t="shared" si="11"/>
        <v>13</v>
      </c>
      <c r="M56" s="12">
        <f t="shared" si="13"/>
        <v>5.4923076923076923</v>
      </c>
      <c r="N56" s="7">
        <v>140</v>
      </c>
      <c r="O56" s="12">
        <f t="shared" si="14"/>
        <v>71.400000000000006</v>
      </c>
    </row>
    <row r="57" spans="1:18" x14ac:dyDescent="0.2">
      <c r="A57" s="7" t="s">
        <v>287</v>
      </c>
      <c r="B57" s="7" t="s">
        <v>182</v>
      </c>
      <c r="C57" s="7" t="s">
        <v>281</v>
      </c>
      <c r="D57" s="7" t="s">
        <v>249</v>
      </c>
      <c r="E57" s="7" t="s">
        <v>248</v>
      </c>
      <c r="F57" s="7" t="s">
        <v>52</v>
      </c>
      <c r="G57" s="12">
        <v>510</v>
      </c>
      <c r="H57" s="7">
        <v>71</v>
      </c>
      <c r="I57" s="7">
        <v>1</v>
      </c>
      <c r="J57" s="7">
        <v>9</v>
      </c>
      <c r="K57" s="7">
        <v>4</v>
      </c>
      <c r="L57" s="12">
        <f t="shared" si="11"/>
        <v>13</v>
      </c>
      <c r="M57" s="12">
        <f>N56*G56*0.001/L56</f>
        <v>5.4923076923076923</v>
      </c>
      <c r="N57" s="7">
        <v>140</v>
      </c>
      <c r="O57" s="12">
        <f t="shared" si="14"/>
        <v>71.400000000000006</v>
      </c>
    </row>
    <row r="58" spans="1:18" x14ac:dyDescent="0.2">
      <c r="A58" s="7" t="s">
        <v>287</v>
      </c>
      <c r="B58" s="7" t="s">
        <v>182</v>
      </c>
      <c r="C58" s="7" t="s">
        <v>292</v>
      </c>
      <c r="D58" s="7" t="s">
        <v>249</v>
      </c>
      <c r="E58" s="7" t="s">
        <v>248</v>
      </c>
      <c r="F58" s="7" t="s">
        <v>52</v>
      </c>
      <c r="G58" s="12">
        <v>510</v>
      </c>
      <c r="H58" s="7">
        <v>71</v>
      </c>
      <c r="I58" s="7">
        <v>1</v>
      </c>
      <c r="J58" s="7">
        <v>9</v>
      </c>
      <c r="K58" s="7">
        <v>4</v>
      </c>
      <c r="L58" s="12">
        <f t="shared" si="11"/>
        <v>13</v>
      </c>
      <c r="M58" s="12">
        <f>N56*G56*0.001/L56</f>
        <v>5.4923076923076923</v>
      </c>
      <c r="N58" s="7">
        <v>140</v>
      </c>
      <c r="O58" s="12">
        <f t="shared" si="14"/>
        <v>71.400000000000006</v>
      </c>
    </row>
    <row r="59" spans="1:18" x14ac:dyDescent="0.2">
      <c r="A59" s="7" t="s">
        <v>288</v>
      </c>
      <c r="B59" s="7" t="s">
        <v>182</v>
      </c>
      <c r="C59" s="7" t="s">
        <v>298</v>
      </c>
      <c r="D59" s="7" t="s">
        <v>249</v>
      </c>
      <c r="E59" s="7" t="s">
        <v>248</v>
      </c>
      <c r="F59" s="7" t="s">
        <v>52</v>
      </c>
      <c r="G59" s="7">
        <v>715.97299999999996</v>
      </c>
      <c r="H59" s="7">
        <v>49</v>
      </c>
      <c r="I59" s="7">
        <v>1</v>
      </c>
      <c r="J59" s="7">
        <v>9</v>
      </c>
      <c r="K59" s="7">
        <v>4</v>
      </c>
      <c r="L59" s="12">
        <f t="shared" si="11"/>
        <v>13</v>
      </c>
      <c r="M59" s="12">
        <f t="shared" ref="M59:M64" si="15">N59*G59*0.001/L59</f>
        <v>6.6089815384615385</v>
      </c>
      <c r="N59" s="7">
        <v>120</v>
      </c>
      <c r="O59" s="12">
        <f t="shared" si="14"/>
        <v>85.916759999999996</v>
      </c>
    </row>
    <row r="60" spans="1:18" x14ac:dyDescent="0.2">
      <c r="A60" s="7" t="s">
        <v>288</v>
      </c>
      <c r="B60" s="7" t="s">
        <v>182</v>
      </c>
      <c r="C60" s="7" t="s">
        <v>299</v>
      </c>
      <c r="D60" s="7" t="s">
        <v>249</v>
      </c>
      <c r="E60" s="7" t="s">
        <v>248</v>
      </c>
      <c r="F60" s="7" t="s">
        <v>52</v>
      </c>
      <c r="G60" s="7">
        <v>715.97299999999996</v>
      </c>
      <c r="H60" s="7">
        <v>49</v>
      </c>
      <c r="I60" s="7">
        <v>1</v>
      </c>
      <c r="J60" s="7">
        <v>9</v>
      </c>
      <c r="K60" s="7">
        <v>4</v>
      </c>
      <c r="L60" s="12">
        <f t="shared" si="11"/>
        <v>13</v>
      </c>
      <c r="M60" s="12">
        <f t="shared" si="15"/>
        <v>6.6089815384615385</v>
      </c>
      <c r="N60" s="7">
        <v>120</v>
      </c>
      <c r="O60" s="12">
        <f t="shared" si="14"/>
        <v>85.916759999999996</v>
      </c>
    </row>
    <row r="61" spans="1:18" x14ac:dyDescent="0.2">
      <c r="A61" s="7" t="s">
        <v>288</v>
      </c>
      <c r="B61" s="7" t="s">
        <v>182</v>
      </c>
      <c r="C61" s="7" t="s">
        <v>281</v>
      </c>
      <c r="D61" s="7" t="s">
        <v>249</v>
      </c>
      <c r="E61" s="7" t="s">
        <v>248</v>
      </c>
      <c r="F61" s="7" t="s">
        <v>52</v>
      </c>
      <c r="G61" s="7">
        <v>715.97299999999996</v>
      </c>
      <c r="H61" s="7">
        <v>49</v>
      </c>
      <c r="I61" s="7">
        <v>1</v>
      </c>
      <c r="J61" s="7">
        <v>9</v>
      </c>
      <c r="K61" s="7">
        <v>4</v>
      </c>
      <c r="L61" s="12">
        <f t="shared" si="11"/>
        <v>13</v>
      </c>
      <c r="M61" s="12">
        <f t="shared" si="15"/>
        <v>6.6089815384615385</v>
      </c>
      <c r="N61" s="7">
        <v>120</v>
      </c>
      <c r="O61" s="12">
        <f t="shared" si="14"/>
        <v>85.916759999999996</v>
      </c>
    </row>
    <row r="62" spans="1:18" x14ac:dyDescent="0.2">
      <c r="A62" s="7" t="s">
        <v>289</v>
      </c>
      <c r="B62" s="7" t="s">
        <v>182</v>
      </c>
      <c r="C62" s="7" t="s">
        <v>299</v>
      </c>
      <c r="D62" s="7" t="s">
        <v>249</v>
      </c>
      <c r="E62" s="7" t="s">
        <v>248</v>
      </c>
      <c r="F62" s="7" t="s">
        <v>52</v>
      </c>
      <c r="G62" s="7">
        <v>743.63</v>
      </c>
      <c r="H62" s="7">
        <v>49</v>
      </c>
      <c r="I62" s="7">
        <v>1</v>
      </c>
      <c r="J62" s="7">
        <v>9</v>
      </c>
      <c r="K62" s="7">
        <v>4</v>
      </c>
      <c r="L62" s="12">
        <f t="shared" si="11"/>
        <v>13</v>
      </c>
      <c r="M62" s="12">
        <f t="shared" si="15"/>
        <v>7.1274075384615383</v>
      </c>
      <c r="N62" s="7">
        <v>124.6</v>
      </c>
      <c r="O62" s="7">
        <f t="shared" si="14"/>
        <v>92.656297999999992</v>
      </c>
    </row>
    <row r="63" spans="1:18" x14ac:dyDescent="0.2">
      <c r="A63" s="7" t="s">
        <v>289</v>
      </c>
      <c r="B63" s="7" t="s">
        <v>182</v>
      </c>
      <c r="C63" s="7" t="s">
        <v>281</v>
      </c>
      <c r="D63" s="7" t="s">
        <v>249</v>
      </c>
      <c r="E63" s="7" t="s">
        <v>248</v>
      </c>
      <c r="F63" s="7" t="s">
        <v>52</v>
      </c>
      <c r="G63" s="7">
        <v>743.63</v>
      </c>
      <c r="H63" s="7">
        <v>49</v>
      </c>
      <c r="I63" s="7">
        <v>1</v>
      </c>
      <c r="J63" s="7">
        <v>9</v>
      </c>
      <c r="K63" s="7">
        <v>4</v>
      </c>
      <c r="L63" s="12">
        <f t="shared" si="11"/>
        <v>13</v>
      </c>
      <c r="M63" s="12">
        <f t="shared" si="15"/>
        <v>7.1274075384615383</v>
      </c>
      <c r="N63" s="7">
        <v>124.6</v>
      </c>
      <c r="O63" s="7">
        <f t="shared" si="14"/>
        <v>92.656297999999992</v>
      </c>
    </row>
    <row r="64" spans="1:18" x14ac:dyDescent="0.2">
      <c r="A64" s="7" t="s">
        <v>289</v>
      </c>
      <c r="B64" s="7" t="s">
        <v>182</v>
      </c>
      <c r="C64" s="7" t="s">
        <v>247</v>
      </c>
      <c r="D64" s="7" t="s">
        <v>249</v>
      </c>
      <c r="E64" s="7" t="s">
        <v>248</v>
      </c>
      <c r="F64" s="7" t="s">
        <v>52</v>
      </c>
      <c r="G64" s="7">
        <v>743.63</v>
      </c>
      <c r="H64" s="7">
        <v>49</v>
      </c>
      <c r="I64" s="7">
        <v>1</v>
      </c>
      <c r="J64" s="7">
        <v>9</v>
      </c>
      <c r="K64" s="7">
        <v>4</v>
      </c>
      <c r="L64" s="12">
        <f t="shared" si="11"/>
        <v>13</v>
      </c>
      <c r="M64" s="12">
        <f t="shared" si="15"/>
        <v>7.1274075384615383</v>
      </c>
      <c r="N64" s="7">
        <v>124.6</v>
      </c>
      <c r="O64" s="7">
        <f t="shared" si="14"/>
        <v>92.656297999999992</v>
      </c>
    </row>
    <row r="65" spans="1:21" x14ac:dyDescent="0.2">
      <c r="A65" s="7" t="s">
        <v>294</v>
      </c>
      <c r="B65" s="7" t="s">
        <v>160</v>
      </c>
      <c r="C65" s="7" t="s">
        <v>306</v>
      </c>
      <c r="D65" s="7" t="s">
        <v>304</v>
      </c>
      <c r="E65" s="7" t="s">
        <v>303</v>
      </c>
      <c r="F65" s="7" t="s">
        <v>55</v>
      </c>
      <c r="G65" s="7">
        <v>73.900000000000006</v>
      </c>
      <c r="H65" s="7">
        <v>164</v>
      </c>
      <c r="I65" s="7">
        <v>0.38</v>
      </c>
      <c r="J65" s="7">
        <v>2</v>
      </c>
      <c r="K65" s="7">
        <f>0.5+0.115+2*0.275+2*0.345</f>
        <v>1.855</v>
      </c>
      <c r="L65" s="7">
        <v>2.673</v>
      </c>
      <c r="M65" s="7">
        <v>23</v>
      </c>
      <c r="N65" s="7">
        <v>200</v>
      </c>
      <c r="O65" s="7">
        <f t="shared" si="14"/>
        <v>14.780000000000003</v>
      </c>
      <c r="P65" s="7">
        <v>3.3330000000000002</v>
      </c>
      <c r="Q65" s="7">
        <v>30</v>
      </c>
      <c r="R65" s="10">
        <f>P65/Q65/L65</f>
        <v>4.1563786008230456E-2</v>
      </c>
      <c r="S65" s="7">
        <v>25</v>
      </c>
    </row>
    <row r="66" spans="1:21" x14ac:dyDescent="0.2">
      <c r="A66" s="7" t="s">
        <v>294</v>
      </c>
      <c r="B66" s="7" t="s">
        <v>160</v>
      </c>
      <c r="C66" s="7" t="s">
        <v>307</v>
      </c>
      <c r="D66" s="7" t="s">
        <v>304</v>
      </c>
      <c r="E66" s="7" t="s">
        <v>303</v>
      </c>
      <c r="F66" s="7" t="s">
        <v>55</v>
      </c>
      <c r="G66" s="7">
        <v>73.900000000000006</v>
      </c>
      <c r="H66" s="7">
        <v>164</v>
      </c>
      <c r="I66" s="7">
        <v>0.38</v>
      </c>
      <c r="J66" s="7">
        <v>2</v>
      </c>
      <c r="K66" s="7">
        <f>0.5+0.115+2*0.275+2*0.345</f>
        <v>1.855</v>
      </c>
      <c r="L66" s="7">
        <v>2.673</v>
      </c>
      <c r="M66" s="7">
        <v>23</v>
      </c>
      <c r="N66" s="7">
        <v>200</v>
      </c>
      <c r="O66" s="7">
        <f t="shared" si="14"/>
        <v>14.780000000000003</v>
      </c>
      <c r="P66" s="7">
        <v>3.3330000000000002</v>
      </c>
      <c r="Q66" s="7">
        <v>30</v>
      </c>
      <c r="R66" s="10">
        <f>P66/Q66/L66</f>
        <v>4.1563786008230456E-2</v>
      </c>
      <c r="S66" s="7">
        <v>25</v>
      </c>
    </row>
    <row r="67" spans="1:21" x14ac:dyDescent="0.2">
      <c r="A67" s="7" t="s">
        <v>327</v>
      </c>
      <c r="C67" s="7" t="s">
        <v>332</v>
      </c>
      <c r="D67" s="7" t="s">
        <v>332</v>
      </c>
      <c r="E67" s="7" t="s">
        <v>335</v>
      </c>
      <c r="F67" s="7" t="s">
        <v>338</v>
      </c>
      <c r="L67" s="7">
        <v>16</v>
      </c>
      <c r="M67" s="7">
        <v>24.38</v>
      </c>
      <c r="O67" s="12">
        <f>L67*M67</f>
        <v>390.08</v>
      </c>
      <c r="P67" s="12">
        <f>L67*R67</f>
        <v>0.92959999999999998</v>
      </c>
      <c r="Q67" s="7">
        <v>1</v>
      </c>
      <c r="R67" s="10">
        <v>5.8099999999999999E-2</v>
      </c>
      <c r="S67" s="7">
        <f>waterRAS!H67</f>
        <v>24.7</v>
      </c>
      <c r="T67" s="7">
        <v>7.38</v>
      </c>
      <c r="U67" s="7">
        <f>waterRAS!D67</f>
        <v>6.74</v>
      </c>
    </row>
    <row r="68" spans="1:21" x14ac:dyDescent="0.2">
      <c r="A68" s="7" t="s">
        <v>327</v>
      </c>
      <c r="C68" s="7" t="s">
        <v>333</v>
      </c>
      <c r="D68" s="7" t="s">
        <v>339</v>
      </c>
      <c r="E68" s="7" t="s">
        <v>336</v>
      </c>
      <c r="F68" s="7" t="s">
        <v>338</v>
      </c>
      <c r="L68" s="7">
        <v>130</v>
      </c>
      <c r="M68" s="7">
        <v>62.46</v>
      </c>
      <c r="O68" s="12">
        <f t="shared" ref="O68" si="16">L68*M68</f>
        <v>8119.8</v>
      </c>
      <c r="P68" s="12">
        <f t="shared" ref="P68:P69" si="17">L68*R68</f>
        <v>2.145</v>
      </c>
      <c r="Q68" s="7">
        <v>1</v>
      </c>
      <c r="R68" s="10">
        <v>1.6500000000000001E-2</v>
      </c>
      <c r="S68" s="7">
        <f>waterRAS!H68</f>
        <v>23.1</v>
      </c>
      <c r="T68" s="7">
        <v>10</v>
      </c>
      <c r="U68" s="7">
        <f>waterRAS!D68</f>
        <v>7.53</v>
      </c>
    </row>
    <row r="69" spans="1:21" x14ac:dyDescent="0.2">
      <c r="A69" s="7" t="s">
        <v>327</v>
      </c>
      <c r="C69" s="7" t="s">
        <v>334</v>
      </c>
      <c r="D69" s="7" t="s">
        <v>340</v>
      </c>
      <c r="E69" s="7" t="s">
        <v>337</v>
      </c>
      <c r="F69" s="7" t="s">
        <v>338</v>
      </c>
      <c r="L69" s="7">
        <v>1400</v>
      </c>
      <c r="M69" s="7">
        <v>85.71</v>
      </c>
      <c r="O69" s="12">
        <f>L69*M69</f>
        <v>119993.99999999999</v>
      </c>
      <c r="P69" s="12">
        <f>L69*R69</f>
        <v>12.459999999999999</v>
      </c>
      <c r="Q69" s="7">
        <v>1</v>
      </c>
      <c r="R69" s="10">
        <v>8.8999999999999999E-3</v>
      </c>
      <c r="S69" s="7">
        <f>waterRAS!H69</f>
        <v>22.4</v>
      </c>
      <c r="T69" s="7">
        <v>7.61</v>
      </c>
      <c r="U69" s="7">
        <f>waterRAS!D69</f>
        <v>7.64</v>
      </c>
    </row>
    <row r="70" spans="1:21" x14ac:dyDescent="0.2">
      <c r="A70" s="7" t="s">
        <v>295</v>
      </c>
      <c r="B70" s="7" t="s">
        <v>160</v>
      </c>
      <c r="C70" s="7" t="s">
        <v>343</v>
      </c>
      <c r="D70" s="7" t="s">
        <v>249</v>
      </c>
      <c r="E70" s="7" t="s">
        <v>248</v>
      </c>
      <c r="F70" s="7" t="s">
        <v>52</v>
      </c>
      <c r="G70" s="7">
        <v>3.32</v>
      </c>
      <c r="H70" s="7">
        <v>70</v>
      </c>
      <c r="I70" s="7">
        <v>1.8</v>
      </c>
      <c r="J70" s="7">
        <v>1</v>
      </c>
      <c r="K70" s="7">
        <f>0.8+0.61</f>
        <v>1.4100000000000001</v>
      </c>
      <c r="L70" s="7">
        <v>3.81</v>
      </c>
      <c r="M70" s="100">
        <v>1.6</v>
      </c>
      <c r="N70" s="7">
        <v>33</v>
      </c>
      <c r="O70" s="7">
        <v>2.9173</v>
      </c>
      <c r="P70" s="12">
        <f t="shared" ref="P70:P73" si="18">L70*R70</f>
        <v>5.6388000000000001E-2</v>
      </c>
      <c r="R70" s="10">
        <v>1.4800000000000001E-2</v>
      </c>
      <c r="S70" s="7">
        <v>23.1</v>
      </c>
      <c r="T70" s="7">
        <v>7</v>
      </c>
      <c r="U70" s="7">
        <v>7.7</v>
      </c>
    </row>
    <row r="71" spans="1:21" x14ac:dyDescent="0.2">
      <c r="A71" s="7" t="s">
        <v>295</v>
      </c>
      <c r="B71" s="7" t="s">
        <v>160</v>
      </c>
      <c r="C71" s="7" t="s">
        <v>343</v>
      </c>
      <c r="D71" s="7" t="s">
        <v>249</v>
      </c>
      <c r="E71" s="7" t="s">
        <v>248</v>
      </c>
      <c r="F71" s="7" t="s">
        <v>52</v>
      </c>
      <c r="G71" s="7">
        <v>3.32</v>
      </c>
      <c r="H71" s="7">
        <v>70</v>
      </c>
      <c r="I71" s="7">
        <v>1.8</v>
      </c>
      <c r="J71" s="7">
        <v>1</v>
      </c>
      <c r="K71" s="7">
        <f t="shared" ref="K71:K73" si="19">0.8+0.61</f>
        <v>1.4100000000000001</v>
      </c>
      <c r="L71" s="7">
        <v>3.81</v>
      </c>
      <c r="M71" s="100">
        <v>1.6</v>
      </c>
      <c r="N71" s="7">
        <v>33</v>
      </c>
      <c r="O71" s="7">
        <v>2.9173</v>
      </c>
      <c r="P71" s="12">
        <f t="shared" si="18"/>
        <v>5.6388000000000001E-2</v>
      </c>
      <c r="R71" s="10">
        <v>1.4800000000000001E-2</v>
      </c>
      <c r="S71" s="7">
        <v>23.1</v>
      </c>
      <c r="T71" s="7">
        <v>7</v>
      </c>
      <c r="U71" s="7">
        <v>7.7</v>
      </c>
    </row>
    <row r="72" spans="1:21" x14ac:dyDescent="0.2">
      <c r="A72" s="7" t="s">
        <v>295</v>
      </c>
      <c r="B72" s="7" t="s">
        <v>182</v>
      </c>
      <c r="C72" s="7" t="s">
        <v>344</v>
      </c>
      <c r="D72" s="7" t="s">
        <v>249</v>
      </c>
      <c r="E72" s="7" t="s">
        <v>248</v>
      </c>
      <c r="F72" s="7" t="s">
        <v>52</v>
      </c>
      <c r="G72" s="7">
        <v>3.92</v>
      </c>
      <c r="H72" s="7">
        <v>70</v>
      </c>
      <c r="I72" s="7">
        <v>1.8</v>
      </c>
      <c r="J72" s="7">
        <v>1</v>
      </c>
      <c r="K72" s="7">
        <f t="shared" si="19"/>
        <v>1.4100000000000001</v>
      </c>
      <c r="L72" s="7">
        <v>3.81</v>
      </c>
      <c r="M72" s="100">
        <v>1.6</v>
      </c>
      <c r="N72" s="7">
        <v>33</v>
      </c>
      <c r="O72" s="7">
        <v>2.9346999999999999</v>
      </c>
      <c r="P72" s="12">
        <f t="shared" si="18"/>
        <v>5.6388000000000001E-2</v>
      </c>
      <c r="R72" s="10">
        <v>1.4800000000000001E-2</v>
      </c>
      <c r="S72" s="7">
        <v>22.8</v>
      </c>
      <c r="T72" s="7">
        <v>7.5</v>
      </c>
      <c r="U72" s="7">
        <v>7.8</v>
      </c>
    </row>
    <row r="73" spans="1:21" x14ac:dyDescent="0.2">
      <c r="A73" s="7" t="s">
        <v>295</v>
      </c>
      <c r="B73" s="7" t="s">
        <v>182</v>
      </c>
      <c r="C73" s="7" t="s">
        <v>344</v>
      </c>
      <c r="D73" s="7" t="s">
        <v>249</v>
      </c>
      <c r="E73" s="7" t="s">
        <v>248</v>
      </c>
      <c r="F73" s="7" t="s">
        <v>52</v>
      </c>
      <c r="G73" s="7">
        <v>3.92</v>
      </c>
      <c r="H73" s="7">
        <v>70</v>
      </c>
      <c r="I73" s="7">
        <v>1.8</v>
      </c>
      <c r="J73" s="7">
        <v>1</v>
      </c>
      <c r="K73" s="7">
        <f t="shared" si="19"/>
        <v>1.4100000000000001</v>
      </c>
      <c r="L73" s="7">
        <v>3.81</v>
      </c>
      <c r="M73" s="100">
        <v>1.6</v>
      </c>
      <c r="N73" s="7">
        <v>33</v>
      </c>
      <c r="O73" s="7">
        <v>2.9346999999999999</v>
      </c>
      <c r="P73" s="12">
        <f t="shared" si="18"/>
        <v>5.6388000000000001E-2</v>
      </c>
      <c r="R73" s="10">
        <v>1.4800000000000001E-2</v>
      </c>
      <c r="S73" s="7">
        <v>22.8</v>
      </c>
      <c r="T73" s="7">
        <v>7.5</v>
      </c>
      <c r="U73" s="7">
        <v>7.8</v>
      </c>
    </row>
    <row r="74" spans="1:21" x14ac:dyDescent="0.2">
      <c r="A74" s="7" t="s">
        <v>328</v>
      </c>
      <c r="B74" s="7" t="s">
        <v>160</v>
      </c>
      <c r="C74" s="7" t="s">
        <v>343</v>
      </c>
      <c r="D74" s="7" t="s">
        <v>249</v>
      </c>
      <c r="E74" s="7" t="s">
        <v>248</v>
      </c>
      <c r="F74" s="7" t="s">
        <v>52</v>
      </c>
      <c r="G74" s="7">
        <v>33.5</v>
      </c>
      <c r="H74" s="7">
        <v>70</v>
      </c>
      <c r="I74" s="7">
        <v>1.8</v>
      </c>
      <c r="J74" s="7">
        <v>1</v>
      </c>
      <c r="K74" s="7">
        <v>1.8</v>
      </c>
      <c r="L74" s="7">
        <v>3.81</v>
      </c>
      <c r="M74" s="7">
        <v>9.4</v>
      </c>
      <c r="O74" s="7">
        <v>16.832999999999998</v>
      </c>
      <c r="S74" s="7">
        <v>27.3</v>
      </c>
      <c r="T74" s="7">
        <v>5.8</v>
      </c>
      <c r="U74" s="7">
        <v>7.8</v>
      </c>
    </row>
    <row r="75" spans="1:21" x14ac:dyDescent="0.2">
      <c r="A75" s="7" t="s">
        <v>328</v>
      </c>
      <c r="B75" s="7" t="s">
        <v>348</v>
      </c>
      <c r="C75" s="7" t="s">
        <v>344</v>
      </c>
      <c r="D75" s="7" t="s">
        <v>249</v>
      </c>
      <c r="E75" s="7" t="s">
        <v>248</v>
      </c>
      <c r="F75" s="7" t="s">
        <v>52</v>
      </c>
      <c r="G75" s="7">
        <v>36.299999999999997</v>
      </c>
      <c r="H75" s="7">
        <v>70</v>
      </c>
      <c r="I75" s="7">
        <v>1.8</v>
      </c>
      <c r="J75" s="7">
        <v>1</v>
      </c>
      <c r="K75" s="7">
        <v>1.8</v>
      </c>
      <c r="L75" s="7">
        <v>3.81</v>
      </c>
      <c r="M75" s="7">
        <v>9.1999999999999993</v>
      </c>
      <c r="O75" s="7">
        <v>16.565999999999999</v>
      </c>
      <c r="S75" s="7">
        <v>27.1</v>
      </c>
      <c r="T75" s="7">
        <v>6.3</v>
      </c>
      <c r="U75" s="7">
        <v>7.8</v>
      </c>
    </row>
    <row r="76" spans="1:21" x14ac:dyDescent="0.2">
      <c r="A76" t="s">
        <v>346</v>
      </c>
      <c r="B76" s="7" t="s">
        <v>160</v>
      </c>
      <c r="C76" s="7" t="s">
        <v>183</v>
      </c>
      <c r="D76" s="7" t="s">
        <v>60</v>
      </c>
      <c r="E76" s="7" t="s">
        <v>56</v>
      </c>
      <c r="F76" s="7" t="s">
        <v>52</v>
      </c>
      <c r="L76" s="7">
        <v>5.0999999999999996</v>
      </c>
      <c r="M76" s="7">
        <v>90.6</v>
      </c>
      <c r="O76" s="7">
        <v>462.1</v>
      </c>
    </row>
    <row r="77" spans="1:21" x14ac:dyDescent="0.2">
      <c r="A77" t="s">
        <v>346</v>
      </c>
      <c r="B77" s="7" t="s">
        <v>160</v>
      </c>
      <c r="C77" s="7" t="s">
        <v>353</v>
      </c>
      <c r="D77" s="7" t="s">
        <v>60</v>
      </c>
      <c r="E77" s="7" t="s">
        <v>56</v>
      </c>
      <c r="F77" s="7" t="s">
        <v>52</v>
      </c>
      <c r="L77" s="7">
        <v>5.0999999999999996</v>
      </c>
      <c r="M77" s="7">
        <v>90.6</v>
      </c>
      <c r="O77" s="7">
        <v>462.1</v>
      </c>
    </row>
    <row r="78" spans="1:21" x14ac:dyDescent="0.2">
      <c r="A78" t="s">
        <v>346</v>
      </c>
      <c r="B78" s="7" t="s">
        <v>160</v>
      </c>
      <c r="C78" s="7" t="s">
        <v>354</v>
      </c>
      <c r="D78" s="7" t="s">
        <v>60</v>
      </c>
      <c r="E78" s="7" t="s">
        <v>56</v>
      </c>
      <c r="F78" s="7" t="s">
        <v>52</v>
      </c>
      <c r="L78" s="7">
        <v>5.0999999999999996</v>
      </c>
      <c r="M78" s="7">
        <v>90.6</v>
      </c>
      <c r="O78" s="7">
        <v>462.1</v>
      </c>
    </row>
    <row r="79" spans="1:21" x14ac:dyDescent="0.2">
      <c r="A79" t="s">
        <v>349</v>
      </c>
      <c r="B79" s="7" t="s">
        <v>362</v>
      </c>
      <c r="C79" s="7" t="s">
        <v>357</v>
      </c>
      <c r="E79" s="7" t="s">
        <v>544</v>
      </c>
      <c r="F79" s="7" t="s">
        <v>71</v>
      </c>
      <c r="H79" s="7">
        <v>60</v>
      </c>
      <c r="L79" s="7">
        <v>1.5</v>
      </c>
    </row>
    <row r="80" spans="1:21" x14ac:dyDescent="0.2">
      <c r="A80" t="s">
        <v>349</v>
      </c>
      <c r="B80" s="7" t="s">
        <v>362</v>
      </c>
      <c r="C80" s="7" t="s">
        <v>358</v>
      </c>
      <c r="E80" s="7" t="s">
        <v>544</v>
      </c>
      <c r="F80" s="7" t="s">
        <v>71</v>
      </c>
      <c r="H80" s="7">
        <v>60</v>
      </c>
      <c r="L80" s="7">
        <v>1.5</v>
      </c>
    </row>
    <row r="81" spans="1:21" x14ac:dyDescent="0.2">
      <c r="A81" t="s">
        <v>349</v>
      </c>
      <c r="B81" s="7" t="s">
        <v>362</v>
      </c>
      <c r="C81" s="7" t="s">
        <v>359</v>
      </c>
      <c r="E81" s="7" t="s">
        <v>544</v>
      </c>
      <c r="F81" s="7" t="s">
        <v>71</v>
      </c>
      <c r="H81" s="7">
        <v>60</v>
      </c>
      <c r="L81" s="7">
        <v>1.5</v>
      </c>
    </row>
    <row r="82" spans="1:21" x14ac:dyDescent="0.2">
      <c r="A82" s="7" t="s">
        <v>355</v>
      </c>
      <c r="B82" s="7" t="s">
        <v>275</v>
      </c>
      <c r="C82" s="7" t="s">
        <v>216</v>
      </c>
      <c r="F82" s="7" t="s">
        <v>71</v>
      </c>
      <c r="L82" s="12">
        <f>O82/M82</f>
        <v>1.1340000000000001</v>
      </c>
      <c r="M82" s="7">
        <v>50</v>
      </c>
      <c r="O82" s="7">
        <v>56.7</v>
      </c>
    </row>
    <row r="83" spans="1:21" x14ac:dyDescent="0.2">
      <c r="A83" t="s">
        <v>365</v>
      </c>
      <c r="B83" s="7" t="s">
        <v>160</v>
      </c>
      <c r="C83" s="7" t="s">
        <v>367</v>
      </c>
      <c r="E83" s="7" t="s">
        <v>376</v>
      </c>
      <c r="F83" s="7" t="s">
        <v>614</v>
      </c>
    </row>
    <row r="84" spans="1:21" x14ac:dyDescent="0.2">
      <c r="A84" t="s">
        <v>365</v>
      </c>
      <c r="B84" s="7" t="s">
        <v>160</v>
      </c>
      <c r="C84" s="7" t="s">
        <v>368</v>
      </c>
      <c r="F84" s="7" t="s">
        <v>614</v>
      </c>
    </row>
    <row r="85" spans="1:21" x14ac:dyDescent="0.2">
      <c r="A85" t="s">
        <v>365</v>
      </c>
      <c r="B85" s="7" t="s">
        <v>160</v>
      </c>
      <c r="C85" s="7" t="s">
        <v>369</v>
      </c>
      <c r="F85" s="7" t="s">
        <v>614</v>
      </c>
    </row>
    <row r="86" spans="1:21" x14ac:dyDescent="0.2">
      <c r="A86" t="s">
        <v>365</v>
      </c>
      <c r="B86" s="7" t="s">
        <v>160</v>
      </c>
      <c r="C86" s="7" t="s">
        <v>370</v>
      </c>
      <c r="F86" s="7" t="s">
        <v>614</v>
      </c>
    </row>
    <row r="87" spans="1:21" x14ac:dyDescent="0.2">
      <c r="A87" t="s">
        <v>365</v>
      </c>
      <c r="B87" s="7" t="s">
        <v>160</v>
      </c>
      <c r="C87" s="7" t="s">
        <v>371</v>
      </c>
      <c r="F87" s="7" t="s">
        <v>614</v>
      </c>
    </row>
    <row r="88" spans="1:21" x14ac:dyDescent="0.2">
      <c r="A88" t="s">
        <v>365</v>
      </c>
      <c r="B88" s="7" t="s">
        <v>160</v>
      </c>
      <c r="C88" s="7" t="s">
        <v>372</v>
      </c>
      <c r="F88" s="7" t="s">
        <v>614</v>
      </c>
    </row>
    <row r="89" spans="1:21" x14ac:dyDescent="0.2">
      <c r="A89" t="s">
        <v>365</v>
      </c>
      <c r="B89" s="7" t="s">
        <v>160</v>
      </c>
      <c r="C89" s="7" t="s">
        <v>373</v>
      </c>
      <c r="F89" s="7" t="s">
        <v>614</v>
      </c>
    </row>
    <row r="90" spans="1:21" x14ac:dyDescent="0.2">
      <c r="A90" t="s">
        <v>365</v>
      </c>
      <c r="B90" s="7" t="s">
        <v>160</v>
      </c>
      <c r="C90" s="7" t="s">
        <v>374</v>
      </c>
      <c r="F90" s="7" t="s">
        <v>614</v>
      </c>
    </row>
    <row r="91" spans="1:21" x14ac:dyDescent="0.2">
      <c r="A91" t="s">
        <v>365</v>
      </c>
      <c r="B91" s="7" t="s">
        <v>160</v>
      </c>
      <c r="C91" s="7" t="s">
        <v>375</v>
      </c>
      <c r="F91" s="7" t="s">
        <v>614</v>
      </c>
    </row>
    <row r="92" spans="1:21" x14ac:dyDescent="0.2">
      <c r="A92" s="7" t="s">
        <v>25</v>
      </c>
      <c r="B92" s="7" t="s">
        <v>160</v>
      </c>
      <c r="C92" s="7" t="s">
        <v>377</v>
      </c>
      <c r="D92" s="7" t="s">
        <v>162</v>
      </c>
      <c r="E92" s="7" t="s">
        <v>57</v>
      </c>
      <c r="F92" s="7" t="s">
        <v>53</v>
      </c>
    </row>
    <row r="93" spans="1:21" x14ac:dyDescent="0.2">
      <c r="A93" s="7" t="s">
        <v>17</v>
      </c>
      <c r="B93" s="7" t="s">
        <v>160</v>
      </c>
      <c r="C93" s="7" t="s">
        <v>380</v>
      </c>
      <c r="D93" s="7" t="s">
        <v>60</v>
      </c>
      <c r="E93" s="7" t="s">
        <v>56</v>
      </c>
      <c r="F93" s="7" t="s">
        <v>52</v>
      </c>
      <c r="I93" s="7">
        <v>1.7</v>
      </c>
      <c r="J93" s="7">
        <v>3</v>
      </c>
      <c r="L93" s="7">
        <v>16.5</v>
      </c>
      <c r="M93" s="7">
        <v>62</v>
      </c>
      <c r="O93" s="12">
        <f>I93*J93*M93</f>
        <v>316.2</v>
      </c>
      <c r="P93" s="7">
        <v>1.5</v>
      </c>
      <c r="Q93" s="7">
        <v>7</v>
      </c>
      <c r="R93" s="10">
        <f>(P93/Q93)/L93</f>
        <v>1.2987012987012986E-2</v>
      </c>
      <c r="S93" s="7">
        <v>26</v>
      </c>
      <c r="T93" s="7">
        <v>5</v>
      </c>
      <c r="U93" s="7">
        <v>7</v>
      </c>
    </row>
    <row r="94" spans="1:21" x14ac:dyDescent="0.2">
      <c r="A94" t="s">
        <v>386</v>
      </c>
      <c r="B94" s="7" t="s">
        <v>348</v>
      </c>
      <c r="C94" s="7" t="s">
        <v>399</v>
      </c>
      <c r="E94" s="7" t="s">
        <v>394</v>
      </c>
      <c r="F94" s="7" t="s">
        <v>387</v>
      </c>
      <c r="G94" s="7">
        <v>170</v>
      </c>
      <c r="H94" s="7">
        <f t="shared" ref="H94:H99" si="20">365/2</f>
        <v>182.5</v>
      </c>
      <c r="I94" s="7">
        <v>0.84799999999999998</v>
      </c>
      <c r="J94" s="7">
        <v>1</v>
      </c>
      <c r="L94" s="7">
        <v>1.274</v>
      </c>
      <c r="M94" s="12">
        <f>O94/L94</f>
        <v>2.0015698587127155</v>
      </c>
      <c r="N94" s="7">
        <v>15</v>
      </c>
      <c r="O94" s="12">
        <f>G94*N94/1000</f>
        <v>2.5499999999999998</v>
      </c>
    </row>
    <row r="95" spans="1:21" x14ac:dyDescent="0.2">
      <c r="A95" t="s">
        <v>386</v>
      </c>
      <c r="B95" s="7" t="s">
        <v>397</v>
      </c>
      <c r="C95" s="7" t="s">
        <v>400</v>
      </c>
      <c r="E95" s="7" t="s">
        <v>394</v>
      </c>
      <c r="F95" s="7" t="s">
        <v>387</v>
      </c>
      <c r="G95" s="7">
        <v>170</v>
      </c>
      <c r="H95" s="7">
        <f t="shared" si="20"/>
        <v>182.5</v>
      </c>
      <c r="I95" s="7">
        <v>0.84799999999999998</v>
      </c>
      <c r="J95" s="7">
        <v>1</v>
      </c>
      <c r="L95" s="7">
        <v>1.274</v>
      </c>
      <c r="M95" s="12">
        <f t="shared" ref="M95:M96" si="21">O95/L95</f>
        <v>2.6687598116169542</v>
      </c>
      <c r="N95" s="7">
        <v>20</v>
      </c>
      <c r="O95" s="12">
        <f t="shared" ref="O95:O96" si="22">G95*N95/1000</f>
        <v>3.4</v>
      </c>
    </row>
    <row r="96" spans="1:21" x14ac:dyDescent="0.2">
      <c r="A96" s="85" t="s">
        <v>386</v>
      </c>
      <c r="B96" s="7" t="s">
        <v>398</v>
      </c>
      <c r="C96" s="7" t="s">
        <v>401</v>
      </c>
      <c r="E96" s="7" t="s">
        <v>394</v>
      </c>
      <c r="F96" s="7" t="s">
        <v>387</v>
      </c>
      <c r="G96" s="7">
        <v>170</v>
      </c>
      <c r="H96" s="7">
        <f t="shared" si="20"/>
        <v>182.5</v>
      </c>
      <c r="I96" s="7">
        <v>0.84799999999999998</v>
      </c>
      <c r="J96" s="7">
        <v>1</v>
      </c>
      <c r="L96" s="7">
        <v>1.274</v>
      </c>
      <c r="M96" s="12">
        <f t="shared" si="21"/>
        <v>2.0015698587127155</v>
      </c>
      <c r="N96" s="7">
        <v>15</v>
      </c>
      <c r="O96" s="12">
        <f t="shared" si="22"/>
        <v>2.5499999999999998</v>
      </c>
    </row>
    <row r="97" spans="1:21" x14ac:dyDescent="0.2">
      <c r="A97" s="7" t="s">
        <v>389</v>
      </c>
      <c r="B97" s="7" t="s">
        <v>348</v>
      </c>
      <c r="C97" s="7" t="s">
        <v>399</v>
      </c>
      <c r="E97" s="7" t="s">
        <v>394</v>
      </c>
      <c r="F97" s="7" t="s">
        <v>387</v>
      </c>
      <c r="H97" s="7">
        <f t="shared" si="20"/>
        <v>182.5</v>
      </c>
      <c r="I97" s="7">
        <v>0.84799999999999998</v>
      </c>
      <c r="J97" s="7">
        <v>1</v>
      </c>
      <c r="N97" s="7">
        <v>3</v>
      </c>
      <c r="U97" s="7">
        <f>AVERAGE(7,7.5)</f>
        <v>7.25</v>
      </c>
    </row>
    <row r="98" spans="1:21" x14ac:dyDescent="0.2">
      <c r="A98" s="7" t="s">
        <v>389</v>
      </c>
      <c r="B98" s="7" t="s">
        <v>397</v>
      </c>
      <c r="C98" s="7" t="s">
        <v>400</v>
      </c>
      <c r="E98" s="7" t="s">
        <v>394</v>
      </c>
      <c r="F98" s="7" t="s">
        <v>387</v>
      </c>
      <c r="H98" s="7">
        <f t="shared" si="20"/>
        <v>182.5</v>
      </c>
      <c r="I98" s="7">
        <v>0.84799999999999998</v>
      </c>
      <c r="J98" s="7">
        <v>1</v>
      </c>
      <c r="N98" s="7">
        <v>7</v>
      </c>
    </row>
    <row r="99" spans="1:21" x14ac:dyDescent="0.2">
      <c r="A99" s="7" t="s">
        <v>389</v>
      </c>
      <c r="B99" s="7" t="s">
        <v>398</v>
      </c>
      <c r="C99" s="7" t="s">
        <v>401</v>
      </c>
      <c r="E99" s="7" t="s">
        <v>394</v>
      </c>
      <c r="F99" s="7" t="s">
        <v>387</v>
      </c>
      <c r="H99" s="7">
        <f t="shared" si="20"/>
        <v>182.5</v>
      </c>
      <c r="I99" s="7">
        <v>0.84799999999999998</v>
      </c>
      <c r="J99" s="7">
        <v>1</v>
      </c>
      <c r="N99" s="7">
        <v>5</v>
      </c>
    </row>
    <row r="100" spans="1:21" x14ac:dyDescent="0.2">
      <c r="A100" s="7" t="s">
        <v>392</v>
      </c>
      <c r="B100" s="7" t="s">
        <v>160</v>
      </c>
      <c r="C100" s="7" t="s">
        <v>410</v>
      </c>
      <c r="E100" s="7" t="s">
        <v>404</v>
      </c>
      <c r="F100" s="7" t="s">
        <v>71</v>
      </c>
      <c r="G100" s="7">
        <v>250</v>
      </c>
      <c r="H100" s="7">
        <f>365/4</f>
        <v>91.25</v>
      </c>
      <c r="I100" s="7">
        <v>0.35</v>
      </c>
      <c r="J100" s="7">
        <v>1</v>
      </c>
      <c r="K100" s="7">
        <v>0.41</v>
      </c>
      <c r="L100" s="12">
        <f>I100*J100+K100</f>
        <v>0.76</v>
      </c>
      <c r="M100" s="7">
        <v>20</v>
      </c>
      <c r="N100" s="12">
        <f>M100*L100/(G100*0.001)</f>
        <v>60.8</v>
      </c>
      <c r="O100" s="7">
        <f>M100*L100</f>
        <v>15.2</v>
      </c>
      <c r="R100" s="10">
        <v>1E-3</v>
      </c>
      <c r="S100" s="7">
        <f>27</f>
        <v>27</v>
      </c>
    </row>
    <row r="101" spans="1:21" x14ac:dyDescent="0.2">
      <c r="A101" s="7" t="s">
        <v>392</v>
      </c>
      <c r="B101" s="7" t="s">
        <v>160</v>
      </c>
      <c r="C101" s="7" t="s">
        <v>411</v>
      </c>
      <c r="E101" s="7" t="s">
        <v>404</v>
      </c>
      <c r="F101" s="7" t="s">
        <v>71</v>
      </c>
      <c r="G101" s="7">
        <v>250</v>
      </c>
      <c r="H101" s="7">
        <f>365/4</f>
        <v>91.25</v>
      </c>
      <c r="I101" s="7">
        <v>0.35</v>
      </c>
      <c r="J101" s="7">
        <v>1</v>
      </c>
      <c r="K101" s="7">
        <v>0.41</v>
      </c>
      <c r="L101" s="12">
        <f>I101*J101+K101</f>
        <v>0.76</v>
      </c>
      <c r="M101" s="7">
        <v>20</v>
      </c>
      <c r="N101" s="12">
        <f>M101*L101/(G101*0.001)</f>
        <v>60.8</v>
      </c>
      <c r="O101" s="7">
        <f>M101*L101</f>
        <v>15.2</v>
      </c>
      <c r="R101" s="10">
        <v>1E-3</v>
      </c>
      <c r="S101" s="7">
        <f>27</f>
        <v>27</v>
      </c>
    </row>
    <row r="102" spans="1:21" x14ac:dyDescent="0.2">
      <c r="A102" s="7" t="s">
        <v>392</v>
      </c>
      <c r="B102" s="7" t="s">
        <v>160</v>
      </c>
      <c r="C102" s="7" t="s">
        <v>412</v>
      </c>
      <c r="E102" s="7" t="s">
        <v>404</v>
      </c>
      <c r="F102" s="7" t="s">
        <v>71</v>
      </c>
      <c r="G102" s="7">
        <v>250</v>
      </c>
      <c r="H102" s="7">
        <f>365/4</f>
        <v>91.25</v>
      </c>
      <c r="I102" s="7">
        <v>0.35</v>
      </c>
      <c r="J102" s="7">
        <v>1</v>
      </c>
      <c r="K102" s="7">
        <v>0.41</v>
      </c>
      <c r="L102" s="12">
        <f>I102*J102+K102</f>
        <v>0.76</v>
      </c>
      <c r="M102" s="7">
        <v>20</v>
      </c>
      <c r="N102" s="12">
        <f>M102*L102/(G102*0.001)</f>
        <v>60.8</v>
      </c>
      <c r="O102" s="7">
        <f>M102*L102</f>
        <v>15.2</v>
      </c>
      <c r="R102" s="10">
        <v>1E-3</v>
      </c>
      <c r="S102" s="7">
        <f>27</f>
        <v>27</v>
      </c>
    </row>
    <row r="103" spans="1:21" x14ac:dyDescent="0.2">
      <c r="A103" s="7" t="s">
        <v>392</v>
      </c>
      <c r="C103" s="7" t="s">
        <v>413</v>
      </c>
      <c r="E103" s="7" t="s">
        <v>404</v>
      </c>
      <c r="F103" s="7" t="s">
        <v>71</v>
      </c>
    </row>
    <row r="104" spans="1:21" x14ac:dyDescent="0.2">
      <c r="A104" s="7" t="s">
        <v>392</v>
      </c>
      <c r="C104" s="7" t="s">
        <v>415</v>
      </c>
      <c r="E104" s="7" t="s">
        <v>404</v>
      </c>
      <c r="F104" s="7" t="s">
        <v>71</v>
      </c>
    </row>
    <row r="105" spans="1:21" x14ac:dyDescent="0.2">
      <c r="A105" s="7" t="s">
        <v>392</v>
      </c>
      <c r="C105" s="7" t="s">
        <v>414</v>
      </c>
      <c r="E105" s="7" t="s">
        <v>404</v>
      </c>
      <c r="F105" s="7" t="s">
        <v>71</v>
      </c>
    </row>
    <row r="106" spans="1:21" x14ac:dyDescent="0.2">
      <c r="A106" t="s">
        <v>402</v>
      </c>
      <c r="C106" s="7" t="s">
        <v>416</v>
      </c>
      <c r="E106" s="7" t="s">
        <v>544</v>
      </c>
      <c r="F106" s="7" t="s">
        <v>71</v>
      </c>
    </row>
    <row r="107" spans="1:21" x14ac:dyDescent="0.2">
      <c r="A107" t="s">
        <v>402</v>
      </c>
      <c r="C107" s="7" t="s">
        <v>417</v>
      </c>
      <c r="E107" s="7" t="s">
        <v>544</v>
      </c>
      <c r="F107" s="7" t="s">
        <v>71</v>
      </c>
    </row>
    <row r="108" spans="1:21" x14ac:dyDescent="0.2">
      <c r="A108" t="s">
        <v>402</v>
      </c>
      <c r="B108" s="7" t="s">
        <v>362</v>
      </c>
      <c r="C108" s="7" t="s">
        <v>418</v>
      </c>
      <c r="E108" s="7" t="s">
        <v>544</v>
      </c>
      <c r="F108" s="7" t="s">
        <v>71</v>
      </c>
      <c r="I108" s="7">
        <v>1.2</v>
      </c>
      <c r="J108" s="7">
        <v>1</v>
      </c>
      <c r="M108" s="7">
        <v>10</v>
      </c>
      <c r="N108" s="7">
        <v>53</v>
      </c>
    </row>
    <row r="109" spans="1:21" x14ac:dyDescent="0.2">
      <c r="A109" t="s">
        <v>430</v>
      </c>
      <c r="B109" s="7" t="s">
        <v>160</v>
      </c>
      <c r="C109" s="7" t="s">
        <v>439</v>
      </c>
      <c r="E109" s="7" t="s">
        <v>615</v>
      </c>
      <c r="F109" s="7" t="s">
        <v>71</v>
      </c>
      <c r="I109" s="7">
        <v>102</v>
      </c>
      <c r="J109" s="7">
        <v>2</v>
      </c>
      <c r="N109" s="7">
        <v>12000</v>
      </c>
      <c r="Q109" s="7">
        <v>1</v>
      </c>
      <c r="R109" s="73">
        <v>0.05</v>
      </c>
      <c r="U109" s="7">
        <v>7</v>
      </c>
    </row>
    <row r="110" spans="1:21" x14ac:dyDescent="0.2">
      <c r="A110" t="s">
        <v>430</v>
      </c>
      <c r="B110" s="7" t="s">
        <v>160</v>
      </c>
      <c r="C110" s="7" t="s">
        <v>440</v>
      </c>
      <c r="E110" s="7" t="s">
        <v>615</v>
      </c>
      <c r="F110" s="7" t="s">
        <v>71</v>
      </c>
      <c r="U110" s="7">
        <v>7</v>
      </c>
    </row>
    <row r="111" spans="1:21" x14ac:dyDescent="0.2">
      <c r="A111" t="s">
        <v>430</v>
      </c>
      <c r="B111" s="7" t="s">
        <v>160</v>
      </c>
      <c r="C111" s="7" t="s">
        <v>441</v>
      </c>
      <c r="E111" s="7" t="s">
        <v>615</v>
      </c>
      <c r="F111" s="7" t="s">
        <v>71</v>
      </c>
      <c r="U111" s="7">
        <v>7</v>
      </c>
    </row>
    <row r="112" spans="1:21" x14ac:dyDescent="0.2">
      <c r="A112" t="s">
        <v>430</v>
      </c>
      <c r="B112" s="7" t="s">
        <v>160</v>
      </c>
      <c r="C112" s="7" t="s">
        <v>442</v>
      </c>
      <c r="E112" s="7" t="s">
        <v>615</v>
      </c>
      <c r="F112" s="7" t="s">
        <v>71</v>
      </c>
      <c r="U112" s="7">
        <v>7</v>
      </c>
    </row>
    <row r="113" spans="1:14" x14ac:dyDescent="0.2">
      <c r="A113" t="s">
        <v>435</v>
      </c>
      <c r="B113" s="7" t="s">
        <v>160</v>
      </c>
      <c r="C113" t="s">
        <v>536</v>
      </c>
      <c r="F113" s="7" t="s">
        <v>543</v>
      </c>
      <c r="G113" s="7">
        <v>50</v>
      </c>
      <c r="I113" s="7">
        <v>0.9</v>
      </c>
      <c r="J113" s="7">
        <v>3</v>
      </c>
      <c r="N113" s="7">
        <v>70</v>
      </c>
    </row>
    <row r="114" spans="1:14" x14ac:dyDescent="0.2">
      <c r="A114" t="s">
        <v>540</v>
      </c>
      <c r="B114" s="7" t="s">
        <v>160</v>
      </c>
      <c r="C114" t="s">
        <v>537</v>
      </c>
      <c r="F114" s="7" t="s">
        <v>543</v>
      </c>
      <c r="G114" s="7">
        <v>50</v>
      </c>
      <c r="I114" s="7">
        <v>0.9</v>
      </c>
      <c r="J114" s="7">
        <v>3</v>
      </c>
      <c r="N114" s="7">
        <v>70</v>
      </c>
    </row>
    <row r="115" spans="1:14" x14ac:dyDescent="0.2">
      <c r="A115" t="s">
        <v>541</v>
      </c>
      <c r="B115" s="7" t="s">
        <v>160</v>
      </c>
      <c r="C115" t="s">
        <v>538</v>
      </c>
      <c r="F115" s="7" t="s">
        <v>543</v>
      </c>
      <c r="G115" s="7">
        <v>50</v>
      </c>
      <c r="I115" s="7">
        <v>0.9</v>
      </c>
      <c r="J115" s="7">
        <v>3</v>
      </c>
      <c r="N115" s="7">
        <v>70</v>
      </c>
    </row>
    <row r="116" spans="1:14" x14ac:dyDescent="0.2">
      <c r="A116" t="s">
        <v>542</v>
      </c>
      <c r="B116" s="7" t="s">
        <v>160</v>
      </c>
      <c r="C116" t="s">
        <v>539</v>
      </c>
      <c r="F116" s="7" t="s">
        <v>543</v>
      </c>
      <c r="G116" s="7">
        <v>50</v>
      </c>
      <c r="I116" s="7">
        <v>0.9</v>
      </c>
      <c r="J116" s="7">
        <v>3</v>
      </c>
      <c r="N116" s="7">
        <v>70</v>
      </c>
    </row>
  </sheetData>
  <phoneticPr fontId="15" type="noConversion"/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BBCB-1B16-2841-AE08-0E99DE4CC986}">
  <dimension ref="A1:P2"/>
  <sheetViews>
    <sheetView workbookViewId="0">
      <selection activeCell="E14" sqref="E14"/>
    </sheetView>
  </sheetViews>
  <sheetFormatPr baseColWidth="10" defaultRowHeight="16" x14ac:dyDescent="0.2"/>
  <sheetData>
    <row r="1" spans="1:16" x14ac:dyDescent="0.2">
      <c r="A1" s="2" t="s">
        <v>604</v>
      </c>
      <c r="B1" s="2" t="str">
        <f>rearing!G2</f>
        <v>IBW_g</v>
      </c>
      <c r="C1" s="2" t="str">
        <f>rearing!H2</f>
        <v>duration_d</v>
      </c>
      <c r="D1" s="2" t="str">
        <f>rearing!I2</f>
        <v>Vtank_m3</v>
      </c>
      <c r="E1" s="2" t="str">
        <f>rearing!J2</f>
        <v>Ntank</v>
      </c>
      <c r="F1" s="2" t="str">
        <f>rearing!K2</f>
        <v>Vmisc_m3</v>
      </c>
      <c r="G1" s="2" t="str">
        <f>rearing!L2</f>
        <v>Vtot_m3</v>
      </c>
      <c r="H1" s="2" t="str">
        <f>rearing!M2</f>
        <v>density_kgm3</v>
      </c>
      <c r="I1" s="2" t="str">
        <f>rearing!N2</f>
        <v>Nfish</v>
      </c>
      <c r="J1" s="2" t="str">
        <f>rearing!O2</f>
        <v>totBiomass_kg</v>
      </c>
      <c r="K1" s="2" t="str">
        <f>rearing!P2</f>
        <v>exchV_m3</v>
      </c>
      <c r="L1" s="2" t="str">
        <f>rearing!Q2</f>
        <v>exchFreq_d</v>
      </c>
      <c r="M1" s="2" t="str">
        <f>rearing!R2</f>
        <v>exchRate</v>
      </c>
      <c r="N1" s="2" t="str">
        <f>rearing!S2</f>
        <v>T_degC</v>
      </c>
      <c r="O1" s="2" t="str">
        <f>rearing!T2</f>
        <v>O2_mgL</v>
      </c>
      <c r="P1" s="2" t="str">
        <f>rearing!U2</f>
        <v>pH</v>
      </c>
    </row>
    <row r="2" spans="1:16" x14ac:dyDescent="0.2">
      <c r="A2" t="s">
        <v>606</v>
      </c>
      <c r="B2">
        <f>AVERAGE(rearing!G3:G196)</f>
        <v>215.51771698113203</v>
      </c>
      <c r="C2">
        <f>AVERAGE(rearing!H3:H196)</f>
        <v>100.2625</v>
      </c>
      <c r="D2">
        <f>AVERAGE(rearing!I3:I196)</f>
        <v>2.4938400000000001</v>
      </c>
      <c r="E2">
        <f>AVERAGE(rearing!J3:J196)</f>
        <v>5.48</v>
      </c>
      <c r="F2">
        <f>AVERAGE(rearing!K3:K196)</f>
        <v>2.1962499999999996</v>
      </c>
      <c r="G2">
        <f>AVERAGE(rearing!L3:L196)</f>
        <v>44.152774999999991</v>
      </c>
      <c r="H2">
        <f>AVERAGE(rearing!M3:M196)</f>
        <v>16.742309083986527</v>
      </c>
      <c r="I2">
        <f>AVERAGE(rearing!N3:N196)</f>
        <v>344.79873949579832</v>
      </c>
      <c r="J2">
        <f>AVERAGE(rearing!O3:O196)</f>
        <v>1876.1297346280305</v>
      </c>
      <c r="K2">
        <f>AVERAGE(rearing!P3:P196)</f>
        <v>1.0862625714285712</v>
      </c>
      <c r="L2">
        <f>AVERAGE(rearing!Q3:Q196)</f>
        <v>3.8571428571428572</v>
      </c>
      <c r="M2" s="4">
        <f>AVERAGE(rearing!R3:R196)</f>
        <v>4.9933553410077013E-2</v>
      </c>
      <c r="N2">
        <f>AVERAGE(rearing!S3:S196)</f>
        <v>25.947368421052634</v>
      </c>
      <c r="O2">
        <f>AVERAGE(rearing!T3:T196)</f>
        <v>6.8983928571428592</v>
      </c>
      <c r="P2">
        <f>AVERAGE(rearing!U3:U196)</f>
        <v>7.1418918918918921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BB01-18BA-C04B-A768-28EAADF38445}">
  <sheetPr>
    <tabColor rgb="FF92D050"/>
  </sheetPr>
  <dimension ref="A1:AA117"/>
  <sheetViews>
    <sheetView zoomScale="130" zoomScaleNormal="130" workbookViewId="0">
      <pane xSplit="1" ySplit="2" topLeftCell="N104" activePane="bottomRight" state="frozen"/>
      <selection pane="topRight" activeCell="B1" sqref="B1"/>
      <selection pane="bottomLeft" activeCell="A3" sqref="A3"/>
      <selection pane="bottomRight" activeCell="Q131" sqref="Q131"/>
    </sheetView>
  </sheetViews>
  <sheetFormatPr baseColWidth="10" defaultColWidth="10.83203125" defaultRowHeight="16" x14ac:dyDescent="0.2"/>
  <cols>
    <col min="1" max="5" width="15" style="7" customWidth="1"/>
    <col min="6" max="6" width="26.5" style="7" customWidth="1"/>
    <col min="7" max="7" width="26.5" style="13" customWidth="1"/>
    <col min="8" max="8" width="10.83203125" style="15"/>
    <col min="9" max="9" width="10.83203125" style="7"/>
    <col min="10" max="10" width="13.1640625" style="15" customWidth="1"/>
    <col min="11" max="17" width="10.83203125" style="7"/>
    <col min="18" max="18" width="10.83203125" style="15"/>
    <col min="19" max="24" width="10.83203125" style="7"/>
    <col min="25" max="25" width="10.83203125" style="15"/>
    <col min="26" max="26" width="10.83203125" style="7"/>
  </cols>
  <sheetData>
    <row r="1" spans="1:26" ht="24" x14ac:dyDescent="0.3">
      <c r="J1" s="96" t="s">
        <v>0</v>
      </c>
      <c r="K1" s="96"/>
      <c r="L1" s="96"/>
      <c r="M1" s="96"/>
      <c r="N1" s="96"/>
      <c r="O1" s="96"/>
      <c r="P1" s="96"/>
      <c r="Q1" s="96"/>
      <c r="R1" s="96" t="s">
        <v>1</v>
      </c>
      <c r="S1" s="96"/>
      <c r="T1" s="96"/>
      <c r="U1" s="96"/>
      <c r="V1" s="96"/>
      <c r="W1" s="96"/>
      <c r="X1" s="96"/>
      <c r="Y1" s="96" t="s">
        <v>82</v>
      </c>
      <c r="Z1" s="96"/>
    </row>
    <row r="2" spans="1:26" x14ac:dyDescent="0.2">
      <c r="A2" s="1" t="s">
        <v>2</v>
      </c>
      <c r="B2" s="1" t="str">
        <f>rearing!D2</f>
        <v>site</v>
      </c>
      <c r="C2" s="1" t="str">
        <f>rearing!E2</f>
        <v>city</v>
      </c>
      <c r="D2" s="1" t="str">
        <f>rearing!F2</f>
        <v>country</v>
      </c>
      <c r="E2" s="1" t="s">
        <v>342</v>
      </c>
      <c r="F2" s="1" t="s">
        <v>36</v>
      </c>
      <c r="G2" s="3" t="s">
        <v>38</v>
      </c>
      <c r="H2" s="14" t="s">
        <v>46</v>
      </c>
      <c r="I2" s="1" t="s">
        <v>562</v>
      </c>
      <c r="J2" s="14" t="s">
        <v>563</v>
      </c>
      <c r="K2" s="1" t="s">
        <v>564</v>
      </c>
      <c r="L2" s="1" t="s">
        <v>565</v>
      </c>
      <c r="M2" s="1" t="s">
        <v>566</v>
      </c>
      <c r="N2" s="1" t="s">
        <v>483</v>
      </c>
      <c r="O2" s="1" t="s">
        <v>484</v>
      </c>
      <c r="P2" s="1" t="s">
        <v>485</v>
      </c>
      <c r="Q2" s="1" t="s">
        <v>567</v>
      </c>
      <c r="R2" s="14" t="s">
        <v>488</v>
      </c>
      <c r="S2" s="1" t="s">
        <v>568</v>
      </c>
      <c r="T2" s="1" t="s">
        <v>490</v>
      </c>
      <c r="U2" s="1" t="s">
        <v>489</v>
      </c>
      <c r="V2" s="1" t="s">
        <v>89</v>
      </c>
      <c r="W2" s="1" t="s">
        <v>492</v>
      </c>
      <c r="X2" s="1" t="s">
        <v>493</v>
      </c>
      <c r="Y2" s="14" t="s">
        <v>494</v>
      </c>
      <c r="Z2" s="1" t="s">
        <v>569</v>
      </c>
    </row>
    <row r="3" spans="1:26" x14ac:dyDescent="0.2">
      <c r="A3" s="7" t="str">
        <f>rearing!A3</f>
        <v>Monsees2017</v>
      </c>
      <c r="B3" s="7" t="str">
        <f>rearing!D3</f>
        <v>IGB</v>
      </c>
      <c r="C3" s="7" t="str">
        <f>rearing!E3</f>
        <v>Berlin</v>
      </c>
      <c r="D3" s="7" t="str">
        <f>rearing!F3</f>
        <v>Germany</v>
      </c>
      <c r="F3" s="7" t="s">
        <v>37</v>
      </c>
      <c r="G3" s="13">
        <v>2021</v>
      </c>
      <c r="H3" s="15">
        <v>7.4</v>
      </c>
      <c r="I3" s="7">
        <v>880</v>
      </c>
      <c r="J3" s="15" t="s">
        <v>92</v>
      </c>
      <c r="L3" s="7">
        <v>1.0580000000000001</v>
      </c>
      <c r="M3" s="7">
        <v>0.02</v>
      </c>
      <c r="N3" s="7">
        <v>6.2</v>
      </c>
      <c r="O3" s="7">
        <v>117</v>
      </c>
      <c r="P3" s="7">
        <v>13.5</v>
      </c>
      <c r="Q3" s="7">
        <v>54.78</v>
      </c>
      <c r="R3" s="15" t="s">
        <v>92</v>
      </c>
      <c r="S3" s="7" t="s">
        <v>93</v>
      </c>
      <c r="T3" s="7" t="s">
        <v>94</v>
      </c>
      <c r="U3" s="7" t="s">
        <v>95</v>
      </c>
      <c r="V3" s="7">
        <v>7.4999999999999997E-2</v>
      </c>
      <c r="X3" s="7" t="s">
        <v>96</v>
      </c>
    </row>
    <row r="4" spans="1:26" x14ac:dyDescent="0.2">
      <c r="A4" s="7" t="str">
        <f>rearing!A4</f>
        <v>Monsees2017</v>
      </c>
      <c r="B4" s="7" t="str">
        <f>rearing!D4</f>
        <v>IGB</v>
      </c>
      <c r="C4" s="7" t="str">
        <f>rearing!E4</f>
        <v>Berlin</v>
      </c>
      <c r="D4" s="7" t="str">
        <f>rearing!F4</f>
        <v>Germany</v>
      </c>
      <c r="F4" s="7" t="s">
        <v>37</v>
      </c>
      <c r="G4" s="13">
        <v>2021</v>
      </c>
      <c r="H4" s="15">
        <v>7.4</v>
      </c>
      <c r="I4" s="7">
        <v>880</v>
      </c>
      <c r="J4" s="15" t="s">
        <v>92</v>
      </c>
      <c r="L4" s="7">
        <v>1.0580000000000001</v>
      </c>
      <c r="M4" s="7">
        <v>0.02</v>
      </c>
      <c r="N4" s="7">
        <v>6.2</v>
      </c>
      <c r="O4" s="7">
        <v>117</v>
      </c>
      <c r="P4" s="7">
        <v>13.5</v>
      </c>
      <c r="Q4" s="7">
        <v>54.78</v>
      </c>
      <c r="R4" s="15" t="s">
        <v>92</v>
      </c>
      <c r="S4" s="7" t="s">
        <v>93</v>
      </c>
      <c r="T4" s="7" t="s">
        <v>94</v>
      </c>
      <c r="U4" s="7" t="s">
        <v>95</v>
      </c>
      <c r="V4" s="7">
        <v>7.4999999999999997E-2</v>
      </c>
      <c r="X4" s="7" t="s">
        <v>96</v>
      </c>
    </row>
    <row r="5" spans="1:26" x14ac:dyDescent="0.2">
      <c r="A5" s="7" t="str">
        <f>rearing!A5</f>
        <v>Delaide2018</v>
      </c>
      <c r="B5" s="7" t="str">
        <f>rearing!D5</f>
        <v>ZHAW</v>
      </c>
      <c r="C5" s="7" t="str">
        <f>rearing!E5</f>
        <v>Zuerich</v>
      </c>
      <c r="D5" s="7" t="str">
        <f>rearing!F5</f>
        <v>Switzerland</v>
      </c>
    </row>
    <row r="6" spans="1:26" x14ac:dyDescent="0.2">
      <c r="A6" s="7" t="str">
        <f>rearing!A6</f>
        <v>Goddek2018</v>
      </c>
      <c r="B6" s="7" t="str">
        <f>rearing!D6</f>
        <v>WUR</v>
      </c>
      <c r="C6" s="7" t="str">
        <f>rearing!E6</f>
        <v>Wageningen</v>
      </c>
      <c r="D6" s="7" t="str">
        <f>rearing!F6</f>
        <v>Netherlands</v>
      </c>
    </row>
    <row r="7" spans="1:26" x14ac:dyDescent="0.2">
      <c r="A7" s="7" t="str">
        <f>rearing!A7</f>
        <v>Goddek2018</v>
      </c>
      <c r="B7" s="7" t="str">
        <f>rearing!D7</f>
        <v>WUR</v>
      </c>
      <c r="C7" s="7" t="str">
        <f>rearing!E7</f>
        <v>Wageningen</v>
      </c>
      <c r="D7" s="7" t="str">
        <f>rearing!F7</f>
        <v>Netherlands</v>
      </c>
    </row>
    <row r="8" spans="1:26" x14ac:dyDescent="0.2">
      <c r="A8" s="7" t="str">
        <f>rearing!A8</f>
        <v>Goddek2018</v>
      </c>
      <c r="B8" s="7" t="str">
        <f>rearing!D8</f>
        <v>ULiege</v>
      </c>
      <c r="C8" s="7" t="str">
        <f>rearing!E8</f>
        <v>Liege</v>
      </c>
      <c r="D8" s="7" t="str">
        <f>rearing!F8</f>
        <v>Belgium</v>
      </c>
    </row>
    <row r="9" spans="1:26" x14ac:dyDescent="0.2">
      <c r="A9" s="7" t="str">
        <f>rearing!A9</f>
        <v>Seawright1998</v>
      </c>
      <c r="B9" s="7" t="str">
        <f>rearing!D9</f>
        <v>UW</v>
      </c>
      <c r="C9" s="7" t="str">
        <f>rearing!E9</f>
        <v>Seattle</v>
      </c>
      <c r="D9" s="7" t="str">
        <f>rearing!F9</f>
        <v>USA</v>
      </c>
    </row>
    <row r="10" spans="1:26" x14ac:dyDescent="0.2">
      <c r="A10" s="7" t="str">
        <f>rearing!A10</f>
        <v>Seawright1998</v>
      </c>
      <c r="B10" s="7" t="str">
        <f>rearing!D10</f>
        <v>UW</v>
      </c>
      <c r="C10" s="7" t="str">
        <f>rearing!E10</f>
        <v>Seattle</v>
      </c>
      <c r="D10" s="7" t="str">
        <f>rearing!F10</f>
        <v>USA</v>
      </c>
    </row>
    <row r="11" spans="1:26" x14ac:dyDescent="0.2">
      <c r="A11" s="7" t="str">
        <f>rearing!A11</f>
        <v>Seawright1998</v>
      </c>
      <c r="B11" s="7" t="str">
        <f>rearing!D11</f>
        <v>UW</v>
      </c>
      <c r="C11" s="7" t="str">
        <f>rearing!E11</f>
        <v>Seattle</v>
      </c>
      <c r="D11" s="7" t="str">
        <f>rearing!F11</f>
        <v>USA</v>
      </c>
    </row>
    <row r="12" spans="1:26" x14ac:dyDescent="0.2">
      <c r="A12" s="7" t="str">
        <f>rearing!A12</f>
        <v>Seawright1998</v>
      </c>
      <c r="B12" s="7" t="str">
        <f>rearing!D12</f>
        <v>UW</v>
      </c>
      <c r="C12" s="7" t="str">
        <f>rearing!E12</f>
        <v>Seattle</v>
      </c>
      <c r="D12" s="7" t="str">
        <f>rearing!F12</f>
        <v>USA</v>
      </c>
    </row>
    <row r="13" spans="1:26" x14ac:dyDescent="0.2">
      <c r="A13" s="7" t="str">
        <f>rearing!A13</f>
        <v>Shaw2022a</v>
      </c>
      <c r="B13" s="7" t="str">
        <f>rearing!D13</f>
        <v>IGB</v>
      </c>
      <c r="C13" s="7" t="str">
        <f>rearing!E13</f>
        <v>Berlin</v>
      </c>
      <c r="D13" s="7" t="str">
        <f>rearing!F13</f>
        <v>Germany</v>
      </c>
      <c r="F13" s="7" t="s">
        <v>37</v>
      </c>
      <c r="G13" s="13">
        <v>2021</v>
      </c>
      <c r="H13" s="15">
        <v>7.4</v>
      </c>
      <c r="I13" s="7">
        <v>880</v>
      </c>
      <c r="J13" s="15" t="s">
        <v>92</v>
      </c>
      <c r="L13" s="7">
        <v>1.0580000000000001</v>
      </c>
      <c r="M13" s="7">
        <v>0.02</v>
      </c>
      <c r="N13" s="7">
        <v>6.2</v>
      </c>
      <c r="O13" s="7">
        <v>117</v>
      </c>
      <c r="P13" s="7">
        <v>13.5</v>
      </c>
      <c r="Q13" s="7">
        <v>54.78</v>
      </c>
      <c r="R13" s="15" t="s">
        <v>92</v>
      </c>
      <c r="S13" s="7" t="s">
        <v>93</v>
      </c>
      <c r="T13" s="7" t="s">
        <v>94</v>
      </c>
      <c r="U13" s="7" t="s">
        <v>95</v>
      </c>
      <c r="V13" s="7">
        <v>7.4999999999999997E-2</v>
      </c>
      <c r="X13" s="7" t="s">
        <v>96</v>
      </c>
    </row>
    <row r="14" spans="1:26" x14ac:dyDescent="0.2">
      <c r="A14" s="7" t="str">
        <f>rearing!A14</f>
        <v>Shaw2022a</v>
      </c>
      <c r="B14" s="7" t="str">
        <f>rearing!D14</f>
        <v>IGB</v>
      </c>
      <c r="C14" s="7" t="str">
        <f>rearing!E14</f>
        <v>Berlin</v>
      </c>
      <c r="D14" s="7" t="str">
        <f>rearing!F14</f>
        <v>Germany</v>
      </c>
      <c r="F14" s="7" t="s">
        <v>37</v>
      </c>
      <c r="G14" s="13">
        <v>2021</v>
      </c>
      <c r="H14" s="15">
        <v>7.4</v>
      </c>
      <c r="I14" s="7">
        <v>880</v>
      </c>
      <c r="J14" s="15" t="s">
        <v>92</v>
      </c>
      <c r="L14" s="7">
        <v>1.0580000000000001</v>
      </c>
      <c r="M14" s="7">
        <v>0.02</v>
      </c>
      <c r="N14" s="7">
        <v>6.2</v>
      </c>
      <c r="O14" s="7">
        <v>117</v>
      </c>
      <c r="P14" s="7">
        <v>13.5</v>
      </c>
      <c r="Q14" s="7">
        <v>54.78</v>
      </c>
      <c r="R14" s="15" t="s">
        <v>92</v>
      </c>
      <c r="S14" s="7" t="s">
        <v>93</v>
      </c>
      <c r="T14" s="7" t="s">
        <v>94</v>
      </c>
      <c r="U14" s="7" t="s">
        <v>95</v>
      </c>
      <c r="V14" s="7">
        <v>7.4999999999999997E-2</v>
      </c>
      <c r="X14" s="7" t="s">
        <v>96</v>
      </c>
    </row>
    <row r="15" spans="1:26" x14ac:dyDescent="0.2">
      <c r="A15" s="7" t="str">
        <f>rearing!A15</f>
        <v>Shaw2022a</v>
      </c>
      <c r="B15" s="7" t="str">
        <f>rearing!D15</f>
        <v>IGB</v>
      </c>
      <c r="C15" s="7" t="str">
        <f>rearing!E15</f>
        <v>Berlin</v>
      </c>
      <c r="D15" s="7" t="str">
        <f>rearing!F15</f>
        <v>Germany</v>
      </c>
      <c r="F15" s="7" t="s">
        <v>37</v>
      </c>
      <c r="G15" s="13">
        <v>2021</v>
      </c>
      <c r="H15" s="15">
        <v>7.4</v>
      </c>
      <c r="I15" s="7">
        <v>880</v>
      </c>
      <c r="J15" s="15" t="s">
        <v>92</v>
      </c>
      <c r="L15" s="7">
        <v>1.0580000000000001</v>
      </c>
      <c r="M15" s="7">
        <v>0.02</v>
      </c>
      <c r="N15" s="7">
        <v>6.2</v>
      </c>
      <c r="O15" s="7">
        <v>117</v>
      </c>
      <c r="P15" s="7">
        <v>13.5</v>
      </c>
      <c r="Q15" s="7">
        <v>54.78</v>
      </c>
      <c r="R15" s="15" t="s">
        <v>92</v>
      </c>
      <c r="S15" s="7" t="s">
        <v>93</v>
      </c>
      <c r="T15" s="7" t="s">
        <v>94</v>
      </c>
      <c r="U15" s="7" t="s">
        <v>95</v>
      </c>
      <c r="V15" s="7">
        <v>7.4999999999999997E-2</v>
      </c>
      <c r="X15" s="7" t="s">
        <v>96</v>
      </c>
    </row>
    <row r="16" spans="1:26" x14ac:dyDescent="0.2">
      <c r="A16" s="7" t="str">
        <f>rearing!A16</f>
        <v>Shaw2022a</v>
      </c>
      <c r="B16" s="7" t="str">
        <f>rearing!D16</f>
        <v>IGB</v>
      </c>
      <c r="C16" s="7" t="str">
        <f>rearing!E16</f>
        <v>Berlin</v>
      </c>
      <c r="D16" s="7" t="str">
        <f>rearing!F16</f>
        <v>Germany</v>
      </c>
      <c r="F16" s="7" t="s">
        <v>37</v>
      </c>
      <c r="G16" s="13">
        <v>2021</v>
      </c>
      <c r="H16" s="15">
        <v>7.4</v>
      </c>
      <c r="I16" s="7">
        <v>880</v>
      </c>
      <c r="J16" s="15" t="s">
        <v>92</v>
      </c>
      <c r="L16" s="7">
        <v>1.0580000000000001</v>
      </c>
      <c r="M16" s="7">
        <v>0.02</v>
      </c>
      <c r="N16" s="7">
        <v>6.2</v>
      </c>
      <c r="O16" s="7">
        <v>117</v>
      </c>
      <c r="P16" s="7">
        <v>13.5</v>
      </c>
      <c r="Q16" s="7">
        <v>54.78</v>
      </c>
      <c r="R16" s="15" t="s">
        <v>92</v>
      </c>
      <c r="S16" s="7" t="s">
        <v>93</v>
      </c>
      <c r="T16" s="7" t="s">
        <v>94</v>
      </c>
      <c r="U16" s="7" t="s">
        <v>95</v>
      </c>
      <c r="V16" s="7">
        <v>7.4999999999999997E-2</v>
      </c>
      <c r="X16" s="7" t="s">
        <v>96</v>
      </c>
    </row>
    <row r="17" spans="1:26" x14ac:dyDescent="0.2">
      <c r="A17" s="7" t="str">
        <f>rearing!A17</f>
        <v>Panana2021</v>
      </c>
      <c r="B17" s="7" t="str">
        <f>rearing!D17</f>
        <v>Inagro</v>
      </c>
      <c r="C17" s="7" t="str">
        <f>rearing!E17</f>
        <v>Rumbeke-Beitem</v>
      </c>
      <c r="D17" s="7" t="str">
        <f>rearing!F17</f>
        <v>Belgium</v>
      </c>
      <c r="E17" s="74" t="s">
        <v>396</v>
      </c>
      <c r="F17" s="74" t="s">
        <v>322</v>
      </c>
      <c r="H17" s="15">
        <v>8.01</v>
      </c>
      <c r="I17" s="7">
        <v>848</v>
      </c>
      <c r="J17" t="s">
        <v>311</v>
      </c>
      <c r="K17" t="s">
        <v>312</v>
      </c>
      <c r="L17" t="s">
        <v>313</v>
      </c>
      <c r="M17" t="s">
        <v>314</v>
      </c>
      <c r="N17">
        <v>11.4</v>
      </c>
      <c r="O17">
        <v>69</v>
      </c>
      <c r="P17">
        <v>25.2</v>
      </c>
      <c r="Q17">
        <v>145.6</v>
      </c>
      <c r="R17" t="s">
        <v>315</v>
      </c>
      <c r="S17" t="s">
        <v>316</v>
      </c>
      <c r="T17" t="s">
        <v>95</v>
      </c>
      <c r="U17" t="s">
        <v>95</v>
      </c>
      <c r="V17">
        <v>0.16930000000000001</v>
      </c>
      <c r="W17" t="s">
        <v>317</v>
      </c>
      <c r="X17" t="s">
        <v>318</v>
      </c>
      <c r="Y17">
        <v>85.6</v>
      </c>
      <c r="Z17">
        <v>55.75</v>
      </c>
    </row>
    <row r="18" spans="1:26" x14ac:dyDescent="0.2">
      <c r="A18" s="7" t="str">
        <f>rearing!A18</f>
        <v>Panana2021</v>
      </c>
      <c r="B18" s="7" t="str">
        <f>rearing!D18</f>
        <v>Inagro</v>
      </c>
      <c r="C18" s="7" t="str">
        <f>rearing!E18</f>
        <v>Rumbeke-Beitem</v>
      </c>
      <c r="D18" s="7" t="str">
        <f>rearing!F18</f>
        <v>Belgium</v>
      </c>
      <c r="E18" s="74" t="s">
        <v>396</v>
      </c>
      <c r="F18" s="74" t="s">
        <v>322</v>
      </c>
      <c r="H18" s="15">
        <v>8.01</v>
      </c>
      <c r="I18" s="7">
        <v>848</v>
      </c>
      <c r="J18" t="s">
        <v>311</v>
      </c>
      <c r="K18" t="s">
        <v>312</v>
      </c>
      <c r="L18" t="s">
        <v>313</v>
      </c>
      <c r="M18" t="s">
        <v>314</v>
      </c>
      <c r="N18">
        <v>11.4</v>
      </c>
      <c r="O18">
        <v>69</v>
      </c>
      <c r="P18">
        <v>25.2</v>
      </c>
      <c r="Q18">
        <v>145.6</v>
      </c>
      <c r="R18" t="s">
        <v>315</v>
      </c>
      <c r="S18" t="s">
        <v>316</v>
      </c>
      <c r="T18" t="s">
        <v>95</v>
      </c>
      <c r="U18" t="s">
        <v>95</v>
      </c>
      <c r="V18">
        <v>0.16930000000000001</v>
      </c>
      <c r="W18" t="s">
        <v>317</v>
      </c>
      <c r="X18" t="s">
        <v>318</v>
      </c>
      <c r="Y18">
        <v>85.6</v>
      </c>
      <c r="Z18">
        <v>55.75</v>
      </c>
    </row>
    <row r="19" spans="1:26" x14ac:dyDescent="0.2">
      <c r="A19" s="7" t="str">
        <f>rearing!A19</f>
        <v>Goddek2016</v>
      </c>
      <c r="B19" s="7" t="str">
        <f>rearing!D19</f>
        <v>ZHAW</v>
      </c>
      <c r="C19" s="7" t="s">
        <v>175</v>
      </c>
      <c r="D19" s="7" t="str">
        <f>rearing!F19</f>
        <v>Switzerland</v>
      </c>
      <c r="J19" s="15">
        <v>0</v>
      </c>
      <c r="K19" s="7">
        <v>0</v>
      </c>
      <c r="L19" s="7">
        <v>4.5999999999999999E-2</v>
      </c>
      <c r="M19" s="7">
        <v>0</v>
      </c>
      <c r="N19" s="7">
        <v>1</v>
      </c>
      <c r="O19" s="7">
        <v>59.8</v>
      </c>
      <c r="P19" s="7">
        <v>16.3</v>
      </c>
      <c r="Q19" s="7">
        <v>0.26400000000000001</v>
      </c>
      <c r="Y19" s="15">
        <v>4.9000000000000004</v>
      </c>
      <c r="Z19" s="7">
        <v>0.3</v>
      </c>
    </row>
    <row r="20" spans="1:26" x14ac:dyDescent="0.2">
      <c r="A20" s="7" t="str">
        <f>rearing!A20</f>
        <v>Goddek2016</v>
      </c>
      <c r="B20" s="7" t="str">
        <f>rearing!D20</f>
        <v>ZHAW</v>
      </c>
      <c r="C20" s="7" t="s">
        <v>175</v>
      </c>
      <c r="D20" s="7" t="str">
        <f>rearing!F20</f>
        <v>Switzerland</v>
      </c>
      <c r="J20" s="15">
        <v>0</v>
      </c>
      <c r="K20" s="7">
        <v>0</v>
      </c>
      <c r="L20" s="7">
        <v>4.5999999999999999E-2</v>
      </c>
      <c r="M20" s="7">
        <v>0</v>
      </c>
      <c r="N20" s="7">
        <v>1</v>
      </c>
      <c r="O20" s="7">
        <v>59.8</v>
      </c>
      <c r="P20" s="7">
        <v>16.3</v>
      </c>
      <c r="Q20" s="7">
        <v>0.26400000000000001</v>
      </c>
      <c r="Y20" s="15">
        <v>4.9000000000000004</v>
      </c>
      <c r="Z20" s="7">
        <v>0.3</v>
      </c>
    </row>
    <row r="21" spans="1:26" x14ac:dyDescent="0.2">
      <c r="A21" s="7" t="str">
        <f>rearing!A21</f>
        <v>Monsees2017b</v>
      </c>
      <c r="B21" s="7" t="str">
        <f>rearing!D21</f>
        <v>IGB</v>
      </c>
      <c r="C21" s="7" t="str">
        <f>rearing!E21</f>
        <v>Berlin</v>
      </c>
      <c r="D21" s="7" t="str">
        <f>rearing!F21</f>
        <v>Germany</v>
      </c>
      <c r="F21" s="7" t="s">
        <v>37</v>
      </c>
      <c r="G21" s="13">
        <v>2021</v>
      </c>
      <c r="H21" s="15">
        <v>7.4</v>
      </c>
      <c r="I21" s="7">
        <v>880</v>
      </c>
      <c r="J21" s="15" t="s">
        <v>92</v>
      </c>
      <c r="L21" s="7">
        <v>1.0580000000000001</v>
      </c>
      <c r="M21" s="7">
        <v>0.02</v>
      </c>
      <c r="N21" s="7">
        <v>6.2</v>
      </c>
      <c r="O21" s="7">
        <v>117</v>
      </c>
      <c r="P21" s="7">
        <v>13.5</v>
      </c>
      <c r="Q21" s="7">
        <v>54.78</v>
      </c>
      <c r="R21" s="15" t="s">
        <v>92</v>
      </c>
      <c r="S21" s="7" t="s">
        <v>93</v>
      </c>
      <c r="T21" s="7" t="s">
        <v>94</v>
      </c>
      <c r="U21" s="7" t="s">
        <v>95</v>
      </c>
      <c r="V21" s="7">
        <v>7.4999999999999997E-2</v>
      </c>
      <c r="X21" s="7" t="s">
        <v>96</v>
      </c>
    </row>
    <row r="22" spans="1:26" x14ac:dyDescent="0.2">
      <c r="A22" s="7" t="str">
        <f>rearing!A22</f>
        <v>Monsees2017b</v>
      </c>
      <c r="B22" s="7" t="str">
        <f>rearing!D22</f>
        <v>IGB</v>
      </c>
      <c r="C22" s="7" t="str">
        <f>rearing!E22</f>
        <v>Berlin</v>
      </c>
      <c r="D22" s="7" t="str">
        <f>rearing!F22</f>
        <v>Germany</v>
      </c>
      <c r="F22" s="7" t="s">
        <v>37</v>
      </c>
      <c r="G22" s="13">
        <v>2021</v>
      </c>
      <c r="H22" s="15">
        <v>7.4</v>
      </c>
      <c r="I22" s="7">
        <v>880</v>
      </c>
      <c r="J22" s="15" t="s">
        <v>92</v>
      </c>
      <c r="L22" s="7">
        <v>1.0580000000000001</v>
      </c>
      <c r="M22" s="7">
        <v>0.02</v>
      </c>
      <c r="N22" s="7">
        <v>6.2</v>
      </c>
      <c r="O22" s="7">
        <v>117</v>
      </c>
      <c r="P22" s="7">
        <v>13.5</v>
      </c>
      <c r="Q22" s="7">
        <v>54.78</v>
      </c>
      <c r="R22" s="15" t="s">
        <v>92</v>
      </c>
      <c r="S22" s="7" t="s">
        <v>93</v>
      </c>
      <c r="T22" s="7" t="s">
        <v>94</v>
      </c>
      <c r="U22" s="7" t="s">
        <v>95</v>
      </c>
      <c r="V22" s="7">
        <v>7.4999999999999997E-2</v>
      </c>
      <c r="X22" s="7" t="s">
        <v>96</v>
      </c>
    </row>
    <row r="23" spans="1:26" x14ac:dyDescent="0.2">
      <c r="A23" s="7" t="str">
        <f>rearing!A23</f>
        <v>Monsees2017b</v>
      </c>
      <c r="B23" s="7" t="str">
        <f>rearing!D23</f>
        <v>IGB</v>
      </c>
      <c r="C23" s="7" t="str">
        <f>rearing!E23</f>
        <v>Berlin</v>
      </c>
      <c r="D23" s="7" t="str">
        <f>rearing!F23</f>
        <v>Germany</v>
      </c>
      <c r="F23" s="7" t="s">
        <v>37</v>
      </c>
      <c r="G23" s="13">
        <v>2021</v>
      </c>
      <c r="H23" s="15">
        <v>7.4</v>
      </c>
      <c r="I23" s="7">
        <v>880</v>
      </c>
      <c r="J23" s="15" t="s">
        <v>92</v>
      </c>
      <c r="L23" s="7">
        <v>1.0580000000000001</v>
      </c>
      <c r="M23" s="7">
        <v>0.02</v>
      </c>
      <c r="N23" s="7">
        <v>6.2</v>
      </c>
      <c r="O23" s="7">
        <v>117</v>
      </c>
      <c r="P23" s="7">
        <v>13.5</v>
      </c>
      <c r="Q23" s="7">
        <v>54.78</v>
      </c>
      <c r="R23" s="15" t="s">
        <v>92</v>
      </c>
      <c r="S23" s="7" t="s">
        <v>93</v>
      </c>
      <c r="T23" s="7" t="s">
        <v>94</v>
      </c>
      <c r="U23" s="7" t="s">
        <v>95</v>
      </c>
      <c r="V23" s="7">
        <v>7.4999999999999997E-2</v>
      </c>
      <c r="X23" s="7" t="s">
        <v>96</v>
      </c>
    </row>
    <row r="24" spans="1:26" x14ac:dyDescent="0.2">
      <c r="A24" s="7" t="str">
        <f>rearing!A24</f>
        <v>Tetreault2021</v>
      </c>
      <c r="B24" s="7" t="str">
        <f>rearing!D24</f>
        <v>KFRAG</v>
      </c>
      <c r="C24" s="7" t="str">
        <f>rearing!E24</f>
        <v>Madbury</v>
      </c>
      <c r="D24" s="7" t="str">
        <f>rearing!F24</f>
        <v>USA</v>
      </c>
    </row>
    <row r="25" spans="1:26" x14ac:dyDescent="0.2">
      <c r="A25" s="7" t="str">
        <f>rearing!A25</f>
        <v>Tetreault2021b</v>
      </c>
      <c r="B25" s="7" t="str">
        <f>rearing!D25</f>
        <v>KFRAG</v>
      </c>
      <c r="C25" s="7" t="str">
        <f>rearing!E25</f>
        <v>Madbury</v>
      </c>
      <c r="D25" s="7" t="str">
        <f>rearing!F25</f>
        <v>USA</v>
      </c>
    </row>
    <row r="26" spans="1:26" s="40" customFormat="1" x14ac:dyDescent="0.2">
      <c r="A26" s="41" t="str">
        <f>rearing!A26</f>
        <v>Siqwepu2020</v>
      </c>
      <c r="B26" s="41" t="str">
        <f>rearing!D26</f>
        <v>Wegevallen Experimental Facility</v>
      </c>
      <c r="C26" s="41" t="str">
        <f>rearing!E26</f>
        <v>Stellenbosch</v>
      </c>
      <c r="D26" s="41" t="str">
        <f>rearing!F26</f>
        <v>South Africa</v>
      </c>
      <c r="E26" s="41"/>
      <c r="F26" s="41"/>
      <c r="G26" s="42"/>
      <c r="H26" s="43"/>
      <c r="I26" s="41"/>
      <c r="J26" s="43"/>
      <c r="K26" s="41"/>
      <c r="L26" s="41"/>
      <c r="M26" s="41"/>
      <c r="N26" s="41"/>
      <c r="O26" s="41"/>
      <c r="P26" s="41"/>
      <c r="Q26" s="41"/>
      <c r="R26" s="43"/>
      <c r="S26" s="41"/>
      <c r="T26" s="41"/>
      <c r="U26" s="41"/>
      <c r="V26" s="41"/>
      <c r="W26" s="41"/>
      <c r="X26" s="41"/>
      <c r="Y26" s="43"/>
      <c r="Z26" s="41"/>
    </row>
    <row r="27" spans="1:26" s="40" customFormat="1" x14ac:dyDescent="0.2">
      <c r="A27" s="41" t="str">
        <f>rearing!A27</f>
        <v>Siqwepu2020</v>
      </c>
      <c r="B27" s="41" t="str">
        <f>rearing!D27</f>
        <v>Wegevallen Experimental Facility</v>
      </c>
      <c r="C27" s="41" t="str">
        <f>rearing!E27</f>
        <v>Stellenbosch</v>
      </c>
      <c r="D27" s="41" t="str">
        <f>rearing!F27</f>
        <v>South Africa</v>
      </c>
      <c r="E27" s="41"/>
      <c r="F27" s="41"/>
      <c r="G27" s="42"/>
      <c r="H27" s="43"/>
      <c r="I27" s="41"/>
      <c r="J27" s="43"/>
      <c r="K27" s="41"/>
      <c r="L27" s="41"/>
      <c r="M27" s="41"/>
      <c r="N27" s="41"/>
      <c r="O27" s="41"/>
      <c r="P27" s="41"/>
      <c r="Q27" s="41"/>
      <c r="R27" s="43"/>
      <c r="S27" s="41"/>
      <c r="T27" s="41"/>
      <c r="U27" s="41"/>
      <c r="V27" s="41"/>
      <c r="W27" s="41"/>
      <c r="X27" s="41"/>
      <c r="Y27" s="43"/>
      <c r="Z27" s="41"/>
    </row>
    <row r="28" spans="1:26" s="40" customFormat="1" x14ac:dyDescent="0.2">
      <c r="A28" s="41" t="str">
        <f>rearing!A28</f>
        <v>Siqwepu2020</v>
      </c>
      <c r="B28" s="41" t="str">
        <f>rearing!D28</f>
        <v>Wegevallen Experimental Facility</v>
      </c>
      <c r="C28" s="41" t="str">
        <f>rearing!E28</f>
        <v>Stellenbosch</v>
      </c>
      <c r="D28" s="41" t="str">
        <f>rearing!F28</f>
        <v>South Africa</v>
      </c>
      <c r="E28" s="41"/>
      <c r="F28" s="41"/>
      <c r="G28" s="42"/>
      <c r="H28" s="43"/>
      <c r="I28" s="41"/>
      <c r="J28" s="43"/>
      <c r="K28" s="41"/>
      <c r="L28" s="41"/>
      <c r="M28" s="41"/>
      <c r="N28" s="41"/>
      <c r="O28" s="41"/>
      <c r="P28" s="41"/>
      <c r="Q28" s="41"/>
      <c r="R28" s="43"/>
      <c r="S28" s="41"/>
      <c r="T28" s="41"/>
      <c r="U28" s="41"/>
      <c r="V28" s="41"/>
      <c r="W28" s="41"/>
      <c r="X28" s="41"/>
      <c r="Y28" s="43"/>
      <c r="Z28" s="41"/>
    </row>
    <row r="29" spans="1:26" s="40" customFormat="1" x14ac:dyDescent="0.2">
      <c r="A29" s="41" t="str">
        <f>rearing!A29</f>
        <v>Siqwepu2020</v>
      </c>
      <c r="B29" s="41" t="str">
        <f>rearing!D29</f>
        <v>Wegevallen Experimental Facility</v>
      </c>
      <c r="C29" s="41" t="str">
        <f>rearing!E29</f>
        <v>Stellenbosch</v>
      </c>
      <c r="D29" s="41" t="str">
        <f>rearing!F29</f>
        <v>South Africa</v>
      </c>
      <c r="E29" s="41"/>
      <c r="F29" s="41"/>
      <c r="G29" s="42"/>
      <c r="H29" s="43"/>
      <c r="I29" s="41"/>
      <c r="J29" s="43"/>
      <c r="K29" s="41"/>
      <c r="L29" s="41"/>
      <c r="M29" s="41"/>
      <c r="N29" s="41"/>
      <c r="O29" s="41"/>
      <c r="P29" s="41"/>
      <c r="Q29" s="41"/>
      <c r="R29" s="43"/>
      <c r="S29" s="41"/>
      <c r="T29" s="41"/>
      <c r="U29" s="41"/>
      <c r="V29" s="41"/>
      <c r="W29" s="41"/>
      <c r="X29" s="41"/>
      <c r="Y29" s="43"/>
      <c r="Z29" s="41"/>
    </row>
    <row r="30" spans="1:26" s="40" customFormat="1" x14ac:dyDescent="0.2">
      <c r="A30" s="41" t="str">
        <f>rearing!A30</f>
        <v>Siqwepu2020</v>
      </c>
      <c r="B30" s="41" t="str">
        <f>rearing!D30</f>
        <v>Wegevallen Experimental Facility</v>
      </c>
      <c r="C30" s="41" t="str">
        <f>rearing!E30</f>
        <v>Stellenbosch</v>
      </c>
      <c r="D30" s="41" t="str">
        <f>rearing!F30</f>
        <v>South Africa</v>
      </c>
      <c r="E30" s="41"/>
      <c r="F30" s="41"/>
      <c r="G30" s="42"/>
      <c r="H30" s="43"/>
      <c r="I30" s="41"/>
      <c r="J30" s="43"/>
      <c r="K30" s="41"/>
      <c r="L30" s="41"/>
      <c r="M30" s="41"/>
      <c r="N30" s="41"/>
      <c r="O30" s="41"/>
      <c r="P30" s="41"/>
      <c r="Q30" s="41"/>
      <c r="R30" s="43"/>
      <c r="S30" s="41"/>
      <c r="T30" s="41"/>
      <c r="U30" s="41"/>
      <c r="V30" s="41"/>
      <c r="W30" s="41"/>
      <c r="X30" s="41"/>
      <c r="Y30" s="43"/>
      <c r="Z30" s="41"/>
    </row>
    <row r="31" spans="1:26" s="40" customFormat="1" x14ac:dyDescent="0.2">
      <c r="A31" s="41" t="str">
        <f>rearing!A31</f>
        <v>Siqwepu2020</v>
      </c>
      <c r="B31" s="41" t="str">
        <f>rearing!D31</f>
        <v>Wegevallen Experimental Facility</v>
      </c>
      <c r="C31" s="41" t="str">
        <f>rearing!E31</f>
        <v>Stellenbosch</v>
      </c>
      <c r="D31" s="41" t="str">
        <f>rearing!F31</f>
        <v>South Africa</v>
      </c>
      <c r="E31" s="41"/>
      <c r="F31" s="41"/>
      <c r="G31" s="42"/>
      <c r="H31" s="43"/>
      <c r="I31" s="41"/>
      <c r="J31" s="43"/>
      <c r="K31" s="41"/>
      <c r="L31" s="41"/>
      <c r="M31" s="41"/>
      <c r="N31" s="41"/>
      <c r="O31" s="41"/>
      <c r="P31" s="41"/>
      <c r="Q31" s="41"/>
      <c r="R31" s="43"/>
      <c r="S31" s="41"/>
      <c r="T31" s="41"/>
      <c r="U31" s="41"/>
      <c r="V31" s="41"/>
      <c r="W31" s="41"/>
      <c r="X31" s="41"/>
      <c r="Y31" s="43"/>
      <c r="Z31" s="41"/>
    </row>
    <row r="32" spans="1:26" s="40" customFormat="1" x14ac:dyDescent="0.2">
      <c r="A32" s="41" t="str">
        <f>rearing!A32</f>
        <v>Siqwepu2020</v>
      </c>
      <c r="B32" s="41" t="str">
        <f>rearing!D32</f>
        <v>Wegevallen Experimental Facility</v>
      </c>
      <c r="C32" s="41" t="str">
        <f>rearing!E32</f>
        <v>Stellenbosch</v>
      </c>
      <c r="D32" s="41" t="str">
        <f>rearing!F32</f>
        <v>South Africa</v>
      </c>
      <c r="E32" s="41"/>
      <c r="F32" s="41"/>
      <c r="G32" s="42"/>
      <c r="H32" s="43"/>
      <c r="I32" s="41"/>
      <c r="J32" s="43"/>
      <c r="K32" s="41"/>
      <c r="L32" s="41"/>
      <c r="M32" s="41"/>
      <c r="N32" s="41"/>
      <c r="O32" s="41"/>
      <c r="P32" s="41"/>
      <c r="Q32" s="41"/>
      <c r="R32" s="43"/>
      <c r="S32" s="41"/>
      <c r="T32" s="41"/>
      <c r="U32" s="41"/>
      <c r="V32" s="41"/>
      <c r="W32" s="41"/>
      <c r="X32" s="41"/>
      <c r="Y32" s="43"/>
      <c r="Z32" s="41"/>
    </row>
    <row r="33" spans="1:26" x14ac:dyDescent="0.2">
      <c r="A33" s="7" t="str">
        <f>rearing!A33</f>
        <v>Delaide2021</v>
      </c>
      <c r="B33" s="7" t="str">
        <f>rearing!D33</f>
        <v>Inagro</v>
      </c>
      <c r="C33" s="7" t="str">
        <f>rearing!E33</f>
        <v>Rumbeke-Beitem</v>
      </c>
      <c r="D33" s="7" t="str">
        <f>rearing!F33</f>
        <v>Belgium</v>
      </c>
      <c r="E33" s="74" t="s">
        <v>464</v>
      </c>
      <c r="F33" s="74" t="s">
        <v>322</v>
      </c>
      <c r="H33" s="15">
        <v>8.01</v>
      </c>
      <c r="I33" s="7">
        <v>848</v>
      </c>
      <c r="J33" t="s">
        <v>311</v>
      </c>
      <c r="K33" t="s">
        <v>312</v>
      </c>
      <c r="L33" t="s">
        <v>313</v>
      </c>
      <c r="M33" t="s">
        <v>314</v>
      </c>
      <c r="N33">
        <v>11.4</v>
      </c>
      <c r="O33">
        <v>69</v>
      </c>
      <c r="P33">
        <v>25.2</v>
      </c>
      <c r="Q33">
        <v>145.6</v>
      </c>
      <c r="R33" t="s">
        <v>315</v>
      </c>
      <c r="S33" t="s">
        <v>316</v>
      </c>
      <c r="T33" t="s">
        <v>95</v>
      </c>
      <c r="U33" t="s">
        <v>95</v>
      </c>
      <c r="V33">
        <v>0.16930000000000001</v>
      </c>
      <c r="W33" t="s">
        <v>317</v>
      </c>
      <c r="X33" t="s">
        <v>318</v>
      </c>
      <c r="Y33">
        <v>85.6</v>
      </c>
      <c r="Z33">
        <v>55.75</v>
      </c>
    </row>
    <row r="34" spans="1:26" x14ac:dyDescent="0.2">
      <c r="A34" s="7" t="str">
        <f>rearing!A34</f>
        <v>Delaide2021</v>
      </c>
      <c r="B34" s="7" t="str">
        <f>rearing!D34</f>
        <v>Inagro</v>
      </c>
      <c r="C34" s="7" t="str">
        <f>rearing!E34</f>
        <v>Rumbeke-Beitem</v>
      </c>
      <c r="D34" s="7" t="str">
        <f>rearing!F34</f>
        <v>Belgium</v>
      </c>
      <c r="E34" s="74" t="s">
        <v>464</v>
      </c>
      <c r="F34" s="74" t="s">
        <v>322</v>
      </c>
      <c r="H34" s="15">
        <v>8.01</v>
      </c>
      <c r="I34" s="7">
        <v>848</v>
      </c>
      <c r="J34" t="s">
        <v>311</v>
      </c>
      <c r="K34" t="s">
        <v>312</v>
      </c>
      <c r="L34" t="s">
        <v>313</v>
      </c>
      <c r="M34" t="s">
        <v>314</v>
      </c>
      <c r="N34">
        <v>11.4</v>
      </c>
      <c r="O34">
        <v>69</v>
      </c>
      <c r="P34">
        <v>25.2</v>
      </c>
      <c r="Q34">
        <v>145.6</v>
      </c>
      <c r="R34" t="s">
        <v>315</v>
      </c>
      <c r="S34" t="s">
        <v>316</v>
      </c>
      <c r="T34" t="s">
        <v>95</v>
      </c>
      <c r="U34" t="s">
        <v>95</v>
      </c>
      <c r="V34">
        <v>0.16930000000000001</v>
      </c>
      <c r="W34" t="s">
        <v>317</v>
      </c>
      <c r="X34" t="s">
        <v>318</v>
      </c>
      <c r="Y34">
        <v>85.6</v>
      </c>
      <c r="Z34">
        <v>55.75</v>
      </c>
    </row>
    <row r="35" spans="1:26" x14ac:dyDescent="0.2">
      <c r="A35" s="7" t="str">
        <f>rearing!A35</f>
        <v>Delaide2021</v>
      </c>
      <c r="B35" s="7" t="str">
        <f>rearing!D35</f>
        <v>Inagro</v>
      </c>
      <c r="C35" s="7" t="str">
        <f>rearing!E35</f>
        <v>Rumbeke-Beitem</v>
      </c>
      <c r="D35" s="7" t="str">
        <f>rearing!F35</f>
        <v>Belgium</v>
      </c>
      <c r="E35" s="74" t="s">
        <v>464</v>
      </c>
      <c r="F35" s="74" t="s">
        <v>322</v>
      </c>
      <c r="H35" s="15">
        <v>8.01</v>
      </c>
      <c r="I35" s="7">
        <v>848</v>
      </c>
      <c r="J35" t="s">
        <v>311</v>
      </c>
      <c r="K35" t="s">
        <v>312</v>
      </c>
      <c r="L35" t="s">
        <v>313</v>
      </c>
      <c r="M35" t="s">
        <v>314</v>
      </c>
      <c r="N35">
        <v>11.4</v>
      </c>
      <c r="O35">
        <v>69</v>
      </c>
      <c r="P35">
        <v>25.2</v>
      </c>
      <c r="Q35">
        <v>145.6</v>
      </c>
      <c r="R35" t="s">
        <v>315</v>
      </c>
      <c r="S35" t="s">
        <v>316</v>
      </c>
      <c r="T35" t="s">
        <v>95</v>
      </c>
      <c r="U35" t="s">
        <v>95</v>
      </c>
      <c r="V35">
        <v>0.16930000000000001</v>
      </c>
      <c r="W35" t="s">
        <v>317</v>
      </c>
      <c r="X35" t="s">
        <v>318</v>
      </c>
      <c r="Y35">
        <v>85.6</v>
      </c>
      <c r="Z35">
        <v>55.75</v>
      </c>
    </row>
    <row r="36" spans="1:26" x14ac:dyDescent="0.2">
      <c r="A36" s="7" t="str">
        <f>rearing!A36</f>
        <v>Delaide2021</v>
      </c>
      <c r="B36" s="7" t="str">
        <f>rearing!D36</f>
        <v>Inagro</v>
      </c>
      <c r="C36" s="7" t="str">
        <f>rearing!E36</f>
        <v>Rumbeke-Beitem</v>
      </c>
      <c r="D36" s="7" t="str">
        <f>rearing!F36</f>
        <v>Belgium</v>
      </c>
      <c r="E36" s="74" t="s">
        <v>464</v>
      </c>
      <c r="F36" s="74" t="s">
        <v>322</v>
      </c>
      <c r="H36" s="15">
        <v>8.01</v>
      </c>
      <c r="I36" s="7">
        <v>848</v>
      </c>
      <c r="J36" t="s">
        <v>311</v>
      </c>
      <c r="K36" t="s">
        <v>312</v>
      </c>
      <c r="L36" t="s">
        <v>313</v>
      </c>
      <c r="M36" t="s">
        <v>314</v>
      </c>
      <c r="N36">
        <v>11.4</v>
      </c>
      <c r="O36">
        <v>69</v>
      </c>
      <c r="P36">
        <v>25.2</v>
      </c>
      <c r="Q36">
        <v>145.6</v>
      </c>
      <c r="R36" t="s">
        <v>315</v>
      </c>
      <c r="S36" t="s">
        <v>316</v>
      </c>
      <c r="T36" t="s">
        <v>95</v>
      </c>
      <c r="U36" t="s">
        <v>95</v>
      </c>
      <c r="V36">
        <v>0.16930000000000001</v>
      </c>
      <c r="W36" t="s">
        <v>317</v>
      </c>
      <c r="X36" t="s">
        <v>318</v>
      </c>
      <c r="Y36">
        <v>85.6</v>
      </c>
      <c r="Z36">
        <v>55.75</v>
      </c>
    </row>
    <row r="37" spans="1:26" x14ac:dyDescent="0.2">
      <c r="A37" s="7" t="str">
        <f>rearing!A37</f>
        <v>Delaide2021</v>
      </c>
      <c r="B37" s="7" t="str">
        <f>rearing!D37</f>
        <v>Inagro</v>
      </c>
      <c r="C37" s="7" t="str">
        <f>rearing!E37</f>
        <v>Rumbeke-Beitem</v>
      </c>
      <c r="D37" s="7" t="str">
        <f>rearing!F37</f>
        <v>Belgium</v>
      </c>
      <c r="E37" s="74" t="s">
        <v>464</v>
      </c>
      <c r="F37" s="74" t="s">
        <v>322</v>
      </c>
      <c r="H37" s="15">
        <v>8.01</v>
      </c>
      <c r="I37" s="7">
        <v>848</v>
      </c>
      <c r="J37" t="s">
        <v>311</v>
      </c>
      <c r="K37" t="s">
        <v>312</v>
      </c>
      <c r="L37" t="s">
        <v>313</v>
      </c>
      <c r="M37" t="s">
        <v>314</v>
      </c>
      <c r="N37">
        <v>11.4</v>
      </c>
      <c r="O37">
        <v>69</v>
      </c>
      <c r="P37">
        <v>25.2</v>
      </c>
      <c r="Q37">
        <v>145.6</v>
      </c>
      <c r="R37" t="s">
        <v>315</v>
      </c>
      <c r="S37" t="s">
        <v>316</v>
      </c>
      <c r="T37" t="s">
        <v>95</v>
      </c>
      <c r="U37" t="s">
        <v>95</v>
      </c>
      <c r="V37">
        <v>0.16930000000000001</v>
      </c>
      <c r="W37" t="s">
        <v>317</v>
      </c>
      <c r="X37" t="s">
        <v>318</v>
      </c>
      <c r="Y37">
        <v>85.6</v>
      </c>
      <c r="Z37">
        <v>55.75</v>
      </c>
    </row>
    <row r="38" spans="1:26" x14ac:dyDescent="0.2">
      <c r="A38" s="7" t="str">
        <f>rearing!A38</f>
        <v>Delaide2021</v>
      </c>
      <c r="B38" s="7" t="str">
        <f>rearing!D38</f>
        <v>Inagro</v>
      </c>
      <c r="C38" s="7" t="str">
        <f>rearing!E38</f>
        <v>Rumbeke-Beitem</v>
      </c>
      <c r="D38" s="7" t="str">
        <f>rearing!F38</f>
        <v>Belgium</v>
      </c>
      <c r="E38" s="74" t="s">
        <v>464</v>
      </c>
      <c r="F38" s="74" t="s">
        <v>322</v>
      </c>
      <c r="H38" s="15">
        <v>8.01</v>
      </c>
      <c r="I38" s="7">
        <v>848</v>
      </c>
      <c r="J38" t="s">
        <v>311</v>
      </c>
      <c r="K38" t="s">
        <v>312</v>
      </c>
      <c r="L38" t="s">
        <v>313</v>
      </c>
      <c r="M38" t="s">
        <v>314</v>
      </c>
      <c r="N38">
        <v>11.4</v>
      </c>
      <c r="O38">
        <v>69</v>
      </c>
      <c r="P38">
        <v>25.2</v>
      </c>
      <c r="Q38">
        <v>145.6</v>
      </c>
      <c r="R38" t="s">
        <v>315</v>
      </c>
      <c r="S38" t="s">
        <v>316</v>
      </c>
      <c r="T38" t="s">
        <v>95</v>
      </c>
      <c r="U38" t="s">
        <v>95</v>
      </c>
      <c r="V38">
        <v>0.16930000000000001</v>
      </c>
      <c r="W38" t="s">
        <v>317</v>
      </c>
      <c r="X38" t="s">
        <v>318</v>
      </c>
      <c r="Y38">
        <v>85.6</v>
      </c>
      <c r="Z38">
        <v>55.75</v>
      </c>
    </row>
    <row r="39" spans="1:26" x14ac:dyDescent="0.2">
      <c r="A39" s="7" t="str">
        <f>rearing!A39</f>
        <v>Atique2022</v>
      </c>
      <c r="B39" s="7" t="str">
        <f>rearing!D39</f>
        <v>Tarvaala Bioeconomy campus</v>
      </c>
      <c r="C39" s="7" t="str">
        <f>rearing!E39</f>
        <v>Saarijärvi</v>
      </c>
      <c r="D39" s="7" t="str">
        <f>rearing!F39</f>
        <v>Finland</v>
      </c>
      <c r="E39" s="7" t="s">
        <v>395</v>
      </c>
    </row>
    <row r="40" spans="1:26" x14ac:dyDescent="0.2">
      <c r="A40" s="7" t="str">
        <f>rearing!A40</f>
        <v>Atique2022</v>
      </c>
      <c r="B40" s="7" t="str">
        <f>rearing!D40</f>
        <v>Tarvaala Bioeconomy campus</v>
      </c>
      <c r="C40" s="7" t="str">
        <f>rearing!E40</f>
        <v>Saarijärvi</v>
      </c>
      <c r="D40" s="7" t="str">
        <f>rearing!F40</f>
        <v>Finland</v>
      </c>
      <c r="E40" s="7" t="s">
        <v>395</v>
      </c>
    </row>
    <row r="41" spans="1:26" x14ac:dyDescent="0.2">
      <c r="A41" s="7" t="str">
        <f>rearing!A41</f>
        <v>Atique2022</v>
      </c>
      <c r="B41" s="7" t="str">
        <f>rearing!D41</f>
        <v>Tarvaala Bioeconomy campus</v>
      </c>
      <c r="C41" s="7" t="str">
        <f>rearing!E41</f>
        <v>Saarijärvi</v>
      </c>
      <c r="D41" s="7" t="str">
        <f>rearing!F41</f>
        <v>Finland</v>
      </c>
      <c r="E41" s="7" t="s">
        <v>395</v>
      </c>
    </row>
    <row r="42" spans="1:26" x14ac:dyDescent="0.2">
      <c r="A42" s="7" t="str">
        <f>rearing!A42</f>
        <v>Zhu2022</v>
      </c>
      <c r="B42" s="7" t="str">
        <f>rearing!D42</f>
        <v>Sede Boqer Campus of Ben-Gurion University of Negev</v>
      </c>
      <c r="C42" s="7" t="str">
        <f>rearing!E42</f>
        <v>Beersheba</v>
      </c>
      <c r="D42" s="7" t="str">
        <f>rearing!F42</f>
        <v>Israel</v>
      </c>
    </row>
    <row r="43" spans="1:26" x14ac:dyDescent="0.2">
      <c r="A43" s="7" t="str">
        <f>rearing!A43</f>
        <v>Zhu2022</v>
      </c>
      <c r="B43" s="7" t="str">
        <f>rearing!D43</f>
        <v>Sede Boqer Campus of Ben-Gurion University of Negev</v>
      </c>
      <c r="C43" s="7" t="str">
        <f>rearing!E43</f>
        <v>Beersheba</v>
      </c>
      <c r="D43" s="7" t="str">
        <f>rearing!F43</f>
        <v>Israel</v>
      </c>
    </row>
    <row r="44" spans="1:26" x14ac:dyDescent="0.2">
      <c r="A44" s="7" t="str">
        <f>rearing!A44</f>
        <v>Delaide2019</v>
      </c>
      <c r="B44" s="7" t="str">
        <f>rearing!D44</f>
        <v>Inagro</v>
      </c>
      <c r="C44" s="7" t="str">
        <f>rearing!E44</f>
        <v>Rumbeke-Beitem</v>
      </c>
      <c r="D44" s="7" t="str">
        <f>rearing!F44</f>
        <v>Belgium</v>
      </c>
      <c r="E44" s="74" t="s">
        <v>396</v>
      </c>
      <c r="F44" s="74" t="s">
        <v>322</v>
      </c>
      <c r="H44" s="15">
        <v>8.01</v>
      </c>
      <c r="I44" s="7">
        <v>848</v>
      </c>
      <c r="J44" t="s">
        <v>311</v>
      </c>
      <c r="K44" t="s">
        <v>312</v>
      </c>
      <c r="L44" t="s">
        <v>313</v>
      </c>
      <c r="M44" t="s">
        <v>314</v>
      </c>
      <c r="N44">
        <v>11.4</v>
      </c>
      <c r="O44">
        <v>69</v>
      </c>
      <c r="P44">
        <v>25.2</v>
      </c>
      <c r="Q44">
        <v>145.6</v>
      </c>
      <c r="R44" t="s">
        <v>315</v>
      </c>
      <c r="S44" t="s">
        <v>316</v>
      </c>
      <c r="T44" t="s">
        <v>95</v>
      </c>
      <c r="U44" t="s">
        <v>95</v>
      </c>
      <c r="V44">
        <v>0.16930000000000001</v>
      </c>
      <c r="W44" t="s">
        <v>317</v>
      </c>
      <c r="X44" t="s">
        <v>318</v>
      </c>
      <c r="Y44">
        <v>85.6</v>
      </c>
      <c r="Z44">
        <v>55.75</v>
      </c>
    </row>
    <row r="45" spans="1:26" x14ac:dyDescent="0.2">
      <c r="A45" s="7" t="str">
        <f>rearing!A45</f>
        <v>Delaide2019</v>
      </c>
      <c r="B45" s="7" t="str">
        <f>rearing!D45</f>
        <v>Inagro</v>
      </c>
      <c r="C45" s="7" t="str">
        <f>rearing!E45</f>
        <v>Rumbeke-Beitem</v>
      </c>
      <c r="D45" s="7" t="str">
        <f>rearing!F45</f>
        <v>Belgium</v>
      </c>
      <c r="E45" s="74" t="s">
        <v>396</v>
      </c>
      <c r="F45" s="74" t="s">
        <v>322</v>
      </c>
      <c r="H45" s="15">
        <v>8.01</v>
      </c>
      <c r="I45" s="7">
        <v>848</v>
      </c>
      <c r="J45" t="s">
        <v>311</v>
      </c>
      <c r="K45" t="s">
        <v>312</v>
      </c>
      <c r="L45" t="s">
        <v>313</v>
      </c>
      <c r="M45" t="s">
        <v>314</v>
      </c>
      <c r="N45">
        <v>11.4</v>
      </c>
      <c r="O45">
        <v>69</v>
      </c>
      <c r="P45">
        <v>25.2</v>
      </c>
      <c r="Q45">
        <v>145.6</v>
      </c>
      <c r="R45" t="s">
        <v>315</v>
      </c>
      <c r="S45" t="s">
        <v>316</v>
      </c>
      <c r="T45" t="s">
        <v>95</v>
      </c>
      <c r="U45" t="s">
        <v>95</v>
      </c>
      <c r="V45">
        <v>0.16930000000000001</v>
      </c>
      <c r="W45" t="s">
        <v>317</v>
      </c>
      <c r="X45" t="s">
        <v>318</v>
      </c>
      <c r="Y45">
        <v>85.6</v>
      </c>
      <c r="Z45">
        <v>55.75</v>
      </c>
    </row>
    <row r="46" spans="1:26" x14ac:dyDescent="0.2">
      <c r="A46" s="7" t="str">
        <f>rearing!A46</f>
        <v>Knaus2022</v>
      </c>
      <c r="B46" s="7" t="str">
        <f>rearing!D46</f>
        <v>FishGlassHouse</v>
      </c>
      <c r="C46" s="7" t="str">
        <f>rearing!E46</f>
        <v>Rostock</v>
      </c>
      <c r="D46" s="7" t="str">
        <f>rearing!F46</f>
        <v>Germany</v>
      </c>
      <c r="F46" s="7" t="s">
        <v>320</v>
      </c>
      <c r="G46" s="13">
        <v>2017</v>
      </c>
      <c r="H46">
        <v>7.51</v>
      </c>
      <c r="I46">
        <v>781</v>
      </c>
      <c r="J46">
        <v>0.11</v>
      </c>
      <c r="K46"/>
      <c r="L46">
        <v>10.1</v>
      </c>
      <c r="M46"/>
      <c r="N46">
        <v>4.55</v>
      </c>
      <c r="O46">
        <v>110</v>
      </c>
      <c r="P46">
        <v>9.69</v>
      </c>
      <c r="Q46">
        <v>87.4</v>
      </c>
      <c r="R46" t="s">
        <v>312</v>
      </c>
      <c r="S46"/>
      <c r="T46"/>
      <c r="U46" t="s">
        <v>94</v>
      </c>
    </row>
    <row r="47" spans="1:26" x14ac:dyDescent="0.2">
      <c r="A47" s="7" t="str">
        <f>rearing!A47</f>
        <v>Knaus2022</v>
      </c>
      <c r="B47" s="7" t="str">
        <f>rearing!D47</f>
        <v>FishGlassHouse</v>
      </c>
      <c r="C47" s="7" t="str">
        <f>rearing!E47</f>
        <v>Rostock</v>
      </c>
      <c r="D47" s="7" t="str">
        <f>rearing!F47</f>
        <v>Germany</v>
      </c>
      <c r="F47" s="7" t="s">
        <v>320</v>
      </c>
      <c r="G47" s="13">
        <v>2017</v>
      </c>
      <c r="H47">
        <v>7.51</v>
      </c>
      <c r="I47">
        <v>781</v>
      </c>
      <c r="J47">
        <v>0.11</v>
      </c>
      <c r="K47"/>
      <c r="L47">
        <v>10.1</v>
      </c>
      <c r="M47"/>
      <c r="N47">
        <v>4.55</v>
      </c>
      <c r="O47">
        <v>110</v>
      </c>
      <c r="P47">
        <v>9.69</v>
      </c>
      <c r="Q47">
        <v>87.4</v>
      </c>
      <c r="R47" t="s">
        <v>312</v>
      </c>
      <c r="S47"/>
      <c r="T47"/>
      <c r="U47" t="s">
        <v>94</v>
      </c>
    </row>
    <row r="48" spans="1:26" x14ac:dyDescent="0.2">
      <c r="A48" s="7" t="str">
        <f>rearing!A48</f>
        <v>Knaus2022</v>
      </c>
      <c r="B48" s="7" t="str">
        <f>rearing!D48</f>
        <v>FishGlassHouse</v>
      </c>
      <c r="C48" s="7" t="str">
        <f>rearing!E48</f>
        <v>Rostock</v>
      </c>
      <c r="D48" s="7" t="str">
        <f>rearing!F48</f>
        <v>Germany</v>
      </c>
      <c r="F48" s="7" t="s">
        <v>320</v>
      </c>
      <c r="G48" s="13">
        <v>2017</v>
      </c>
      <c r="H48">
        <v>7.51</v>
      </c>
      <c r="I48">
        <v>781</v>
      </c>
      <c r="J48">
        <v>0.11</v>
      </c>
      <c r="K48"/>
      <c r="L48">
        <v>10.1</v>
      </c>
      <c r="M48"/>
      <c r="N48">
        <v>4.55</v>
      </c>
      <c r="O48">
        <v>110</v>
      </c>
      <c r="P48">
        <v>9.69</v>
      </c>
      <c r="Q48">
        <v>87.4</v>
      </c>
      <c r="R48" t="s">
        <v>312</v>
      </c>
      <c r="S48"/>
      <c r="T48"/>
      <c r="U48" t="s">
        <v>94</v>
      </c>
    </row>
    <row r="49" spans="1:27" x14ac:dyDescent="0.2">
      <c r="A49" s="7" t="str">
        <f>rearing!A49</f>
        <v>Suhl2016</v>
      </c>
      <c r="B49" s="7">
        <f>rearing!D49</f>
        <v>0</v>
      </c>
      <c r="C49" s="7" t="str">
        <f>rearing!E49</f>
        <v>Abtshagen</v>
      </c>
      <c r="D49" s="7" t="str">
        <f>rearing!F49</f>
        <v>Germany</v>
      </c>
      <c r="F49" s="7" t="s">
        <v>321</v>
      </c>
      <c r="G49" s="13">
        <v>2015</v>
      </c>
      <c r="H49">
        <v>7.4</v>
      </c>
      <c r="I49">
        <v>658</v>
      </c>
      <c r="J49" t="s">
        <v>319</v>
      </c>
      <c r="K49" t="s">
        <v>95</v>
      </c>
      <c r="L49">
        <v>0.81</v>
      </c>
      <c r="M49" t="s">
        <v>319</v>
      </c>
      <c r="N49">
        <v>1.56</v>
      </c>
      <c r="O49">
        <v>102</v>
      </c>
      <c r="P49">
        <v>8.02</v>
      </c>
      <c r="Q49">
        <v>79.5</v>
      </c>
      <c r="R49" t="s">
        <v>312</v>
      </c>
      <c r="S49"/>
      <c r="T49" t="s">
        <v>95</v>
      </c>
      <c r="U49" t="s">
        <v>94</v>
      </c>
      <c r="V49">
        <v>0.02</v>
      </c>
      <c r="W49"/>
      <c r="X49" t="s">
        <v>94</v>
      </c>
      <c r="Y49">
        <v>17.8</v>
      </c>
      <c r="Z49">
        <v>48.4</v>
      </c>
    </row>
    <row r="50" spans="1:27" x14ac:dyDescent="0.2">
      <c r="A50" s="7" t="str">
        <f>rearing!A50</f>
        <v>Suhl2016</v>
      </c>
      <c r="B50" s="7">
        <f>rearing!D50</f>
        <v>0</v>
      </c>
      <c r="C50" s="7" t="str">
        <f>rearing!E50</f>
        <v>Abtshagen</v>
      </c>
      <c r="D50" s="7" t="str">
        <f>rearing!F50</f>
        <v>Germany</v>
      </c>
      <c r="F50" s="7" t="s">
        <v>321</v>
      </c>
      <c r="G50" s="13">
        <v>2015</v>
      </c>
      <c r="H50">
        <v>7.4</v>
      </c>
      <c r="I50">
        <v>658</v>
      </c>
      <c r="J50" t="s">
        <v>319</v>
      </c>
      <c r="K50" t="s">
        <v>95</v>
      </c>
      <c r="L50">
        <v>0.81</v>
      </c>
      <c r="M50" t="s">
        <v>319</v>
      </c>
      <c r="N50">
        <v>1.56</v>
      </c>
      <c r="O50">
        <v>102</v>
      </c>
      <c r="P50">
        <v>8.02</v>
      </c>
      <c r="Q50">
        <v>79.5</v>
      </c>
      <c r="R50" t="s">
        <v>312</v>
      </c>
      <c r="S50"/>
      <c r="T50" t="s">
        <v>95</v>
      </c>
      <c r="U50" t="s">
        <v>94</v>
      </c>
      <c r="V50">
        <v>0.02</v>
      </c>
      <c r="W50"/>
      <c r="X50" t="s">
        <v>94</v>
      </c>
      <c r="Y50">
        <v>17.8</v>
      </c>
      <c r="Z50">
        <v>48.4</v>
      </c>
    </row>
    <row r="51" spans="1:27" x14ac:dyDescent="0.2">
      <c r="A51" s="7" t="str">
        <f>rearing!A51</f>
        <v>Medina2016</v>
      </c>
      <c r="B51" s="7" t="str">
        <f>rearing!D51</f>
        <v>Florida International University</v>
      </c>
      <c r="C51" s="7" t="str">
        <f>rearing!E51</f>
        <v>Miami</v>
      </c>
      <c r="D51" s="7" t="str">
        <f>rearing!F51</f>
        <v>USA</v>
      </c>
      <c r="H51">
        <v>8.1999999999999993</v>
      </c>
      <c r="I51"/>
      <c r="J51"/>
      <c r="K51"/>
      <c r="L51"/>
      <c r="M51" t="s">
        <v>323</v>
      </c>
      <c r="N51">
        <v>0.24299999999999999</v>
      </c>
      <c r="O51">
        <v>7.96</v>
      </c>
      <c r="P51">
        <v>0.95499999999999996</v>
      </c>
      <c r="Q51"/>
      <c r="R51">
        <v>1.95E-2</v>
      </c>
      <c r="S51" t="s">
        <v>324</v>
      </c>
      <c r="T51">
        <v>7.9199999999999995E-4</v>
      </c>
      <c r="U51">
        <v>2.3999999999999998E-3</v>
      </c>
      <c r="V51"/>
      <c r="W51" t="s">
        <v>324</v>
      </c>
      <c r="X51" t="s">
        <v>325</v>
      </c>
      <c r="Y51">
        <v>2.36</v>
      </c>
      <c r="Z51">
        <v>1.06</v>
      </c>
      <c r="AA51">
        <v>3.4</v>
      </c>
    </row>
    <row r="52" spans="1:27" x14ac:dyDescent="0.2">
      <c r="A52" s="7" t="str">
        <f>rearing!A52</f>
        <v>Medina2016</v>
      </c>
      <c r="B52" s="7" t="str">
        <f>rearing!D52</f>
        <v>Florida International University</v>
      </c>
      <c r="C52" s="7" t="str">
        <f>rearing!E52</f>
        <v>Miami</v>
      </c>
      <c r="D52" s="7" t="str">
        <f>rearing!F52</f>
        <v>USA</v>
      </c>
      <c r="H52">
        <v>8.1999999999999993</v>
      </c>
      <c r="I52"/>
      <c r="J52"/>
      <c r="K52"/>
      <c r="L52"/>
      <c r="M52" t="s">
        <v>323</v>
      </c>
      <c r="N52">
        <v>0.24299999999999999</v>
      </c>
      <c r="O52">
        <v>7.96</v>
      </c>
      <c r="P52">
        <v>0.95499999999999996</v>
      </c>
      <c r="Q52"/>
      <c r="R52">
        <v>1.95E-2</v>
      </c>
      <c r="S52" t="s">
        <v>324</v>
      </c>
      <c r="T52">
        <v>7.9199999999999995E-4</v>
      </c>
      <c r="U52">
        <v>2.3999999999999998E-3</v>
      </c>
      <c r="V52"/>
      <c r="W52" t="s">
        <v>324</v>
      </c>
      <c r="X52" t="s">
        <v>325</v>
      </c>
      <c r="Y52">
        <v>2.36</v>
      </c>
      <c r="Z52">
        <v>1.06</v>
      </c>
      <c r="AA52">
        <v>3.4</v>
      </c>
    </row>
    <row r="53" spans="1:27" x14ac:dyDescent="0.2">
      <c r="A53" s="7" t="str">
        <f>rearing!A53</f>
        <v>Schmautz2016</v>
      </c>
      <c r="B53" s="7" t="str">
        <f>rearing!D53</f>
        <v>ZHAW</v>
      </c>
      <c r="C53" s="7" t="str">
        <f>rearing!E53</f>
        <v>Wädenswill</v>
      </c>
      <c r="D53" s="7" t="str">
        <f>rearing!F53</f>
        <v>Switzerland</v>
      </c>
      <c r="G53" s="13">
        <v>2014</v>
      </c>
    </row>
    <row r="54" spans="1:27" x14ac:dyDescent="0.2">
      <c r="A54" s="7" t="str">
        <f>rearing!A54</f>
        <v>Schmautz2016</v>
      </c>
      <c r="B54" s="7" t="str">
        <f>rearing!D54</f>
        <v>ZHAW</v>
      </c>
      <c r="C54" s="7" t="str">
        <f>rearing!E54</f>
        <v>Wädenswill</v>
      </c>
      <c r="D54" s="7" t="str">
        <f>rearing!F54</f>
        <v>Switzerland</v>
      </c>
      <c r="G54" s="13">
        <v>2014</v>
      </c>
    </row>
    <row r="55" spans="1:27" x14ac:dyDescent="0.2">
      <c r="A55" s="7" t="str">
        <f>rearing!A55</f>
        <v>Schmautz2016</v>
      </c>
      <c r="B55" s="7" t="str">
        <f>rearing!D55</f>
        <v>ZHAW</v>
      </c>
      <c r="C55" s="7" t="str">
        <f>rearing!E55</f>
        <v>Wädenswill</v>
      </c>
      <c r="D55" s="7" t="str">
        <f>rearing!F55</f>
        <v>Switzerland</v>
      </c>
      <c r="G55" s="13">
        <v>2014</v>
      </c>
    </row>
    <row r="56" spans="1:27" x14ac:dyDescent="0.2">
      <c r="A56" s="7" t="str">
        <f>rearing!A56</f>
        <v>Knaus2020</v>
      </c>
      <c r="B56" s="7" t="str">
        <f>rearing!D56</f>
        <v>FishGlassHouse</v>
      </c>
      <c r="C56" s="7" t="str">
        <f>rearing!E56</f>
        <v>Rostock</v>
      </c>
      <c r="D56" s="7" t="str">
        <f>rearing!F56</f>
        <v>Germany</v>
      </c>
      <c r="F56" s="7" t="s">
        <v>320</v>
      </c>
      <c r="H56">
        <v>7.51</v>
      </c>
      <c r="I56">
        <v>781</v>
      </c>
      <c r="J56">
        <v>0.11</v>
      </c>
      <c r="K56"/>
      <c r="L56">
        <v>10.1</v>
      </c>
      <c r="M56"/>
      <c r="N56">
        <v>4.55</v>
      </c>
      <c r="O56">
        <v>110</v>
      </c>
      <c r="P56">
        <v>9.69</v>
      </c>
      <c r="Q56">
        <v>87.4</v>
      </c>
      <c r="R56" t="s">
        <v>312</v>
      </c>
      <c r="S56"/>
      <c r="T56"/>
      <c r="U56" t="s">
        <v>94</v>
      </c>
    </row>
    <row r="57" spans="1:27" x14ac:dyDescent="0.2">
      <c r="A57" s="7" t="str">
        <f>rearing!A57</f>
        <v>Knaus2020</v>
      </c>
      <c r="B57" s="7" t="str">
        <f>rearing!D57</f>
        <v>FishGlassHouse</v>
      </c>
      <c r="C57" s="7" t="str">
        <f>rearing!E57</f>
        <v>Rostock</v>
      </c>
      <c r="D57" s="7" t="str">
        <f>rearing!F57</f>
        <v>Germany</v>
      </c>
      <c r="F57" s="7" t="s">
        <v>320</v>
      </c>
      <c r="H57">
        <v>7.51</v>
      </c>
      <c r="I57">
        <v>781</v>
      </c>
      <c r="J57">
        <v>0.11</v>
      </c>
      <c r="K57"/>
      <c r="L57">
        <v>10.1</v>
      </c>
      <c r="M57"/>
      <c r="N57">
        <v>4.55</v>
      </c>
      <c r="O57">
        <v>110</v>
      </c>
      <c r="P57">
        <v>9.69</v>
      </c>
      <c r="Q57">
        <v>87.4</v>
      </c>
      <c r="R57" t="s">
        <v>312</v>
      </c>
      <c r="S57"/>
      <c r="T57"/>
      <c r="U57" t="s">
        <v>94</v>
      </c>
    </row>
    <row r="58" spans="1:27" x14ac:dyDescent="0.2">
      <c r="A58" s="7" t="str">
        <f>rearing!A58</f>
        <v>Knaus2020</v>
      </c>
      <c r="B58" s="7" t="str">
        <f>rearing!D58</f>
        <v>FishGlassHouse</v>
      </c>
      <c r="C58" s="7" t="str">
        <f>rearing!E58</f>
        <v>Rostock</v>
      </c>
      <c r="D58" s="7" t="str">
        <f>rearing!F58</f>
        <v>Germany</v>
      </c>
      <c r="F58" s="7" t="s">
        <v>320</v>
      </c>
      <c r="H58">
        <v>7.51</v>
      </c>
      <c r="I58">
        <v>781</v>
      </c>
      <c r="J58">
        <v>0.11</v>
      </c>
      <c r="K58"/>
      <c r="L58">
        <v>10.1</v>
      </c>
      <c r="M58"/>
      <c r="N58">
        <v>4.55</v>
      </c>
      <c r="O58">
        <v>110</v>
      </c>
      <c r="P58">
        <v>9.69</v>
      </c>
      <c r="Q58">
        <v>87.4</v>
      </c>
      <c r="R58" t="s">
        <v>312</v>
      </c>
      <c r="S58"/>
      <c r="T58"/>
      <c r="U58" t="s">
        <v>94</v>
      </c>
    </row>
    <row r="59" spans="1:27" x14ac:dyDescent="0.2">
      <c r="A59" s="7" t="str">
        <f>rearing!A59</f>
        <v>Pasch2021</v>
      </c>
      <c r="B59" s="7" t="str">
        <f>rearing!D59</f>
        <v>FishGlassHouse</v>
      </c>
      <c r="C59" s="7" t="str">
        <f>rearing!E59</f>
        <v>Rostock</v>
      </c>
      <c r="D59" s="7" t="str">
        <f>rearing!F59</f>
        <v>Germany</v>
      </c>
      <c r="F59" s="7" t="s">
        <v>320</v>
      </c>
      <c r="H59">
        <v>7.51</v>
      </c>
      <c r="I59">
        <v>781</v>
      </c>
      <c r="J59">
        <v>0.11</v>
      </c>
      <c r="K59"/>
      <c r="L59">
        <v>10.1</v>
      </c>
      <c r="M59"/>
      <c r="N59">
        <v>4.55</v>
      </c>
      <c r="O59">
        <v>110</v>
      </c>
      <c r="P59">
        <v>9.69</v>
      </c>
      <c r="Q59">
        <v>87.4</v>
      </c>
      <c r="R59" t="s">
        <v>312</v>
      </c>
      <c r="S59"/>
      <c r="T59"/>
      <c r="U59" t="s">
        <v>94</v>
      </c>
    </row>
    <row r="60" spans="1:27" x14ac:dyDescent="0.2">
      <c r="A60" s="7" t="str">
        <f>rearing!A60</f>
        <v>Pasch2021</v>
      </c>
      <c r="B60" s="7" t="str">
        <f>rearing!D60</f>
        <v>FishGlassHouse</v>
      </c>
      <c r="C60" s="7" t="str">
        <f>rearing!E60</f>
        <v>Rostock</v>
      </c>
      <c r="D60" s="7" t="str">
        <f>rearing!F60</f>
        <v>Germany</v>
      </c>
      <c r="F60" s="7" t="s">
        <v>320</v>
      </c>
      <c r="H60">
        <v>7.51</v>
      </c>
      <c r="I60">
        <v>781</v>
      </c>
      <c r="J60">
        <v>0.11</v>
      </c>
      <c r="K60"/>
      <c r="L60">
        <v>10.1</v>
      </c>
      <c r="M60"/>
      <c r="N60">
        <v>4.55</v>
      </c>
      <c r="O60">
        <v>110</v>
      </c>
      <c r="P60">
        <v>9.69</v>
      </c>
      <c r="Q60">
        <v>87.4</v>
      </c>
      <c r="R60" t="s">
        <v>312</v>
      </c>
      <c r="S60"/>
      <c r="T60"/>
      <c r="U60" t="s">
        <v>94</v>
      </c>
    </row>
    <row r="61" spans="1:27" x14ac:dyDescent="0.2">
      <c r="A61" s="7" t="str">
        <f>rearing!A61</f>
        <v>Pasch2021</v>
      </c>
      <c r="B61" s="7" t="str">
        <f>rearing!D61</f>
        <v>FishGlassHouse</v>
      </c>
      <c r="C61" s="7" t="str">
        <f>rearing!E61</f>
        <v>Rostock</v>
      </c>
      <c r="D61" s="7" t="str">
        <f>rearing!F61</f>
        <v>Germany</v>
      </c>
      <c r="F61" s="7" t="s">
        <v>320</v>
      </c>
      <c r="H61">
        <v>7.51</v>
      </c>
      <c r="I61">
        <v>781</v>
      </c>
      <c r="J61">
        <v>0.11</v>
      </c>
      <c r="K61"/>
      <c r="L61">
        <v>10.1</v>
      </c>
      <c r="M61"/>
      <c r="N61">
        <v>4.55</v>
      </c>
      <c r="O61">
        <v>110</v>
      </c>
      <c r="P61">
        <v>9.69</v>
      </c>
      <c r="Q61">
        <v>87.4</v>
      </c>
      <c r="R61" t="s">
        <v>312</v>
      </c>
      <c r="S61"/>
      <c r="T61"/>
      <c r="U61" t="s">
        <v>94</v>
      </c>
    </row>
    <row r="62" spans="1:27" x14ac:dyDescent="0.2">
      <c r="A62" s="7" t="str">
        <f>rearing!A62</f>
        <v>Pasch2021a</v>
      </c>
      <c r="B62" s="7" t="str">
        <f>rearing!D62</f>
        <v>FishGlassHouse</v>
      </c>
      <c r="C62" s="7" t="str">
        <f>rearing!E62</f>
        <v>Rostock</v>
      </c>
      <c r="D62" s="7" t="str">
        <f>rearing!F62</f>
        <v>Germany</v>
      </c>
      <c r="F62" s="7" t="s">
        <v>320</v>
      </c>
      <c r="H62">
        <v>7.51</v>
      </c>
      <c r="I62">
        <v>781</v>
      </c>
      <c r="J62">
        <v>0.11</v>
      </c>
      <c r="K62"/>
      <c r="L62">
        <v>10.1</v>
      </c>
      <c r="M62"/>
      <c r="N62">
        <v>4.55</v>
      </c>
      <c r="O62">
        <v>110</v>
      </c>
      <c r="P62">
        <v>9.69</v>
      </c>
      <c r="Q62">
        <v>87.4</v>
      </c>
      <c r="R62" t="s">
        <v>312</v>
      </c>
      <c r="S62"/>
      <c r="T62"/>
      <c r="U62" t="s">
        <v>94</v>
      </c>
    </row>
    <row r="63" spans="1:27" x14ac:dyDescent="0.2">
      <c r="A63" s="7" t="str">
        <f>rearing!A63</f>
        <v>Pasch2021a</v>
      </c>
      <c r="B63" s="7" t="str">
        <f>rearing!D63</f>
        <v>FishGlassHouse</v>
      </c>
      <c r="C63" s="7" t="str">
        <f>rearing!E63</f>
        <v>Rostock</v>
      </c>
      <c r="D63" s="7" t="str">
        <f>rearing!F63</f>
        <v>Germany</v>
      </c>
      <c r="F63" s="7" t="s">
        <v>320</v>
      </c>
      <c r="H63">
        <v>7.51</v>
      </c>
      <c r="I63">
        <v>781</v>
      </c>
      <c r="J63">
        <v>0.11</v>
      </c>
      <c r="K63"/>
      <c r="L63">
        <v>10.1</v>
      </c>
      <c r="M63"/>
      <c r="N63">
        <v>4.55</v>
      </c>
      <c r="O63">
        <v>110</v>
      </c>
      <c r="P63">
        <v>9.69</v>
      </c>
      <c r="Q63">
        <v>87.4</v>
      </c>
      <c r="R63" t="s">
        <v>312</v>
      </c>
      <c r="S63"/>
      <c r="T63"/>
      <c r="U63" t="s">
        <v>94</v>
      </c>
    </row>
    <row r="64" spans="1:27" x14ac:dyDescent="0.2">
      <c r="A64" s="7" t="str">
        <f>rearing!A64</f>
        <v>Pasch2021a</v>
      </c>
      <c r="B64" s="7" t="str">
        <f>rearing!D64</f>
        <v>FishGlassHouse</v>
      </c>
      <c r="C64" s="7" t="str">
        <f>rearing!E64</f>
        <v>Rostock</v>
      </c>
      <c r="D64" s="7" t="str">
        <f>rearing!F64</f>
        <v>Germany</v>
      </c>
      <c r="F64" s="7" t="s">
        <v>320</v>
      </c>
      <c r="H64">
        <v>7.51</v>
      </c>
      <c r="I64">
        <v>781</v>
      </c>
      <c r="J64">
        <v>0.11</v>
      </c>
      <c r="K64"/>
      <c r="L64">
        <v>10.1</v>
      </c>
      <c r="M64"/>
      <c r="N64">
        <v>4.55</v>
      </c>
      <c r="O64">
        <v>110</v>
      </c>
      <c r="P64">
        <v>9.69</v>
      </c>
      <c r="Q64">
        <v>87.4</v>
      </c>
      <c r="R64" t="s">
        <v>312</v>
      </c>
      <c r="S64"/>
      <c r="T64"/>
      <c r="U64" t="s">
        <v>94</v>
      </c>
    </row>
    <row r="65" spans="1:25" x14ac:dyDescent="0.2">
      <c r="A65" s="7" t="str">
        <f>rearing!A65</f>
        <v>Delaide2017</v>
      </c>
      <c r="B65" s="7" t="str">
        <f>rearing!D65</f>
        <v>PAFF Box University of Liege</v>
      </c>
      <c r="C65" s="7" t="str">
        <f>rearing!E65</f>
        <v>Gembloux</v>
      </c>
      <c r="D65" s="7" t="str">
        <f>rearing!F65</f>
        <v>Belgium</v>
      </c>
      <c r="M65" s="7">
        <f>0.51/0.33</f>
        <v>1.5454545454545454</v>
      </c>
      <c r="N65" s="7">
        <f>0.61</f>
        <v>0.61</v>
      </c>
      <c r="O65" s="7">
        <v>102.97</v>
      </c>
      <c r="P65" s="7">
        <v>17.09</v>
      </c>
      <c r="Q65" s="7">
        <f>31.71/0.33</f>
        <v>96.090909090909093</v>
      </c>
      <c r="S65" s="70">
        <v>29</v>
      </c>
      <c r="T65" s="70">
        <v>1.2999999999999999E-2</v>
      </c>
      <c r="U65" s="70">
        <v>3.0000000000000001E-3</v>
      </c>
      <c r="V65" s="70">
        <v>1.4E-2</v>
      </c>
      <c r="Y65" s="15">
        <v>19.36</v>
      </c>
    </row>
    <row r="66" spans="1:25" x14ac:dyDescent="0.2">
      <c r="A66" s="7" t="str">
        <f>rearing!A66</f>
        <v>Delaide2017</v>
      </c>
      <c r="B66" s="7" t="str">
        <f>rearing!D66</f>
        <v>PAFF Box University of Liege</v>
      </c>
      <c r="C66" s="7" t="str">
        <f>rearing!E66</f>
        <v>Gembloux</v>
      </c>
      <c r="D66" s="7" t="str">
        <f>rearing!F66</f>
        <v>Belgium</v>
      </c>
    </row>
    <row r="67" spans="1:25" x14ac:dyDescent="0.2">
      <c r="A67" s="7" t="str">
        <f>rearing!A67</f>
        <v>Lunda2019</v>
      </c>
      <c r="B67" s="7" t="str">
        <f>rearing!C67</f>
        <v>FROV</v>
      </c>
      <c r="C67" s="7" t="str">
        <f>rearing!E67</f>
        <v>Budweis</v>
      </c>
      <c r="D67" s="7" t="str">
        <f>rearing!F67</f>
        <v>Czech Republic</v>
      </c>
    </row>
    <row r="68" spans="1:25" x14ac:dyDescent="0.2">
      <c r="A68" s="7" t="str">
        <f>rearing!A68</f>
        <v>Lunda2019</v>
      </c>
      <c r="B68" s="7" t="str">
        <f>rearing!C68</f>
        <v>ANAPARTNERS</v>
      </c>
      <c r="C68" s="7" t="str">
        <f>rearing!E68</f>
        <v>Prague</v>
      </c>
      <c r="D68" s="7" t="str">
        <f>rearing!F68</f>
        <v>Czech Republic</v>
      </c>
    </row>
    <row r="69" spans="1:25" x14ac:dyDescent="0.2">
      <c r="A69" s="7" t="str">
        <f>rearing!A69</f>
        <v>Lunda2019</v>
      </c>
      <c r="B69" s="7" t="str">
        <f>rearing!C69</f>
        <v>ROKYTNO</v>
      </c>
      <c r="C69" s="7" t="str">
        <f>rearing!E69</f>
        <v>Rokytno</v>
      </c>
      <c r="D69" s="7" t="str">
        <f>rearing!F69</f>
        <v>Czech Republic</v>
      </c>
    </row>
    <row r="70" spans="1:25" x14ac:dyDescent="0.2">
      <c r="A70" s="7" t="str">
        <f>rearing!A70</f>
        <v>Knaus2017</v>
      </c>
      <c r="B70" s="7" t="str">
        <f>rearing!D70</f>
        <v>FishGlassHouse</v>
      </c>
      <c r="C70" s="7" t="str">
        <f>rearing!E70</f>
        <v>Rostock</v>
      </c>
      <c r="D70" s="7" t="str">
        <f>rearing!F70</f>
        <v>Germany</v>
      </c>
    </row>
    <row r="71" spans="1:25" x14ac:dyDescent="0.2">
      <c r="A71" s="7" t="str">
        <f>rearing!A71</f>
        <v>Knaus2017</v>
      </c>
      <c r="B71" s="7" t="str">
        <f>rearing!D71</f>
        <v>FishGlassHouse</v>
      </c>
      <c r="C71" s="7" t="str">
        <f>rearing!E71</f>
        <v>Rostock</v>
      </c>
      <c r="D71" s="7" t="str">
        <f>rearing!F71</f>
        <v>Germany</v>
      </c>
    </row>
    <row r="72" spans="1:25" x14ac:dyDescent="0.2">
      <c r="A72" s="7" t="str">
        <f>rearing!A72</f>
        <v>Knaus2017</v>
      </c>
      <c r="B72" s="7" t="str">
        <f>rearing!C72</f>
        <v>Unit II</v>
      </c>
      <c r="C72" s="7" t="str">
        <f>rearing!E72</f>
        <v>Rostock</v>
      </c>
      <c r="D72" s="7" t="str">
        <f>rearing!F72</f>
        <v>Germany</v>
      </c>
    </row>
    <row r="73" spans="1:25" x14ac:dyDescent="0.2">
      <c r="A73" s="7" t="str">
        <f>rearing!A73</f>
        <v>Knaus2017</v>
      </c>
      <c r="B73" s="7" t="str">
        <f>rearing!C73</f>
        <v>Unit II</v>
      </c>
      <c r="C73" s="7" t="str">
        <f>rearing!E73</f>
        <v>Rostock</v>
      </c>
      <c r="D73" s="7" t="str">
        <f>rearing!F73</f>
        <v>Germany</v>
      </c>
    </row>
    <row r="74" spans="1:25" x14ac:dyDescent="0.2">
      <c r="A74" s="7" t="str">
        <f>rearing!A74</f>
        <v>Knaus2017a</v>
      </c>
      <c r="B74" s="7" t="str">
        <f>rearing!D74</f>
        <v>FishGlassHouse</v>
      </c>
      <c r="C74" s="7" t="str">
        <f>rearing!E74</f>
        <v>Rostock</v>
      </c>
      <c r="D74" s="7" t="str">
        <f>rearing!F74</f>
        <v>Germany</v>
      </c>
    </row>
    <row r="75" spans="1:25" x14ac:dyDescent="0.2">
      <c r="A75" s="7" t="str">
        <f>rearing!A75</f>
        <v>Knaus2017a</v>
      </c>
      <c r="B75" s="7" t="str">
        <f>rearing!D75</f>
        <v>FishGlassHouse</v>
      </c>
      <c r="C75" s="7" t="str">
        <f>rearing!E75</f>
        <v>Rostock</v>
      </c>
      <c r="D75" s="7" t="str">
        <f>rearing!F75</f>
        <v>Germany</v>
      </c>
    </row>
    <row r="76" spans="1:25" x14ac:dyDescent="0.2">
      <c r="A76" s="7" t="str">
        <f>rearing!A76</f>
        <v>Monsees2019</v>
      </c>
      <c r="B76" s="7" t="str">
        <f>rearing!C76</f>
        <v>Control</v>
      </c>
      <c r="C76" s="7" t="str">
        <f>rearing!E76</f>
        <v>Berlin</v>
      </c>
      <c r="D76" s="7" t="str">
        <f>rearing!F76</f>
        <v>Germany</v>
      </c>
    </row>
    <row r="77" spans="1:25" x14ac:dyDescent="0.2">
      <c r="A77" s="7" t="str">
        <f>rearing!A77</f>
        <v>Monsees2019</v>
      </c>
      <c r="B77" s="7" t="str">
        <f>rearing!C77</f>
        <v>APunt</v>
      </c>
      <c r="C77" s="7" t="str">
        <f>rearing!E77</f>
        <v>Berlin</v>
      </c>
      <c r="D77" s="7" t="str">
        <f>rearing!F77</f>
        <v>Germany</v>
      </c>
    </row>
    <row r="78" spans="1:25" x14ac:dyDescent="0.2">
      <c r="A78" s="7" t="str">
        <f>rearing!A78</f>
        <v>Monsees2019</v>
      </c>
      <c r="B78" s="7" t="str">
        <f>rearing!D78</f>
        <v>IGB</v>
      </c>
      <c r="C78" s="7" t="str">
        <f>rearing!E78</f>
        <v>Berlin</v>
      </c>
      <c r="D78" s="7" t="str">
        <f>rearing!F78</f>
        <v>Germany</v>
      </c>
    </row>
    <row r="79" spans="1:25" x14ac:dyDescent="0.2">
      <c r="A79" s="7" t="str">
        <f>rearing!A79</f>
        <v>Rodgers2022</v>
      </c>
      <c r="B79" s="7">
        <f>rearing!D79</f>
        <v>0</v>
      </c>
      <c r="C79" s="7" t="str">
        <f>rearing!E79</f>
        <v>Ithaca</v>
      </c>
      <c r="D79" s="7" t="str">
        <f>rearing!F79</f>
        <v>USA</v>
      </c>
    </row>
    <row r="80" spans="1:25" x14ac:dyDescent="0.2">
      <c r="A80" s="7" t="str">
        <f>rearing!A80</f>
        <v>Rodgers2022</v>
      </c>
      <c r="B80" s="7" t="str">
        <f>rearing!C80</f>
        <v>DAP</v>
      </c>
      <c r="C80" s="7" t="str">
        <f>rearing!E80</f>
        <v>Ithaca</v>
      </c>
      <c r="D80" s="7" t="str">
        <f>rearing!F80</f>
        <v>USA</v>
      </c>
    </row>
    <row r="81" spans="1:24" x14ac:dyDescent="0.2">
      <c r="A81" s="7" t="str">
        <f>rearing!A81</f>
        <v>Rodgers2022</v>
      </c>
      <c r="B81" s="7" t="str">
        <f>rearing!C81</f>
        <v>DAP+</v>
      </c>
      <c r="C81" s="7" t="str">
        <f>rearing!E81</f>
        <v>Ithaca</v>
      </c>
      <c r="D81" s="7" t="str">
        <f>rearing!F81</f>
        <v>USA</v>
      </c>
    </row>
    <row r="82" spans="1:24" x14ac:dyDescent="0.2">
      <c r="A82" s="7" t="str">
        <f>rearing!A82</f>
        <v>Cerozi2020</v>
      </c>
      <c r="B82" s="7">
        <f>rearing!D82</f>
        <v>0</v>
      </c>
      <c r="C82" s="7">
        <f>rearing!E82</f>
        <v>0</v>
      </c>
      <c r="D82" s="7" t="str">
        <f>rearing!F82</f>
        <v>USA</v>
      </c>
    </row>
    <row r="83" spans="1:24" x14ac:dyDescent="0.2">
      <c r="A83" s="7" t="str">
        <f>rearing!A83</f>
        <v>Khiari2019</v>
      </c>
      <c r="B83" s="7">
        <f>rearing!D83</f>
        <v>0</v>
      </c>
      <c r="C83" s="7" t="str">
        <f>rearing!E83</f>
        <v xml:space="preserve"> </v>
      </c>
      <c r="D83" s="7" t="str">
        <f>rearing!F83</f>
        <v>Canada</v>
      </c>
    </row>
    <row r="84" spans="1:24" x14ac:dyDescent="0.2">
      <c r="A84" s="7" t="str">
        <f>rearing!A84</f>
        <v>Khiari2019</v>
      </c>
      <c r="B84" s="7" t="str">
        <f>rearing!C84</f>
        <v>30_6.0</v>
      </c>
      <c r="C84" s="7">
        <f>rearing!E84</f>
        <v>0</v>
      </c>
      <c r="D84" s="7" t="str">
        <f>rearing!F84</f>
        <v>Canada</v>
      </c>
    </row>
    <row r="85" spans="1:24" x14ac:dyDescent="0.2">
      <c r="A85" s="7" t="str">
        <f>rearing!A85</f>
        <v>Khiari2019</v>
      </c>
      <c r="B85" s="7" t="str">
        <f>rearing!C85</f>
        <v>30_6.5</v>
      </c>
      <c r="C85" s="7">
        <f>rearing!E85</f>
        <v>0</v>
      </c>
      <c r="D85" s="7" t="str">
        <f>rearing!F85</f>
        <v>Canada</v>
      </c>
    </row>
    <row r="86" spans="1:24" x14ac:dyDescent="0.2">
      <c r="A86" s="7" t="str">
        <f>rearing!A86</f>
        <v>Khiari2019</v>
      </c>
      <c r="B86" s="7">
        <f>rearing!D86</f>
        <v>0</v>
      </c>
      <c r="C86" s="7">
        <f>rearing!E86</f>
        <v>0</v>
      </c>
      <c r="D86" s="7" t="str">
        <f>rearing!F86</f>
        <v>Canada</v>
      </c>
    </row>
    <row r="87" spans="1:24" x14ac:dyDescent="0.2">
      <c r="A87" s="7" t="str">
        <f>rearing!A87</f>
        <v>Khiari2019</v>
      </c>
      <c r="B87" s="7">
        <f>rearing!D87</f>
        <v>0</v>
      </c>
      <c r="C87" s="7">
        <f>rearing!E87</f>
        <v>0</v>
      </c>
      <c r="D87" s="7" t="str">
        <f>rearing!F87</f>
        <v>Canada</v>
      </c>
    </row>
    <row r="88" spans="1:24" x14ac:dyDescent="0.2">
      <c r="A88" s="7" t="str">
        <f>rearing!A88</f>
        <v>Khiari2019</v>
      </c>
      <c r="B88" s="7" t="str">
        <f>rearing!C88</f>
        <v>35_6.5</v>
      </c>
      <c r="C88" s="7">
        <f>rearing!E88</f>
        <v>0</v>
      </c>
      <c r="D88" s="7" t="str">
        <f>rearing!F88</f>
        <v>Canada</v>
      </c>
    </row>
    <row r="89" spans="1:24" x14ac:dyDescent="0.2">
      <c r="A89" s="7" t="str">
        <f>rearing!A89</f>
        <v>Khiari2019</v>
      </c>
      <c r="B89" s="7" t="str">
        <f>rearing!C89</f>
        <v>40_5.5</v>
      </c>
      <c r="C89" s="7">
        <f>rearing!E89</f>
        <v>0</v>
      </c>
      <c r="D89" s="7" t="str">
        <f>rearing!F89</f>
        <v>Canada</v>
      </c>
    </row>
    <row r="90" spans="1:24" x14ac:dyDescent="0.2">
      <c r="A90" s="7" t="str">
        <f>rearing!A90</f>
        <v>Khiari2019</v>
      </c>
      <c r="B90" s="7">
        <f>rearing!D90</f>
        <v>0</v>
      </c>
      <c r="C90" s="7">
        <f>rearing!E90</f>
        <v>0</v>
      </c>
      <c r="D90" s="7" t="str">
        <f>rearing!F90</f>
        <v>Canada</v>
      </c>
    </row>
    <row r="91" spans="1:24" x14ac:dyDescent="0.2">
      <c r="A91" s="7" t="str">
        <f>rearing!A91</f>
        <v>Khiari2019</v>
      </c>
      <c r="B91" s="7">
        <f>rearing!D91</f>
        <v>0</v>
      </c>
      <c r="C91" s="7">
        <f>rearing!E91</f>
        <v>0</v>
      </c>
      <c r="D91" s="7" t="str">
        <f>rearing!F91</f>
        <v>Canada</v>
      </c>
    </row>
    <row r="92" spans="1:24" x14ac:dyDescent="0.2">
      <c r="A92" s="7" t="str">
        <f>rearing!A92</f>
        <v>Delaide2018</v>
      </c>
      <c r="B92" s="7" t="str">
        <f>rearing!C92</f>
        <v>ANR</v>
      </c>
      <c r="C92" s="7" t="str">
        <f>rearing!E92</f>
        <v>Zuerich</v>
      </c>
      <c r="D92" s="7" t="str">
        <f>rearing!F92</f>
        <v>Switzerland</v>
      </c>
    </row>
    <row r="93" spans="1:24" x14ac:dyDescent="0.2">
      <c r="A93" s="7" t="str">
        <f>rearing!A93</f>
        <v>Monsees2017</v>
      </c>
      <c r="B93" s="7" t="str">
        <f>rearing!C93</f>
        <v>Exp1_anaerobic</v>
      </c>
      <c r="C93" s="7" t="str">
        <f>rearing!E93</f>
        <v>Berlin</v>
      </c>
      <c r="D93" s="7" t="str">
        <f>rearing!F93</f>
        <v>Germany</v>
      </c>
      <c r="F93" s="7" t="s">
        <v>37</v>
      </c>
      <c r="G93" s="13">
        <v>2021</v>
      </c>
      <c r="H93" s="15">
        <v>7.4</v>
      </c>
      <c r="I93" s="7">
        <v>880</v>
      </c>
      <c r="J93" s="15" t="s">
        <v>92</v>
      </c>
      <c r="L93" s="7">
        <v>1.0580000000000001</v>
      </c>
      <c r="M93" s="7">
        <v>0.02</v>
      </c>
      <c r="N93" s="7">
        <v>6.2</v>
      </c>
      <c r="O93" s="7">
        <v>117</v>
      </c>
      <c r="P93" s="7">
        <v>13.5</v>
      </c>
      <c r="Q93" s="7">
        <v>54.78</v>
      </c>
      <c r="R93" s="15" t="s">
        <v>92</v>
      </c>
      <c r="S93" s="7" t="s">
        <v>93</v>
      </c>
      <c r="T93" s="7" t="s">
        <v>94</v>
      </c>
      <c r="U93" s="7" t="s">
        <v>95</v>
      </c>
      <c r="V93" s="7">
        <v>7.4999999999999997E-2</v>
      </c>
      <c r="X93" s="7" t="s">
        <v>96</v>
      </c>
    </row>
    <row r="94" spans="1:24" x14ac:dyDescent="0.2">
      <c r="A94" s="7" t="str">
        <f>rearing!A94</f>
        <v>Roosta2013</v>
      </c>
      <c r="B94" s="7" t="str">
        <f>rearing!C94</f>
        <v>Rep1</v>
      </c>
      <c r="C94" s="7" t="str">
        <f>rearing!E94</f>
        <v>Rafsanjan</v>
      </c>
      <c r="D94" s="7" t="str">
        <f>rearing!F94</f>
        <v>Iran</v>
      </c>
      <c r="E94" s="7" t="s">
        <v>395</v>
      </c>
    </row>
    <row r="95" spans="1:24" x14ac:dyDescent="0.2">
      <c r="A95" s="7" t="str">
        <f>rearing!A95</f>
        <v>Roosta2013</v>
      </c>
      <c r="B95" s="7" t="str">
        <f>rearing!C95</f>
        <v>Rep2</v>
      </c>
      <c r="C95" s="7" t="str">
        <f>rearing!E95</f>
        <v>Rafsanjan</v>
      </c>
      <c r="D95" s="7" t="str">
        <f>rearing!F95</f>
        <v>Iran</v>
      </c>
      <c r="E95" s="7" t="s">
        <v>395</v>
      </c>
    </row>
    <row r="96" spans="1:24" x14ac:dyDescent="0.2">
      <c r="A96" s="7" t="str">
        <f>rearing!A96</f>
        <v>Roosta2013</v>
      </c>
      <c r="B96" s="7" t="str">
        <f>rearing!C96</f>
        <v>Rep3</v>
      </c>
      <c r="C96" s="7" t="str">
        <f>rearing!E96</f>
        <v>Rafsanjan</v>
      </c>
      <c r="D96" s="7" t="str">
        <f>rearing!F96</f>
        <v>Iran</v>
      </c>
      <c r="E96" s="7" t="s">
        <v>395</v>
      </c>
    </row>
    <row r="97" spans="1:26" x14ac:dyDescent="0.2">
      <c r="A97" s="7" t="str">
        <f>rearing!A97</f>
        <v>Roosta2014</v>
      </c>
      <c r="B97" s="7" t="str">
        <f>rearing!C97</f>
        <v>Rep1</v>
      </c>
      <c r="C97" s="7" t="str">
        <f>rearing!E97</f>
        <v>Rafsanjan</v>
      </c>
      <c r="D97" s="7" t="str">
        <f>rearing!F97</f>
        <v>Iran</v>
      </c>
      <c r="E97" s="7" t="s">
        <v>395</v>
      </c>
    </row>
    <row r="98" spans="1:26" x14ac:dyDescent="0.2">
      <c r="A98" s="7" t="str">
        <f>rearing!A98</f>
        <v>Roosta2014</v>
      </c>
      <c r="B98" s="7" t="str">
        <f>rearing!C98</f>
        <v>Rep2</v>
      </c>
      <c r="C98" s="7" t="str">
        <f>rearing!E98</f>
        <v>Rafsanjan</v>
      </c>
      <c r="D98" s="7" t="str">
        <f>rearing!F98</f>
        <v>Iran</v>
      </c>
      <c r="E98" s="7" t="s">
        <v>395</v>
      </c>
    </row>
    <row r="99" spans="1:26" x14ac:dyDescent="0.2">
      <c r="A99" s="7" t="str">
        <f>rearing!A99</f>
        <v>Roosta2014</v>
      </c>
      <c r="B99" s="7" t="str">
        <f>rearing!C99</f>
        <v>Rep3</v>
      </c>
      <c r="C99" s="7" t="str">
        <f>rearing!E99</f>
        <v>Rafsanjan</v>
      </c>
      <c r="D99" s="7" t="str">
        <f>rearing!F99</f>
        <v>Iran</v>
      </c>
      <c r="E99" s="7" t="s">
        <v>395</v>
      </c>
    </row>
    <row r="100" spans="1:26" x14ac:dyDescent="0.2">
      <c r="A100" s="7" t="str">
        <f>rearing!A100</f>
        <v>Yang2020</v>
      </c>
      <c r="B100" s="7" t="str">
        <f>rearing!C100</f>
        <v>AP_Tomato</v>
      </c>
      <c r="C100" s="7" t="str">
        <f>rearing!E100</f>
        <v>West Lafayette</v>
      </c>
      <c r="D100" s="7" t="str">
        <f>rearing!F100</f>
        <v>USA</v>
      </c>
      <c r="E100" s="7" t="s">
        <v>403</v>
      </c>
      <c r="H100" s="15">
        <v>7.3</v>
      </c>
      <c r="I100" s="7">
        <v>30</v>
      </c>
      <c r="J100" s="15">
        <v>0.02</v>
      </c>
      <c r="L100" s="7">
        <v>0.42</v>
      </c>
      <c r="M100" s="7">
        <v>0.44</v>
      </c>
      <c r="N100" s="7">
        <v>0.34</v>
      </c>
      <c r="O100" s="7">
        <v>2.4500000000000002</v>
      </c>
      <c r="P100" s="7">
        <v>0.59</v>
      </c>
      <c r="Q100" s="7">
        <v>1.24</v>
      </c>
      <c r="Y100" s="15">
        <v>2.76</v>
      </c>
      <c r="Z100" s="7">
        <v>2.2999999999999998</v>
      </c>
    </row>
    <row r="101" spans="1:26" x14ac:dyDescent="0.2">
      <c r="A101" s="7" t="str">
        <f>rearing!A101</f>
        <v>Yang2020</v>
      </c>
      <c r="B101" s="7" t="str">
        <f>rearing!C101</f>
        <v>AP_Basil</v>
      </c>
      <c r="C101" s="7" t="str">
        <f>rearing!E101</f>
        <v>West Lafayette</v>
      </c>
      <c r="D101" s="7" t="str">
        <f>rearing!F101</f>
        <v>USA</v>
      </c>
      <c r="E101" s="7" t="s">
        <v>403</v>
      </c>
      <c r="H101" s="15">
        <v>7.3</v>
      </c>
      <c r="I101" s="7">
        <v>30</v>
      </c>
      <c r="J101" s="15">
        <v>0.02</v>
      </c>
      <c r="L101" s="7">
        <v>0.42</v>
      </c>
      <c r="M101" s="7">
        <v>0.44</v>
      </c>
      <c r="N101" s="7">
        <v>0.34</v>
      </c>
      <c r="O101" s="7">
        <v>2.4500000000000002</v>
      </c>
      <c r="P101" s="7">
        <v>0.59</v>
      </c>
      <c r="Q101" s="7">
        <v>1.24</v>
      </c>
      <c r="Y101" s="15">
        <v>2.76</v>
      </c>
      <c r="Z101" s="7">
        <v>2.2999999999999998</v>
      </c>
    </row>
    <row r="102" spans="1:26" x14ac:dyDescent="0.2">
      <c r="A102" s="7" t="str">
        <f>rearing!A102</f>
        <v>Yang2020</v>
      </c>
      <c r="B102" s="7" t="str">
        <f>rearing!C102</f>
        <v>AP_Lettuce</v>
      </c>
      <c r="C102" s="7" t="str">
        <f>rearing!E102</f>
        <v>West Lafayette</v>
      </c>
      <c r="D102" s="7" t="str">
        <f>rearing!F102</f>
        <v>USA</v>
      </c>
      <c r="E102" s="7" t="s">
        <v>403</v>
      </c>
      <c r="H102" s="15">
        <v>7.3</v>
      </c>
      <c r="I102" s="7">
        <v>30</v>
      </c>
      <c r="J102" s="15">
        <v>0.02</v>
      </c>
      <c r="L102" s="7">
        <v>0.42</v>
      </c>
      <c r="M102" s="7">
        <v>0.44</v>
      </c>
      <c r="N102" s="7">
        <v>0.34</v>
      </c>
      <c r="O102" s="7">
        <v>2.4500000000000002</v>
      </c>
      <c r="P102" s="7">
        <v>0.59</v>
      </c>
      <c r="Q102" s="7">
        <v>1.24</v>
      </c>
      <c r="Y102" s="15">
        <v>2.76</v>
      </c>
      <c r="Z102" s="7">
        <v>2.2999999999999998</v>
      </c>
    </row>
    <row r="103" spans="1:26" x14ac:dyDescent="0.2">
      <c r="A103" s="7" t="str">
        <f>rearing!A103</f>
        <v>Yang2020</v>
      </c>
      <c r="B103" s="7" t="str">
        <f>rearing!C103</f>
        <v>HP_Tomato</v>
      </c>
      <c r="C103" s="7" t="str">
        <f>rearing!E103</f>
        <v>West Lafayette</v>
      </c>
      <c r="D103" s="7" t="str">
        <f>rearing!F103</f>
        <v>USA</v>
      </c>
      <c r="E103" s="7" t="s">
        <v>403</v>
      </c>
      <c r="H103" s="15">
        <v>7.3</v>
      </c>
      <c r="I103" s="7">
        <v>30</v>
      </c>
      <c r="J103" s="15">
        <v>0.02</v>
      </c>
      <c r="L103" s="7">
        <v>0.42</v>
      </c>
      <c r="M103" s="7">
        <v>0.44</v>
      </c>
      <c r="N103" s="7">
        <v>0.34</v>
      </c>
      <c r="O103" s="7">
        <v>2.4500000000000002</v>
      </c>
      <c r="P103" s="7">
        <v>0.59</v>
      </c>
      <c r="Q103" s="7">
        <v>1.24</v>
      </c>
      <c r="Y103" s="15">
        <v>2.76</v>
      </c>
      <c r="Z103" s="7">
        <v>2.2999999999999998</v>
      </c>
    </row>
    <row r="104" spans="1:26" x14ac:dyDescent="0.2">
      <c r="A104" s="7" t="str">
        <f>rearing!A104</f>
        <v>Yang2020</v>
      </c>
      <c r="B104" s="7" t="str">
        <f>rearing!C104</f>
        <v>HP_Basil</v>
      </c>
      <c r="C104" s="7" t="str">
        <f>rearing!E104</f>
        <v>West Lafayette</v>
      </c>
      <c r="D104" s="7" t="str">
        <f>rearing!F104</f>
        <v>USA</v>
      </c>
      <c r="E104" s="7" t="s">
        <v>403</v>
      </c>
      <c r="H104" s="15">
        <v>7.3</v>
      </c>
      <c r="I104" s="7">
        <v>30</v>
      </c>
      <c r="J104" s="15">
        <v>0.02</v>
      </c>
      <c r="L104" s="7">
        <v>0.42</v>
      </c>
      <c r="M104" s="7">
        <v>0.44</v>
      </c>
      <c r="N104" s="7">
        <v>0.34</v>
      </c>
      <c r="O104" s="7">
        <v>2.4500000000000002</v>
      </c>
      <c r="P104" s="7">
        <v>0.59</v>
      </c>
      <c r="Q104" s="7">
        <v>1.24</v>
      </c>
      <c r="Y104" s="15">
        <v>2.76</v>
      </c>
      <c r="Z104" s="7">
        <v>2.2999999999999998</v>
      </c>
    </row>
    <row r="105" spans="1:26" x14ac:dyDescent="0.2">
      <c r="A105" s="7" t="str">
        <f>rearing!A105</f>
        <v>Yang2020</v>
      </c>
      <c r="B105" s="7" t="str">
        <f>rearing!C105</f>
        <v>HP_Lettuce</v>
      </c>
      <c r="C105" s="7" t="str">
        <f>rearing!E105</f>
        <v>West Lafayette</v>
      </c>
      <c r="D105" s="7" t="str">
        <f>rearing!F105</f>
        <v>USA</v>
      </c>
      <c r="E105" s="7" t="s">
        <v>403</v>
      </c>
      <c r="H105" s="15">
        <v>7.3</v>
      </c>
      <c r="I105" s="7">
        <v>30</v>
      </c>
      <c r="J105" s="15">
        <v>0.02</v>
      </c>
      <c r="L105" s="7">
        <v>0.42</v>
      </c>
      <c r="M105" s="7">
        <v>0.44</v>
      </c>
      <c r="N105" s="7">
        <v>0.34</v>
      </c>
      <c r="O105" s="7">
        <v>2.4500000000000002</v>
      </c>
      <c r="P105" s="7">
        <v>0.59</v>
      </c>
      <c r="Q105" s="7">
        <v>1.24</v>
      </c>
      <c r="Y105" s="15">
        <v>2.76</v>
      </c>
      <c r="Z105" s="7">
        <v>2.2999999999999998</v>
      </c>
    </row>
    <row r="106" spans="1:26" x14ac:dyDescent="0.2">
      <c r="A106" s="7" t="str">
        <f>rearing!A106</f>
        <v>Anderson2017</v>
      </c>
      <c r="B106" s="7" t="str">
        <f>rearing!C106</f>
        <v>H5</v>
      </c>
      <c r="C106" s="7" t="str">
        <f>rearing!E106</f>
        <v>Ithaca</v>
      </c>
      <c r="D106" s="7" t="str">
        <f>rearing!F106</f>
        <v>USA</v>
      </c>
    </row>
    <row r="107" spans="1:26" x14ac:dyDescent="0.2">
      <c r="A107" s="7" t="str">
        <f>rearing!A107</f>
        <v>Anderson2017</v>
      </c>
      <c r="B107" s="7" t="str">
        <f>rearing!C107</f>
        <v>H7</v>
      </c>
      <c r="C107" s="7" t="str">
        <f>rearing!E106</f>
        <v>Ithaca</v>
      </c>
      <c r="D107" s="7" t="str">
        <f>rearing!F106</f>
        <v>USA</v>
      </c>
    </row>
    <row r="108" spans="1:26" x14ac:dyDescent="0.2">
      <c r="A108" s="7" t="str">
        <f>rearing!A108</f>
        <v>Anderson2017</v>
      </c>
      <c r="B108" s="7" t="str">
        <f>rearing!C108</f>
        <v>A7</v>
      </c>
      <c r="C108" s="7" t="str">
        <f>rearing!E107</f>
        <v>Ithaca</v>
      </c>
      <c r="D108" s="7" t="str">
        <f>rearing!F107</f>
        <v>USA</v>
      </c>
      <c r="E108" s="7" t="s">
        <v>395</v>
      </c>
    </row>
    <row r="109" spans="1:26" x14ac:dyDescent="0.2">
      <c r="A109" s="7" t="str">
        <f>rearing!A109</f>
        <v>Blanchard2020</v>
      </c>
      <c r="B109" s="7" t="str">
        <f>rearing!C109</f>
        <v>pH7</v>
      </c>
      <c r="C109" s="7" t="str">
        <f>rearing!E108</f>
        <v>Ithaca</v>
      </c>
      <c r="D109" s="7" t="str">
        <f>rearing!F108</f>
        <v>USA</v>
      </c>
    </row>
    <row r="110" spans="1:26" x14ac:dyDescent="0.2">
      <c r="A110" s="7" t="str">
        <f>rearing!A110</f>
        <v>Blanchard2020</v>
      </c>
      <c r="B110" s="7" t="str">
        <f>rearing!C110</f>
        <v>pH6.5</v>
      </c>
      <c r="C110" s="7" t="str">
        <f>rearing!E109</f>
        <v>Auburn</v>
      </c>
      <c r="D110" s="7" t="str">
        <f>rearing!F109</f>
        <v>USA</v>
      </c>
    </row>
    <row r="111" spans="1:26" x14ac:dyDescent="0.2">
      <c r="A111" s="7" t="str">
        <f>rearing!A111</f>
        <v>Blanchard2020</v>
      </c>
      <c r="B111" s="7" t="str">
        <f>rearing!C111</f>
        <v>pH5.8</v>
      </c>
      <c r="C111" s="7" t="str">
        <f>rearing!E110</f>
        <v>Auburn</v>
      </c>
      <c r="D111" s="7" t="str">
        <f>rearing!F110</f>
        <v>USA</v>
      </c>
    </row>
    <row r="112" spans="1:26" x14ac:dyDescent="0.2">
      <c r="A112" s="7" t="str">
        <f>rearing!A112</f>
        <v>Blanchard2020</v>
      </c>
      <c r="B112" s="7" t="str">
        <f>rearing!C112</f>
        <v>pH5</v>
      </c>
      <c r="C112" s="7" t="str">
        <f>rearing!E111</f>
        <v>Auburn</v>
      </c>
      <c r="D112" s="7" t="str">
        <f>rearing!F111</f>
        <v>USA</v>
      </c>
    </row>
    <row r="113" spans="1:4" x14ac:dyDescent="0.2">
      <c r="A113" s="7" t="str">
        <f>rearing!A112</f>
        <v>Blanchard2020</v>
      </c>
      <c r="B113" s="7">
        <f>rearing!D112</f>
        <v>0</v>
      </c>
      <c r="C113" s="7" t="str">
        <f>rearing!E112</f>
        <v>Auburn</v>
      </c>
      <c r="D113" s="7" t="str">
        <f>rearing!F112</f>
        <v>USA</v>
      </c>
    </row>
    <row r="114" spans="1:4" x14ac:dyDescent="0.2">
      <c r="A114" s="7" t="str">
        <f>rearing!A113</f>
        <v>Pinero2020</v>
      </c>
      <c r="B114" s="7">
        <f>rearing!D113</f>
        <v>0</v>
      </c>
      <c r="C114" s="7">
        <f>rearing!E113</f>
        <v>0</v>
      </c>
      <c r="D114" s="7" t="str">
        <f>rearing!F113</f>
        <v>Spain</v>
      </c>
    </row>
    <row r="115" spans="1:4" x14ac:dyDescent="0.2">
      <c r="A115" s="7" t="str">
        <f>rearing!A114</f>
        <v>Pinero2021</v>
      </c>
      <c r="B115" s="7">
        <f>rearing!D114</f>
        <v>0</v>
      </c>
      <c r="C115" s="7">
        <f>rearing!E114</f>
        <v>0</v>
      </c>
      <c r="D115" s="7" t="str">
        <f>rearing!F114</f>
        <v>Spain</v>
      </c>
    </row>
    <row r="116" spans="1:4" x14ac:dyDescent="0.2">
      <c r="A116" s="7" t="str">
        <f>rearing!A115</f>
        <v>Pinero2022</v>
      </c>
      <c r="B116" s="7">
        <f>rearing!D115</f>
        <v>0</v>
      </c>
      <c r="C116" s="7">
        <f>rearing!E115</f>
        <v>0</v>
      </c>
      <c r="D116" s="7" t="str">
        <f>rearing!F115</f>
        <v>Spain</v>
      </c>
    </row>
    <row r="117" spans="1:4" x14ac:dyDescent="0.2">
      <c r="A117" s="7" t="str">
        <f>rearing!A116</f>
        <v>Pinero2023</v>
      </c>
      <c r="B117" s="7">
        <f>rearing!D116</f>
        <v>0</v>
      </c>
      <c r="C117" s="7">
        <f>rearing!E116</f>
        <v>0</v>
      </c>
      <c r="D117" s="7" t="str">
        <f>rearing!F116</f>
        <v>Spain</v>
      </c>
    </row>
  </sheetData>
  <mergeCells count="3">
    <mergeCell ref="R1:X1"/>
    <mergeCell ref="Y1:Z1"/>
    <mergeCell ref="J1:Q1"/>
  </mergeCells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5723-BB38-AE43-A311-8FCC6EC1893E}">
  <sheetPr>
    <tabColor rgb="FF92D050"/>
  </sheetPr>
  <dimension ref="A1:AM118"/>
  <sheetViews>
    <sheetView zoomScale="130" zoomScaleNormal="130" workbookViewId="0">
      <pane xSplit="3" ySplit="2" topLeftCell="E90" activePane="bottomRight" state="frozen"/>
      <selection pane="topRight" activeCell="D1" sqref="D1"/>
      <selection pane="bottomLeft" activeCell="A3" sqref="A3"/>
      <selection pane="bottomRight" activeCell="A117" sqref="A117:XFD120"/>
    </sheetView>
  </sheetViews>
  <sheetFormatPr baseColWidth="10" defaultColWidth="10.83203125" defaultRowHeight="16" x14ac:dyDescent="0.2"/>
  <cols>
    <col min="1" max="3" width="13.83203125" style="7" customWidth="1"/>
    <col min="4" max="4" width="37.1640625" style="7" customWidth="1"/>
    <col min="5" max="5" width="17.1640625" style="7" customWidth="1"/>
    <col min="6" max="6" width="10.5" style="10" customWidth="1"/>
    <col min="7" max="7" width="13.33203125" style="13" customWidth="1"/>
    <col min="8" max="8" width="10.83203125" style="33"/>
    <col min="9" max="12" width="10.83203125" style="10"/>
    <col min="13" max="13" width="10.83203125" style="31"/>
    <col min="14" max="15" width="10.83203125" style="60"/>
    <col min="16" max="16" width="10.83203125" style="17"/>
    <col min="17" max="19" width="10.83203125" style="7"/>
    <col min="20" max="20" width="10.83203125" style="13"/>
    <col min="21" max="21" width="10.83203125" style="17"/>
    <col min="22" max="26" width="10.83203125" style="7"/>
    <col min="27" max="27" width="10.83203125" style="13"/>
    <col min="28" max="28" width="10.83203125" style="17"/>
    <col min="29" max="31" width="10.83203125" style="7"/>
  </cols>
  <sheetData>
    <row r="1" spans="1:39" ht="24" x14ac:dyDescent="0.3">
      <c r="F1" s="7"/>
      <c r="H1" s="96" t="s">
        <v>29</v>
      </c>
      <c r="I1" s="96"/>
      <c r="J1" s="96"/>
      <c r="K1" s="96"/>
      <c r="L1" s="96"/>
      <c r="M1" s="96"/>
      <c r="N1" s="65"/>
      <c r="O1" s="65"/>
      <c r="P1" s="96" t="s">
        <v>0</v>
      </c>
      <c r="Q1" s="96"/>
      <c r="R1" s="96"/>
      <c r="S1" s="96"/>
      <c r="T1" s="96"/>
      <c r="U1" s="96" t="s">
        <v>1</v>
      </c>
      <c r="V1" s="96"/>
      <c r="W1" s="96"/>
      <c r="X1" s="96"/>
      <c r="Y1" s="96"/>
      <c r="Z1" s="96"/>
      <c r="AA1" s="96"/>
      <c r="AB1" s="96" t="s">
        <v>82</v>
      </c>
      <c r="AC1" s="96"/>
      <c r="AD1" s="96"/>
      <c r="AE1" s="96"/>
    </row>
    <row r="2" spans="1:39" s="25" customFormat="1" ht="17" thickBot="1" x14ac:dyDescent="0.25">
      <c r="A2" s="22" t="s">
        <v>2</v>
      </c>
      <c r="B2" s="22" t="str">
        <f>rearing!B2</f>
        <v>Species</v>
      </c>
      <c r="C2" s="22" t="str">
        <f>rearing!C2</f>
        <v>Treatment_ID</v>
      </c>
      <c r="D2" s="22" t="s">
        <v>570</v>
      </c>
      <c r="E2" s="22" t="s">
        <v>571</v>
      </c>
      <c r="F2" s="22" t="s">
        <v>572</v>
      </c>
      <c r="G2" s="36" t="s">
        <v>573</v>
      </c>
      <c r="H2" s="24" t="s">
        <v>574</v>
      </c>
      <c r="I2" s="22" t="s">
        <v>575</v>
      </c>
      <c r="J2" s="22" t="s">
        <v>576</v>
      </c>
      <c r="K2" s="22" t="s">
        <v>577</v>
      </c>
      <c r="L2" s="22" t="s">
        <v>578</v>
      </c>
      <c r="M2" s="23" t="s">
        <v>579</v>
      </c>
      <c r="N2" s="58" t="s">
        <v>580</v>
      </c>
      <c r="O2" s="58" t="s">
        <v>581</v>
      </c>
      <c r="P2" s="24" t="s">
        <v>582</v>
      </c>
      <c r="Q2" s="22" t="s">
        <v>583</v>
      </c>
      <c r="R2" s="22" t="s">
        <v>584</v>
      </c>
      <c r="S2" s="22" t="s">
        <v>585</v>
      </c>
      <c r="T2" s="23" t="s">
        <v>586</v>
      </c>
      <c r="U2" s="24" t="s">
        <v>587</v>
      </c>
      <c r="V2" s="22" t="s">
        <v>588</v>
      </c>
      <c r="W2" s="22" t="s">
        <v>589</v>
      </c>
      <c r="X2" s="22" t="s">
        <v>590</v>
      </c>
      <c r="Y2" s="22" t="s">
        <v>591</v>
      </c>
      <c r="Z2" s="22" t="s">
        <v>592</v>
      </c>
      <c r="AA2" s="23" t="s">
        <v>593</v>
      </c>
      <c r="AB2" s="24" t="s">
        <v>594</v>
      </c>
      <c r="AC2" s="22" t="s">
        <v>595</v>
      </c>
      <c r="AD2" s="22" t="s">
        <v>596</v>
      </c>
      <c r="AE2" s="22" t="s">
        <v>419</v>
      </c>
      <c r="AF2" s="92" t="s">
        <v>420</v>
      </c>
      <c r="AG2" s="92" t="s">
        <v>427</v>
      </c>
      <c r="AH2" s="92" t="s">
        <v>421</v>
      </c>
      <c r="AI2" s="92" t="s">
        <v>422</v>
      </c>
      <c r="AJ2" s="92" t="s">
        <v>423</v>
      </c>
      <c r="AK2" s="92" t="s">
        <v>424</v>
      </c>
      <c r="AL2" s="92" t="s">
        <v>425</v>
      </c>
      <c r="AM2" s="92" t="s">
        <v>426</v>
      </c>
    </row>
    <row r="3" spans="1:39" x14ac:dyDescent="0.2">
      <c r="A3" s="18" t="str">
        <f>rearing!A3</f>
        <v>Monsees2017</v>
      </c>
      <c r="B3" s="18" t="str">
        <f>rearing!B3</f>
        <v>Nile tilapia</v>
      </c>
      <c r="C3" s="18" t="str">
        <f>rearing!C3</f>
        <v>Exp2_aerated</v>
      </c>
      <c r="D3" s="18" t="s">
        <v>18</v>
      </c>
      <c r="E3" s="18"/>
      <c r="F3" s="29">
        <v>8.0000000000000002E-3</v>
      </c>
      <c r="G3" s="37">
        <f>rearing!O3*feedIN!F3</f>
        <v>2.5295999999999998</v>
      </c>
      <c r="H3" s="35">
        <v>1</v>
      </c>
      <c r="I3" s="29">
        <v>0.37</v>
      </c>
      <c r="J3" s="29">
        <v>0.1</v>
      </c>
      <c r="K3" s="29">
        <v>0.38500000000000001</v>
      </c>
      <c r="L3" s="29">
        <v>0.06</v>
      </c>
      <c r="M3" s="34">
        <v>0.03</v>
      </c>
      <c r="N3" s="59"/>
      <c r="O3" s="59"/>
      <c r="P3" s="20">
        <v>1.2</v>
      </c>
      <c r="Q3" s="18"/>
      <c r="R3" s="18"/>
      <c r="S3" s="18"/>
      <c r="T3" s="19"/>
      <c r="U3" s="20"/>
      <c r="V3" s="18"/>
      <c r="W3" s="18"/>
      <c r="X3" s="18"/>
      <c r="Y3" s="18"/>
      <c r="Z3" s="18"/>
      <c r="AA3" s="19"/>
      <c r="AB3" s="20"/>
      <c r="AC3" s="18"/>
      <c r="AD3" s="18"/>
      <c r="AE3" s="18"/>
    </row>
    <row r="4" spans="1:39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  <c r="D4" s="7" t="s">
        <v>18</v>
      </c>
      <c r="F4" s="10">
        <v>8.0000000000000002E-3</v>
      </c>
      <c r="G4" s="38">
        <f>rearing!O4*feedIN!F4</f>
        <v>2.5295999999999998</v>
      </c>
      <c r="H4" s="33">
        <v>1</v>
      </c>
      <c r="I4" s="10">
        <v>0.37</v>
      </c>
      <c r="J4" s="10">
        <v>0.1</v>
      </c>
      <c r="K4" s="10">
        <v>0.38500000000000001</v>
      </c>
      <c r="L4" s="10">
        <v>0.06</v>
      </c>
      <c r="M4" s="31">
        <v>0.03</v>
      </c>
      <c r="P4" s="17">
        <v>1.2</v>
      </c>
    </row>
    <row r="5" spans="1:39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  <c r="G5" s="38"/>
    </row>
    <row r="6" spans="1:39" x14ac:dyDescent="0.2">
      <c r="A6" s="18" t="str">
        <f>rearing!A6</f>
        <v>Goddek2018</v>
      </c>
      <c r="B6" s="18" t="str">
        <f>rearing!B6</f>
        <v>African catfish</v>
      </c>
      <c r="C6" s="18" t="str">
        <f>rearing!C6</f>
        <v>pH+</v>
      </c>
      <c r="D6" s="7" t="s">
        <v>50</v>
      </c>
      <c r="E6" s="7" t="s">
        <v>51</v>
      </c>
      <c r="G6" s="38"/>
      <c r="H6" s="33">
        <v>1</v>
      </c>
      <c r="I6" s="10">
        <v>0.33</v>
      </c>
      <c r="J6" s="10">
        <v>0.08</v>
      </c>
      <c r="K6" s="16">
        <f>1-(I6+J6+L6+M6)</f>
        <v>0.47199999999999998</v>
      </c>
      <c r="L6" s="10">
        <v>0.08</v>
      </c>
      <c r="M6" s="31">
        <v>3.7999999999999999E-2</v>
      </c>
    </row>
    <row r="7" spans="1:39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  <c r="D7" s="7" t="s">
        <v>50</v>
      </c>
      <c r="E7" s="7" t="s">
        <v>51</v>
      </c>
      <c r="G7" s="38"/>
      <c r="H7" s="33">
        <v>1</v>
      </c>
      <c r="I7" s="10">
        <v>0.33</v>
      </c>
      <c r="J7" s="10">
        <v>0.08</v>
      </c>
      <c r="K7" s="16">
        <f>1-(I7+J7+L7+M7)</f>
        <v>0.47199999999999998</v>
      </c>
      <c r="L7" s="10">
        <v>0.08</v>
      </c>
      <c r="M7" s="31">
        <v>3.7999999999999999E-2</v>
      </c>
    </row>
    <row r="8" spans="1:39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  <c r="D8" s="7" t="s">
        <v>49</v>
      </c>
      <c r="E8" s="7" t="s">
        <v>51</v>
      </c>
      <c r="G8" s="38"/>
      <c r="H8" s="33">
        <v>1</v>
      </c>
      <c r="I8" s="10">
        <v>0.4</v>
      </c>
      <c r="J8" s="10">
        <v>0.12</v>
      </c>
      <c r="M8" s="31">
        <v>3.6999999999999998E-2</v>
      </c>
    </row>
    <row r="9" spans="1:39" x14ac:dyDescent="0.2">
      <c r="A9" s="18" t="str">
        <f>rearing!A9</f>
        <v>Seawright1998</v>
      </c>
      <c r="B9" s="18" t="str">
        <f>rearing!B9</f>
        <v>Nile tilapia</v>
      </c>
      <c r="C9" s="18">
        <f>rearing!C9</f>
        <v>1</v>
      </c>
      <c r="D9" s="7" t="s">
        <v>74</v>
      </c>
      <c r="F9" s="10">
        <v>0.05</v>
      </c>
      <c r="G9" s="38"/>
      <c r="H9" s="33">
        <v>0.91700000000000004</v>
      </c>
      <c r="I9" s="10">
        <v>0.41599999999999998</v>
      </c>
      <c r="L9" s="10">
        <v>7.9000000000000001E-2</v>
      </c>
      <c r="P9" s="17">
        <v>1.48</v>
      </c>
      <c r="Q9" s="7">
        <v>1.28</v>
      </c>
      <c r="R9" s="7">
        <v>1.61</v>
      </c>
      <c r="S9" s="7">
        <v>0.3</v>
      </c>
      <c r="U9" s="17">
        <v>544</v>
      </c>
      <c r="V9" s="7">
        <v>384</v>
      </c>
      <c r="W9" s="7">
        <v>18</v>
      </c>
      <c r="X9" s="7">
        <v>161</v>
      </c>
      <c r="AB9" s="17">
        <v>4700</v>
      </c>
    </row>
    <row r="10" spans="1:39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  <c r="D10" s="7" t="s">
        <v>74</v>
      </c>
      <c r="F10" s="10">
        <v>0.05</v>
      </c>
      <c r="G10" s="38"/>
      <c r="H10" s="33">
        <v>0.91700000000000004</v>
      </c>
      <c r="I10" s="10">
        <v>0.41599999999999998</v>
      </c>
      <c r="L10" s="10">
        <v>7.9000000000000001E-2</v>
      </c>
      <c r="P10" s="17">
        <v>1.48</v>
      </c>
      <c r="Q10" s="7">
        <v>1.28</v>
      </c>
      <c r="R10" s="7">
        <v>1.61</v>
      </c>
      <c r="S10" s="7">
        <v>0.3</v>
      </c>
      <c r="U10" s="17">
        <v>544</v>
      </c>
      <c r="V10" s="7">
        <v>384</v>
      </c>
      <c r="W10" s="7">
        <v>18</v>
      </c>
      <c r="X10" s="7">
        <v>161</v>
      </c>
      <c r="AB10" s="17">
        <v>4700</v>
      </c>
    </row>
    <row r="11" spans="1:39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  <c r="D11" s="7" t="s">
        <v>74</v>
      </c>
      <c r="F11" s="10">
        <v>0.05</v>
      </c>
      <c r="G11" s="38"/>
      <c r="H11" s="33">
        <v>0.91700000000000004</v>
      </c>
      <c r="I11" s="10">
        <v>0.41599999999999998</v>
      </c>
      <c r="L11" s="10">
        <v>7.9000000000000001E-2</v>
      </c>
      <c r="P11" s="17">
        <v>1.48</v>
      </c>
      <c r="Q11" s="7">
        <v>1.28</v>
      </c>
      <c r="R11" s="7">
        <v>1.61</v>
      </c>
      <c r="S11" s="7">
        <v>0.3</v>
      </c>
      <c r="U11" s="17">
        <v>544</v>
      </c>
      <c r="V11" s="7">
        <v>384</v>
      </c>
      <c r="W11" s="7">
        <v>18</v>
      </c>
      <c r="X11" s="7">
        <v>161</v>
      </c>
      <c r="AB11" s="17">
        <v>4700</v>
      </c>
    </row>
    <row r="12" spans="1:39" x14ac:dyDescent="0.2">
      <c r="A12" s="18" t="str">
        <f>rearing!A12</f>
        <v>Seawright1998</v>
      </c>
      <c r="B12" s="18" t="str">
        <f>rearing!B12</f>
        <v>Nile tilapia</v>
      </c>
      <c r="C12" s="18">
        <f>rearing!C12</f>
        <v>4</v>
      </c>
      <c r="D12" s="7" t="s">
        <v>74</v>
      </c>
      <c r="F12" s="10">
        <v>0.05</v>
      </c>
      <c r="G12" s="38"/>
      <c r="H12" s="33">
        <v>0.91700000000000004</v>
      </c>
      <c r="I12" s="10">
        <v>0.41599999999999998</v>
      </c>
      <c r="L12" s="10">
        <v>7.9000000000000001E-2</v>
      </c>
      <c r="P12" s="17">
        <v>1.48</v>
      </c>
      <c r="Q12" s="7">
        <v>1.28</v>
      </c>
      <c r="R12" s="7">
        <v>1.61</v>
      </c>
      <c r="S12" s="7">
        <v>0.3</v>
      </c>
      <c r="U12" s="17">
        <v>544</v>
      </c>
      <c r="V12" s="7">
        <v>384</v>
      </c>
      <c r="W12" s="7">
        <v>18</v>
      </c>
      <c r="X12" s="7">
        <v>161</v>
      </c>
      <c r="AB12" s="17">
        <v>4700</v>
      </c>
    </row>
    <row r="13" spans="1:39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E13" s="7" t="s">
        <v>105</v>
      </c>
      <c r="F13" s="10">
        <v>2.5000000000000001E-2</v>
      </c>
      <c r="G13" s="39">
        <f>509/49/1000</f>
        <v>1.0387755102040817E-2</v>
      </c>
      <c r="H13" s="33">
        <v>0.91900000000000004</v>
      </c>
      <c r="I13" s="10">
        <v>0.40300000000000002</v>
      </c>
      <c r="J13" s="10">
        <v>0.11550000000000001</v>
      </c>
      <c r="K13" s="10">
        <v>0.2555</v>
      </c>
      <c r="L13" s="10">
        <v>0.11650000000000001</v>
      </c>
      <c r="M13" s="31">
        <v>2.8500000000000001E-2</v>
      </c>
      <c r="P13" s="17">
        <v>19.12</v>
      </c>
      <c r="Q13" s="7">
        <v>8.57</v>
      </c>
      <c r="R13" s="7">
        <v>26.71</v>
      </c>
      <c r="S13" s="7">
        <v>2.21</v>
      </c>
      <c r="T13" s="13">
        <v>4.99</v>
      </c>
      <c r="U13" s="17">
        <v>310</v>
      </c>
      <c r="V13" s="7">
        <v>89</v>
      </c>
      <c r="W13" s="7">
        <v>15</v>
      </c>
      <c r="X13" s="7">
        <v>47</v>
      </c>
      <c r="AA13" s="13">
        <v>1.1499999999999999</v>
      </c>
      <c r="AB13" s="17">
        <v>3270</v>
      </c>
    </row>
    <row r="14" spans="1:39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E14" s="7" t="s">
        <v>106</v>
      </c>
      <c r="F14" s="10">
        <v>2.5000000000000001E-2</v>
      </c>
      <c r="G14" s="39">
        <f>509/49/1000</f>
        <v>1.0387755102040817E-2</v>
      </c>
      <c r="H14" s="33">
        <v>0.92300000000000004</v>
      </c>
      <c r="I14" s="10">
        <v>0.40350000000000003</v>
      </c>
      <c r="J14" s="10">
        <v>0.111</v>
      </c>
      <c r="K14" s="10">
        <v>0.2455</v>
      </c>
      <c r="L14" s="10">
        <v>8.2500000000000004E-2</v>
      </c>
      <c r="M14" s="31">
        <v>8.0500000000000002E-2</v>
      </c>
      <c r="P14" s="17">
        <v>12.1</v>
      </c>
      <c r="Q14" s="7">
        <v>12.63</v>
      </c>
      <c r="R14" s="7">
        <v>14.22</v>
      </c>
      <c r="S14" s="7">
        <v>3.48</v>
      </c>
      <c r="T14" s="13">
        <v>2.98</v>
      </c>
      <c r="U14" s="17">
        <v>160</v>
      </c>
      <c r="V14" s="7">
        <v>151</v>
      </c>
      <c r="W14" s="7">
        <v>21</v>
      </c>
      <c r="X14" s="7">
        <v>242</v>
      </c>
      <c r="AA14" s="13">
        <v>0.56000000000000005</v>
      </c>
      <c r="AB14" s="17">
        <v>930</v>
      </c>
    </row>
    <row r="15" spans="1:39" x14ac:dyDescent="0.2">
      <c r="A15" s="18" t="str">
        <f>rearing!A15</f>
        <v>Shaw2022a</v>
      </c>
      <c r="B15" s="18" t="str">
        <f>rearing!B15</f>
        <v>Nile tilapia</v>
      </c>
      <c r="C15" s="18" t="str">
        <f>rearing!C15</f>
        <v>PBM</v>
      </c>
      <c r="E15" s="7" t="s">
        <v>51</v>
      </c>
      <c r="F15" s="10">
        <v>2.5000000000000001E-2</v>
      </c>
      <c r="G15" s="39">
        <f>509/49/1000</f>
        <v>1.0387755102040817E-2</v>
      </c>
      <c r="H15" s="33">
        <v>0.91600000000000004</v>
      </c>
      <c r="I15" s="10">
        <v>0.40899999999999997</v>
      </c>
      <c r="J15" s="10">
        <v>0.11600000000000001</v>
      </c>
      <c r="K15" s="10">
        <v>0.30549999999999999</v>
      </c>
      <c r="L15" s="10">
        <v>4.3499999999999997E-2</v>
      </c>
      <c r="M15" s="31">
        <v>4.2000000000000003E-2</v>
      </c>
      <c r="P15" s="17">
        <v>7.83</v>
      </c>
      <c r="Q15" s="7">
        <v>5.95</v>
      </c>
      <c r="R15" s="7">
        <v>5.72</v>
      </c>
      <c r="S15" s="7">
        <v>1.41</v>
      </c>
      <c r="T15" s="13">
        <v>3.43</v>
      </c>
      <c r="U15" s="17">
        <v>850</v>
      </c>
      <c r="V15" s="7">
        <v>55</v>
      </c>
      <c r="W15" s="7">
        <v>14</v>
      </c>
      <c r="X15" s="7">
        <v>5</v>
      </c>
      <c r="AA15" s="13">
        <v>0.46</v>
      </c>
      <c r="AB15" s="17">
        <v>1250</v>
      </c>
    </row>
    <row r="16" spans="1:39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E16" s="7" t="s">
        <v>105</v>
      </c>
      <c r="F16" s="10">
        <v>2.5000000000000001E-2</v>
      </c>
      <c r="G16" s="39">
        <f>509/49/1000</f>
        <v>1.0387755102040817E-2</v>
      </c>
      <c r="H16" s="33">
        <v>0.93049999999999999</v>
      </c>
      <c r="I16" s="10">
        <v>0.437</v>
      </c>
      <c r="J16" s="10">
        <v>0.11849999999999999</v>
      </c>
      <c r="K16" s="10">
        <v>0.23549999999999999</v>
      </c>
      <c r="L16" s="10">
        <v>0.1085</v>
      </c>
      <c r="M16" s="31">
        <v>3.1E-2</v>
      </c>
      <c r="P16" s="17">
        <v>18.64</v>
      </c>
      <c r="Q16" s="7">
        <v>7.68</v>
      </c>
      <c r="R16" s="7">
        <v>2.76</v>
      </c>
      <c r="S16" s="7">
        <v>1.76</v>
      </c>
      <c r="T16" s="13">
        <v>4.34</v>
      </c>
      <c r="U16" s="17">
        <v>130</v>
      </c>
      <c r="V16" s="7">
        <v>92</v>
      </c>
      <c r="W16" s="7">
        <v>18</v>
      </c>
      <c r="X16" s="7">
        <v>46</v>
      </c>
      <c r="AA16" s="13">
        <v>0.7</v>
      </c>
      <c r="AB16" s="17">
        <v>2780</v>
      </c>
    </row>
    <row r="17" spans="1:31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  <c r="D17" s="7" t="s">
        <v>234</v>
      </c>
      <c r="E17" s="7" t="s">
        <v>105</v>
      </c>
      <c r="I17" s="10">
        <v>0.56000000000000005</v>
      </c>
      <c r="J17" s="10">
        <v>0.16</v>
      </c>
    </row>
    <row r="18" spans="1:31" x14ac:dyDescent="0.2">
      <c r="A18" s="18" t="str">
        <f>rearing!A18</f>
        <v>Panana2021</v>
      </c>
      <c r="B18" s="18" t="str">
        <f>rearing!B18</f>
        <v>Pikeperch</v>
      </c>
      <c r="C18" s="18" t="str">
        <f>rearing!C18</f>
        <v>pH-Induced</v>
      </c>
      <c r="D18" s="7" t="s">
        <v>234</v>
      </c>
      <c r="E18" s="7" t="s">
        <v>105</v>
      </c>
      <c r="I18" s="10">
        <v>0.56000000000000005</v>
      </c>
      <c r="J18" s="10">
        <v>0.16</v>
      </c>
    </row>
    <row r="19" spans="1:31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  <c r="D19" s="7" t="s">
        <v>163</v>
      </c>
    </row>
    <row r="20" spans="1:31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  <c r="D20" s="7" t="s">
        <v>163</v>
      </c>
    </row>
    <row r="21" spans="1:31" x14ac:dyDescent="0.2">
      <c r="A21" s="18" t="str">
        <f>rearing!A21</f>
        <v>Monsees2017b</v>
      </c>
      <c r="B21" s="18" t="str">
        <f>rearing!B21</f>
        <v>Nile tilapia</v>
      </c>
      <c r="C21" s="18" t="str">
        <f>rearing!C21</f>
        <v>RAS A</v>
      </c>
      <c r="D21" s="7" t="s">
        <v>18</v>
      </c>
      <c r="F21" s="91">
        <v>1.4999999999999999E-2</v>
      </c>
      <c r="G21" s="13">
        <f>325.6/154</f>
        <v>2.1142857142857143</v>
      </c>
      <c r="H21" s="33">
        <v>1</v>
      </c>
      <c r="I21" s="10">
        <v>0.37</v>
      </c>
      <c r="J21" s="10">
        <v>0.1</v>
      </c>
      <c r="K21" s="10">
        <v>0.38500000000000001</v>
      </c>
      <c r="L21" s="10">
        <v>0.06</v>
      </c>
      <c r="M21" s="31">
        <v>0.03</v>
      </c>
      <c r="P21" s="17">
        <v>1.2</v>
      </c>
    </row>
    <row r="22" spans="1:31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  <c r="D22" s="7" t="s">
        <v>18</v>
      </c>
      <c r="F22" s="91">
        <v>1.4999999999999999E-2</v>
      </c>
      <c r="G22" s="13">
        <f>325.6/154</f>
        <v>2.1142857142857143</v>
      </c>
      <c r="H22" s="33">
        <v>1</v>
      </c>
      <c r="I22" s="10">
        <v>0.37</v>
      </c>
      <c r="J22" s="10">
        <v>0.1</v>
      </c>
      <c r="K22" s="10">
        <v>0.38500000000000001</v>
      </c>
      <c r="L22" s="10">
        <v>0.06</v>
      </c>
      <c r="M22" s="31">
        <v>0.03</v>
      </c>
      <c r="P22" s="17">
        <v>1.2</v>
      </c>
    </row>
    <row r="23" spans="1:31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  <c r="D23" s="7" t="s">
        <v>18</v>
      </c>
      <c r="F23" s="91">
        <v>1.4999999999999999E-2</v>
      </c>
      <c r="G23" s="13">
        <f>325.6/154</f>
        <v>2.1142857142857143</v>
      </c>
      <c r="H23" s="33">
        <v>1</v>
      </c>
      <c r="I23" s="10">
        <v>0.37</v>
      </c>
      <c r="J23" s="10">
        <v>0.1</v>
      </c>
      <c r="K23" s="10">
        <v>0.38500000000000001</v>
      </c>
      <c r="L23" s="10">
        <v>0.06</v>
      </c>
      <c r="M23" s="31">
        <v>0.03</v>
      </c>
      <c r="P23" s="17">
        <v>1.2</v>
      </c>
    </row>
    <row r="24" spans="1:31" x14ac:dyDescent="0.2">
      <c r="A24" s="18" t="str">
        <f>rearing!A24</f>
        <v>Tetreault2021</v>
      </c>
      <c r="B24" s="18" t="str">
        <f>rearing!B24</f>
        <v>Nile tilapia</v>
      </c>
      <c r="C24" s="18" t="str">
        <f>rearing!C24</f>
        <v>AER1</v>
      </c>
      <c r="D24" s="7" t="s">
        <v>173</v>
      </c>
      <c r="E24" s="7" t="s">
        <v>105</v>
      </c>
      <c r="F24" s="10">
        <v>1.2E-2</v>
      </c>
      <c r="G24" s="13">
        <v>1.3</v>
      </c>
      <c r="H24" s="33">
        <v>0.88</v>
      </c>
      <c r="I24" s="10">
        <v>0.4</v>
      </c>
      <c r="J24" s="10">
        <v>0.1</v>
      </c>
      <c r="K24" s="16">
        <f>H24-(I24+J24+M24)</f>
        <v>0.33999999999999997</v>
      </c>
      <c r="L24" s="10">
        <v>0.08</v>
      </c>
      <c r="M24" s="31">
        <v>0.04</v>
      </c>
      <c r="P24" s="17">
        <v>0.97</v>
      </c>
      <c r="Q24" s="7">
        <v>0.96</v>
      </c>
      <c r="R24" s="7">
        <v>1.17</v>
      </c>
      <c r="S24" s="7">
        <v>0.14000000000000001</v>
      </c>
      <c r="T24" s="13">
        <v>0.1024</v>
      </c>
      <c r="U24" s="17">
        <v>209</v>
      </c>
      <c r="V24" s="7">
        <v>89.6</v>
      </c>
      <c r="W24" s="7">
        <v>46.5</v>
      </c>
      <c r="X24" s="7">
        <v>91.8</v>
      </c>
      <c r="Y24" s="7">
        <v>5.9</v>
      </c>
      <c r="Z24" s="7">
        <v>4.13</v>
      </c>
      <c r="AB24" s="17">
        <v>2051</v>
      </c>
      <c r="AD24" s="7">
        <v>0</v>
      </c>
    </row>
    <row r="25" spans="1:31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  <c r="D25" s="7" t="s">
        <v>173</v>
      </c>
      <c r="E25" s="7" t="s">
        <v>105</v>
      </c>
      <c r="F25" s="10">
        <v>1.2E-2</v>
      </c>
      <c r="G25" s="13">
        <v>1.3</v>
      </c>
      <c r="H25" s="33">
        <v>0.88</v>
      </c>
      <c r="I25" s="10">
        <v>0.4</v>
      </c>
      <c r="J25" s="10">
        <v>0.1</v>
      </c>
      <c r="K25" s="16">
        <f>H25-(I25+J25+M25)</f>
        <v>0.33999999999999997</v>
      </c>
      <c r="L25" s="10">
        <v>0.08</v>
      </c>
      <c r="M25" s="31">
        <v>0.04</v>
      </c>
      <c r="P25" s="17">
        <v>0.97</v>
      </c>
      <c r="Q25" s="7">
        <v>0.96</v>
      </c>
      <c r="R25" s="7">
        <v>1.17</v>
      </c>
      <c r="S25" s="7">
        <v>0.14000000000000001</v>
      </c>
      <c r="T25" s="13">
        <v>0.1024</v>
      </c>
      <c r="U25" s="17">
        <v>209</v>
      </c>
      <c r="V25" s="7">
        <v>89.6</v>
      </c>
      <c r="W25" s="7">
        <v>46.5</v>
      </c>
      <c r="X25" s="7">
        <v>91.8</v>
      </c>
      <c r="Y25" s="7">
        <v>5.9</v>
      </c>
      <c r="Z25" s="7">
        <v>4.13</v>
      </c>
      <c r="AB25" s="17">
        <v>2051</v>
      </c>
      <c r="AD25" s="7">
        <v>0</v>
      </c>
    </row>
    <row r="26" spans="1:31" s="40" customFormat="1" x14ac:dyDescent="0.2">
      <c r="A26" s="41" t="str">
        <f>rearing!A26</f>
        <v>Siqwepu2020</v>
      </c>
      <c r="B26" s="41" t="str">
        <f>rearing!B26</f>
        <v>African catfish</v>
      </c>
      <c r="C26" s="41" t="str">
        <f>rearing!C26</f>
        <v>FeSO4-20</v>
      </c>
      <c r="D26" s="41" t="s">
        <v>195</v>
      </c>
      <c r="E26" s="41" t="s">
        <v>51</v>
      </c>
      <c r="F26" s="44"/>
      <c r="G26" s="42"/>
      <c r="H26" s="45">
        <v>0.94499999999999995</v>
      </c>
      <c r="I26" s="44">
        <v>0.37</v>
      </c>
      <c r="J26" s="44">
        <v>0.114</v>
      </c>
      <c r="K26" s="44">
        <v>0.36699999999999999</v>
      </c>
      <c r="L26" s="44">
        <v>9.4E-2</v>
      </c>
      <c r="M26" s="46">
        <v>2.4E-2</v>
      </c>
      <c r="N26" s="62"/>
      <c r="O26" s="62"/>
      <c r="P26" s="47"/>
      <c r="Q26" s="41"/>
      <c r="R26" s="41"/>
      <c r="S26" s="41"/>
      <c r="T26" s="42"/>
      <c r="U26" s="47"/>
      <c r="V26" s="41"/>
      <c r="W26" s="41"/>
      <c r="X26" s="41"/>
      <c r="Y26" s="41"/>
      <c r="Z26" s="41"/>
      <c r="AA26" s="42"/>
      <c r="AB26" s="47"/>
      <c r="AC26" s="41"/>
      <c r="AD26" s="41"/>
      <c r="AE26" s="41"/>
    </row>
    <row r="27" spans="1:31" s="40" customFormat="1" x14ac:dyDescent="0.2">
      <c r="A27" s="48" t="str">
        <f>rearing!A27</f>
        <v>Siqwepu2020</v>
      </c>
      <c r="B27" s="48" t="str">
        <f>rearing!B27</f>
        <v>African catfish</v>
      </c>
      <c r="C27" s="48" t="str">
        <f>rearing!C27</f>
        <v>FeSO4-30</v>
      </c>
      <c r="D27" s="41" t="s">
        <v>195</v>
      </c>
      <c r="E27" s="41" t="s">
        <v>51</v>
      </c>
      <c r="F27" s="44"/>
      <c r="G27" s="42"/>
      <c r="H27" s="45">
        <v>0.95199999999999996</v>
      </c>
      <c r="I27" s="44">
        <v>0.37</v>
      </c>
      <c r="J27" s="44">
        <v>0.112</v>
      </c>
      <c r="K27" s="44">
        <v>0.37</v>
      </c>
      <c r="L27" s="44">
        <v>0.1</v>
      </c>
      <c r="M27" s="46">
        <v>2.3E-2</v>
      </c>
      <c r="N27" s="62"/>
      <c r="O27" s="62"/>
      <c r="P27" s="47"/>
      <c r="Q27" s="41"/>
      <c r="R27" s="41"/>
      <c r="S27" s="41"/>
      <c r="T27" s="42"/>
      <c r="U27" s="47"/>
      <c r="V27" s="41"/>
      <c r="W27" s="41"/>
      <c r="X27" s="41"/>
      <c r="Y27" s="41"/>
      <c r="Z27" s="41"/>
      <c r="AA27" s="42"/>
      <c r="AB27" s="47"/>
      <c r="AC27" s="41"/>
      <c r="AD27" s="41"/>
      <c r="AE27" s="41"/>
    </row>
    <row r="28" spans="1:31" s="40" customFormat="1" x14ac:dyDescent="0.2">
      <c r="A28" s="41" t="str">
        <f>rearing!A28</f>
        <v>Siqwepu2020</v>
      </c>
      <c r="B28" s="41" t="str">
        <f>rearing!B28</f>
        <v>African catfish</v>
      </c>
      <c r="C28" s="41" t="str">
        <f>rearing!C28</f>
        <v>FeSO4-60</v>
      </c>
      <c r="D28" s="41" t="s">
        <v>195</v>
      </c>
      <c r="E28" s="41" t="s">
        <v>51</v>
      </c>
      <c r="F28" s="44"/>
      <c r="G28" s="42"/>
      <c r="H28" s="45">
        <v>0.95399999999999996</v>
      </c>
      <c r="I28" s="44">
        <v>0.38</v>
      </c>
      <c r="J28" s="44">
        <v>0.112</v>
      </c>
      <c r="K28" s="44">
        <v>0.36899999999999999</v>
      </c>
      <c r="L28" s="44">
        <v>9.2999999999999999E-2</v>
      </c>
      <c r="M28" s="46">
        <v>2.5999999999999999E-2</v>
      </c>
      <c r="N28" s="62"/>
      <c r="O28" s="62"/>
      <c r="P28" s="47"/>
      <c r="Q28" s="41"/>
      <c r="R28" s="41"/>
      <c r="S28" s="41"/>
      <c r="T28" s="42"/>
      <c r="U28" s="47"/>
      <c r="V28" s="41"/>
      <c r="W28" s="41"/>
      <c r="X28" s="41"/>
      <c r="Y28" s="41"/>
      <c r="Z28" s="41"/>
      <c r="AA28" s="42"/>
      <c r="AB28" s="47"/>
      <c r="AC28" s="41"/>
      <c r="AD28" s="41"/>
      <c r="AE28" s="41"/>
    </row>
    <row r="29" spans="1:31" s="40" customFormat="1" x14ac:dyDescent="0.2">
      <c r="A29" s="41" t="str">
        <f>rearing!A29</f>
        <v>Siqwepu2020</v>
      </c>
      <c r="B29" s="41" t="str">
        <f>rearing!B29</f>
        <v>African catfish</v>
      </c>
      <c r="C29" s="41" t="str">
        <f>rearing!C29</f>
        <v>FeAA-5</v>
      </c>
      <c r="D29" s="41" t="s">
        <v>195</v>
      </c>
      <c r="E29" s="41" t="s">
        <v>51</v>
      </c>
      <c r="F29" s="44"/>
      <c r="G29" s="42"/>
      <c r="H29" s="45">
        <v>0.94299999999999995</v>
      </c>
      <c r="I29" s="44">
        <v>0.37</v>
      </c>
      <c r="J29" s="44">
        <v>0.11</v>
      </c>
      <c r="K29" s="44">
        <v>0.372</v>
      </c>
      <c r="L29" s="44">
        <v>9.0999999999999998E-2</v>
      </c>
      <c r="M29" s="46">
        <v>2.5000000000000001E-2</v>
      </c>
      <c r="N29" s="62"/>
      <c r="O29" s="62"/>
      <c r="P29" s="47"/>
      <c r="Q29" s="41"/>
      <c r="R29" s="41"/>
      <c r="S29" s="41"/>
      <c r="T29" s="42"/>
      <c r="U29" s="47"/>
      <c r="V29" s="41"/>
      <c r="W29" s="41"/>
      <c r="X29" s="41"/>
      <c r="Y29" s="41"/>
      <c r="Z29" s="41"/>
      <c r="AA29" s="42"/>
      <c r="AB29" s="47"/>
      <c r="AC29" s="41"/>
      <c r="AD29" s="41"/>
      <c r="AE29" s="41"/>
    </row>
    <row r="30" spans="1:31" s="40" customFormat="1" x14ac:dyDescent="0.2">
      <c r="A30" s="48" t="str">
        <f>rearing!A30</f>
        <v>Siqwepu2020</v>
      </c>
      <c r="B30" s="48" t="str">
        <f>rearing!B30</f>
        <v>African catfish</v>
      </c>
      <c r="C30" s="48" t="str">
        <f>rearing!C30</f>
        <v>FeAA-10</v>
      </c>
      <c r="D30" s="41" t="s">
        <v>195</v>
      </c>
      <c r="E30" s="41" t="s">
        <v>51</v>
      </c>
      <c r="F30" s="44"/>
      <c r="G30" s="42"/>
      <c r="H30" s="45">
        <v>0.92</v>
      </c>
      <c r="I30" s="44">
        <v>0.37</v>
      </c>
      <c r="J30" s="44">
        <v>0.107</v>
      </c>
      <c r="K30" s="44">
        <v>0.34799999999999998</v>
      </c>
      <c r="L30" s="44">
        <v>9.5000000000000001E-2</v>
      </c>
      <c r="M30" s="46">
        <v>2.5999999999999999E-2</v>
      </c>
      <c r="N30" s="62"/>
      <c r="O30" s="62"/>
      <c r="P30" s="47"/>
      <c r="Q30" s="41"/>
      <c r="R30" s="41"/>
      <c r="S30" s="41"/>
      <c r="T30" s="42"/>
      <c r="U30" s="47"/>
      <c r="V30" s="41"/>
      <c r="W30" s="41"/>
      <c r="X30" s="41"/>
      <c r="Y30" s="41"/>
      <c r="Z30" s="41"/>
      <c r="AA30" s="42"/>
      <c r="AB30" s="47"/>
      <c r="AC30" s="41"/>
      <c r="AD30" s="41"/>
      <c r="AE30" s="41"/>
    </row>
    <row r="31" spans="1:31" s="40" customFormat="1" x14ac:dyDescent="0.2">
      <c r="A31" s="41" t="str">
        <f>rearing!A31</f>
        <v>Siqwepu2020</v>
      </c>
      <c r="B31" s="41" t="str">
        <f>rearing!B31</f>
        <v>African catfish</v>
      </c>
      <c r="C31" s="41" t="str">
        <f>rearing!C31</f>
        <v>FeAA-20</v>
      </c>
      <c r="D31" s="41" t="s">
        <v>195</v>
      </c>
      <c r="E31" s="41" t="s">
        <v>51</v>
      </c>
      <c r="F31" s="44"/>
      <c r="G31" s="42"/>
      <c r="H31" s="45">
        <v>0.92</v>
      </c>
      <c r="I31" s="44">
        <v>0.37</v>
      </c>
      <c r="J31" s="44">
        <v>0.109</v>
      </c>
      <c r="K31" s="44">
        <v>0.35</v>
      </c>
      <c r="L31" s="44">
        <v>9.0999999999999998E-2</v>
      </c>
      <c r="M31" s="46">
        <v>2.1000000000000001E-2</v>
      </c>
      <c r="N31" s="62"/>
      <c r="O31" s="62"/>
      <c r="P31" s="47"/>
      <c r="Q31" s="41"/>
      <c r="R31" s="41"/>
      <c r="S31" s="41"/>
      <c r="T31" s="42"/>
      <c r="U31" s="47"/>
      <c r="V31" s="41"/>
      <c r="W31" s="41"/>
      <c r="X31" s="41"/>
      <c r="Y31" s="41"/>
      <c r="Z31" s="41"/>
      <c r="AA31" s="42"/>
      <c r="AB31" s="47"/>
      <c r="AC31" s="41"/>
      <c r="AD31" s="41"/>
      <c r="AE31" s="41"/>
    </row>
    <row r="32" spans="1:31" s="40" customFormat="1" x14ac:dyDescent="0.2">
      <c r="A32" s="41" t="str">
        <f>rearing!A32</f>
        <v>Siqwepu2020</v>
      </c>
      <c r="B32" s="41" t="str">
        <f>rearing!B32</f>
        <v>African catfish</v>
      </c>
      <c r="C32" s="41" t="str">
        <f>rearing!C32</f>
        <v>Control</v>
      </c>
      <c r="D32" s="41" t="s">
        <v>195</v>
      </c>
      <c r="E32" s="41" t="s">
        <v>51</v>
      </c>
      <c r="F32" s="44"/>
      <c r="G32" s="42"/>
      <c r="H32" s="45">
        <v>0.93400000000000005</v>
      </c>
      <c r="I32" s="44">
        <v>0.38</v>
      </c>
      <c r="J32" s="44">
        <v>0.10299999999999999</v>
      </c>
      <c r="K32" s="44">
        <v>0.36499999999999999</v>
      </c>
      <c r="L32" s="44">
        <v>8.5999999999999993E-2</v>
      </c>
      <c r="M32" s="46">
        <v>2.3E-2</v>
      </c>
      <c r="N32" s="62"/>
      <c r="O32" s="62"/>
      <c r="P32" s="47"/>
      <c r="Q32" s="41"/>
      <c r="R32" s="41"/>
      <c r="S32" s="41"/>
      <c r="T32" s="42"/>
      <c r="U32" s="47"/>
      <c r="V32" s="41"/>
      <c r="W32" s="41"/>
      <c r="X32" s="41"/>
      <c r="Y32" s="41"/>
      <c r="Z32" s="41"/>
      <c r="AA32" s="42"/>
      <c r="AB32" s="47"/>
      <c r="AC32" s="41"/>
      <c r="AD32" s="41"/>
      <c r="AE32" s="41"/>
    </row>
    <row r="33" spans="1:39" x14ac:dyDescent="0.2">
      <c r="A33" s="18" t="str">
        <f>rearing!A33</f>
        <v>Delaide2021</v>
      </c>
      <c r="B33" s="18" t="str">
        <f>rearing!B33</f>
        <v>Pikeperch</v>
      </c>
      <c r="C33" s="18" t="str">
        <f>rearing!C33</f>
        <v>AE</v>
      </c>
      <c r="D33" s="7" t="s">
        <v>234</v>
      </c>
      <c r="E33" s="7" t="s">
        <v>105</v>
      </c>
      <c r="I33" s="10">
        <v>0.56000000000000005</v>
      </c>
      <c r="J33" s="10">
        <v>0.16</v>
      </c>
      <c r="AM33" s="40"/>
    </row>
    <row r="34" spans="1:39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  <c r="D34" s="7" t="s">
        <v>234</v>
      </c>
      <c r="E34" s="7" t="s">
        <v>105</v>
      </c>
      <c r="I34" s="10">
        <v>0.56000000000000005</v>
      </c>
      <c r="J34" s="10">
        <v>0.16</v>
      </c>
      <c r="AM34" s="40"/>
    </row>
    <row r="35" spans="1:39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  <c r="D35" s="7" t="s">
        <v>234</v>
      </c>
      <c r="E35" s="7" t="s">
        <v>105</v>
      </c>
      <c r="I35" s="10">
        <v>0.56000000000000005</v>
      </c>
      <c r="J35" s="10">
        <v>0.16</v>
      </c>
      <c r="AM35" s="40"/>
    </row>
    <row r="36" spans="1:39" x14ac:dyDescent="0.2">
      <c r="A36" s="18" t="str">
        <f>rearing!A36</f>
        <v>Delaide2021</v>
      </c>
      <c r="B36" s="18" t="str">
        <f>rearing!B36</f>
        <v>Pikeperch</v>
      </c>
      <c r="C36" s="18" t="str">
        <f>rearing!C36</f>
        <v>AE-NPK</v>
      </c>
      <c r="D36" s="7" t="s">
        <v>234</v>
      </c>
      <c r="E36" s="7" t="s">
        <v>105</v>
      </c>
      <c r="I36" s="10">
        <v>0.56000000000000005</v>
      </c>
      <c r="J36" s="10">
        <v>0.16</v>
      </c>
      <c r="AM36" s="40"/>
    </row>
    <row r="37" spans="1:39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  <c r="D37" s="7" t="s">
        <v>234</v>
      </c>
      <c r="E37" s="7" t="s">
        <v>105</v>
      </c>
      <c r="I37" s="10">
        <v>0.56000000000000005</v>
      </c>
      <c r="J37" s="10">
        <v>0.16</v>
      </c>
      <c r="AM37" s="40"/>
    </row>
    <row r="38" spans="1:39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  <c r="D38" s="7" t="s">
        <v>234</v>
      </c>
      <c r="E38" s="7" t="s">
        <v>105</v>
      </c>
      <c r="I38" s="10">
        <v>0.56000000000000005</v>
      </c>
      <c r="J38" s="10">
        <v>0.16</v>
      </c>
      <c r="AM38" s="40"/>
    </row>
    <row r="39" spans="1:39" x14ac:dyDescent="0.2">
      <c r="A39" s="18" t="str">
        <f>rearing!A39</f>
        <v>Atique2022</v>
      </c>
      <c r="B39" s="18" t="str">
        <f>rearing!B39</f>
        <v>Rainbow trout</v>
      </c>
      <c r="C39" s="18" t="str">
        <f>rearing!C39</f>
        <v>RAS</v>
      </c>
    </row>
    <row r="40" spans="1:39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39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39" x14ac:dyDescent="0.2">
      <c r="A42" s="18" t="str">
        <f>rearing!A42</f>
        <v>Zhu2022</v>
      </c>
      <c r="B42" s="18" t="str">
        <f>rearing!B42</f>
        <v>African catfish</v>
      </c>
      <c r="C42" s="18" t="str">
        <f>rearing!C42</f>
        <v>Aquaponic</v>
      </c>
      <c r="D42" s="7" t="s">
        <v>232</v>
      </c>
      <c r="E42" s="7" t="s">
        <v>105</v>
      </c>
      <c r="F42" s="10">
        <v>0.02</v>
      </c>
      <c r="H42" s="33">
        <v>0.9</v>
      </c>
      <c r="I42" s="10">
        <v>0.45</v>
      </c>
      <c r="J42" s="10">
        <v>0.12</v>
      </c>
      <c r="K42" s="16">
        <f>1-(I42+J42+L42+M42)</f>
        <v>0.28999999999999992</v>
      </c>
      <c r="L42" s="10">
        <v>0.1</v>
      </c>
      <c r="M42" s="31">
        <v>0.04</v>
      </c>
      <c r="N42" s="60">
        <v>19.399999999999999</v>
      </c>
      <c r="O42" s="60">
        <v>16.3</v>
      </c>
      <c r="P42" s="17">
        <v>13</v>
      </c>
    </row>
    <row r="43" spans="1:39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  <c r="D43" s="7" t="s">
        <v>232</v>
      </c>
      <c r="E43" s="7" t="s">
        <v>105</v>
      </c>
      <c r="F43" s="10">
        <v>0.02</v>
      </c>
      <c r="H43" s="33">
        <v>0.9</v>
      </c>
      <c r="I43" s="10">
        <v>0.45</v>
      </c>
      <c r="J43" s="10">
        <v>0.12</v>
      </c>
      <c r="K43" s="16">
        <f>1-(I43+J43+L43+M43)</f>
        <v>0.28999999999999992</v>
      </c>
      <c r="L43" s="10">
        <v>0.1</v>
      </c>
      <c r="M43" s="31">
        <v>0.04</v>
      </c>
      <c r="N43" s="60">
        <v>19.399999999999999</v>
      </c>
      <c r="O43" s="60">
        <v>16.3</v>
      </c>
      <c r="P43" s="17">
        <v>13</v>
      </c>
    </row>
    <row r="44" spans="1:39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  <c r="D44" s="7" t="s">
        <v>234</v>
      </c>
      <c r="E44" s="7" t="s">
        <v>105</v>
      </c>
      <c r="I44" s="10">
        <v>0.56000000000000005</v>
      </c>
      <c r="J44" s="10">
        <v>0.16</v>
      </c>
    </row>
    <row r="45" spans="1:39" x14ac:dyDescent="0.2">
      <c r="A45" s="18" t="str">
        <f>rearing!A45</f>
        <v>Delaide2019</v>
      </c>
      <c r="B45" s="18" t="str">
        <f>rearing!B45</f>
        <v>Pikeperch</v>
      </c>
      <c r="C45" s="18" t="str">
        <f>rearing!C45</f>
        <v>Control</v>
      </c>
      <c r="D45" s="7" t="s">
        <v>234</v>
      </c>
      <c r="E45" s="7" t="s">
        <v>105</v>
      </c>
      <c r="I45" s="10">
        <v>0.56000000000000005</v>
      </c>
      <c r="J45" s="10">
        <v>0.16</v>
      </c>
    </row>
    <row r="46" spans="1:39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  <c r="D46" s="7" t="s">
        <v>250</v>
      </c>
      <c r="F46" s="16">
        <v>9.7599999999999996E-3</v>
      </c>
      <c r="G46" s="68">
        <f>F46*rearing!O46</f>
        <v>0.67163815384615377</v>
      </c>
      <c r="I46" s="10">
        <v>0.44</v>
      </c>
      <c r="J46" s="10">
        <v>0.14000000000000001</v>
      </c>
      <c r="L46" s="10">
        <v>8.5000000000000006E-2</v>
      </c>
      <c r="M46" s="31">
        <v>1.4E-2</v>
      </c>
      <c r="P46" s="17">
        <v>12</v>
      </c>
      <c r="R46" s="7">
        <v>20</v>
      </c>
      <c r="U46" s="17">
        <v>42</v>
      </c>
      <c r="V46" s="7">
        <v>200</v>
      </c>
      <c r="W46" s="7">
        <v>5</v>
      </c>
      <c r="X46" s="7">
        <v>16</v>
      </c>
      <c r="AB46" s="17">
        <v>5000</v>
      </c>
    </row>
    <row r="47" spans="1:39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  <c r="D47" s="7" t="s">
        <v>250</v>
      </c>
      <c r="F47" s="16">
        <v>9.7599999999999996E-3</v>
      </c>
      <c r="G47" s="68">
        <f>F47*rearing!O47</f>
        <v>0.67163815384615377</v>
      </c>
      <c r="I47" s="10">
        <v>0.44</v>
      </c>
      <c r="J47" s="10">
        <v>0.14000000000000001</v>
      </c>
      <c r="L47" s="10">
        <v>8.5000000000000006E-2</v>
      </c>
      <c r="M47" s="31">
        <v>1.4E-2</v>
      </c>
      <c r="P47" s="17">
        <v>12</v>
      </c>
      <c r="R47" s="7">
        <v>20</v>
      </c>
      <c r="U47" s="17">
        <v>42</v>
      </c>
      <c r="V47" s="7">
        <v>200</v>
      </c>
      <c r="W47" s="7">
        <v>5</v>
      </c>
      <c r="X47" s="7">
        <v>16</v>
      </c>
      <c r="AB47" s="17">
        <v>5000</v>
      </c>
    </row>
    <row r="48" spans="1:39" x14ac:dyDescent="0.2">
      <c r="A48" s="18" t="str">
        <f>rearing!A48</f>
        <v>Knaus2022</v>
      </c>
      <c r="B48" s="18" t="str">
        <f>rearing!B48</f>
        <v>African catfish</v>
      </c>
      <c r="C48" s="18" t="str">
        <f>rearing!C48</f>
        <v>GrowPipe</v>
      </c>
      <c r="D48" s="7" t="s">
        <v>250</v>
      </c>
      <c r="F48" s="16">
        <v>9.7599999999999996E-3</v>
      </c>
      <c r="G48" s="68">
        <f>F48*rearing!O48</f>
        <v>0.67163815384615377</v>
      </c>
      <c r="I48" s="10">
        <v>0.44</v>
      </c>
      <c r="J48" s="10">
        <v>0.14000000000000001</v>
      </c>
      <c r="L48" s="10">
        <v>8.5000000000000006E-2</v>
      </c>
      <c r="M48" s="31">
        <v>1.4E-2</v>
      </c>
      <c r="P48" s="17">
        <v>12</v>
      </c>
      <c r="R48" s="7">
        <v>20</v>
      </c>
      <c r="U48" s="17">
        <v>42</v>
      </c>
      <c r="V48" s="7">
        <v>200</v>
      </c>
      <c r="W48" s="7">
        <v>5</v>
      </c>
      <c r="X48" s="7">
        <v>16</v>
      </c>
      <c r="AB48" s="17">
        <v>5000</v>
      </c>
    </row>
    <row r="49" spans="1:28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  <c r="F49" s="16">
        <v>1.55E-2</v>
      </c>
      <c r="G49" s="68">
        <f>F49*rearing!O49</f>
        <v>2.31012</v>
      </c>
    </row>
    <row r="50" spans="1:28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  <c r="F50" s="16">
        <v>1.55E-2</v>
      </c>
      <c r="G50" s="68">
        <f>F50*rearing!O50</f>
        <v>2.31012</v>
      </c>
    </row>
    <row r="51" spans="1:28" x14ac:dyDescent="0.2">
      <c r="A51" s="18" t="str">
        <f>rearing!A51</f>
        <v>Medina2016</v>
      </c>
      <c r="B51" s="18" t="str">
        <f>rearing!B51</f>
        <v>Blue tilapia</v>
      </c>
      <c r="C51" s="18" t="str">
        <f>rearing!C51</f>
        <v>Control</v>
      </c>
      <c r="E51" s="7" t="s">
        <v>105</v>
      </c>
      <c r="F51" s="16">
        <v>6.4500000000000002E-2</v>
      </c>
      <c r="H51" s="33">
        <v>0.88</v>
      </c>
      <c r="I51" s="10">
        <v>0.4</v>
      </c>
      <c r="J51" s="10">
        <v>0.1</v>
      </c>
      <c r="P51" s="17">
        <v>11.2</v>
      </c>
    </row>
    <row r="52" spans="1:28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  <c r="E52" s="7" t="s">
        <v>51</v>
      </c>
      <c r="F52" s="16">
        <v>6.4500000000000002E-2</v>
      </c>
      <c r="H52" s="33">
        <v>0.92</v>
      </c>
      <c r="I52" s="10">
        <v>0.32</v>
      </c>
      <c r="J52" s="10">
        <v>4.6800000000000001E-2</v>
      </c>
      <c r="P52" s="17">
        <v>4</v>
      </c>
    </row>
    <row r="53" spans="1:28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28" x14ac:dyDescent="0.2">
      <c r="A54" s="18" t="str">
        <f>rearing!A54</f>
        <v>Schmautz2016</v>
      </c>
      <c r="B54" s="18" t="str">
        <f>rearing!B54</f>
        <v>Nile tilapia</v>
      </c>
      <c r="C54" s="18" t="str">
        <f>rearing!C54</f>
        <v>Raft</v>
      </c>
    </row>
    <row r="55" spans="1:28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28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  <c r="D56" s="7" t="s">
        <v>250</v>
      </c>
      <c r="F56" s="16">
        <v>1.5900000000000001E-2</v>
      </c>
      <c r="I56" s="10">
        <v>0.44</v>
      </c>
      <c r="J56" s="10">
        <v>0.14000000000000001</v>
      </c>
      <c r="L56" s="10">
        <v>8.5000000000000006E-2</v>
      </c>
      <c r="M56" s="31">
        <v>1.4E-2</v>
      </c>
      <c r="P56" s="17">
        <v>12</v>
      </c>
      <c r="R56" s="7">
        <v>20</v>
      </c>
      <c r="U56" s="17">
        <v>42</v>
      </c>
      <c r="V56" s="7">
        <v>200</v>
      </c>
      <c r="W56" s="7">
        <v>5</v>
      </c>
      <c r="X56" s="7">
        <v>16</v>
      </c>
      <c r="AB56" s="17">
        <v>5000</v>
      </c>
    </row>
    <row r="57" spans="1:28" x14ac:dyDescent="0.2">
      <c r="A57" s="18" t="str">
        <f>rearing!A57</f>
        <v>Knaus2020</v>
      </c>
      <c r="B57" s="18" t="str">
        <f>rearing!B57</f>
        <v>African catfish</v>
      </c>
      <c r="C57" s="18" t="str">
        <f>rearing!C57</f>
        <v>Raft</v>
      </c>
      <c r="D57" s="7" t="s">
        <v>250</v>
      </c>
      <c r="F57" s="16">
        <v>1.5900000000000001E-2</v>
      </c>
      <c r="I57" s="10">
        <v>0.44</v>
      </c>
      <c r="J57" s="10">
        <v>0.14000000000000001</v>
      </c>
      <c r="L57" s="10">
        <v>8.5000000000000006E-2</v>
      </c>
      <c r="M57" s="31">
        <v>1.4E-2</v>
      </c>
      <c r="P57" s="17">
        <v>12</v>
      </c>
      <c r="R57" s="7">
        <v>20</v>
      </c>
      <c r="U57" s="17">
        <v>42</v>
      </c>
      <c r="V57" s="7">
        <v>200</v>
      </c>
      <c r="W57" s="7">
        <v>5</v>
      </c>
      <c r="X57" s="7">
        <v>16</v>
      </c>
      <c r="AB57" s="17">
        <v>5000</v>
      </c>
    </row>
    <row r="58" spans="1:28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  <c r="D58" s="7" t="s">
        <v>250</v>
      </c>
      <c r="F58" s="16">
        <v>1.5900000000000001E-2</v>
      </c>
      <c r="I58" s="10">
        <v>0.44</v>
      </c>
      <c r="J58" s="10">
        <v>0.14000000000000001</v>
      </c>
      <c r="L58" s="10">
        <v>8.5000000000000006E-2</v>
      </c>
      <c r="M58" s="31">
        <v>1.4E-2</v>
      </c>
      <c r="P58" s="17">
        <v>12</v>
      </c>
      <c r="R58" s="7">
        <v>20</v>
      </c>
      <c r="U58" s="17">
        <v>42</v>
      </c>
      <c r="V58" s="7">
        <v>200</v>
      </c>
      <c r="W58" s="7">
        <v>5</v>
      </c>
      <c r="X58" s="7">
        <v>16</v>
      </c>
      <c r="AB58" s="17">
        <v>5000</v>
      </c>
    </row>
    <row r="59" spans="1:28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  <c r="D59" s="7" t="s">
        <v>301</v>
      </c>
      <c r="I59" s="10">
        <v>0.42</v>
      </c>
      <c r="J59" s="10">
        <v>0.13</v>
      </c>
      <c r="K59" s="16">
        <f t="shared" ref="K59:K64" si="0">1-(I59+J59+L59+M59)</f>
        <v>0.35499999999999998</v>
      </c>
      <c r="L59" s="10">
        <v>7.9000000000000001E-2</v>
      </c>
      <c r="M59" s="31">
        <v>1.6E-2</v>
      </c>
      <c r="N59" s="60">
        <v>20.100000000000001</v>
      </c>
      <c r="O59" s="60">
        <v>17.5</v>
      </c>
      <c r="P59" s="17">
        <v>11.3</v>
      </c>
    </row>
    <row r="60" spans="1:28" x14ac:dyDescent="0.2">
      <c r="A60" s="18" t="str">
        <f>rearing!A60</f>
        <v>Pasch2021</v>
      </c>
      <c r="B60" s="18" t="str">
        <f>rearing!B60</f>
        <v>African catfish</v>
      </c>
      <c r="C60" s="18" t="str">
        <f>rearing!C60</f>
        <v>DRF</v>
      </c>
      <c r="D60" s="7" t="s">
        <v>301</v>
      </c>
      <c r="I60" s="10">
        <v>0.42</v>
      </c>
      <c r="J60" s="10">
        <v>0.13</v>
      </c>
      <c r="K60" s="16">
        <f t="shared" si="0"/>
        <v>0.35499999999999998</v>
      </c>
      <c r="L60" s="10">
        <v>7.9000000000000001E-2</v>
      </c>
      <c r="M60" s="31">
        <v>1.6E-2</v>
      </c>
      <c r="N60" s="60">
        <v>20.100000000000001</v>
      </c>
      <c r="O60" s="60">
        <v>17.5</v>
      </c>
      <c r="P60" s="17">
        <v>11.3</v>
      </c>
    </row>
    <row r="61" spans="1:28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  <c r="D61" s="7" t="s">
        <v>301</v>
      </c>
      <c r="I61" s="10">
        <v>0.42</v>
      </c>
      <c r="J61" s="10">
        <v>0.13</v>
      </c>
      <c r="K61" s="16">
        <f t="shared" si="0"/>
        <v>0.35499999999999998</v>
      </c>
      <c r="L61" s="10">
        <v>7.9000000000000001E-2</v>
      </c>
      <c r="M61" s="31">
        <v>1.6E-2</v>
      </c>
      <c r="N61" s="60">
        <v>20.100000000000001</v>
      </c>
      <c r="O61" s="60">
        <v>17.5</v>
      </c>
      <c r="P61" s="17">
        <v>11.3</v>
      </c>
    </row>
    <row r="62" spans="1:28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  <c r="D62" s="7" t="s">
        <v>301</v>
      </c>
      <c r="I62" s="10">
        <v>0.42</v>
      </c>
      <c r="J62" s="10">
        <v>0.13</v>
      </c>
      <c r="K62" s="16">
        <f t="shared" si="0"/>
        <v>0.35499999999999998</v>
      </c>
      <c r="L62" s="10">
        <v>7.9000000000000001E-2</v>
      </c>
      <c r="M62" s="31">
        <v>1.6E-2</v>
      </c>
      <c r="N62" s="60">
        <v>20.100000000000001</v>
      </c>
      <c r="O62" s="60">
        <v>17.5</v>
      </c>
      <c r="P62" s="17">
        <v>11.3</v>
      </c>
    </row>
    <row r="63" spans="1:28" x14ac:dyDescent="0.2">
      <c r="A63" s="18" t="str">
        <f>rearing!A63</f>
        <v>Pasch2021a</v>
      </c>
      <c r="B63" s="18" t="str">
        <f>rearing!B63</f>
        <v>African catfish</v>
      </c>
      <c r="C63" s="18" t="str">
        <f>rearing!C63</f>
        <v>Raft</v>
      </c>
      <c r="D63" s="7" t="s">
        <v>301</v>
      </c>
      <c r="I63" s="10">
        <v>0.42</v>
      </c>
      <c r="J63" s="10">
        <v>0.13</v>
      </c>
      <c r="K63" s="16">
        <f t="shared" si="0"/>
        <v>0.35499999999999998</v>
      </c>
      <c r="L63" s="10">
        <v>7.9000000000000001E-2</v>
      </c>
      <c r="M63" s="31">
        <v>1.6E-2</v>
      </c>
      <c r="N63" s="60">
        <v>20.100000000000001</v>
      </c>
      <c r="O63" s="60">
        <v>17.5</v>
      </c>
      <c r="P63" s="17">
        <v>11.3</v>
      </c>
    </row>
    <row r="64" spans="1:28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  <c r="D64" s="7" t="s">
        <v>301</v>
      </c>
      <c r="I64" s="10">
        <v>0.42</v>
      </c>
      <c r="J64" s="10">
        <v>0.13</v>
      </c>
      <c r="K64" s="16">
        <f t="shared" si="0"/>
        <v>0.35499999999999998</v>
      </c>
      <c r="L64" s="10">
        <v>7.9000000000000001E-2</v>
      </c>
      <c r="M64" s="31">
        <v>1.6E-2</v>
      </c>
      <c r="N64" s="60">
        <v>20.100000000000001</v>
      </c>
      <c r="O64" s="60">
        <v>17.5</v>
      </c>
      <c r="P64" s="17">
        <v>11.3</v>
      </c>
    </row>
    <row r="65" spans="1:38" x14ac:dyDescent="0.2">
      <c r="A65" s="18" t="str">
        <f>rearing!A65</f>
        <v>Delaide2017</v>
      </c>
      <c r="B65" s="18" t="str">
        <f>rearing!B65</f>
        <v>Nile tilapia</v>
      </c>
      <c r="C65" s="18" t="str">
        <f>rearing!C65</f>
        <v>Lettuce</v>
      </c>
      <c r="D65" s="7" t="s">
        <v>49</v>
      </c>
      <c r="E65" s="7" t="s">
        <v>51</v>
      </c>
      <c r="F65" s="16">
        <v>1.7999999999999999E-2</v>
      </c>
      <c r="G65" s="68">
        <f>F65*rearing!O65</f>
        <v>0.26604000000000005</v>
      </c>
      <c r="H65" s="33">
        <v>1</v>
      </c>
      <c r="I65" s="10">
        <v>0.4</v>
      </c>
      <c r="J65" s="10">
        <v>0.12</v>
      </c>
      <c r="M65" s="31">
        <v>3.6999999999999998E-2</v>
      </c>
      <c r="P65" s="17">
        <v>8.33</v>
      </c>
      <c r="Q65" s="7">
        <v>9.69</v>
      </c>
      <c r="R65" s="7">
        <v>5.41</v>
      </c>
      <c r="S65" s="7">
        <v>2.6</v>
      </c>
      <c r="T65" s="13">
        <v>4.5999999999999996</v>
      </c>
      <c r="U65" s="17">
        <v>270.8</v>
      </c>
      <c r="V65" s="7">
        <v>88.7</v>
      </c>
      <c r="W65" s="7">
        <v>16.399999999999999</v>
      </c>
      <c r="X65" s="7">
        <v>49.1</v>
      </c>
      <c r="Y65" s="7">
        <v>6.4</v>
      </c>
      <c r="AB65" s="17">
        <v>2840</v>
      </c>
    </row>
    <row r="66" spans="1:38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  <c r="D66" s="7" t="s">
        <v>49</v>
      </c>
      <c r="E66" s="7" t="s">
        <v>51</v>
      </c>
      <c r="F66" s="16">
        <v>1.7999999999999999E-2</v>
      </c>
      <c r="G66" s="68">
        <f>F66*rearing!O66</f>
        <v>0.26604000000000005</v>
      </c>
      <c r="H66" s="33">
        <v>1</v>
      </c>
      <c r="I66" s="10">
        <v>0.4</v>
      </c>
      <c r="J66" s="10">
        <v>0.12</v>
      </c>
      <c r="M66" s="31">
        <v>3.6999999999999998E-2</v>
      </c>
      <c r="P66" s="17">
        <v>8.33</v>
      </c>
      <c r="Q66" s="7">
        <v>9.69</v>
      </c>
      <c r="R66" s="7">
        <v>5.41</v>
      </c>
      <c r="S66" s="7">
        <v>2.6</v>
      </c>
      <c r="T66" s="13">
        <v>4.5999999999999996</v>
      </c>
      <c r="U66" s="17">
        <v>270.8</v>
      </c>
      <c r="V66" s="7">
        <v>88.7</v>
      </c>
      <c r="W66" s="7">
        <v>16.399999999999999</v>
      </c>
      <c r="X66" s="7">
        <v>49.1</v>
      </c>
      <c r="Y66" s="7">
        <v>6.4</v>
      </c>
      <c r="AB66" s="17">
        <v>2840</v>
      </c>
    </row>
    <row r="67" spans="1:38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  <c r="F67" s="10">
        <v>0.02</v>
      </c>
      <c r="G67" s="75">
        <f>F67*rearing!O67</f>
        <v>7.8015999999999996</v>
      </c>
      <c r="I67" s="10">
        <v>0.442</v>
      </c>
      <c r="P67" s="17">
        <v>14.2</v>
      </c>
    </row>
    <row r="68" spans="1:38" x14ac:dyDescent="0.2">
      <c r="A68" s="18" t="str">
        <f>rearing!A68</f>
        <v>Lunda2019</v>
      </c>
      <c r="B68" s="18">
        <f>rearing!B68</f>
        <v>0</v>
      </c>
      <c r="C68" s="7" t="str">
        <f>rearing!C68</f>
        <v>ANAPARTNERS</v>
      </c>
      <c r="F68" s="10">
        <v>2.5000000000000001E-2</v>
      </c>
      <c r="G68" s="75">
        <f>F68*rearing!O68</f>
        <v>202.995</v>
      </c>
      <c r="I68" s="10">
        <v>0.52</v>
      </c>
      <c r="P68" s="17">
        <v>12</v>
      </c>
    </row>
    <row r="69" spans="1:38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  <c r="F69" s="10">
        <v>0.03</v>
      </c>
      <c r="G69" s="75">
        <f>F69*rearing!O69</f>
        <v>3599.8199999999993</v>
      </c>
      <c r="I69" s="10">
        <v>0.32</v>
      </c>
      <c r="P69" s="17">
        <v>10</v>
      </c>
    </row>
    <row r="70" spans="1:38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  <c r="D70" s="7" t="s">
        <v>345</v>
      </c>
      <c r="F70" s="10">
        <v>1.4500000000000001E-2</v>
      </c>
      <c r="H70" s="33">
        <v>1</v>
      </c>
      <c r="I70" s="10">
        <v>0.37</v>
      </c>
      <c r="J70" s="10">
        <v>0.1</v>
      </c>
      <c r="K70" s="10">
        <v>0.36699999999999999</v>
      </c>
      <c r="L70" s="10">
        <v>6.9000000000000006E-2</v>
      </c>
      <c r="M70" s="31">
        <v>4.3999999999999997E-2</v>
      </c>
      <c r="P70" s="17">
        <v>1.2</v>
      </c>
    </row>
    <row r="71" spans="1:38" x14ac:dyDescent="0.2">
      <c r="A71" s="18" t="str">
        <f>rearing!A71</f>
        <v>Knaus2017</v>
      </c>
      <c r="B71" s="18" t="str">
        <f>rearing!B71</f>
        <v>Nile tilapia</v>
      </c>
      <c r="C71" s="18" t="str">
        <f>rearing!C71</f>
        <v>Unit I</v>
      </c>
      <c r="D71" s="7" t="s">
        <v>345</v>
      </c>
      <c r="F71" s="10">
        <v>1.4500000000000001E-2</v>
      </c>
      <c r="H71" s="33">
        <v>1</v>
      </c>
      <c r="I71" s="10">
        <v>0.37</v>
      </c>
      <c r="J71" s="10">
        <v>0.1</v>
      </c>
      <c r="K71" s="10">
        <v>0.36699999999999999</v>
      </c>
      <c r="L71" s="10">
        <v>6.9000000000000006E-2</v>
      </c>
      <c r="M71" s="31">
        <v>4.3999999999999997E-2</v>
      </c>
      <c r="P71" s="17">
        <v>1.2</v>
      </c>
    </row>
    <row r="72" spans="1:38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  <c r="D72" s="7" t="s">
        <v>345</v>
      </c>
      <c r="F72" s="10">
        <v>1.4500000000000001E-2</v>
      </c>
      <c r="H72" s="33">
        <v>1</v>
      </c>
      <c r="I72" s="10">
        <v>0.37</v>
      </c>
      <c r="J72" s="10">
        <v>0.1</v>
      </c>
      <c r="K72" s="10">
        <v>0.36699999999999999</v>
      </c>
      <c r="L72" s="10">
        <v>6.9000000000000006E-2</v>
      </c>
      <c r="M72" s="31">
        <v>4.3999999999999997E-2</v>
      </c>
      <c r="P72" s="17">
        <v>1.2</v>
      </c>
    </row>
    <row r="73" spans="1:38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  <c r="D73" s="7" t="s">
        <v>345</v>
      </c>
      <c r="F73" s="10">
        <v>1.4500000000000001E-2</v>
      </c>
      <c r="H73" s="33">
        <v>1</v>
      </c>
      <c r="I73" s="10">
        <v>0.37</v>
      </c>
      <c r="J73" s="10">
        <v>0.1</v>
      </c>
      <c r="K73" s="10">
        <v>0.36699999999999999</v>
      </c>
      <c r="L73" s="10">
        <v>6.9000000000000006E-2</v>
      </c>
      <c r="M73" s="31">
        <v>4.3999999999999997E-2</v>
      </c>
      <c r="P73" s="17">
        <v>1.2</v>
      </c>
    </row>
    <row r="74" spans="1:38" x14ac:dyDescent="0.2">
      <c r="A74" s="18" t="str">
        <f>rearing!A74</f>
        <v>Knaus2017a</v>
      </c>
      <c r="B74" s="18" t="str">
        <f>rearing!B74</f>
        <v>Nile tilapia</v>
      </c>
      <c r="C74" s="18" t="str">
        <f>rearing!C74</f>
        <v>Unit I</v>
      </c>
      <c r="D74" s="7" t="s">
        <v>345</v>
      </c>
      <c r="F74" s="10">
        <v>1.2E-2</v>
      </c>
      <c r="H74" s="79">
        <v>1</v>
      </c>
      <c r="I74" s="10">
        <v>0.37</v>
      </c>
      <c r="J74" s="10">
        <v>0.1</v>
      </c>
      <c r="K74" s="10">
        <v>0.36699999999999999</v>
      </c>
      <c r="L74" s="10">
        <v>6.9000000000000006E-2</v>
      </c>
      <c r="M74" s="31">
        <v>4.3999999999999997E-2</v>
      </c>
      <c r="P74" s="17">
        <v>1.2</v>
      </c>
    </row>
    <row r="75" spans="1:38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  <c r="D75" s="7" t="s">
        <v>345</v>
      </c>
      <c r="F75" s="10">
        <v>1.2E-2</v>
      </c>
      <c r="H75" s="79">
        <v>1</v>
      </c>
      <c r="I75" s="10">
        <v>0.37</v>
      </c>
      <c r="J75" s="10">
        <v>0.1</v>
      </c>
      <c r="K75" s="10">
        <v>0.36699999999999999</v>
      </c>
      <c r="L75" s="10">
        <v>6.9000000000000006E-2</v>
      </c>
      <c r="M75" s="31">
        <v>4.3999999999999997E-2</v>
      </c>
      <c r="P75" s="17">
        <v>1.2</v>
      </c>
    </row>
    <row r="76" spans="1:38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  <c r="D76" s="7" t="s">
        <v>352</v>
      </c>
      <c r="F76" s="10">
        <v>6.4999999999999997E-3</v>
      </c>
      <c r="I76" s="10">
        <v>0.37</v>
      </c>
      <c r="J76" s="10">
        <v>0.1</v>
      </c>
      <c r="K76" s="10">
        <v>0.38500000000000001</v>
      </c>
      <c r="L76" s="10">
        <v>0.06</v>
      </c>
      <c r="M76" s="31">
        <v>3.5000000000000003E-2</v>
      </c>
      <c r="O76" s="60">
        <v>17.899999999999999</v>
      </c>
    </row>
    <row r="77" spans="1:38" x14ac:dyDescent="0.2">
      <c r="A77" s="18" t="str">
        <f>rearing!A77</f>
        <v>Monsees2019</v>
      </c>
      <c r="B77" s="18" t="str">
        <f>rearing!B77</f>
        <v>Nile tilapia</v>
      </c>
      <c r="C77" s="18" t="str">
        <f>rearing!C77</f>
        <v>APunt</v>
      </c>
      <c r="D77" s="7" t="s">
        <v>352</v>
      </c>
      <c r="F77" s="10">
        <v>6.4999999999999997E-3</v>
      </c>
      <c r="I77" s="10">
        <v>0.37</v>
      </c>
      <c r="J77" s="10">
        <v>0.1</v>
      </c>
      <c r="K77" s="10">
        <v>0.38500000000000001</v>
      </c>
      <c r="L77" s="10">
        <v>0.06</v>
      </c>
      <c r="M77" s="31">
        <v>3.5000000000000003E-2</v>
      </c>
      <c r="O77" s="60">
        <v>17.899999999999999</v>
      </c>
    </row>
    <row r="78" spans="1:38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  <c r="D78" s="7" t="s">
        <v>352</v>
      </c>
      <c r="F78" s="10">
        <v>6.4999999999999997E-3</v>
      </c>
      <c r="I78" s="10">
        <v>0.37</v>
      </c>
      <c r="J78" s="10">
        <v>0.1</v>
      </c>
      <c r="K78" s="10">
        <v>0.38500000000000001</v>
      </c>
      <c r="L78" s="10">
        <v>0.06</v>
      </c>
      <c r="M78" s="31">
        <v>3.5000000000000003E-2</v>
      </c>
      <c r="O78" s="60">
        <v>17.899999999999999</v>
      </c>
    </row>
    <row r="79" spans="1:38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  <c r="D79" s="7" t="s">
        <v>363</v>
      </c>
      <c r="G79" s="13">
        <v>0.1</v>
      </c>
      <c r="H79" s="33">
        <v>0.9</v>
      </c>
      <c r="I79" s="10">
        <v>0.38</v>
      </c>
      <c r="J79" s="10">
        <v>0.08</v>
      </c>
      <c r="M79" s="31">
        <v>0.04</v>
      </c>
      <c r="P79" s="17">
        <v>10</v>
      </c>
      <c r="Q79" s="7">
        <v>12</v>
      </c>
      <c r="R79" s="7">
        <v>41</v>
      </c>
      <c r="S79" s="7">
        <v>3.5449999999999999</v>
      </c>
      <c r="T79" s="13">
        <v>5.6230000000000002</v>
      </c>
      <c r="U79" s="17">
        <v>789</v>
      </c>
      <c r="V79" s="7">
        <v>226</v>
      </c>
      <c r="W79" s="7">
        <v>16</v>
      </c>
      <c r="X79" s="7">
        <v>88</v>
      </c>
      <c r="Y79" s="7">
        <v>28</v>
      </c>
      <c r="Z79" s="7">
        <v>0.5</v>
      </c>
      <c r="AA79" s="13">
        <v>1</v>
      </c>
      <c r="AB79" s="17">
        <v>4.1369999999999996</v>
      </c>
      <c r="AD79" s="7">
        <v>283</v>
      </c>
      <c r="AE79" s="7">
        <v>269</v>
      </c>
      <c r="AF79">
        <v>15</v>
      </c>
      <c r="AG79">
        <v>4.2</v>
      </c>
      <c r="AH79">
        <v>1.7</v>
      </c>
      <c r="AI79">
        <v>1.2</v>
      </c>
      <c r="AJ79">
        <v>1.1000000000000001</v>
      </c>
      <c r="AK79">
        <v>0.7</v>
      </c>
      <c r="AL79">
        <v>0.5</v>
      </c>
    </row>
    <row r="80" spans="1:38" x14ac:dyDescent="0.2">
      <c r="A80" s="18" t="str">
        <f>rearing!A80</f>
        <v>Rodgers2022</v>
      </c>
      <c r="B80" s="18" t="str">
        <f>rearing!B80</f>
        <v>Koi carp</v>
      </c>
      <c r="C80" s="18" t="str">
        <f>rearing!C80</f>
        <v>DAP</v>
      </c>
      <c r="D80" s="7" t="s">
        <v>363</v>
      </c>
      <c r="G80" s="13">
        <v>0.1</v>
      </c>
      <c r="H80" s="33">
        <v>0.9</v>
      </c>
      <c r="I80" s="10">
        <v>0.38</v>
      </c>
      <c r="J80" s="10">
        <v>0.08</v>
      </c>
      <c r="M80" s="31">
        <v>0.04</v>
      </c>
      <c r="P80" s="17">
        <v>10</v>
      </c>
      <c r="Q80" s="7">
        <v>12</v>
      </c>
      <c r="R80" s="7">
        <v>41</v>
      </c>
      <c r="S80" s="7">
        <v>3.5449999999999999</v>
      </c>
      <c r="T80" s="13">
        <v>5.6230000000000002</v>
      </c>
      <c r="U80" s="17">
        <v>789</v>
      </c>
      <c r="V80" s="7">
        <v>226</v>
      </c>
      <c r="W80" s="7">
        <v>16</v>
      </c>
      <c r="X80" s="7">
        <v>88</v>
      </c>
      <c r="Y80" s="7">
        <v>28</v>
      </c>
      <c r="Z80" s="7">
        <v>0.5</v>
      </c>
      <c r="AA80" s="13">
        <v>1</v>
      </c>
      <c r="AB80" s="17">
        <v>4.1369999999999996</v>
      </c>
      <c r="AD80" s="7">
        <v>283</v>
      </c>
      <c r="AE80" s="7">
        <v>269</v>
      </c>
      <c r="AF80">
        <v>15</v>
      </c>
      <c r="AG80">
        <v>4.2</v>
      </c>
      <c r="AH80">
        <v>1.7</v>
      </c>
      <c r="AI80">
        <v>1.2</v>
      </c>
      <c r="AJ80">
        <v>1.1000000000000001</v>
      </c>
      <c r="AK80">
        <v>0.7</v>
      </c>
      <c r="AL80">
        <v>0.5</v>
      </c>
    </row>
    <row r="81" spans="1:38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s="7" t="s">
        <v>363</v>
      </c>
      <c r="G81" s="13">
        <v>0.1</v>
      </c>
      <c r="H81" s="33">
        <v>0.9</v>
      </c>
      <c r="I81" s="10">
        <v>0.38</v>
      </c>
      <c r="J81" s="10">
        <v>0.08</v>
      </c>
      <c r="M81" s="31">
        <v>0.04</v>
      </c>
      <c r="P81" s="17">
        <v>10</v>
      </c>
      <c r="Q81" s="7">
        <v>12</v>
      </c>
      <c r="R81" s="7">
        <v>41</v>
      </c>
      <c r="S81" s="7">
        <v>3.5449999999999999</v>
      </c>
      <c r="T81" s="13">
        <v>5.6230000000000002</v>
      </c>
      <c r="U81" s="17">
        <v>789</v>
      </c>
      <c r="V81" s="7">
        <v>226</v>
      </c>
      <c r="W81" s="7">
        <v>16</v>
      </c>
      <c r="X81" s="7">
        <v>88</v>
      </c>
      <c r="Y81" s="7">
        <v>28</v>
      </c>
      <c r="Z81" s="7">
        <v>0.5</v>
      </c>
      <c r="AA81" s="13">
        <v>1</v>
      </c>
      <c r="AB81" s="17">
        <v>4.1369999999999996</v>
      </c>
      <c r="AD81" s="7">
        <v>283</v>
      </c>
      <c r="AE81" s="7">
        <v>269</v>
      </c>
      <c r="AF81">
        <v>15</v>
      </c>
      <c r="AG81">
        <v>4.2</v>
      </c>
      <c r="AH81">
        <v>1.7</v>
      </c>
      <c r="AI81">
        <v>1.2</v>
      </c>
      <c r="AJ81">
        <v>1.1000000000000001</v>
      </c>
      <c r="AK81">
        <v>0.7</v>
      </c>
      <c r="AL81">
        <v>0.5</v>
      </c>
    </row>
    <row r="82" spans="1:38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  <c r="D82" s="7" t="s">
        <v>364</v>
      </c>
      <c r="F82" s="10">
        <v>0.01</v>
      </c>
      <c r="I82" s="10">
        <v>0.45</v>
      </c>
      <c r="J82" s="10">
        <v>0.16</v>
      </c>
      <c r="M82" s="31">
        <v>0.03</v>
      </c>
      <c r="P82" s="17">
        <v>12</v>
      </c>
      <c r="R82" s="7">
        <v>20</v>
      </c>
      <c r="AB82" s="17">
        <v>6000</v>
      </c>
    </row>
    <row r="83" spans="1:38" x14ac:dyDescent="0.2">
      <c r="A83" s="18" t="str">
        <f>rearing!A83</f>
        <v>Khiari2019</v>
      </c>
      <c r="B83" s="18" t="str">
        <f>rearing!B83</f>
        <v>Nile tilapia</v>
      </c>
      <c r="C83" s="18" t="str">
        <f>rearing!C83</f>
        <v>30_5.5</v>
      </c>
    </row>
    <row r="84" spans="1:38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</row>
    <row r="85" spans="1:38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</row>
    <row r="86" spans="1:38" x14ac:dyDescent="0.2">
      <c r="A86" s="18" t="str">
        <f>rearing!A86</f>
        <v>Khiari2019</v>
      </c>
      <c r="B86" s="18" t="str">
        <f>rearing!B86</f>
        <v>Nile tilapia</v>
      </c>
      <c r="C86" s="18" t="str">
        <f>rearing!C86</f>
        <v>35_5.5</v>
      </c>
    </row>
    <row r="87" spans="1:38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</row>
    <row r="88" spans="1:38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</row>
    <row r="89" spans="1:38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</row>
    <row r="90" spans="1:38" x14ac:dyDescent="0.2">
      <c r="A90" s="18" t="str">
        <f>rearing!A90</f>
        <v>Khiari2019</v>
      </c>
      <c r="B90" s="18" t="str">
        <f>rearing!B90</f>
        <v>Nile tilapia</v>
      </c>
      <c r="C90" s="18" t="str">
        <f>rearing!C90</f>
        <v>40_6.0</v>
      </c>
    </row>
    <row r="91" spans="1:38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</row>
    <row r="92" spans="1:38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</row>
    <row r="93" spans="1:38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  <c r="D93" s="18" t="s">
        <v>18</v>
      </c>
      <c r="E93" s="18"/>
      <c r="F93" s="29">
        <v>8.0000000000000002E-3</v>
      </c>
      <c r="G93" s="37">
        <f>rearing!O93*feedIN!F93</f>
        <v>2.5295999999999998</v>
      </c>
      <c r="H93" s="35">
        <v>1</v>
      </c>
      <c r="I93" s="29">
        <v>0.37</v>
      </c>
      <c r="J93" s="29">
        <v>0.1</v>
      </c>
      <c r="K93" s="29">
        <v>0.38500000000000001</v>
      </c>
      <c r="L93" s="29">
        <v>0.06</v>
      </c>
      <c r="M93" s="34">
        <v>0.03</v>
      </c>
      <c r="N93" s="59"/>
      <c r="O93" s="59"/>
      <c r="P93" s="20">
        <v>1.2</v>
      </c>
    </row>
    <row r="94" spans="1:38" x14ac:dyDescent="0.2">
      <c r="A94" s="18" t="str">
        <f>rearing!A94</f>
        <v>Roosta2013</v>
      </c>
      <c r="B94" s="18" t="str">
        <f>rearing!B94</f>
        <v>Common Carp</v>
      </c>
      <c r="C94" s="18" t="str">
        <f>rearing!C94</f>
        <v>Rep1</v>
      </c>
      <c r="D94" s="7" t="s">
        <v>388</v>
      </c>
      <c r="H94" s="33">
        <v>0.89</v>
      </c>
      <c r="I94" s="10">
        <v>0.46</v>
      </c>
      <c r="J94" s="10">
        <v>0.13</v>
      </c>
      <c r="K94" s="10">
        <f t="shared" ref="K94:K99" si="1">1-(I94+J94+L94+M94)</f>
        <v>0.25499999999999989</v>
      </c>
      <c r="L94" s="10">
        <v>0.13</v>
      </c>
      <c r="M94" s="31">
        <v>2.5000000000000001E-2</v>
      </c>
      <c r="P94" s="17">
        <v>15</v>
      </c>
    </row>
    <row r="95" spans="1:38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  <c r="D95" s="7" t="s">
        <v>388</v>
      </c>
      <c r="H95" s="33">
        <v>0.89</v>
      </c>
      <c r="I95" s="10">
        <v>0.46</v>
      </c>
      <c r="J95" s="10">
        <v>0.13</v>
      </c>
      <c r="K95" s="10">
        <f t="shared" si="1"/>
        <v>0.25499999999999989</v>
      </c>
      <c r="L95" s="10">
        <v>0.13</v>
      </c>
      <c r="M95" s="31">
        <v>2.5000000000000001E-2</v>
      </c>
      <c r="P95" s="17">
        <v>15</v>
      </c>
    </row>
    <row r="96" spans="1:38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  <c r="D96" s="7" t="s">
        <v>388</v>
      </c>
      <c r="H96" s="33">
        <v>0.89</v>
      </c>
      <c r="I96" s="10">
        <v>0.46</v>
      </c>
      <c r="J96" s="10">
        <v>0.13</v>
      </c>
      <c r="K96" s="10">
        <f t="shared" si="1"/>
        <v>0.25499999999999989</v>
      </c>
      <c r="L96" s="10">
        <v>0.13</v>
      </c>
      <c r="M96" s="31">
        <v>2.5000000000000001E-2</v>
      </c>
      <c r="P96" s="17">
        <v>15</v>
      </c>
    </row>
    <row r="97" spans="1:38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D97" s="7" t="s">
        <v>388</v>
      </c>
      <c r="H97" s="33">
        <v>0.89</v>
      </c>
      <c r="I97" s="10">
        <v>0.46</v>
      </c>
      <c r="J97" s="10">
        <v>0.13</v>
      </c>
      <c r="K97" s="10">
        <f t="shared" si="1"/>
        <v>0.25499999999999989</v>
      </c>
      <c r="L97" s="10">
        <v>0.13</v>
      </c>
      <c r="M97" s="31">
        <v>2.5000000000000001E-2</v>
      </c>
      <c r="P97" s="17">
        <v>15</v>
      </c>
    </row>
    <row r="98" spans="1:38" x14ac:dyDescent="0.2">
      <c r="A98" s="18" t="str">
        <f>rearing!A98</f>
        <v>Roosta2014</v>
      </c>
      <c r="B98" s="18" t="str">
        <f>rearing!B98</f>
        <v>Grass carp</v>
      </c>
      <c r="C98" s="18" t="str">
        <f>rearing!C98</f>
        <v>Rep2</v>
      </c>
      <c r="D98" s="7" t="s">
        <v>388</v>
      </c>
      <c r="H98" s="33">
        <v>0.89</v>
      </c>
      <c r="I98" s="10">
        <v>0.46</v>
      </c>
      <c r="J98" s="10">
        <v>0.13</v>
      </c>
      <c r="K98" s="10">
        <f t="shared" si="1"/>
        <v>0.25499999999999989</v>
      </c>
      <c r="L98" s="10">
        <v>0.13</v>
      </c>
      <c r="M98" s="31">
        <v>2.5000000000000001E-2</v>
      </c>
      <c r="P98" s="17">
        <v>15</v>
      </c>
    </row>
    <row r="99" spans="1:38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  <c r="D99" s="7" t="s">
        <v>388</v>
      </c>
      <c r="H99" s="33">
        <v>0.89</v>
      </c>
      <c r="I99" s="10">
        <v>0.46</v>
      </c>
      <c r="J99" s="10">
        <v>0.13</v>
      </c>
      <c r="K99" s="10">
        <f t="shared" si="1"/>
        <v>0.25499999999999989</v>
      </c>
      <c r="L99" s="10">
        <v>0.13</v>
      </c>
      <c r="M99" s="31">
        <v>2.5000000000000001E-2</v>
      </c>
      <c r="P99" s="17">
        <v>15</v>
      </c>
    </row>
    <row r="100" spans="1:38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s="7" t="s">
        <v>405</v>
      </c>
      <c r="F100" s="10">
        <v>0.01</v>
      </c>
      <c r="I100" s="10">
        <v>0.41</v>
      </c>
      <c r="J100" s="10">
        <v>0.12</v>
      </c>
      <c r="M100" s="31">
        <v>0.04</v>
      </c>
      <c r="P100" s="17">
        <v>11</v>
      </c>
      <c r="R100" s="7">
        <v>20</v>
      </c>
      <c r="S100" s="7">
        <v>2.2999999999999998</v>
      </c>
      <c r="U100" s="17">
        <v>40</v>
      </c>
      <c r="V100" s="7">
        <v>153</v>
      </c>
      <c r="W100" s="7">
        <v>10</v>
      </c>
      <c r="X100" s="7">
        <v>80</v>
      </c>
    </row>
    <row r="101" spans="1:38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  <c r="D101" s="7" t="s">
        <v>405</v>
      </c>
      <c r="F101" s="10">
        <v>0.01</v>
      </c>
      <c r="I101" s="10">
        <v>0.41</v>
      </c>
      <c r="J101" s="10">
        <v>0.12</v>
      </c>
      <c r="M101" s="31">
        <v>0.04</v>
      </c>
      <c r="P101" s="17">
        <v>11</v>
      </c>
      <c r="R101" s="7">
        <v>20</v>
      </c>
      <c r="S101" s="7">
        <v>2.2999999999999998</v>
      </c>
      <c r="U101" s="17">
        <v>40</v>
      </c>
      <c r="V101" s="7">
        <v>153</v>
      </c>
      <c r="W101" s="7">
        <v>10</v>
      </c>
      <c r="X101" s="7">
        <v>80</v>
      </c>
    </row>
    <row r="102" spans="1:38" x14ac:dyDescent="0.2">
      <c r="A102" s="18" t="str">
        <f>rearing!A102</f>
        <v>Yang2020</v>
      </c>
      <c r="B102" s="18" t="str">
        <f>rearing!B102</f>
        <v>Nile tilapia</v>
      </c>
      <c r="C102" s="18" t="str">
        <f>rearing!C102</f>
        <v>AP_Lettuce</v>
      </c>
      <c r="D102" s="7" t="s">
        <v>405</v>
      </c>
      <c r="F102" s="10">
        <v>0.01</v>
      </c>
      <c r="I102" s="10">
        <v>0.41</v>
      </c>
      <c r="J102" s="10">
        <v>0.12</v>
      </c>
      <c r="M102" s="31">
        <v>0.04</v>
      </c>
      <c r="P102" s="17">
        <v>11</v>
      </c>
      <c r="R102" s="7">
        <v>20</v>
      </c>
      <c r="S102" s="7">
        <v>2.2999999999999998</v>
      </c>
      <c r="U102" s="17">
        <v>40</v>
      </c>
      <c r="V102" s="7">
        <v>153</v>
      </c>
      <c r="W102" s="7">
        <v>10</v>
      </c>
      <c r="X102" s="7">
        <v>80</v>
      </c>
    </row>
    <row r="103" spans="1:38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</row>
    <row r="104" spans="1:38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</row>
    <row r="105" spans="1:38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</row>
    <row r="106" spans="1:38" x14ac:dyDescent="0.2">
      <c r="A106" s="18" t="str">
        <f>rearing!A106</f>
        <v>Anderson2017</v>
      </c>
      <c r="B106" s="18">
        <f>rearing!B106</f>
        <v>0</v>
      </c>
      <c r="C106" s="18" t="str">
        <f>rearing!C106</f>
        <v>H5</v>
      </c>
    </row>
    <row r="107" spans="1:38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</row>
    <row r="108" spans="1:38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D108" s="7" t="s">
        <v>363</v>
      </c>
      <c r="G108" s="13">
        <v>0.08</v>
      </c>
      <c r="H108" s="33">
        <v>0.9</v>
      </c>
      <c r="I108" s="10">
        <v>0.38</v>
      </c>
      <c r="J108" s="10">
        <v>0.08</v>
      </c>
      <c r="M108" s="31">
        <v>0.04</v>
      </c>
      <c r="P108" s="17">
        <v>10</v>
      </c>
      <c r="Q108" s="7">
        <v>12</v>
      </c>
      <c r="R108" s="7">
        <v>41</v>
      </c>
      <c r="S108" s="7">
        <v>3.5449999999999999</v>
      </c>
      <c r="T108" s="13">
        <v>5.6230000000000002</v>
      </c>
      <c r="U108" s="17">
        <v>789</v>
      </c>
      <c r="V108" s="7">
        <v>226</v>
      </c>
      <c r="W108" s="7">
        <v>16</v>
      </c>
      <c r="X108" s="7">
        <v>88</v>
      </c>
      <c r="Y108" s="7">
        <v>28</v>
      </c>
      <c r="Z108" s="7">
        <v>0.5</v>
      </c>
      <c r="AA108" s="13">
        <v>1</v>
      </c>
      <c r="AB108" s="17">
        <v>4.1369999999999996</v>
      </c>
      <c r="AD108" s="7">
        <v>283</v>
      </c>
      <c r="AE108" s="7">
        <v>269</v>
      </c>
      <c r="AF108">
        <v>15</v>
      </c>
      <c r="AG108">
        <v>4.2</v>
      </c>
      <c r="AH108">
        <v>1.7</v>
      </c>
      <c r="AI108">
        <v>1.2</v>
      </c>
      <c r="AJ108">
        <v>1.1000000000000001</v>
      </c>
      <c r="AK108">
        <v>0.7</v>
      </c>
      <c r="AL108">
        <v>0.5</v>
      </c>
    </row>
    <row r="109" spans="1:38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F109" s="10">
        <v>0.05</v>
      </c>
      <c r="I109" s="10">
        <v>0.36</v>
      </c>
      <c r="J109" s="10">
        <v>0.06</v>
      </c>
      <c r="M109" s="31">
        <v>3.5000000000000003E-2</v>
      </c>
      <c r="P109" s="17">
        <v>9</v>
      </c>
    </row>
    <row r="110" spans="1:38" x14ac:dyDescent="0.2">
      <c r="A110" s="18" t="str">
        <f>rearing!A110</f>
        <v>Blanchard2020</v>
      </c>
      <c r="B110" s="18" t="str">
        <f>rearing!B110</f>
        <v>Nile tilapia</v>
      </c>
      <c r="C110" s="18" t="str">
        <f>rearing!C110</f>
        <v>pH6.5</v>
      </c>
      <c r="F110" s="10">
        <v>0.05</v>
      </c>
    </row>
    <row r="111" spans="1:38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F111" s="10">
        <v>0.05</v>
      </c>
    </row>
    <row r="112" spans="1:38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F112" s="10">
        <v>0.05</v>
      </c>
    </row>
    <row r="113" spans="1:28" x14ac:dyDescent="0.2">
      <c r="A113" s="18" t="str">
        <f>rearing!A113</f>
        <v>Pinero2020</v>
      </c>
      <c r="B113" s="18" t="str">
        <f>rearing!B113</f>
        <v>Nile tilapia</v>
      </c>
      <c r="C113" s="18" t="str">
        <f>rearing!C113</f>
        <v>100S</v>
      </c>
      <c r="F113" s="10">
        <f>AVERAGE(2.5%,3%)</f>
        <v>2.75E-2</v>
      </c>
      <c r="I113" s="10">
        <v>0.32</v>
      </c>
      <c r="J113" s="10">
        <v>0.06</v>
      </c>
      <c r="L113" s="10">
        <v>0.06</v>
      </c>
      <c r="M113" s="31">
        <v>3.9E-2</v>
      </c>
      <c r="P113" s="17">
        <v>8</v>
      </c>
      <c r="R113" s="7">
        <v>10</v>
      </c>
      <c r="U113" s="17">
        <v>42</v>
      </c>
      <c r="V113" s="7">
        <v>100</v>
      </c>
      <c r="W113" s="7">
        <v>5</v>
      </c>
      <c r="X113" s="7">
        <v>16</v>
      </c>
      <c r="AB113" s="17">
        <v>2</v>
      </c>
    </row>
    <row r="114" spans="1:28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  <c r="F114" s="10">
        <f>AVERAGE(2.5%,3%)</f>
        <v>2.75E-2</v>
      </c>
      <c r="I114" s="10">
        <v>0.32</v>
      </c>
      <c r="J114" s="10">
        <v>0.06</v>
      </c>
      <c r="L114" s="10">
        <v>0.06</v>
      </c>
      <c r="M114" s="31">
        <v>3.9E-2</v>
      </c>
      <c r="P114" s="17">
        <v>8</v>
      </c>
      <c r="R114" s="7">
        <v>10</v>
      </c>
      <c r="U114" s="17">
        <v>42</v>
      </c>
      <c r="V114" s="7">
        <v>100</v>
      </c>
      <c r="W114" s="7">
        <v>5</v>
      </c>
      <c r="X114" s="7">
        <v>16</v>
      </c>
      <c r="AB114" s="17">
        <v>2</v>
      </c>
    </row>
    <row r="115" spans="1:28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  <c r="F115" s="10">
        <f>AVERAGE(2.5%,3%)</f>
        <v>2.75E-2</v>
      </c>
      <c r="I115" s="10">
        <v>0.32</v>
      </c>
      <c r="J115" s="10">
        <v>0.06</v>
      </c>
      <c r="L115" s="10">
        <v>0.06</v>
      </c>
      <c r="M115" s="31">
        <v>3.9E-2</v>
      </c>
      <c r="P115" s="17">
        <v>8</v>
      </c>
      <c r="R115" s="7">
        <v>10</v>
      </c>
      <c r="U115" s="17">
        <v>42</v>
      </c>
      <c r="V115" s="7">
        <v>100</v>
      </c>
      <c r="W115" s="7">
        <v>5</v>
      </c>
      <c r="X115" s="7">
        <v>16</v>
      </c>
      <c r="AB115" s="17">
        <v>2</v>
      </c>
    </row>
    <row r="116" spans="1:28" x14ac:dyDescent="0.2">
      <c r="A116" s="18" t="str">
        <f>rearing!A116</f>
        <v>Pinero2023</v>
      </c>
      <c r="B116" s="18" t="str">
        <f>rearing!B116</f>
        <v>Nile tilapia</v>
      </c>
      <c r="C116" s="18" t="str">
        <f>rearing!C116</f>
        <v>50F50D+F</v>
      </c>
      <c r="F116" s="10">
        <f>AVERAGE(2.5%,3%)</f>
        <v>2.75E-2</v>
      </c>
      <c r="I116" s="10">
        <v>0.32</v>
      </c>
      <c r="J116" s="10">
        <v>0.06</v>
      </c>
      <c r="L116" s="10">
        <v>0.06</v>
      </c>
      <c r="M116" s="31">
        <v>3.9E-2</v>
      </c>
      <c r="P116" s="17">
        <v>8</v>
      </c>
      <c r="R116" s="7">
        <v>10</v>
      </c>
      <c r="U116" s="17">
        <v>42</v>
      </c>
      <c r="V116" s="7">
        <v>100</v>
      </c>
      <c r="W116" s="7">
        <v>5</v>
      </c>
      <c r="X116" s="7">
        <v>16</v>
      </c>
      <c r="AB116" s="17">
        <v>2</v>
      </c>
    </row>
    <row r="118" spans="1:28" x14ac:dyDescent="0.2">
      <c r="A118" s="18"/>
      <c r="B118" s="18"/>
      <c r="C118" s="18"/>
    </row>
  </sheetData>
  <mergeCells count="4">
    <mergeCell ref="U1:AA1"/>
    <mergeCell ref="H1:M1"/>
    <mergeCell ref="P1:T1"/>
    <mergeCell ref="AB1:AE1"/>
  </mergeCells>
  <phoneticPr fontId="15" type="noConversion"/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important notes</vt:lpstr>
      <vt:lpstr>waterAVERAGE</vt:lpstr>
      <vt:lpstr>diagnostics-waterAVERAGE</vt:lpstr>
      <vt:lpstr>references</vt:lpstr>
      <vt:lpstr>general</vt:lpstr>
      <vt:lpstr>rearing</vt:lpstr>
      <vt:lpstr>statistics-rearing</vt:lpstr>
      <vt:lpstr>waterIN</vt:lpstr>
      <vt:lpstr>feedIN</vt:lpstr>
      <vt:lpstr>statistics-feedIN</vt:lpstr>
      <vt:lpstr>waterRAS</vt:lpstr>
      <vt:lpstr>sludgeRAW</vt:lpstr>
      <vt:lpstr>waterREMIN</vt:lpstr>
      <vt:lpstr>waterTRANS</vt:lpstr>
      <vt:lpstr>waterHYDRO</vt:lpstr>
      <vt:lpstr>sludgeRetention</vt:lpstr>
      <vt:lpstr>fishRetention</vt:lpstr>
      <vt:lpstr>plantRetention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Anil Tellbuescher</cp:lastModifiedBy>
  <dcterms:created xsi:type="dcterms:W3CDTF">2022-03-08T12:43:01Z</dcterms:created>
  <dcterms:modified xsi:type="dcterms:W3CDTF">2023-01-05T17:50:36Z</dcterms:modified>
</cp:coreProperties>
</file>