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1330" documentId="14_{0C42EC50-B9B6-4FF6-AF5F-E8A79762481A}" xr6:coauthVersionLast="45" xr6:coauthVersionMax="45" xr10:uidLastSave="{33785E0C-D02F-463E-917E-EEF29DBE6FF7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8" i="1" l="1"/>
  <c r="P287" i="1"/>
  <c r="P286" i="1"/>
  <c r="O286" i="1"/>
  <c r="P285" i="1"/>
  <c r="O285" i="1"/>
  <c r="K288" i="1"/>
  <c r="K287" i="1"/>
  <c r="K286" i="1"/>
  <c r="J286" i="1"/>
  <c r="K285" i="1"/>
  <c r="J285" i="1"/>
  <c r="G279" i="1"/>
  <c r="H279" i="1"/>
  <c r="H278" i="1"/>
  <c r="G278" i="1"/>
  <c r="H277" i="1"/>
  <c r="M274" i="1"/>
  <c r="E279" i="1"/>
  <c r="G277" i="1"/>
  <c r="H276" i="1"/>
  <c r="H274" i="1"/>
  <c r="G274" i="1"/>
  <c r="O274" i="1"/>
  <c r="O275" i="1"/>
  <c r="N275" i="1"/>
  <c r="N274" i="1"/>
  <c r="G276" i="1" s="1"/>
  <c r="M275" i="1"/>
  <c r="N273" i="1"/>
  <c r="E276" i="1" s="1"/>
  <c r="M273" i="1"/>
  <c r="E274" i="1" s="1"/>
  <c r="E277" i="1" s="1"/>
  <c r="O258" i="1"/>
  <c r="O257" i="1"/>
  <c r="O259" i="1" s="1"/>
  <c r="K258" i="1"/>
  <c r="K257" i="1"/>
  <c r="U255" i="1"/>
  <c r="U254" i="1"/>
  <c r="F244" i="1"/>
  <c r="M246" i="1"/>
  <c r="W253" i="1"/>
  <c r="V254" i="1" s="1"/>
  <c r="V256" i="1" s="1"/>
  <c r="O253" i="1"/>
  <c r="P253" i="1"/>
  <c r="P252" i="1"/>
  <c r="K252" i="1"/>
  <c r="O252" i="1"/>
  <c r="K253" i="1"/>
  <c r="P254" i="1" l="1"/>
  <c r="K259" i="1"/>
  <c r="O254" i="1"/>
  <c r="U256" i="1"/>
  <c r="V255" i="1"/>
  <c r="E244" i="1" l="1"/>
  <c r="E247" i="1"/>
  <c r="F239" i="1"/>
  <c r="H239" i="1" s="1"/>
  <c r="F235" i="1"/>
  <c r="F234" i="1"/>
  <c r="F233" i="1"/>
  <c r="F232" i="1"/>
  <c r="H232" i="1" s="1"/>
  <c r="E205" i="1"/>
  <c r="E204" i="1"/>
  <c r="H203" i="1"/>
  <c r="H202" i="1"/>
  <c r="F203" i="1"/>
  <c r="F202" i="1"/>
  <c r="G203" i="1"/>
  <c r="G202" i="1"/>
  <c r="E202" i="1" l="1"/>
  <c r="E203" i="1"/>
  <c r="H233" i="1"/>
  <c r="H234" i="1" s="1"/>
  <c r="H235" i="1" s="1"/>
  <c r="F240" i="1"/>
  <c r="H240" i="1" s="1"/>
  <c r="F241" i="1" s="1"/>
  <c r="E246" i="1"/>
  <c r="G244" i="1"/>
  <c r="E245" i="1"/>
  <c r="I244" i="1" l="1"/>
  <c r="F245" i="1" s="1"/>
  <c r="G245" i="1" s="1"/>
  <c r="I245" i="1" s="1"/>
  <c r="F246" i="1" s="1"/>
  <c r="G246" i="1" s="1"/>
  <c r="I246" i="1" s="1"/>
  <c r="F247" i="1" l="1"/>
  <c r="G247" i="1" s="1"/>
  <c r="I247" i="1" s="1"/>
  <c r="E101" i="1" l="1"/>
  <c r="L83" i="1"/>
  <c r="K101" i="1"/>
  <c r="L102" i="1" s="1"/>
  <c r="R113" i="1" s="1"/>
  <c r="C101" i="1"/>
  <c r="B101" i="1"/>
  <c r="H101" i="1"/>
  <c r="I102" i="1" s="1"/>
  <c r="W83" i="1"/>
  <c r="X84" i="1" s="1"/>
  <c r="R111" i="1" s="1"/>
  <c r="Q101" i="1"/>
  <c r="R102" i="1" s="1"/>
  <c r="N101" i="1"/>
  <c r="O102" i="1" s="1"/>
  <c r="X101" i="1"/>
  <c r="W102" i="1" s="1"/>
  <c r="E111" i="1" s="1"/>
  <c r="R108" i="1" s="1"/>
  <c r="T101" i="1"/>
  <c r="U102" i="1" s="1"/>
  <c r="J110" i="1" s="1"/>
  <c r="F101" i="1"/>
  <c r="T83" i="1"/>
  <c r="U84" i="1" s="1"/>
  <c r="D113" i="1" s="1"/>
  <c r="R115" i="1" s="1"/>
  <c r="R83" i="1"/>
  <c r="Q83" i="1"/>
  <c r="O83" i="1"/>
  <c r="N83" i="1"/>
  <c r="K83" i="1"/>
  <c r="H83" i="1"/>
  <c r="I84" i="1" s="1"/>
  <c r="D110" i="1" s="1"/>
  <c r="R107" i="1" s="1"/>
  <c r="F83" i="1"/>
  <c r="E84" i="1" s="1"/>
  <c r="E109" i="1" s="1"/>
  <c r="R104" i="1" s="1"/>
  <c r="C83" i="1"/>
  <c r="B83" i="1"/>
  <c r="D114" i="1" l="1"/>
  <c r="R117" i="1" s="1"/>
  <c r="R119" i="1" s="1"/>
  <c r="L84" i="1"/>
  <c r="J111" i="1" s="1"/>
  <c r="E102" i="1"/>
  <c r="K114" i="1" s="1"/>
  <c r="D112" i="1"/>
  <c r="E116" i="1"/>
  <c r="E118" i="1"/>
  <c r="R84" i="1"/>
  <c r="J109" i="1" s="1"/>
  <c r="C102" i="1"/>
  <c r="J113" i="1" s="1"/>
  <c r="C84" i="1"/>
  <c r="J112" i="1" s="1"/>
  <c r="N84" i="1"/>
  <c r="K115" i="1" s="1"/>
  <c r="H41" i="1"/>
  <c r="I42" i="1" s="1"/>
  <c r="D55" i="1" s="1"/>
  <c r="E48" i="1"/>
  <c r="E47" i="1"/>
  <c r="F41" i="1"/>
  <c r="E42" i="1" s="1"/>
  <c r="E54" i="1" s="1"/>
  <c r="R41" i="1"/>
  <c r="AL41" i="1"/>
  <c r="AM42" i="1" s="1"/>
  <c r="D57" i="1" s="1"/>
  <c r="AI41" i="1"/>
  <c r="AJ42" i="1" s="1"/>
  <c r="D59" i="1" s="1"/>
  <c r="AG41" i="1"/>
  <c r="AF42" i="1" s="1"/>
  <c r="K59" i="1" s="1"/>
  <c r="X41" i="1"/>
  <c r="T41" i="1"/>
  <c r="U42" i="1" s="1"/>
  <c r="D58" i="1" s="1"/>
  <c r="Q41" i="1"/>
  <c r="O41" i="1"/>
  <c r="N41" i="1"/>
  <c r="K41" i="1"/>
  <c r="L42" i="1" s="1"/>
  <c r="J56" i="1" s="1"/>
  <c r="C41" i="1"/>
  <c r="B41" i="1"/>
  <c r="D116" i="1" l="1"/>
  <c r="D117" i="1" s="1"/>
  <c r="K117" i="1" s="1"/>
  <c r="J116" i="1"/>
  <c r="J118" i="1" s="1"/>
  <c r="K116" i="1"/>
  <c r="D61" i="1"/>
  <c r="E50" i="1"/>
  <c r="Z40" i="1" s="1"/>
  <c r="Z41" i="1" s="1"/>
  <c r="AA42" i="1" s="1"/>
  <c r="J55" i="1" s="1"/>
  <c r="R42" i="1"/>
  <c r="J54" i="1" s="1"/>
  <c r="W42" i="1"/>
  <c r="K58" i="1" s="1"/>
  <c r="N42" i="1"/>
  <c r="K60" i="1" s="1"/>
  <c r="C42" i="1"/>
  <c r="J57" i="1" s="1"/>
  <c r="K118" i="1" l="1"/>
  <c r="D118" i="1"/>
  <c r="K61" i="1"/>
  <c r="AD40" i="1"/>
  <c r="AD41" i="1" s="1"/>
  <c r="AC42" i="1" s="1"/>
  <c r="E56" i="1" s="1"/>
  <c r="E61" i="1" s="1"/>
  <c r="J61" i="1"/>
  <c r="J63" i="1" s="1"/>
  <c r="D62" i="1" l="1"/>
  <c r="E63" i="1"/>
  <c r="S20" i="1"/>
  <c r="T19" i="1"/>
  <c r="T20" i="1" s="1"/>
  <c r="X22" i="1" s="1"/>
  <c r="E19" i="1"/>
  <c r="T4" i="1" s="1"/>
  <c r="K18" i="1"/>
  <c r="L19" i="1" s="1"/>
  <c r="O5" i="1" s="1"/>
  <c r="O18" i="1" s="1"/>
  <c r="I18" i="1"/>
  <c r="H19" i="1" s="1"/>
  <c r="P4" i="1" s="1"/>
  <c r="P18" i="1" s="1"/>
  <c r="C18" i="1"/>
  <c r="B4" i="1"/>
  <c r="B18" i="1" s="1"/>
  <c r="D63" i="1" l="1"/>
  <c r="K62" i="1"/>
  <c r="K63" i="1" s="1"/>
  <c r="C19" i="1"/>
  <c r="O19" i="1"/>
  <c r="R22" i="1" s="1"/>
  <c r="P20" i="1"/>
  <c r="H22" i="1"/>
  <c r="S5" i="1"/>
  <c r="O20" i="1" l="1"/>
</calcChain>
</file>

<file path=xl/sharedStrings.xml><?xml version="1.0" encoding="utf-8"?>
<sst xmlns="http://schemas.openxmlformats.org/spreadsheetml/2006/main" count="351" uniqueCount="216">
  <si>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</si>
  <si>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</si>
  <si>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</si>
  <si>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</si>
  <si>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</si>
  <si>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</si>
  <si>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</si>
  <si>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</si>
  <si>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</si>
  <si>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</si>
  <si>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</si>
  <si>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</si>
  <si>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</si>
  <si>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</si>
  <si>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</si>
  <si>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</si>
  <si>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</si>
  <si>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b)</t>
  </si>
  <si>
    <t>K35</t>
  </si>
  <si>
    <t>K36</t>
  </si>
  <si>
    <t>K37</t>
  </si>
  <si>
    <t>H1</t>
  </si>
  <si>
    <t>H2</t>
  </si>
  <si>
    <t>Myynti</t>
  </si>
  <si>
    <t>Ostot</t>
  </si>
  <si>
    <t>Myyntisaamiset</t>
  </si>
  <si>
    <t>Ostovelat</t>
  </si>
  <si>
    <t>Koneet ja kalusto</t>
  </si>
  <si>
    <t>Poistot</t>
  </si>
  <si>
    <t>Oma pääoma</t>
  </si>
  <si>
    <t>Varasto</t>
  </si>
  <si>
    <t>Varaston muutos</t>
  </si>
  <si>
    <t>Pankkilainat</t>
  </si>
  <si>
    <t>Rahoitusmenot</t>
  </si>
  <si>
    <t>Myynnin edistäminen</t>
  </si>
  <si>
    <t>10.</t>
  </si>
  <si>
    <t>11.</t>
  </si>
  <si>
    <t>12.</t>
  </si>
  <si>
    <t xml:space="preserve">Tilikauden tulos/voitto kassan avulla laskettuna = </t>
  </si>
  <si>
    <t>Tilikauden tulos/voitto =</t>
  </si>
  <si>
    <t>Taseen loppusumma =</t>
  </si>
  <si>
    <t>10% tasapoisto = 10000*0,1 = 1000</t>
  </si>
  <si>
    <t>Vöiden arvo</t>
  </si>
  <si>
    <t>VOM inventointimenettelyllä (Harkassa arvot pyöristetty)</t>
  </si>
  <si>
    <t>Lompakoiden arvo</t>
  </si>
  <si>
    <t>Raaka-aineen arvo</t>
  </si>
  <si>
    <t>Yhteensä</t>
  </si>
  <si>
    <t>b:n) kirjaukset</t>
  </si>
  <si>
    <t xml:space="preserve"> </t>
  </si>
  <si>
    <t>Tilikauden voitto</t>
  </si>
  <si>
    <t>K14</t>
  </si>
  <si>
    <t>K32</t>
  </si>
  <si>
    <t>H3</t>
  </si>
  <si>
    <t>Palkat</t>
  </si>
  <si>
    <t>Sosiaalimenot</t>
  </si>
  <si>
    <t>Pankkitili</t>
  </si>
  <si>
    <t>Konttorimenot</t>
  </si>
  <si>
    <t>Siirtosaamiset</t>
  </si>
  <si>
    <t>Vuokrat</t>
  </si>
  <si>
    <t>Vuokra jaksotettuna</t>
  </si>
  <si>
    <t>(15/28)*2016 = 1080</t>
  </si>
  <si>
    <t>2016-1080=936</t>
  </si>
  <si>
    <t>Myynti- ja siirtosaamiset</t>
  </si>
  <si>
    <t>Vuokrat + konttorimenot</t>
  </si>
  <si>
    <t>Palkat + sosiaalimenot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</si>
  <si>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</si>
  <si>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</si>
  <si>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</si>
  <si>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</si>
  <si>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</si>
  <si>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</si>
  <si>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</si>
  <si>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</si>
  <si>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</si>
  <si>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</si>
  <si>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</si>
  <si>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</si>
  <si>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</si>
  <si>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</si>
  <si>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</si>
  <si>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</si>
  <si>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K38</t>
  </si>
  <si>
    <t>K39</t>
  </si>
  <si>
    <t>K40</t>
  </si>
  <si>
    <t>Taseen loppusumma</t>
  </si>
  <si>
    <t>Huomaa tentissä kuulemma toimintavarauksen muutoksen tilalla on poistoeron muutos, toimii tismalleen samaan tyyliin. (huomaa vastakirjaus)</t>
  </si>
  <si>
    <t>Tilikauden voitto/tappio</t>
  </si>
  <si>
    <t>Liikevoitto/tappio = (Vähennetään kaikki punaisesta viivasta ylöspäin)</t>
  </si>
  <si>
    <t>K8</t>
  </si>
  <si>
    <t>Huom. Virallisesta tilinpäätöksestä ei löydy nettotulosta. Se on oikastussa tilinpäätöksessä.</t>
  </si>
  <si>
    <t>K34</t>
  </si>
  <si>
    <t>Loput pitää tietää, onko hyvä, tyydyttävä vai huono tunnusluku</t>
  </si>
  <si>
    <t xml:space="preserve">ROI harkassa = </t>
  </si>
  <si>
    <t>, missä sijoitettu pääoma = tuottoa vaativaa pääomaa (ei korkoa) ja keskimäärin = (tilikauden alku + loppu) / 2</t>
  </si>
  <si>
    <t xml:space="preserve"> = 26,6%</t>
  </si>
  <si>
    <t>Liiketulos</t>
  </si>
  <si>
    <t xml:space="preserve"> 5-10%</t>
  </si>
  <si>
    <t>Nettotulos</t>
  </si>
  <si>
    <t xml:space="preserve"> &gt; 0</t>
  </si>
  <si>
    <t xml:space="preserve">Quick ratio </t>
  </si>
  <si>
    <t>0,5-1</t>
  </si>
  <si>
    <t xml:space="preserve">Current ratio </t>
  </si>
  <si>
    <t xml:space="preserve"> 1-2</t>
  </si>
  <si>
    <t xml:space="preserve">Omavaraisuusaste </t>
  </si>
  <si>
    <t>20-40%</t>
  </si>
  <si>
    <t>Vain yksi tunnusluku pitää osata laskea tentissä, sijoitetun pääoman tuotto aka ROI</t>
  </si>
  <si>
    <t>Viitearvoja tunnusluvuille, kaikki tyydyttäviä ja suurempi hyvä</t>
  </si>
  <si>
    <t>Myyntikate (= myynti - mukut) ja käyttökate (= myynti - mukut - kikut)</t>
  </si>
  <si>
    <t>ROI:n kaava =</t>
  </si>
  <si>
    <t>Johdon laskentatoimi</t>
  </si>
  <si>
    <t>K9</t>
  </si>
  <si>
    <t>a) Laske yrityksen katetuottoprosentti, kriittisen pisteen myynti ja varmuusmarginaali</t>
  </si>
  <si>
    <t>Katetuottoprosentti =</t>
  </si>
  <si>
    <t>Kriittinen piste =</t>
  </si>
  <si>
    <t>Varmuusmarginaali =</t>
  </si>
  <si>
    <t>364 231 / 659 973 = 55,2%</t>
  </si>
  <si>
    <t xml:space="preserve">x - x*mukujen osuus myynnistä - kikut = 0 </t>
  </si>
  <si>
    <t>x = kikut/(1-mukujen osuus myynnistä)</t>
  </si>
  <si>
    <t>248 135 / (1- (295 742/659973)) =  449611</t>
  </si>
  <si>
    <t xml:space="preserve">myynti - kriittinen piste = 659 973 - 449611 = 210362 </t>
  </si>
  <si>
    <t>% = 659 973 / 210 362 = 32%</t>
  </si>
  <si>
    <t>Kiinteät erilliskustannukset</t>
  </si>
  <si>
    <t>Yritys</t>
  </si>
  <si>
    <t>Tuote 1</t>
  </si>
  <si>
    <t>Tuote 3</t>
  </si>
  <si>
    <t>Tuote 2</t>
  </si>
  <si>
    <t>Kiinteät yhteiskustannukset</t>
  </si>
  <si>
    <t>välittömät</t>
  </si>
  <si>
    <t>Tuotteen erilliskate</t>
  </si>
  <si>
    <t>välilliset</t>
  </si>
  <si>
    <t xml:space="preserve">a) Kiinteiden kustannusten kohdistaminen, onko kohdistamisperiaatetta kunnioitettu? </t>
  </si>
  <si>
    <t xml:space="preserve">    Jos varaston kiertonopeus suhteutettaiisin mukuihin olisi tekstiili nopeampi kiertonopeus</t>
  </si>
  <si>
    <t>b) Katetuotto 20%. Hintojen laskeminen 10%. Uusi katetuottto prosentti = 10/90, katetuotto prosentti laskee 10/90 - 20/100 = -8,9%</t>
  </si>
  <si>
    <t xml:space="preserve">     Erikoisliikkeen keskimääräinen katetuottoprosentti laskee = 0,8*-8,9% = -7,1%</t>
  </si>
  <si>
    <t xml:space="preserve">     Gigamyynnin keskimääräinen katetuottoprosentti laskee = 0,1*-8,9% = -0,9%</t>
  </si>
  <si>
    <t xml:space="preserve">     Erikoisliikkeen tulos = 3%-7% = -4%</t>
  </si>
  <si>
    <t>K12</t>
  </si>
  <si>
    <t>Vuosi</t>
  </si>
  <si>
    <t xml:space="preserve">     (Giganmyynnin tulos kuvitteellisilla arvoilla = 3%-1% = 2%)</t>
  </si>
  <si>
    <t>Poistoprosentti</t>
  </si>
  <si>
    <t>Poisto</t>
  </si>
  <si>
    <t>Poistamaton osuus</t>
  </si>
  <si>
    <t>Jälleenhankintahintaan perustuvassa tasapoistossa huomiodaan hinnan kasvu, joten maksetaan &gt; 60 000</t>
  </si>
  <si>
    <t>d)</t>
  </si>
  <si>
    <t>Annuiteetti</t>
  </si>
  <si>
    <t>Korko</t>
  </si>
  <si>
    <t>K2</t>
  </si>
  <si>
    <t>Annuiteettilaina tentissä, sama menetelmä</t>
  </si>
  <si>
    <t xml:space="preserve">Annuiteetti </t>
  </si>
  <si>
    <t>Annuiteettitekijä</t>
  </si>
  <si>
    <t>Epätarkka annuiteettitekijä</t>
  </si>
  <si>
    <t>K11</t>
  </si>
  <si>
    <t>Alkuvarasto</t>
  </si>
  <si>
    <t>300 kpl</t>
  </si>
  <si>
    <t>5,5€/kpl</t>
  </si>
  <si>
    <t>Käyttö</t>
  </si>
  <si>
    <t>200 kpl</t>
  </si>
  <si>
    <t>500 kpl</t>
  </si>
  <si>
    <t>350 kpl</t>
  </si>
  <si>
    <t>250 kpl</t>
  </si>
  <si>
    <t>Saapunut</t>
  </si>
  <si>
    <t>7€/kpl</t>
  </si>
  <si>
    <t>Loppuvarasto</t>
  </si>
  <si>
    <t>Käytön kustannus</t>
  </si>
  <si>
    <t>Loppuvaraston arvo</t>
  </si>
  <si>
    <t>Käytön hintaero</t>
  </si>
  <si>
    <t>Jatkuvana</t>
  </si>
  <si>
    <t>Ajanjaksoittain</t>
  </si>
  <si>
    <t>FIFO</t>
  </si>
  <si>
    <t>LIFO</t>
  </si>
  <si>
    <t>Keskihinnan menetelmä</t>
  </si>
  <si>
    <t>Päivänhintamenetelmä</t>
  </si>
  <si>
    <t>e)</t>
  </si>
  <si>
    <t>Ka. Hinta=</t>
  </si>
  <si>
    <t>Hankintahinta</t>
  </si>
  <si>
    <t>Vakio- eli standardihinta</t>
  </si>
  <si>
    <t>6€/kpl</t>
  </si>
  <si>
    <t>K16</t>
  </si>
  <si>
    <t>K17</t>
  </si>
  <si>
    <t>Välittömät kustannukset</t>
  </si>
  <si>
    <t>raaka-aineet</t>
  </si>
  <si>
    <t>palkat</t>
  </si>
  <si>
    <t>Välilliset kustannukset</t>
  </si>
  <si>
    <t>muutuvat</t>
  </si>
  <si>
    <t>kiinteät</t>
  </si>
  <si>
    <t>Valmistus</t>
  </si>
  <si>
    <t>Hallinto</t>
  </si>
  <si>
    <t xml:space="preserve"> -</t>
  </si>
  <si>
    <t>YK-lisien perusteet</t>
  </si>
  <si>
    <t>YK-lisät</t>
  </si>
  <si>
    <t>Keskimääräiskalkyyli</t>
  </si>
  <si>
    <t>Normaalikalkyyli</t>
  </si>
  <si>
    <t>Minimikalkyyli</t>
  </si>
  <si>
    <t>1480/1425</t>
  </si>
  <si>
    <t>Välittömät raaka-aine kustannukset</t>
  </si>
  <si>
    <t>Raaka-ainelisät</t>
  </si>
  <si>
    <t>Välittömät palkat</t>
  </si>
  <si>
    <t>Valmistuslisä</t>
  </si>
  <si>
    <t>Valmistusarvo</t>
  </si>
  <si>
    <t>hallinnon lisä</t>
  </si>
  <si>
    <t>Omakustannusarvo</t>
  </si>
  <si>
    <t>Minimi</t>
  </si>
  <si>
    <t>Keskimääräis</t>
  </si>
  <si>
    <t>Normaali</t>
  </si>
  <si>
    <t>H6</t>
  </si>
  <si>
    <t xml:space="preserve">Raaka-aine </t>
  </si>
  <si>
    <t>tavoite</t>
  </si>
  <si>
    <t>toteutunut</t>
  </si>
  <si>
    <t>Yksikköhinta €/kg</t>
  </si>
  <si>
    <t>Käyttö kg/kpl</t>
  </si>
  <si>
    <t>Hintaero €</t>
  </si>
  <si>
    <t>Määräero €</t>
  </si>
  <si>
    <t>Työ</t>
  </si>
  <si>
    <t>Yksikköhinta €/h</t>
  </si>
  <si>
    <t>Käyttö h/kpl</t>
  </si>
  <si>
    <t>K19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</si>
</sst>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0" xfId="0" applyFont="1" applyFill="1"/>
    <xf numFmtId="0" fontId="2" fillId="0" borderId="0" xfId="0" applyFont="1"/>
    <xf numFmtId="0" fontId="1" fillId="4" borderId="0" xfId="0" applyFont="1" applyFill="1"/>
    <xf numFmtId="0" fontId="0" fillId="4" borderId="0" xfId="0" applyFill="1"/>
    <xf numFmtId="3" fontId="0" fillId="0" borderId="1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1" fontId="0" fillId="0" borderId="5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1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7BB7314-DC3B-4C31-8260-67D674339237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130</xdr:row>
      <xdr:rowOff>0</xdr:rowOff>
    </xdr:from>
    <xdr:to>
      <xdr:col>12</xdr:col>
      <xdr:colOff>304800</xdr:colOff>
      <xdr:row>131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94C18ED-F75A-48C5-A88E-6B67BE9E4FD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57151</xdr:colOff>
      <xdr:row>121</xdr:row>
      <xdr:rowOff>9526</xdr:rowOff>
    </xdr:from>
    <xdr:to>
      <xdr:col>9</xdr:col>
      <xdr:colOff>170221</xdr:colOff>
      <xdr:row>155</xdr:row>
      <xdr:rowOff>152400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D75E14E0-B07B-4C12-BC90-029033C08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23060026"/>
          <a:ext cx="5077793" cy="661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155584</xdr:colOff>
      <xdr:row>161</xdr:row>
      <xdr:rowOff>28876</xdr:rowOff>
    </xdr:from>
    <xdr:ext cx="3159370" cy="351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iruutu 2">
              <a:extLst>
                <a:ext uri="{FF2B5EF4-FFF2-40B4-BE49-F238E27FC236}">
                  <a16:creationId xmlns:a16="http://schemas.microsoft.com/office/drawing/2014/main" id="{73DA31F8-C9E8-4608-A754-101781D8D167}"/>
                </a:ext>
              </a:extLst>
            </xdr:cNvPr>
            <xdr:cNvSpPr txBox="1"/>
          </xdr:nvSpPr>
          <xdr:spPr>
            <a:xfrm>
              <a:off x="9349280" y="30699376"/>
              <a:ext cx="315937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</a:rPr>
                          <m:t>nettotulos</m:t>
                        </m:r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𝑟𝑎h𝑜𝑖𝑡𝑢𝑠𝑘𝑢𝑙𝑢𝑡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𝑣𝑒𝑟𝑜𝑡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𝑠𝑖𝑗𝑜𝑖𝑡𝑒𝑡𝑡𝑢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ää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𝑜𝑚𝑎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𝑘𝑒𝑠𝑘𝑖𝑚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ää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𝑟𝑖𝑛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𝑡𝑖𝑙𝑖𝑘𝑎𝑢𝑑𝑒𝑙𝑙𝑎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3" name="Tekstiruutu 2">
              <a:extLst>
                <a:ext uri="{FF2B5EF4-FFF2-40B4-BE49-F238E27FC236}">
                  <a16:creationId xmlns:a16="http://schemas.microsoft.com/office/drawing/2014/main" id="{73DA31F8-C9E8-4608-A754-101781D8D167}"/>
                </a:ext>
              </a:extLst>
            </xdr:cNvPr>
            <xdr:cNvSpPr txBox="1"/>
          </xdr:nvSpPr>
          <xdr:spPr>
            <a:xfrm>
              <a:off x="9349280" y="30699376"/>
              <a:ext cx="3159370" cy="351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nettotulos+𝑟𝑎ℎ𝑜𝑖𝑡𝑢𝑠𝑘𝑢𝑙𝑢𝑡+𝑣𝑒𝑟𝑜𝑡 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fi-FI" sz="1100" b="0" i="0">
                  <a:latin typeface="Cambria Math" panose="02040503050406030204" pitchFamily="18" charset="0"/>
                </a:rPr>
                <a:t>𝑠𝑖𝑗𝑜𝑖𝑡𝑒𝑡𝑡𝑢 𝑝ää𝑜𝑚𝑎 𝑘𝑒𝑠𝑘𝑖𝑚ää𝑟𝑖𝑛 𝑡𝑖𝑙𝑖𝑘𝑎𝑢𝑑𝑒𝑙𝑙𝑎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160</xdr:row>
      <xdr:rowOff>7327</xdr:rowOff>
    </xdr:from>
    <xdr:to>
      <xdr:col>13</xdr:col>
      <xdr:colOff>285750</xdr:colOff>
      <xdr:row>182</xdr:row>
      <xdr:rowOff>105678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807FE816-F48C-40CF-8A3B-373686EBA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438" b="14285"/>
        <a:stretch/>
      </xdr:blipFill>
      <xdr:spPr>
        <a:xfrm>
          <a:off x="0" y="30487327"/>
          <a:ext cx="8506558" cy="4289351"/>
        </a:xfrm>
        <a:prstGeom prst="rect">
          <a:avLst/>
        </a:prstGeom>
      </xdr:spPr>
    </xdr:pic>
    <xdr:clientData/>
  </xdr:twoCellAnchor>
  <xdr:oneCellAnchor>
    <xdr:from>
      <xdr:col>15</xdr:col>
      <xdr:colOff>445475</xdr:colOff>
      <xdr:row>166</xdr:row>
      <xdr:rowOff>4027</xdr:rowOff>
    </xdr:from>
    <xdr:ext cx="3291255" cy="61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iruutu 10">
              <a:extLst>
                <a:ext uri="{FF2B5EF4-FFF2-40B4-BE49-F238E27FC236}">
                  <a16:creationId xmlns:a16="http://schemas.microsoft.com/office/drawing/2014/main" id="{9F999B85-4A97-4821-816A-0F159C48AF29}"/>
                </a:ext>
              </a:extLst>
            </xdr:cNvPr>
            <xdr:cNvSpPr txBox="1"/>
          </xdr:nvSpPr>
          <xdr:spPr>
            <a:xfrm>
              <a:off x="9567494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22810+10650+10290</m:t>
                        </m:r>
                      </m:num>
                      <m:den>
                        <m:f>
                          <m:fPr>
                            <m:ctrlPr>
                              <a:rPr lang="fi-FI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  <m:t>85398+90000</m:t>
                                </m:r>
                              </m:e>
                            </m:d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  <m:t>73208+80000</m:t>
                                </m:r>
                              </m:e>
                            </m:d>
                          </m:num>
                          <m:den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1" name="Tekstiruutu 10">
              <a:extLst>
                <a:ext uri="{FF2B5EF4-FFF2-40B4-BE49-F238E27FC236}">
                  <a16:creationId xmlns:a16="http://schemas.microsoft.com/office/drawing/2014/main" id="{9F999B85-4A97-4821-816A-0F159C48AF29}"/>
                </a:ext>
              </a:extLst>
            </xdr:cNvPr>
            <xdr:cNvSpPr txBox="1"/>
          </xdr:nvSpPr>
          <xdr:spPr>
            <a:xfrm>
              <a:off x="9567494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i-FI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22810+10650+10290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)/(((</a:t>
              </a:r>
              <a:r>
                <a:rPr lang="fi-FI" sz="1400" b="0" i="0">
                  <a:latin typeface="Cambria Math" panose="02040503050406030204" pitchFamily="18" charset="0"/>
                </a:rPr>
                <a:t>85398+90000)+(73208+80000))/2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1</xdr:col>
      <xdr:colOff>16565</xdr:colOff>
      <xdr:row>187</xdr:row>
      <xdr:rowOff>8283</xdr:rowOff>
    </xdr:from>
    <xdr:to>
      <xdr:col>7</xdr:col>
      <xdr:colOff>540728</xdr:colOff>
      <xdr:row>195</xdr:row>
      <xdr:rowOff>4424</xdr:rowOff>
    </xdr:to>
    <xdr:pic>
      <xdr:nvPicPr>
        <xdr:cNvPr id="9" name="Kuva 8">
          <a:extLst>
            <a:ext uri="{FF2B5EF4-FFF2-40B4-BE49-F238E27FC236}">
              <a16:creationId xmlns:a16="http://schemas.microsoft.com/office/drawing/2014/main" id="{C4F73DAB-EB85-4720-887F-70FD0CFDD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65" y="35936583"/>
          <a:ext cx="4271151" cy="152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7323</xdr:colOff>
      <xdr:row>188</xdr:row>
      <xdr:rowOff>7328</xdr:rowOff>
    </xdr:from>
    <xdr:to>
      <xdr:col>17</xdr:col>
      <xdr:colOff>197826</xdr:colOff>
      <xdr:row>194</xdr:row>
      <xdr:rowOff>189318</xdr:rowOff>
    </xdr:to>
    <xdr:pic>
      <xdr:nvPicPr>
        <xdr:cNvPr id="10" name="Kuva 9">
          <a:extLst>
            <a:ext uri="{FF2B5EF4-FFF2-40B4-BE49-F238E27FC236}">
              <a16:creationId xmlns:a16="http://schemas.microsoft.com/office/drawing/2014/main" id="{8D43B3B5-B109-4E30-82F7-36EA00524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4223" y="36126128"/>
          <a:ext cx="5294438" cy="13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21984</xdr:colOff>
      <xdr:row>187</xdr:row>
      <xdr:rowOff>183173</xdr:rowOff>
    </xdr:from>
    <xdr:to>
      <xdr:col>24</xdr:col>
      <xdr:colOff>573822</xdr:colOff>
      <xdr:row>198</xdr:row>
      <xdr:rowOff>175846</xdr:rowOff>
    </xdr:to>
    <xdr:pic>
      <xdr:nvPicPr>
        <xdr:cNvPr id="12" name="Kuva 11">
          <a:extLst>
            <a:ext uri="{FF2B5EF4-FFF2-40B4-BE49-F238E27FC236}">
              <a16:creationId xmlns:a16="http://schemas.microsoft.com/office/drawing/2014/main" id="{FCD233DF-3816-4D58-867D-4B163819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8407" y="36114404"/>
          <a:ext cx="4200645" cy="20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556848</xdr:colOff>
      <xdr:row>197</xdr:row>
      <xdr:rowOff>73271</xdr:rowOff>
    </xdr:from>
    <xdr:to>
      <xdr:col>7</xdr:col>
      <xdr:colOff>534866</xdr:colOff>
      <xdr:row>200</xdr:row>
      <xdr:rowOff>188653</xdr:rowOff>
    </xdr:to>
    <xdr:pic>
      <xdr:nvPicPr>
        <xdr:cNvPr id="13" name="Kuva 12">
          <a:extLst>
            <a:ext uri="{FF2B5EF4-FFF2-40B4-BE49-F238E27FC236}">
              <a16:creationId xmlns:a16="http://schemas.microsoft.com/office/drawing/2014/main" id="{90C0B4B6-7E37-467D-BBDC-A0F6043E38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196"/>
        <a:stretch/>
      </xdr:blipFill>
      <xdr:spPr bwMode="auto">
        <a:xfrm>
          <a:off x="1164983" y="37909502"/>
          <a:ext cx="3714748" cy="686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208</xdr:row>
      <xdr:rowOff>6568</xdr:rowOff>
    </xdr:from>
    <xdr:to>
      <xdr:col>7</xdr:col>
      <xdr:colOff>529902</xdr:colOff>
      <xdr:row>220</xdr:row>
      <xdr:rowOff>6569</xdr:rowOff>
    </xdr:to>
    <xdr:pic>
      <xdr:nvPicPr>
        <xdr:cNvPr id="14" name="Kuva 13">
          <a:extLst>
            <a:ext uri="{FF2B5EF4-FFF2-40B4-BE49-F238E27FC236}">
              <a16:creationId xmlns:a16="http://schemas.microsoft.com/office/drawing/2014/main" id="{970904F7-429E-4709-A32B-EF80E6CC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915" y="39932740"/>
          <a:ext cx="4286085" cy="2286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21978</xdr:colOff>
      <xdr:row>262</xdr:row>
      <xdr:rowOff>36636</xdr:rowOff>
    </xdr:from>
    <xdr:to>
      <xdr:col>7</xdr:col>
      <xdr:colOff>527537</xdr:colOff>
      <xdr:row>269</xdr:row>
      <xdr:rowOff>155454</xdr:rowOff>
    </xdr:to>
    <xdr:pic>
      <xdr:nvPicPr>
        <xdr:cNvPr id="15" name="Kuva 14">
          <a:extLst>
            <a:ext uri="{FF2B5EF4-FFF2-40B4-BE49-F238E27FC236}">
              <a16:creationId xmlns:a16="http://schemas.microsoft.com/office/drawing/2014/main" id="{06DFAB65-4B96-4017-906A-4902D2947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113" y="50255367"/>
          <a:ext cx="4242289" cy="14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21981</xdr:colOff>
      <xdr:row>282</xdr:row>
      <xdr:rowOff>87922</xdr:rowOff>
    </xdr:from>
    <xdr:to>
      <xdr:col>5</xdr:col>
      <xdr:colOff>606911</xdr:colOff>
      <xdr:row>290</xdr:row>
      <xdr:rowOff>1</xdr:rowOff>
    </xdr:to>
    <xdr:pic>
      <xdr:nvPicPr>
        <xdr:cNvPr id="16" name="Kuva 15">
          <a:extLst>
            <a:ext uri="{FF2B5EF4-FFF2-40B4-BE49-F238E27FC236}">
              <a16:creationId xmlns:a16="http://schemas.microsoft.com/office/drawing/2014/main" id="{B7EEEB2A-5949-4C4C-A938-1D972564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116" y="54116653"/>
          <a:ext cx="3105391" cy="1436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6"/>
  <sheetViews>
    <sheetView tabSelected="1" topLeftCell="A262" zoomScale="130" zoomScaleNormal="130" zoomScaleSheetLayoutView="118" workbookViewId="0">
      <selection activeCell="D294" sqref="D294"/>
    </sheetView>
  </sheetViews>
  <sheetFormatPr defaultRowHeight="15" x14ac:dyDescent="0.25"/>
  <cols>
    <col min="5" max="5" width="10.42578125" bestFit="1" customWidth="1"/>
    <col min="13" max="13" width="12.5703125" bestFit="1" customWidth="1"/>
  </cols>
  <sheetData>
    <row r="1" spans="1:20" x14ac:dyDescent="0.25">
      <c r="A1" s="8" t="s">
        <v>21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>
        <f>6000-K4</f>
        <v>2300</v>
      </c>
      <c r="E4" s="3"/>
      <c r="F4">
        <v>6000</v>
      </c>
      <c r="H4" s="3"/>
      <c r="K4" s="3">
        <v>3700</v>
      </c>
      <c r="N4" t="s">
        <v>2</v>
      </c>
      <c r="O4" s="3"/>
      <c r="P4">
        <f>H19</f>
        <v>5150</v>
      </c>
      <c r="R4" t="s">
        <v>1</v>
      </c>
      <c r="S4" s="3"/>
      <c r="T4">
        <f>E19</f>
        <v>5920</v>
      </c>
    </row>
    <row r="5" spans="1:20" x14ac:dyDescent="0.25">
      <c r="A5" t="s">
        <v>9</v>
      </c>
      <c r="B5" s="3"/>
      <c r="C5">
        <v>450</v>
      </c>
      <c r="E5" s="3"/>
      <c r="H5" s="3"/>
      <c r="K5" s="3">
        <v>450</v>
      </c>
      <c r="N5" t="s">
        <v>3</v>
      </c>
      <c r="O5" s="3">
        <f>L19</f>
        <v>4400</v>
      </c>
      <c r="R5" t="s">
        <v>0</v>
      </c>
      <c r="S5" s="3">
        <f>C19</f>
        <v>6670</v>
      </c>
    </row>
    <row r="6" spans="1:20" x14ac:dyDescent="0.25">
      <c r="A6" t="s">
        <v>10</v>
      </c>
      <c r="B6" s="3">
        <v>1300</v>
      </c>
      <c r="E6" s="3"/>
      <c r="H6" s="3"/>
      <c r="I6">
        <v>1300</v>
      </c>
      <c r="K6" s="3"/>
      <c r="O6" s="3"/>
      <c r="S6" s="3"/>
    </row>
    <row r="7" spans="1:20" x14ac:dyDescent="0.25">
      <c r="A7" t="s">
        <v>11</v>
      </c>
      <c r="B7" s="3"/>
      <c r="C7">
        <v>100</v>
      </c>
      <c r="E7" s="3"/>
      <c r="H7" s="3"/>
      <c r="K7" s="3">
        <v>100</v>
      </c>
      <c r="O7" s="3"/>
      <c r="S7" s="3"/>
    </row>
    <row r="8" spans="1:20" x14ac:dyDescent="0.25">
      <c r="A8" t="s">
        <v>12</v>
      </c>
      <c r="B8" s="3"/>
      <c r="C8">
        <v>80</v>
      </c>
      <c r="E8" s="3">
        <v>80</v>
      </c>
      <c r="H8" s="3"/>
      <c r="K8" s="3"/>
      <c r="O8" s="3"/>
      <c r="S8" s="3"/>
    </row>
    <row r="9" spans="1:20" x14ac:dyDescent="0.25">
      <c r="A9" t="s">
        <v>13</v>
      </c>
      <c r="B9" s="3">
        <v>1800</v>
      </c>
      <c r="E9" s="3"/>
      <c r="H9" s="3"/>
      <c r="I9">
        <v>1800</v>
      </c>
      <c r="K9" s="3"/>
      <c r="O9" s="3"/>
      <c r="S9" s="3"/>
    </row>
    <row r="10" spans="1:20" x14ac:dyDescent="0.25">
      <c r="A10" t="s">
        <v>14</v>
      </c>
      <c r="B10" s="3"/>
      <c r="C10">
        <v>150</v>
      </c>
      <c r="E10" s="3"/>
      <c r="H10" s="3"/>
      <c r="K10" s="3">
        <v>150</v>
      </c>
      <c r="O10" s="3"/>
      <c r="S10" s="3"/>
    </row>
    <row r="11" spans="1:20" x14ac:dyDescent="0.25">
      <c r="A11" t="s">
        <v>15</v>
      </c>
      <c r="B11" s="3">
        <v>1450</v>
      </c>
      <c r="E11" s="3"/>
      <c r="H11" s="3"/>
      <c r="I11">
        <v>1450</v>
      </c>
      <c r="K11" s="3"/>
      <c r="O11" s="3"/>
      <c r="S11" s="3"/>
    </row>
    <row r="12" spans="1:20" x14ac:dyDescent="0.25">
      <c r="A12" t="s">
        <v>16</v>
      </c>
      <c r="B12" s="3">
        <v>600</v>
      </c>
      <c r="E12" s="3"/>
      <c r="H12" s="3"/>
      <c r="I12">
        <v>600</v>
      </c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7450</v>
      </c>
      <c r="C18" s="1">
        <f>SUM(C4:C17)</f>
        <v>780</v>
      </c>
      <c r="E18" s="2">
        <v>80</v>
      </c>
      <c r="F18" s="1">
        <v>6000</v>
      </c>
      <c r="H18" s="2"/>
      <c r="I18" s="1">
        <f>SUM(I4:I17)</f>
        <v>5150</v>
      </c>
      <c r="K18" s="2">
        <f>SUM(K4:K17)</f>
        <v>4400</v>
      </c>
      <c r="L18" s="1"/>
      <c r="O18" s="2">
        <f>SUM(O4:O17)</f>
        <v>4400</v>
      </c>
      <c r="P18" s="1">
        <f>SUM(P4:P17)</f>
        <v>5150</v>
      </c>
      <c r="S18" s="2">
        <v>6670</v>
      </c>
      <c r="T18" s="1">
        <v>5920</v>
      </c>
    </row>
    <row r="19" spans="1:39" x14ac:dyDescent="0.25">
      <c r="C19">
        <f>B18-C18</f>
        <v>6670</v>
      </c>
      <c r="E19">
        <f>F18-E18</f>
        <v>5920</v>
      </c>
      <c r="H19">
        <f>I18</f>
        <v>5150</v>
      </c>
      <c r="L19">
        <f>K18</f>
        <v>4400</v>
      </c>
      <c r="O19" s="4">
        <f>P18-O18</f>
        <v>750</v>
      </c>
      <c r="P19" s="4"/>
      <c r="S19" s="4"/>
      <c r="T19" s="4">
        <f>S18-T18</f>
        <v>750</v>
      </c>
    </row>
    <row r="20" spans="1:39" x14ac:dyDescent="0.25">
      <c r="O20">
        <f>O18+O19</f>
        <v>5150</v>
      </c>
      <c r="P20">
        <f>P18+P19</f>
        <v>5150</v>
      </c>
      <c r="S20">
        <f>S18+S19</f>
        <v>6670</v>
      </c>
      <c r="T20">
        <f>T18+T19</f>
        <v>6670</v>
      </c>
    </row>
    <row r="22" spans="1:39" x14ac:dyDescent="0.25">
      <c r="A22" s="5" t="s">
        <v>18</v>
      </c>
      <c r="B22" t="s">
        <v>17</v>
      </c>
      <c r="C22" t="s">
        <v>38</v>
      </c>
      <c r="H22">
        <f>C19</f>
        <v>6670</v>
      </c>
      <c r="N22" s="5" t="s">
        <v>19</v>
      </c>
      <c r="O22" t="s">
        <v>39</v>
      </c>
      <c r="R22">
        <f>O19</f>
        <v>750</v>
      </c>
      <c r="T22" s="5" t="s">
        <v>20</v>
      </c>
      <c r="U22" t="s">
        <v>40</v>
      </c>
      <c r="X22">
        <f>T20</f>
        <v>6670</v>
      </c>
    </row>
    <row r="24" spans="1:39" x14ac:dyDescent="0.25">
      <c r="A24" s="8" t="s">
        <v>22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23</v>
      </c>
      <c r="F26" s="1"/>
      <c r="H26" s="2" t="s">
        <v>24</v>
      </c>
      <c r="I26" s="1"/>
      <c r="K26" s="2" t="s">
        <v>25</v>
      </c>
      <c r="L26" s="1"/>
      <c r="N26" s="2" t="s">
        <v>26</v>
      </c>
      <c r="O26" s="1"/>
      <c r="Q26" s="2" t="s">
        <v>27</v>
      </c>
      <c r="R26" s="1"/>
      <c r="T26" s="2" t="s">
        <v>28</v>
      </c>
      <c r="U26" s="1"/>
      <c r="W26" s="2" t="s">
        <v>29</v>
      </c>
      <c r="X26" s="1"/>
      <c r="Z26" s="2" t="s">
        <v>30</v>
      </c>
      <c r="AA26" s="1"/>
      <c r="AC26" s="2" t="s">
        <v>31</v>
      </c>
      <c r="AD26" s="1"/>
      <c r="AF26" s="2" t="s">
        <v>32</v>
      </c>
      <c r="AG26" s="1"/>
      <c r="AI26" s="2" t="s">
        <v>33</v>
      </c>
      <c r="AJ26" s="1"/>
      <c r="AL26" s="2" t="s">
        <v>34</v>
      </c>
      <c r="AM26" s="1"/>
    </row>
    <row r="27" spans="1:39" x14ac:dyDescent="0.25">
      <c r="A27" t="s">
        <v>8</v>
      </c>
      <c r="B27" s="3">
        <v>9500</v>
      </c>
      <c r="E27" s="3"/>
      <c r="H27" s="3"/>
      <c r="K27" s="3"/>
      <c r="N27" s="3"/>
      <c r="Q27" s="3"/>
      <c r="T27" s="3"/>
      <c r="W27" s="3"/>
      <c r="Z27" s="3"/>
      <c r="AC27" s="3"/>
      <c r="AF27" s="3"/>
      <c r="AG27">
        <v>10000</v>
      </c>
      <c r="AI27" s="3">
        <v>500</v>
      </c>
      <c r="AL27" s="3"/>
    </row>
    <row r="28" spans="1:39" x14ac:dyDescent="0.25">
      <c r="A28" t="s">
        <v>9</v>
      </c>
      <c r="B28" s="3"/>
      <c r="C28">
        <v>9500</v>
      </c>
      <c r="E28" s="3"/>
      <c r="H28" s="3">
        <v>2000</v>
      </c>
      <c r="K28" s="3"/>
      <c r="N28" s="3"/>
      <c r="Q28" s="3">
        <v>10000</v>
      </c>
      <c r="T28" s="3"/>
      <c r="W28" s="3"/>
      <c r="X28">
        <v>2500</v>
      </c>
      <c r="Z28" s="3"/>
      <c r="AC28" s="3"/>
      <c r="AF28" s="3"/>
      <c r="AI28" s="3"/>
      <c r="AL28" s="3"/>
    </row>
    <row r="29" spans="1:39" x14ac:dyDescent="0.25">
      <c r="A29" t="s">
        <v>10</v>
      </c>
      <c r="B29" s="3"/>
      <c r="E29" s="3"/>
      <c r="H29" s="3"/>
      <c r="K29" s="3"/>
      <c r="N29" s="3"/>
      <c r="Q29" s="3"/>
      <c r="T29" s="3"/>
      <c r="W29" s="3"/>
      <c r="X29">
        <v>300</v>
      </c>
      <c r="Z29" s="3"/>
      <c r="AC29" s="3"/>
      <c r="AF29" s="3"/>
      <c r="AI29" s="3"/>
      <c r="AL29" s="3">
        <v>300</v>
      </c>
    </row>
    <row r="30" spans="1:39" x14ac:dyDescent="0.25">
      <c r="A30" t="s">
        <v>11</v>
      </c>
      <c r="B30" s="3">
        <v>600</v>
      </c>
      <c r="E30" s="3"/>
      <c r="F30">
        <v>600</v>
      </c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A31" t="s">
        <v>12</v>
      </c>
      <c r="B31" s="3"/>
      <c r="E31" s="3"/>
      <c r="H31" s="3">
        <v>800</v>
      </c>
      <c r="K31" s="3"/>
      <c r="N31" s="3"/>
      <c r="O31">
        <v>800</v>
      </c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A32" t="s">
        <v>13</v>
      </c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A33" t="s">
        <v>14</v>
      </c>
      <c r="B33" s="3">
        <v>1400</v>
      </c>
      <c r="E33" s="3"/>
      <c r="F33">
        <v>1400</v>
      </c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A34" t="s">
        <v>15</v>
      </c>
      <c r="B34" s="3"/>
      <c r="E34" s="3"/>
      <c r="H34" s="3">
        <v>1275</v>
      </c>
      <c r="K34" s="3"/>
      <c r="N34" s="3"/>
      <c r="O34">
        <v>1275</v>
      </c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A35" t="s">
        <v>16</v>
      </c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A36" t="s">
        <v>35</v>
      </c>
      <c r="B36" s="3"/>
      <c r="E36" s="3"/>
      <c r="F36">
        <v>2800</v>
      </c>
      <c r="H36" s="3"/>
      <c r="K36" s="3">
        <v>2800</v>
      </c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A37" t="s">
        <v>36</v>
      </c>
      <c r="B37" s="3"/>
      <c r="C37">
        <v>250</v>
      </c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A38" t="s">
        <v>37</v>
      </c>
      <c r="B38" s="3"/>
      <c r="C38">
        <v>800</v>
      </c>
      <c r="E38" s="3"/>
      <c r="H38" s="3"/>
      <c r="K38" s="3"/>
      <c r="N38" s="3">
        <v>800</v>
      </c>
      <c r="Q38" s="3"/>
      <c r="T38" s="3"/>
      <c r="W38" s="3"/>
      <c r="Z38" s="3"/>
      <c r="AC38" s="3"/>
      <c r="AF38" s="3"/>
      <c r="AI38" s="3">
        <v>250</v>
      </c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A40" t="s">
        <v>47</v>
      </c>
      <c r="B40" s="3"/>
      <c r="E40" s="3"/>
      <c r="H40" s="3"/>
      <c r="K40" s="3"/>
      <c r="N40" s="3"/>
      <c r="Q40" s="3"/>
      <c r="R40">
        <v>1000</v>
      </c>
      <c r="T40" s="3">
        <v>1000</v>
      </c>
      <c r="W40" s="3"/>
      <c r="Z40" s="3">
        <f>E50</f>
        <v>2077.5</v>
      </c>
      <c r="AC40" s="3"/>
      <c r="AD40">
        <f>E50</f>
        <v>2077.5</v>
      </c>
      <c r="AF40" s="3"/>
      <c r="AI40" s="3"/>
      <c r="AL40" s="3"/>
    </row>
    <row r="41" spans="1:39" x14ac:dyDescent="0.25">
      <c r="B41" s="2">
        <f>SUM(B27:B40)</f>
        <v>11500</v>
      </c>
      <c r="C41" s="1">
        <f>SUM(C27:C40)</f>
        <v>10550</v>
      </c>
      <c r="E41" s="2"/>
      <c r="F41" s="1">
        <f>SUM(F27:F40)</f>
        <v>4800</v>
      </c>
      <c r="H41" s="2">
        <f>SUM(H27:H40)</f>
        <v>4075</v>
      </c>
      <c r="I41" s="1"/>
      <c r="K41" s="2">
        <f>SUM(K27:K40)</f>
        <v>2800</v>
      </c>
      <c r="L41" s="1"/>
      <c r="N41" s="2">
        <f>SUM(N27:N40)</f>
        <v>800</v>
      </c>
      <c r="O41" s="1">
        <f>SUM(O27:O40)</f>
        <v>2075</v>
      </c>
      <c r="Q41" s="2">
        <f>SUM(Q27:Q40)</f>
        <v>10000</v>
      </c>
      <c r="R41" s="1">
        <f>SUM(R27:R40)</f>
        <v>1000</v>
      </c>
      <c r="T41" s="2">
        <f>SUM(T27:T40)</f>
        <v>1000</v>
      </c>
      <c r="U41" s="1"/>
      <c r="W41" s="2"/>
      <c r="X41" s="1">
        <f>SUM(X27:X40)</f>
        <v>2800</v>
      </c>
      <c r="Z41" s="2">
        <f>SUM(Z27:Z40)</f>
        <v>2077.5</v>
      </c>
      <c r="AA41" s="1"/>
      <c r="AC41" s="2"/>
      <c r="AD41" s="1">
        <f>SUM(AD27:AD40)</f>
        <v>2077.5</v>
      </c>
      <c r="AF41" s="2"/>
      <c r="AG41" s="1">
        <f>SUM(AG27:AG40)</f>
        <v>10000</v>
      </c>
      <c r="AI41" s="2">
        <f>SUM(AI27:AI40)</f>
        <v>750</v>
      </c>
      <c r="AJ41" s="1"/>
      <c r="AL41" s="2">
        <f>SUM(AL27:AL40)</f>
        <v>300</v>
      </c>
      <c r="AM41" s="1"/>
    </row>
    <row r="42" spans="1:39" x14ac:dyDescent="0.25">
      <c r="C42">
        <f>B41-C41</f>
        <v>950</v>
      </c>
      <c r="E42">
        <f>F41</f>
        <v>4800</v>
      </c>
      <c r="I42">
        <f>H41</f>
        <v>4075</v>
      </c>
      <c r="L42">
        <f>K41-L41</f>
        <v>2800</v>
      </c>
      <c r="N42">
        <f>O41-N41</f>
        <v>1275</v>
      </c>
      <c r="R42">
        <f>Q41-R41</f>
        <v>9000</v>
      </c>
      <c r="U42">
        <f>T41</f>
        <v>1000</v>
      </c>
      <c r="W42">
        <f>X41-W41</f>
        <v>2800</v>
      </c>
      <c r="AA42">
        <f>Z41</f>
        <v>2077.5</v>
      </c>
      <c r="AC42">
        <f>AD41</f>
        <v>2077.5</v>
      </c>
      <c r="AF42">
        <f>AG41</f>
        <v>10000</v>
      </c>
      <c r="AJ42">
        <f>AI41</f>
        <v>750</v>
      </c>
      <c r="AM42">
        <f>AL41</f>
        <v>300</v>
      </c>
    </row>
    <row r="44" spans="1:39" x14ac:dyDescent="0.25">
      <c r="A44" t="s">
        <v>17</v>
      </c>
      <c r="B44" s="5" t="s">
        <v>50</v>
      </c>
      <c r="C44" t="s">
        <v>41</v>
      </c>
    </row>
    <row r="46" spans="1:39" x14ac:dyDescent="0.25">
      <c r="B46" s="5" t="s">
        <v>51</v>
      </c>
      <c r="C46" t="s">
        <v>43</v>
      </c>
    </row>
    <row r="47" spans="1:39" x14ac:dyDescent="0.25">
      <c r="C47" t="s">
        <v>42</v>
      </c>
      <c r="E47">
        <f>30*(19.5-10)</f>
        <v>285</v>
      </c>
    </row>
    <row r="48" spans="1:39" x14ac:dyDescent="0.25">
      <c r="C48" t="s">
        <v>44</v>
      </c>
      <c r="E48">
        <f>15*(39.5-20)</f>
        <v>292.5</v>
      </c>
    </row>
    <row r="49" spans="1:11" x14ac:dyDescent="0.25">
      <c r="C49" s="1" t="s">
        <v>45</v>
      </c>
      <c r="D49" s="1"/>
      <c r="E49" s="1">
        <v>1500</v>
      </c>
    </row>
    <row r="50" spans="1:11" x14ac:dyDescent="0.25">
      <c r="C50" t="s">
        <v>46</v>
      </c>
      <c r="E50">
        <f>SUM(E47:E49)</f>
        <v>2077.5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23</v>
      </c>
      <c r="D54" s="3"/>
      <c r="E54">
        <f>E42</f>
        <v>4800</v>
      </c>
      <c r="G54" t="s">
        <v>27</v>
      </c>
      <c r="J54" s="3">
        <f>R42</f>
        <v>9000</v>
      </c>
    </row>
    <row r="55" spans="1:11" x14ac:dyDescent="0.25">
      <c r="A55" t="s">
        <v>24</v>
      </c>
      <c r="D55" s="3">
        <f>I42</f>
        <v>4075</v>
      </c>
      <c r="G55" t="s">
        <v>30</v>
      </c>
      <c r="J55" s="3">
        <f>AA42</f>
        <v>2077.5</v>
      </c>
    </row>
    <row r="56" spans="1:11" x14ac:dyDescent="0.25">
      <c r="A56" t="s">
        <v>31</v>
      </c>
      <c r="D56" s="3"/>
      <c r="E56">
        <f>AC42</f>
        <v>2077.5</v>
      </c>
      <c r="G56" t="s">
        <v>25</v>
      </c>
      <c r="J56" s="3">
        <f>L42</f>
        <v>2800</v>
      </c>
    </row>
    <row r="57" spans="1:11" x14ac:dyDescent="0.25">
      <c r="A57" t="s">
        <v>34</v>
      </c>
      <c r="D57" s="3">
        <f>AM42</f>
        <v>300</v>
      </c>
      <c r="G57" t="s">
        <v>0</v>
      </c>
      <c r="J57" s="3">
        <f>C42</f>
        <v>950</v>
      </c>
      <c r="K57" t="s">
        <v>48</v>
      </c>
    </row>
    <row r="58" spans="1:11" x14ac:dyDescent="0.25">
      <c r="A58" t="s">
        <v>28</v>
      </c>
      <c r="D58" s="3">
        <f>U42</f>
        <v>1000</v>
      </c>
      <c r="G58" t="s">
        <v>29</v>
      </c>
      <c r="J58" s="3"/>
      <c r="K58">
        <f>W42</f>
        <v>2800</v>
      </c>
    </row>
    <row r="59" spans="1:11" x14ac:dyDescent="0.25">
      <c r="A59" t="s">
        <v>33</v>
      </c>
      <c r="D59" s="3">
        <f>AJ42</f>
        <v>750</v>
      </c>
      <c r="G59" t="s">
        <v>32</v>
      </c>
      <c r="J59" s="3"/>
      <c r="K59">
        <f>AF42</f>
        <v>10000</v>
      </c>
    </row>
    <row r="60" spans="1:11" x14ac:dyDescent="0.25">
      <c r="D60" s="3"/>
      <c r="G60" t="s">
        <v>26</v>
      </c>
      <c r="J60" s="3"/>
      <c r="K60">
        <f>N42</f>
        <v>1275</v>
      </c>
    </row>
    <row r="61" spans="1:11" x14ac:dyDescent="0.25">
      <c r="D61" s="2">
        <f>SUM(D54:D60)</f>
        <v>6125</v>
      </c>
      <c r="E61" s="1">
        <f>SUM(E54:E60)</f>
        <v>6877.5</v>
      </c>
      <c r="J61" s="2">
        <f>SUM(J54:J60)</f>
        <v>14827.5</v>
      </c>
      <c r="K61" s="1">
        <f>SUM(K54:K60)</f>
        <v>14075</v>
      </c>
    </row>
    <row r="62" spans="1:11" x14ac:dyDescent="0.25">
      <c r="A62" t="s">
        <v>49</v>
      </c>
      <c r="D62" s="6">
        <f>E61-D61</f>
        <v>752.5</v>
      </c>
      <c r="E62" s="7"/>
      <c r="J62" s="6"/>
      <c r="K62" s="4">
        <f>D62</f>
        <v>752.5</v>
      </c>
    </row>
    <row r="63" spans="1:11" x14ac:dyDescent="0.25">
      <c r="D63">
        <f>D61+D62</f>
        <v>6877.5</v>
      </c>
      <c r="E63">
        <f>E61+E62</f>
        <v>6877.5</v>
      </c>
      <c r="J63">
        <f>J61+J62</f>
        <v>14827.5</v>
      </c>
      <c r="K63">
        <f>K61+K62</f>
        <v>14827.5</v>
      </c>
    </row>
    <row r="66" spans="1:24" x14ac:dyDescent="0.25">
      <c r="A66" s="8" t="s">
        <v>52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23</v>
      </c>
      <c r="F68" s="1"/>
      <c r="H68" s="2" t="s">
        <v>24</v>
      </c>
      <c r="I68" s="1"/>
      <c r="K68" s="2" t="s">
        <v>25</v>
      </c>
      <c r="L68" s="1"/>
      <c r="N68" s="2" t="s">
        <v>26</v>
      </c>
      <c r="O68" s="1"/>
      <c r="Q68" s="2" t="s">
        <v>27</v>
      </c>
      <c r="R68" s="1"/>
      <c r="T68" s="2" t="s">
        <v>28</v>
      </c>
      <c r="U68" s="1"/>
      <c r="W68" s="2" t="s">
        <v>53</v>
      </c>
      <c r="X68" s="1"/>
    </row>
    <row r="69" spans="1:24" x14ac:dyDescent="0.25">
      <c r="A69" t="s">
        <v>8</v>
      </c>
      <c r="B69" s="3">
        <v>2000</v>
      </c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>
        <v>7840</v>
      </c>
      <c r="T71" s="3"/>
      <c r="W71" s="3"/>
    </row>
    <row r="72" spans="1:24" x14ac:dyDescent="0.25">
      <c r="A72" t="s">
        <v>11</v>
      </c>
      <c r="B72" s="3"/>
      <c r="E72" s="3"/>
      <c r="H72" s="3">
        <v>4000</v>
      </c>
      <c r="K72" s="3"/>
      <c r="N72" s="3"/>
      <c r="O72">
        <v>4000</v>
      </c>
      <c r="Q72" s="3"/>
      <c r="T72" s="3"/>
      <c r="W72" s="3"/>
    </row>
    <row r="73" spans="1:24" x14ac:dyDescent="0.25">
      <c r="A73" t="s">
        <v>12</v>
      </c>
      <c r="B73" s="3"/>
      <c r="C73">
        <v>466</v>
      </c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>
        <v>2550</v>
      </c>
      <c r="E74" s="3"/>
      <c r="F74">
        <v>2550</v>
      </c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C75">
        <v>500</v>
      </c>
      <c r="E75" s="3"/>
      <c r="F75">
        <v>5600</v>
      </c>
      <c r="H75" s="3"/>
      <c r="K75" s="3">
        <v>5600</v>
      </c>
      <c r="N75" s="3"/>
      <c r="Q75" s="3"/>
      <c r="T75" s="3"/>
      <c r="W75" s="3"/>
    </row>
    <row r="76" spans="1:24" x14ac:dyDescent="0.25">
      <c r="A76" t="s">
        <v>15</v>
      </c>
      <c r="B76" s="3"/>
      <c r="C76">
        <v>54</v>
      </c>
      <c r="E76" s="3"/>
      <c r="F76">
        <v>5000</v>
      </c>
      <c r="H76" s="3"/>
      <c r="K76" s="3">
        <v>5000</v>
      </c>
      <c r="L76">
        <v>2500</v>
      </c>
      <c r="N76" s="3"/>
      <c r="Q76" s="3"/>
      <c r="T76" s="3"/>
      <c r="W76" s="3">
        <v>1500</v>
      </c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47</v>
      </c>
      <c r="B82" s="3"/>
      <c r="E82" s="3"/>
      <c r="H82" s="3"/>
      <c r="K82" s="3"/>
      <c r="N82" s="3"/>
      <c r="Q82" s="3"/>
      <c r="R82">
        <v>35</v>
      </c>
      <c r="T82" s="3">
        <v>35</v>
      </c>
      <c r="W82" s="3"/>
    </row>
    <row r="83" spans="1:24" x14ac:dyDescent="0.25">
      <c r="B83" s="2">
        <f>SUM(B69:B82)</f>
        <v>4550</v>
      </c>
      <c r="C83" s="1">
        <f>SUM(C69:C82)</f>
        <v>1020</v>
      </c>
      <c r="E83" s="2"/>
      <c r="F83" s="1">
        <f>SUM(F69:F82)</f>
        <v>13150</v>
      </c>
      <c r="H83" s="2">
        <f>SUM(H70:H82)</f>
        <v>4000</v>
      </c>
      <c r="I83" s="1"/>
      <c r="K83" s="2">
        <f>SUM(K69:K82)</f>
        <v>10600</v>
      </c>
      <c r="L83" s="1">
        <f>SUM(L69:L82)</f>
        <v>2500</v>
      </c>
      <c r="N83" s="2">
        <f>SUM(N69:N82)</f>
        <v>0</v>
      </c>
      <c r="O83" s="1">
        <f>SUM(O70:O82)</f>
        <v>4000</v>
      </c>
      <c r="Q83" s="2">
        <f>SUM(Q69:Q82)</f>
        <v>7840</v>
      </c>
      <c r="R83" s="1">
        <f>SUM(R69:R82)</f>
        <v>35</v>
      </c>
      <c r="T83" s="2">
        <f>SUM(T69:T82)</f>
        <v>35</v>
      </c>
      <c r="U83" s="1"/>
      <c r="W83" s="2">
        <f>SUM(W69:W82)</f>
        <v>1500</v>
      </c>
      <c r="X83" s="1"/>
    </row>
    <row r="84" spans="1:24" x14ac:dyDescent="0.25">
      <c r="C84">
        <f>B83-C83</f>
        <v>3530</v>
      </c>
      <c r="E84">
        <f>F83</f>
        <v>13150</v>
      </c>
      <c r="I84">
        <f>H83</f>
        <v>4000</v>
      </c>
      <c r="L84">
        <f>K83-L83</f>
        <v>8100</v>
      </c>
      <c r="N84">
        <f>O83-N83</f>
        <v>4000</v>
      </c>
      <c r="R84">
        <f>Q83-R83</f>
        <v>7805</v>
      </c>
      <c r="U84">
        <f>T83</f>
        <v>35</v>
      </c>
      <c r="X84">
        <f>W83</f>
        <v>1500</v>
      </c>
    </row>
    <row r="86" spans="1:24" x14ac:dyDescent="0.25">
      <c r="B86" s="2" t="s">
        <v>55</v>
      </c>
      <c r="C86" s="1"/>
      <c r="E86" s="2" t="s">
        <v>29</v>
      </c>
      <c r="F86" s="1"/>
      <c r="H86" s="2" t="s">
        <v>57</v>
      </c>
      <c r="I86" s="1"/>
      <c r="K86" s="2" t="s">
        <v>54</v>
      </c>
      <c r="L86" s="1"/>
      <c r="N86" s="2" t="s">
        <v>56</v>
      </c>
      <c r="O86" s="1"/>
      <c r="Q86" s="2" t="s">
        <v>58</v>
      </c>
      <c r="R86" s="1"/>
      <c r="T86" s="2" t="s">
        <v>30</v>
      </c>
      <c r="U86" s="1"/>
      <c r="W86" s="2" t="s">
        <v>31</v>
      </c>
      <c r="X86" s="1"/>
    </row>
    <row r="87" spans="1:24" x14ac:dyDescent="0.25">
      <c r="A87" t="s">
        <v>8</v>
      </c>
      <c r="B87" s="3">
        <v>20000</v>
      </c>
      <c r="E87" s="3"/>
      <c r="F87">
        <v>22000</v>
      </c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C88">
        <v>2016</v>
      </c>
      <c r="E88" s="3"/>
      <c r="H88" s="3"/>
      <c r="K88" s="3"/>
      <c r="N88" s="3"/>
      <c r="Q88" s="3">
        <v>2016</v>
      </c>
      <c r="T88" s="3"/>
      <c r="W88" s="3"/>
    </row>
    <row r="89" spans="1:24" x14ac:dyDescent="0.25">
      <c r="A89" t="s">
        <v>10</v>
      </c>
      <c r="B89" s="3"/>
      <c r="C89">
        <v>7840</v>
      </c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>
        <v>466</v>
      </c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>
        <v>500</v>
      </c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>
        <v>2500</v>
      </c>
      <c r="C94">
        <v>1500</v>
      </c>
      <c r="E94" s="3"/>
      <c r="H94" s="3"/>
      <c r="K94" s="3">
        <v>54</v>
      </c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47</v>
      </c>
      <c r="B100" s="3"/>
      <c r="E100" s="3"/>
      <c r="H100" s="3">
        <v>936</v>
      </c>
      <c r="K100" s="3"/>
      <c r="N100" s="3"/>
      <c r="Q100" s="3"/>
      <c r="R100">
        <v>936</v>
      </c>
      <c r="T100" s="3">
        <v>1000</v>
      </c>
      <c r="W100" s="3"/>
      <c r="X100">
        <v>1000</v>
      </c>
    </row>
    <row r="101" spans="1:24" x14ac:dyDescent="0.25">
      <c r="B101" s="2">
        <f>SUM(B87:B100)</f>
        <v>22500</v>
      </c>
      <c r="C101" s="1">
        <f>SUM(C87:C100)</f>
        <v>11356</v>
      </c>
      <c r="E101" s="2">
        <f>SUM(E87:E100)</f>
        <v>500</v>
      </c>
      <c r="F101" s="1">
        <f>SUM(F87:F100)</f>
        <v>22000</v>
      </c>
      <c r="H101" s="2">
        <f>SUM(H87:H100)</f>
        <v>936</v>
      </c>
      <c r="I101" s="1"/>
      <c r="K101" s="2">
        <f>SUM(K87:K100)</f>
        <v>54</v>
      </c>
      <c r="L101" s="1"/>
      <c r="N101" s="2">
        <f>SUM(N87:N100)</f>
        <v>466</v>
      </c>
      <c r="O101" s="1"/>
      <c r="Q101" s="2">
        <f>SUM(Q87:Q100)</f>
        <v>2016</v>
      </c>
      <c r="R101" s="1">
        <v>936</v>
      </c>
      <c r="T101" s="2">
        <f>SUM(T87:T100)</f>
        <v>1000</v>
      </c>
      <c r="U101" s="1"/>
      <c r="W101" s="2"/>
      <c r="X101" s="1">
        <f>SUM(X87:X100)</f>
        <v>1000</v>
      </c>
    </row>
    <row r="102" spans="1:24" x14ac:dyDescent="0.25">
      <c r="C102">
        <f>B101-C101</f>
        <v>11144</v>
      </c>
      <c r="E102">
        <f>F101-E101</f>
        <v>21500</v>
      </c>
      <c r="I102">
        <f>H101</f>
        <v>936</v>
      </c>
      <c r="L102">
        <f>K101</f>
        <v>54</v>
      </c>
      <c r="O102">
        <f>N101</f>
        <v>466</v>
      </c>
      <c r="R102">
        <f>Q101-R101</f>
        <v>1080</v>
      </c>
      <c r="U102">
        <f>T101</f>
        <v>1000</v>
      </c>
      <c r="W102">
        <f>X101</f>
        <v>1000</v>
      </c>
    </row>
    <row r="104" spans="1:24" x14ac:dyDescent="0.25">
      <c r="A104" t="s">
        <v>17</v>
      </c>
      <c r="B104" t="s">
        <v>59</v>
      </c>
      <c r="K104" t="s">
        <v>78</v>
      </c>
      <c r="M104" s="11" t="s">
        <v>65</v>
      </c>
      <c r="N104" s="12"/>
      <c r="O104" s="12"/>
      <c r="P104" s="12"/>
      <c r="Q104" s="9"/>
      <c r="R104" s="13">
        <f xml:space="preserve"> E109</f>
        <v>13150</v>
      </c>
    </row>
    <row r="105" spans="1:24" x14ac:dyDescent="0.25">
      <c r="B105" t="s">
        <v>60</v>
      </c>
      <c r="M105" s="14" t="s">
        <v>66</v>
      </c>
      <c r="Q105" s="3"/>
      <c r="R105" s="3"/>
    </row>
    <row r="106" spans="1:24" x14ac:dyDescent="0.25">
      <c r="B106" t="s">
        <v>61</v>
      </c>
      <c r="M106" s="14" t="s">
        <v>67</v>
      </c>
      <c r="Q106" s="3"/>
      <c r="R106" s="3"/>
    </row>
    <row r="107" spans="1:24" x14ac:dyDescent="0.25">
      <c r="M107" s="14" t="s">
        <v>68</v>
      </c>
      <c r="Q107" s="3"/>
      <c r="R107" s="13">
        <f>D110</f>
        <v>4000</v>
      </c>
      <c r="S107" s="5" t="s">
        <v>51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4" t="s">
        <v>69</v>
      </c>
      <c r="Q108" s="3"/>
      <c r="R108" s="13">
        <f>-E111</f>
        <v>-1000</v>
      </c>
      <c r="S108" s="5"/>
    </row>
    <row r="109" spans="1:24" x14ac:dyDescent="0.25">
      <c r="A109" t="s">
        <v>23</v>
      </c>
      <c r="D109" s="3"/>
      <c r="E109">
        <f>E84</f>
        <v>13150</v>
      </c>
      <c r="G109" t="s">
        <v>27</v>
      </c>
      <c r="J109" s="3">
        <f>R84</f>
        <v>7805</v>
      </c>
      <c r="M109" s="14" t="s">
        <v>66</v>
      </c>
      <c r="Q109" s="3"/>
      <c r="R109" s="3"/>
    </row>
    <row r="110" spans="1:24" x14ac:dyDescent="0.25">
      <c r="A110" t="s">
        <v>24</v>
      </c>
      <c r="D110" s="3">
        <f>I84</f>
        <v>4000</v>
      </c>
      <c r="G110" t="s">
        <v>30</v>
      </c>
      <c r="J110" s="3">
        <f>U102</f>
        <v>1000</v>
      </c>
      <c r="M110" s="14" t="s">
        <v>70</v>
      </c>
      <c r="Q110" s="3"/>
      <c r="R110" s="3"/>
    </row>
    <row r="111" spans="1:24" x14ac:dyDescent="0.25">
      <c r="A111" t="s">
        <v>31</v>
      </c>
      <c r="D111" s="3"/>
      <c r="E111">
        <f>W102</f>
        <v>1000</v>
      </c>
      <c r="G111" t="s">
        <v>62</v>
      </c>
      <c r="J111" s="3">
        <f>L84+I102</f>
        <v>9036</v>
      </c>
      <c r="M111" s="14" t="s">
        <v>71</v>
      </c>
      <c r="Q111" s="3"/>
      <c r="R111" s="13">
        <f>X84</f>
        <v>1500</v>
      </c>
    </row>
    <row r="112" spans="1:24" x14ac:dyDescent="0.25">
      <c r="A112" t="s">
        <v>64</v>
      </c>
      <c r="D112" s="3">
        <f>X84+L102</f>
        <v>1554</v>
      </c>
      <c r="G112" t="s">
        <v>0</v>
      </c>
      <c r="J112" s="3">
        <f>C84</f>
        <v>3530</v>
      </c>
      <c r="K112" t="s">
        <v>48</v>
      </c>
      <c r="M112" s="14" t="s">
        <v>72</v>
      </c>
      <c r="Q112" s="3"/>
      <c r="R112" s="3"/>
    </row>
    <row r="113" spans="1:18" x14ac:dyDescent="0.25">
      <c r="A113" t="s">
        <v>28</v>
      </c>
      <c r="D113" s="3">
        <f>U84</f>
        <v>35</v>
      </c>
      <c r="G113" t="s">
        <v>55</v>
      </c>
      <c r="J113" s="3">
        <f>C102</f>
        <v>11144</v>
      </c>
      <c r="M113" s="14" t="s">
        <v>73</v>
      </c>
      <c r="Q113" s="3"/>
      <c r="R113" s="13">
        <f>L102</f>
        <v>54</v>
      </c>
    </row>
    <row r="114" spans="1:18" x14ac:dyDescent="0.25">
      <c r="A114" t="s">
        <v>63</v>
      </c>
      <c r="D114" s="3">
        <f>R102+O102</f>
        <v>1546</v>
      </c>
      <c r="G114" t="s">
        <v>29</v>
      </c>
      <c r="J114" s="3"/>
      <c r="K114" s="10">
        <f>E102</f>
        <v>21500</v>
      </c>
      <c r="M114" s="14" t="s">
        <v>74</v>
      </c>
      <c r="Q114" s="3"/>
      <c r="R114" s="15"/>
    </row>
    <row r="115" spans="1:18" x14ac:dyDescent="0.25">
      <c r="D115" s="3"/>
      <c r="G115" t="s">
        <v>26</v>
      </c>
      <c r="J115" s="3"/>
      <c r="K115">
        <f>N84</f>
        <v>4000</v>
      </c>
      <c r="M115" s="14" t="s">
        <v>75</v>
      </c>
      <c r="Q115" s="3"/>
      <c r="R115" s="15">
        <f>D113</f>
        <v>35</v>
      </c>
    </row>
    <row r="116" spans="1:18" x14ac:dyDescent="0.25">
      <c r="D116" s="2">
        <f>SUM(D109:D115)</f>
        <v>7135</v>
      </c>
      <c r="E116" s="1">
        <f>SUM(E109:E115)</f>
        <v>14150</v>
      </c>
      <c r="J116" s="2">
        <f>SUM(J109:J115)</f>
        <v>32515</v>
      </c>
      <c r="K116" s="1">
        <f>SUM(K109:K115)</f>
        <v>25500</v>
      </c>
      <c r="M116" s="14" t="s">
        <v>72</v>
      </c>
      <c r="Q116" s="3"/>
      <c r="R116" s="13"/>
    </row>
    <row r="117" spans="1:18" x14ac:dyDescent="0.25">
      <c r="A117" t="s">
        <v>49</v>
      </c>
      <c r="D117" s="6">
        <f>E116-D116</f>
        <v>7015</v>
      </c>
      <c r="E117" s="7"/>
      <c r="J117" s="6"/>
      <c r="K117" s="4">
        <f>D117</f>
        <v>7015</v>
      </c>
      <c r="M117" s="14" t="s">
        <v>76</v>
      </c>
      <c r="Q117" s="3"/>
      <c r="R117" s="15">
        <f>D114</f>
        <v>1546</v>
      </c>
    </row>
    <row r="118" spans="1:18" x14ac:dyDescent="0.25">
      <c r="D118">
        <f>D116+D117</f>
        <v>14150</v>
      </c>
      <c r="E118">
        <f>E116+E117</f>
        <v>14150</v>
      </c>
      <c r="J118">
        <f>J116+J117</f>
        <v>32515</v>
      </c>
      <c r="K118">
        <f>K116+K117</f>
        <v>32515</v>
      </c>
      <c r="M118" s="14"/>
      <c r="Q118" s="3"/>
      <c r="R118" s="3"/>
    </row>
    <row r="119" spans="1:18" x14ac:dyDescent="0.25">
      <c r="M119" s="16" t="s">
        <v>77</v>
      </c>
      <c r="N119" s="1"/>
      <c r="O119" s="1"/>
      <c r="P119" s="1"/>
      <c r="Q119" s="2"/>
      <c r="R119" s="2">
        <f>R104-SUM(R105:R118)</f>
        <v>7015</v>
      </c>
    </row>
    <row r="122" spans="1:18" x14ac:dyDescent="0.25">
      <c r="A122" s="8" t="s">
        <v>79</v>
      </c>
    </row>
    <row r="123" spans="1:18" x14ac:dyDescent="0.25">
      <c r="K123" s="5" t="s">
        <v>81</v>
      </c>
      <c r="L123" t="s">
        <v>86</v>
      </c>
    </row>
    <row r="124" spans="1:18" x14ac:dyDescent="0.25">
      <c r="K124" s="5" t="s">
        <v>82</v>
      </c>
      <c r="L124" t="s">
        <v>84</v>
      </c>
    </row>
    <row r="125" spans="1:18" x14ac:dyDescent="0.25">
      <c r="K125" s="5" t="s">
        <v>83</v>
      </c>
      <c r="L125" t="s">
        <v>87</v>
      </c>
    </row>
    <row r="127" spans="1:18" x14ac:dyDescent="0.25">
      <c r="K127" t="s">
        <v>85</v>
      </c>
    </row>
    <row r="159" spans="1:16" x14ac:dyDescent="0.25">
      <c r="A159" s="8" t="s">
        <v>80</v>
      </c>
      <c r="C159" s="17" t="s">
        <v>88</v>
      </c>
      <c r="D159" t="s">
        <v>107</v>
      </c>
      <c r="O159" s="5" t="s">
        <v>90</v>
      </c>
      <c r="P159" t="s">
        <v>105</v>
      </c>
    </row>
    <row r="160" spans="1:16" x14ac:dyDescent="0.25">
      <c r="C160" s="5"/>
      <c r="D160" t="s">
        <v>89</v>
      </c>
      <c r="O160" s="5"/>
      <c r="P160" t="s">
        <v>91</v>
      </c>
    </row>
    <row r="163" spans="15:17" x14ac:dyDescent="0.25">
      <c r="O163" t="s">
        <v>108</v>
      </c>
    </row>
    <row r="165" spans="15:17" x14ac:dyDescent="0.25">
      <c r="P165" t="s">
        <v>93</v>
      </c>
    </row>
    <row r="168" spans="15:17" x14ac:dyDescent="0.25">
      <c r="O168" t="s">
        <v>92</v>
      </c>
    </row>
    <row r="171" spans="15:17" x14ac:dyDescent="0.25">
      <c r="Q171" t="s">
        <v>94</v>
      </c>
    </row>
    <row r="173" spans="15:17" x14ac:dyDescent="0.25">
      <c r="O173" t="s">
        <v>106</v>
      </c>
    </row>
    <row r="174" spans="15:17" x14ac:dyDescent="0.25">
      <c r="O174" t="s">
        <v>95</v>
      </c>
      <c r="Q174" t="s">
        <v>96</v>
      </c>
    </row>
    <row r="175" spans="15:17" x14ac:dyDescent="0.25">
      <c r="O175" t="s">
        <v>97</v>
      </c>
      <c r="Q175" t="s">
        <v>98</v>
      </c>
    </row>
    <row r="176" spans="15:17" x14ac:dyDescent="0.25">
      <c r="O176" t="s">
        <v>99</v>
      </c>
      <c r="Q176" t="s">
        <v>100</v>
      </c>
    </row>
    <row r="177" spans="1:17" x14ac:dyDescent="0.25">
      <c r="O177" t="s">
        <v>101</v>
      </c>
      <c r="Q177" t="s">
        <v>102</v>
      </c>
    </row>
    <row r="178" spans="1:17" x14ac:dyDescent="0.25">
      <c r="O178" t="s">
        <v>103</v>
      </c>
      <c r="Q178" t="s">
        <v>104</v>
      </c>
    </row>
    <row r="186" spans="1:17" ht="39" x14ac:dyDescent="0.6">
      <c r="A186" s="18" t="s">
        <v>109</v>
      </c>
    </row>
    <row r="188" spans="1:17" x14ac:dyDescent="0.25">
      <c r="A188" s="19" t="s">
        <v>21</v>
      </c>
      <c r="I188" s="5" t="s">
        <v>110</v>
      </c>
      <c r="J188" t="s">
        <v>111</v>
      </c>
    </row>
    <row r="197" spans="1:19" x14ac:dyDescent="0.25">
      <c r="J197" t="s">
        <v>112</v>
      </c>
      <c r="M197" t="s">
        <v>115</v>
      </c>
    </row>
    <row r="199" spans="1:19" x14ac:dyDescent="0.25">
      <c r="J199" t="s">
        <v>113</v>
      </c>
      <c r="M199" t="s">
        <v>116</v>
      </c>
    </row>
    <row r="200" spans="1:19" x14ac:dyDescent="0.25">
      <c r="M200" t="s">
        <v>117</v>
      </c>
    </row>
    <row r="201" spans="1:19" x14ac:dyDescent="0.25">
      <c r="A201" t="s">
        <v>17</v>
      </c>
      <c r="B201" s="7"/>
      <c r="C201" s="4"/>
      <c r="D201" s="6"/>
      <c r="E201" s="6" t="s">
        <v>122</v>
      </c>
      <c r="F201" s="13" t="s">
        <v>123</v>
      </c>
      <c r="G201" s="13" t="s">
        <v>125</v>
      </c>
      <c r="H201" s="6" t="s">
        <v>124</v>
      </c>
      <c r="M201" t="s">
        <v>118</v>
      </c>
    </row>
    <row r="202" spans="1:19" x14ac:dyDescent="0.25">
      <c r="A202" t="s">
        <v>127</v>
      </c>
      <c r="B202" s="7" t="s">
        <v>121</v>
      </c>
      <c r="C202" s="4"/>
      <c r="D202" s="6"/>
      <c r="E202" s="6">
        <f>SUM(F202:H202)</f>
        <v>132169</v>
      </c>
      <c r="F202" s="13">
        <f>0.49*98200</f>
        <v>48118</v>
      </c>
      <c r="G202" s="13">
        <f xml:space="preserve"> 0.35*42100</f>
        <v>14734.999999999998</v>
      </c>
      <c r="H202" s="6">
        <f>0.62*111800</f>
        <v>69316</v>
      </c>
    </row>
    <row r="203" spans="1:19" x14ac:dyDescent="0.25">
      <c r="B203" s="7" t="s">
        <v>128</v>
      </c>
      <c r="C203" s="4"/>
      <c r="D203" s="6"/>
      <c r="E203" s="6">
        <f>SUM(F203:H203)</f>
        <v>232062</v>
      </c>
      <c r="F203" s="13">
        <f>128642-48118</f>
        <v>80524</v>
      </c>
      <c r="G203" s="13">
        <f>26523-14735</f>
        <v>11788</v>
      </c>
      <c r="H203" s="13">
        <f>209066-69316</f>
        <v>139750</v>
      </c>
      <c r="J203" t="s">
        <v>114</v>
      </c>
      <c r="M203" t="s">
        <v>119</v>
      </c>
      <c r="S203" t="s">
        <v>120</v>
      </c>
    </row>
    <row r="204" spans="1:19" x14ac:dyDescent="0.25">
      <c r="A204" t="s">
        <v>129</v>
      </c>
      <c r="B204" s="7" t="s">
        <v>126</v>
      </c>
      <c r="C204" s="4"/>
      <c r="D204" s="6"/>
      <c r="E204" s="13">
        <f>0.46*98200 + 0.46*42100 + 0.46*111800</f>
        <v>115966</v>
      </c>
      <c r="F204" s="12"/>
      <c r="G204" s="12"/>
      <c r="H204" s="10"/>
      <c r="I204" s="10"/>
    </row>
    <row r="205" spans="1:19" x14ac:dyDescent="0.25">
      <c r="B205" s="16" t="s">
        <v>6</v>
      </c>
      <c r="C205" s="1"/>
      <c r="D205" s="2"/>
      <c r="E205" s="13">
        <f xml:space="preserve"> 232062-115966</f>
        <v>116096</v>
      </c>
      <c r="F205" s="10"/>
      <c r="G205" s="10"/>
      <c r="H205" s="10"/>
    </row>
    <row r="206" spans="1:19" x14ac:dyDescent="0.25">
      <c r="F206" s="10"/>
      <c r="G206" s="10"/>
      <c r="H206" s="10"/>
    </row>
    <row r="208" spans="1:19" x14ac:dyDescent="0.25">
      <c r="A208" s="20" t="s">
        <v>22</v>
      </c>
    </row>
    <row r="209" spans="1:9" x14ac:dyDescent="0.25">
      <c r="I209" t="s">
        <v>130</v>
      </c>
    </row>
    <row r="210" spans="1:9" x14ac:dyDescent="0.25">
      <c r="I210" t="s">
        <v>131</v>
      </c>
    </row>
    <row r="212" spans="1:9" x14ac:dyDescent="0.25">
      <c r="I212" t="s">
        <v>132</v>
      </c>
    </row>
    <row r="214" spans="1:9" x14ac:dyDescent="0.25">
      <c r="I214" t="s">
        <v>133</v>
      </c>
    </row>
    <row r="215" spans="1:9" x14ac:dyDescent="0.25">
      <c r="I215" t="s">
        <v>134</v>
      </c>
    </row>
    <row r="217" spans="1:9" x14ac:dyDescent="0.25">
      <c r="I217" t="s">
        <v>135</v>
      </c>
    </row>
    <row r="218" spans="1:9" x14ac:dyDescent="0.25">
      <c r="I218" t="s">
        <v>138</v>
      </c>
    </row>
    <row r="223" spans="1:9" x14ac:dyDescent="0.25">
      <c r="A223" s="20" t="s">
        <v>52</v>
      </c>
      <c r="B223" s="5" t="s">
        <v>136</v>
      </c>
    </row>
    <row r="225" spans="2:9" x14ac:dyDescent="0.25">
      <c r="B225" t="s">
        <v>4</v>
      </c>
      <c r="C225" s="13" t="s">
        <v>137</v>
      </c>
      <c r="D225" s="13" t="s">
        <v>139</v>
      </c>
      <c r="E225" s="13"/>
      <c r="F225" s="13" t="s">
        <v>140</v>
      </c>
      <c r="G225" s="13" t="s">
        <v>141</v>
      </c>
      <c r="H225" s="13"/>
    </row>
    <row r="226" spans="2:9" x14ac:dyDescent="0.25">
      <c r="C226" s="13">
        <v>1</v>
      </c>
      <c r="D226" s="1"/>
      <c r="E226" s="6">
        <v>25</v>
      </c>
      <c r="F226" s="21">
        <v>15000</v>
      </c>
      <c r="G226" s="7"/>
      <c r="H226" s="22">
        <v>45000</v>
      </c>
    </row>
    <row r="227" spans="2:9" x14ac:dyDescent="0.25">
      <c r="C227" s="13">
        <v>2</v>
      </c>
      <c r="D227" s="1"/>
      <c r="E227" s="6">
        <v>25</v>
      </c>
      <c r="F227" s="21">
        <v>15000</v>
      </c>
      <c r="G227" s="7"/>
      <c r="H227" s="22">
        <v>30000</v>
      </c>
    </row>
    <row r="228" spans="2:9" x14ac:dyDescent="0.25">
      <c r="C228" s="13">
        <v>3</v>
      </c>
      <c r="D228" s="1"/>
      <c r="E228" s="6">
        <v>25</v>
      </c>
      <c r="F228" s="21">
        <v>15000</v>
      </c>
      <c r="G228" s="7"/>
      <c r="H228" s="22">
        <v>15000</v>
      </c>
    </row>
    <row r="229" spans="2:9" x14ac:dyDescent="0.25">
      <c r="C229" s="13">
        <v>4</v>
      </c>
      <c r="D229" s="1"/>
      <c r="E229" s="6">
        <v>25</v>
      </c>
      <c r="F229" s="21">
        <v>15000</v>
      </c>
      <c r="G229" s="7"/>
      <c r="H229" s="6">
        <v>0</v>
      </c>
    </row>
    <row r="231" spans="2:9" x14ac:dyDescent="0.25">
      <c r="B231" t="s">
        <v>17</v>
      </c>
      <c r="C231" s="13" t="s">
        <v>137</v>
      </c>
      <c r="D231" s="13" t="s">
        <v>139</v>
      </c>
      <c r="E231" s="13"/>
      <c r="F231" s="13" t="s">
        <v>140</v>
      </c>
      <c r="G231" s="13" t="s">
        <v>141</v>
      </c>
      <c r="H231" s="13"/>
    </row>
    <row r="232" spans="2:9" x14ac:dyDescent="0.25">
      <c r="C232" s="13">
        <v>1</v>
      </c>
      <c r="D232" s="1"/>
      <c r="E232" s="6">
        <v>25</v>
      </c>
      <c r="F232" s="21">
        <f>61000*0.25</f>
        <v>15250</v>
      </c>
      <c r="G232" s="7"/>
      <c r="H232" s="22">
        <f>60000-F232</f>
        <v>44750</v>
      </c>
    </row>
    <row r="233" spans="2:9" x14ac:dyDescent="0.25">
      <c r="C233" s="13">
        <v>2</v>
      </c>
      <c r="D233" s="1"/>
      <c r="E233" s="6">
        <v>25</v>
      </c>
      <c r="F233" s="21">
        <f>62000*0.25</f>
        <v>15500</v>
      </c>
      <c r="G233" s="7"/>
      <c r="H233" s="22">
        <f>H232-F233</f>
        <v>29250</v>
      </c>
    </row>
    <row r="234" spans="2:9" x14ac:dyDescent="0.25">
      <c r="C234" s="13">
        <v>3</v>
      </c>
      <c r="D234" s="1"/>
      <c r="E234" s="6">
        <v>25</v>
      </c>
      <c r="F234" s="21">
        <f>62000*0.25</f>
        <v>15500</v>
      </c>
      <c r="G234" s="7"/>
      <c r="H234" s="22">
        <f t="shared" ref="H234:H235" si="0">H233-F234</f>
        <v>13750</v>
      </c>
    </row>
    <row r="235" spans="2:9" x14ac:dyDescent="0.25">
      <c r="C235" s="13">
        <v>4</v>
      </c>
      <c r="D235" s="1"/>
      <c r="E235" s="6">
        <v>25</v>
      </c>
      <c r="F235" s="21">
        <f>64000*0.25</f>
        <v>16000</v>
      </c>
      <c r="G235" s="7"/>
      <c r="H235" s="22">
        <f t="shared" si="0"/>
        <v>-2250</v>
      </c>
      <c r="I235" t="s">
        <v>142</v>
      </c>
    </row>
    <row r="237" spans="2:9" x14ac:dyDescent="0.25">
      <c r="B237" t="s">
        <v>5</v>
      </c>
      <c r="C237" s="13" t="s">
        <v>137</v>
      </c>
      <c r="D237" s="13" t="s">
        <v>139</v>
      </c>
      <c r="E237" s="13"/>
      <c r="F237" s="13" t="s">
        <v>140</v>
      </c>
      <c r="G237" s="13" t="s">
        <v>141</v>
      </c>
      <c r="H237" s="13"/>
    </row>
    <row r="238" spans="2:9" x14ac:dyDescent="0.25">
      <c r="C238" s="13">
        <v>1</v>
      </c>
      <c r="D238" s="1"/>
      <c r="E238" s="6">
        <v>25</v>
      </c>
      <c r="F238" s="21">
        <v>15000</v>
      </c>
      <c r="G238" s="7"/>
      <c r="H238" s="22">
        <v>45000</v>
      </c>
    </row>
    <row r="239" spans="2:9" x14ac:dyDescent="0.25">
      <c r="C239" s="13">
        <v>2</v>
      </c>
      <c r="D239" s="1"/>
      <c r="E239" s="6">
        <v>25</v>
      </c>
      <c r="F239" s="21">
        <f>H238*0.25</f>
        <v>11250</v>
      </c>
      <c r="G239" s="7"/>
      <c r="H239" s="22">
        <f>H238-F239</f>
        <v>33750</v>
      </c>
    </row>
    <row r="240" spans="2:9" x14ac:dyDescent="0.25">
      <c r="C240" s="13">
        <v>3</v>
      </c>
      <c r="D240" s="1"/>
      <c r="E240" s="6">
        <v>25</v>
      </c>
      <c r="F240" s="21">
        <f>H239*0.25</f>
        <v>8437.5</v>
      </c>
      <c r="G240" s="7"/>
      <c r="H240" s="22">
        <f>H239-F240</f>
        <v>25312.5</v>
      </c>
    </row>
    <row r="241" spans="1:23" x14ac:dyDescent="0.25">
      <c r="C241" s="13">
        <v>4</v>
      </c>
      <c r="D241" s="1"/>
      <c r="E241" s="6">
        <v>25</v>
      </c>
      <c r="F241" s="21">
        <f>H240</f>
        <v>25312.5</v>
      </c>
      <c r="G241" s="7"/>
      <c r="H241" s="22">
        <v>0</v>
      </c>
    </row>
    <row r="243" spans="1:23" x14ac:dyDescent="0.25">
      <c r="B243" t="s">
        <v>143</v>
      </c>
      <c r="C243" s="13" t="s">
        <v>137</v>
      </c>
      <c r="D243" s="13" t="s">
        <v>144</v>
      </c>
      <c r="E243" s="13"/>
      <c r="F243" s="13" t="s">
        <v>145</v>
      </c>
      <c r="G243" s="13" t="s">
        <v>140</v>
      </c>
      <c r="H243" s="13" t="s">
        <v>141</v>
      </c>
      <c r="I243" s="13"/>
      <c r="K243" s="5" t="s">
        <v>146</v>
      </c>
      <c r="L243" t="s">
        <v>147</v>
      </c>
    </row>
    <row r="244" spans="1:23" x14ac:dyDescent="0.25">
      <c r="C244" s="13">
        <v>1</v>
      </c>
      <c r="D244" s="1"/>
      <c r="E244" s="24">
        <f>M246</f>
        <v>18930</v>
      </c>
      <c r="F244" s="21">
        <f>M244*0.1</f>
        <v>6000</v>
      </c>
      <c r="G244" s="21">
        <f>E244-F244</f>
        <v>12930</v>
      </c>
      <c r="H244" s="23"/>
      <c r="I244" s="22">
        <f>M244-G244</f>
        <v>47070</v>
      </c>
      <c r="K244" t="s">
        <v>174</v>
      </c>
      <c r="M244">
        <v>60000</v>
      </c>
    </row>
    <row r="245" spans="1:23" x14ac:dyDescent="0.25">
      <c r="C245" s="13">
        <v>2</v>
      </c>
      <c r="D245" s="1"/>
      <c r="E245" s="6">
        <f>M246</f>
        <v>18930</v>
      </c>
      <c r="F245" s="21">
        <f>0.1*I244</f>
        <v>4707</v>
      </c>
      <c r="G245" s="21">
        <f t="shared" ref="G245:G247" si="1">E245-F245</f>
        <v>14223</v>
      </c>
      <c r="H245" s="7"/>
      <c r="I245" s="22">
        <f>I244-G245</f>
        <v>32847</v>
      </c>
      <c r="K245" t="s">
        <v>149</v>
      </c>
      <c r="M245">
        <v>0.3155</v>
      </c>
    </row>
    <row r="246" spans="1:23" x14ac:dyDescent="0.25">
      <c r="C246" s="13">
        <v>3</v>
      </c>
      <c r="D246" s="1"/>
      <c r="E246" s="6">
        <f>M246</f>
        <v>18930</v>
      </c>
      <c r="F246" s="21">
        <f>0.1*I245</f>
        <v>3284.7000000000003</v>
      </c>
      <c r="G246" s="21">
        <f t="shared" si="1"/>
        <v>15645.3</v>
      </c>
      <c r="H246" s="7"/>
      <c r="I246" s="22">
        <f t="shared" ref="I246" si="2">I245-G246</f>
        <v>17201.7</v>
      </c>
      <c r="K246" t="s">
        <v>148</v>
      </c>
      <c r="M246" s="25">
        <f>M244*M245</f>
        <v>18930</v>
      </c>
    </row>
    <row r="247" spans="1:23" x14ac:dyDescent="0.25">
      <c r="C247" s="13">
        <v>4</v>
      </c>
      <c r="D247" s="1"/>
      <c r="E247" s="6">
        <f>M246</f>
        <v>18930</v>
      </c>
      <c r="F247" s="21">
        <f t="shared" ref="F247" si="3">0.1*I246</f>
        <v>1720.17</v>
      </c>
      <c r="G247" s="21">
        <f t="shared" si="1"/>
        <v>17209.830000000002</v>
      </c>
      <c r="H247" s="7"/>
      <c r="I247" s="22">
        <f>I246-G247</f>
        <v>-8.1300000000010186</v>
      </c>
    </row>
    <row r="248" spans="1:23" x14ac:dyDescent="0.25">
      <c r="I248" t="s">
        <v>150</v>
      </c>
    </row>
    <row r="251" spans="1:23" x14ac:dyDescent="0.25">
      <c r="A251" s="20" t="s">
        <v>79</v>
      </c>
      <c r="B251" s="5" t="s">
        <v>151</v>
      </c>
      <c r="I251" t="s">
        <v>168</v>
      </c>
      <c r="M251" t="s">
        <v>169</v>
      </c>
      <c r="O251" t="s">
        <v>166</v>
      </c>
      <c r="P251" t="s">
        <v>167</v>
      </c>
      <c r="R251" t="s">
        <v>170</v>
      </c>
    </row>
    <row r="252" spans="1:23" x14ac:dyDescent="0.25">
      <c r="C252" s="13" t="s">
        <v>152</v>
      </c>
      <c r="D252" s="13"/>
      <c r="E252" s="13" t="s">
        <v>153</v>
      </c>
      <c r="F252" s="13" t="s">
        <v>154</v>
      </c>
      <c r="H252" t="s">
        <v>4</v>
      </c>
      <c r="I252" s="7" t="s">
        <v>163</v>
      </c>
      <c r="J252" s="6"/>
      <c r="K252" s="13">
        <f>300*5.5+250*7</f>
        <v>3400</v>
      </c>
      <c r="L252" s="26" t="s">
        <v>17</v>
      </c>
      <c r="M252" s="7" t="s">
        <v>163</v>
      </c>
      <c r="N252" s="6"/>
      <c r="O252" s="13">
        <f>200*5.5+350*7</f>
        <v>3550</v>
      </c>
      <c r="P252" s="13">
        <f>500*7+50*5.5</f>
        <v>3775</v>
      </c>
      <c r="R252" s="27" t="s">
        <v>5</v>
      </c>
      <c r="U252" t="s">
        <v>166</v>
      </c>
      <c r="V252" t="s">
        <v>167</v>
      </c>
    </row>
    <row r="253" spans="1:23" x14ac:dyDescent="0.25">
      <c r="C253" s="7" t="s">
        <v>155</v>
      </c>
      <c r="D253" s="6"/>
      <c r="E253" s="13" t="s">
        <v>156</v>
      </c>
      <c r="F253" s="13"/>
      <c r="I253" s="16" t="s">
        <v>164</v>
      </c>
      <c r="J253" s="2"/>
      <c r="K253" s="15">
        <f>250*7</f>
        <v>1750</v>
      </c>
      <c r="M253" s="16" t="s">
        <v>164</v>
      </c>
      <c r="N253" s="2"/>
      <c r="O253" s="15">
        <f>100*5.5+150*7</f>
        <v>1600</v>
      </c>
      <c r="P253" s="13">
        <f>250*5.5</f>
        <v>1375</v>
      </c>
      <c r="V253" t="s">
        <v>173</v>
      </c>
      <c r="W253">
        <f>(300*5.5+500*7)/800</f>
        <v>6.4375</v>
      </c>
    </row>
    <row r="254" spans="1:23" x14ac:dyDescent="0.25">
      <c r="C254" s="7" t="s">
        <v>160</v>
      </c>
      <c r="D254" s="6"/>
      <c r="E254" s="13" t="s">
        <v>157</v>
      </c>
      <c r="F254" s="13" t="s">
        <v>161</v>
      </c>
      <c r="M254" s="7" t="s">
        <v>165</v>
      </c>
      <c r="N254" s="6"/>
      <c r="O254" s="13">
        <f>O252-K252</f>
        <v>150</v>
      </c>
      <c r="P254" s="13">
        <f>P252-K252</f>
        <v>375</v>
      </c>
      <c r="S254" s="7" t="s">
        <v>163</v>
      </c>
      <c r="T254" s="6"/>
      <c r="U254" s="13">
        <f>200*5.5+ 350 * (100*5.5+7*500)/600</f>
        <v>3462.5</v>
      </c>
      <c r="V254" s="13">
        <f>550*W253</f>
        <v>3540.625</v>
      </c>
    </row>
    <row r="255" spans="1:23" x14ac:dyDescent="0.25">
      <c r="C255" s="7" t="s">
        <v>155</v>
      </c>
      <c r="D255" s="6"/>
      <c r="E255" s="13" t="s">
        <v>158</v>
      </c>
      <c r="F255" s="13"/>
      <c r="S255" s="16" t="s">
        <v>164</v>
      </c>
      <c r="T255" s="2"/>
      <c r="U255" s="15">
        <f>250*(100*5.5+7*500)/600</f>
        <v>1687.5</v>
      </c>
      <c r="V255" s="13">
        <f>250*W253</f>
        <v>1609.375</v>
      </c>
    </row>
    <row r="256" spans="1:23" x14ac:dyDescent="0.25">
      <c r="C256" s="13" t="s">
        <v>162</v>
      </c>
      <c r="D256" s="13"/>
      <c r="E256" s="13" t="s">
        <v>159</v>
      </c>
      <c r="F256" s="13"/>
      <c r="I256" t="s">
        <v>171</v>
      </c>
      <c r="M256" t="s">
        <v>175</v>
      </c>
      <c r="O256" t="s">
        <v>176</v>
      </c>
      <c r="S256" s="7" t="s">
        <v>165</v>
      </c>
      <c r="T256" s="6"/>
      <c r="U256" s="13">
        <f>U254-K252</f>
        <v>62.5</v>
      </c>
      <c r="V256" s="13">
        <f>V254-K252</f>
        <v>140.625</v>
      </c>
    </row>
    <row r="257" spans="1:16" x14ac:dyDescent="0.25">
      <c r="H257" t="s">
        <v>143</v>
      </c>
      <c r="I257" s="7" t="s">
        <v>163</v>
      </c>
      <c r="J257" s="6"/>
      <c r="K257" s="13">
        <f>200*5.5+350*7</f>
        <v>3550</v>
      </c>
      <c r="L257" s="26" t="s">
        <v>172</v>
      </c>
      <c r="M257" s="7" t="s">
        <v>163</v>
      </c>
      <c r="N257" s="6"/>
      <c r="O257" s="13">
        <f>550*6</f>
        <v>3300</v>
      </c>
    </row>
    <row r="258" spans="1:16" x14ac:dyDescent="0.25">
      <c r="I258" s="16" t="s">
        <v>164</v>
      </c>
      <c r="J258" s="2"/>
      <c r="K258" s="15">
        <f>(300*5.5+500*7)-3550</f>
        <v>1600</v>
      </c>
      <c r="M258" s="16" t="s">
        <v>164</v>
      </c>
      <c r="N258" s="2"/>
      <c r="O258" s="15">
        <f>250*6</f>
        <v>1500</v>
      </c>
    </row>
    <row r="259" spans="1:16" x14ac:dyDescent="0.25">
      <c r="H259" s="10"/>
      <c r="I259" s="7" t="s">
        <v>165</v>
      </c>
      <c r="J259" s="6"/>
      <c r="K259" s="13">
        <f>K257-K252</f>
        <v>150</v>
      </c>
      <c r="L259" s="10"/>
      <c r="M259" s="7" t="s">
        <v>165</v>
      </c>
      <c r="N259" s="6"/>
      <c r="O259" s="13">
        <f>O257-K252</f>
        <v>-100</v>
      </c>
    </row>
    <row r="260" spans="1:16" x14ac:dyDescent="0.25">
      <c r="H260" s="10"/>
      <c r="I260" s="10"/>
      <c r="J260" s="10"/>
      <c r="K260" s="10"/>
      <c r="L260" s="10"/>
      <c r="M260" s="10"/>
    </row>
    <row r="261" spans="1:16" x14ac:dyDescent="0.25">
      <c r="H261" s="10"/>
      <c r="I261" s="10"/>
      <c r="J261" s="10"/>
      <c r="K261" s="10"/>
      <c r="L261" s="10"/>
      <c r="M261" s="10"/>
    </row>
    <row r="262" spans="1:16" x14ac:dyDescent="0.25">
      <c r="A262" s="20" t="s">
        <v>80</v>
      </c>
      <c r="B262" s="5" t="s">
        <v>177</v>
      </c>
      <c r="C262" s="5" t="s">
        <v>178</v>
      </c>
    </row>
    <row r="263" spans="1:16" x14ac:dyDescent="0.25">
      <c r="J263" t="s">
        <v>4</v>
      </c>
    </row>
    <row r="264" spans="1:16" x14ac:dyDescent="0.25">
      <c r="J264" s="13" t="s">
        <v>179</v>
      </c>
      <c r="K264" s="13"/>
      <c r="L264" s="13"/>
      <c r="M264" s="13" t="s">
        <v>30</v>
      </c>
      <c r="N264" s="13" t="s">
        <v>185</v>
      </c>
      <c r="O264" s="13" t="s">
        <v>186</v>
      </c>
    </row>
    <row r="265" spans="1:16" x14ac:dyDescent="0.25">
      <c r="J265" s="13" t="s">
        <v>180</v>
      </c>
      <c r="K265" s="7"/>
      <c r="L265" s="6"/>
      <c r="M265" s="13" t="s">
        <v>187</v>
      </c>
      <c r="N265" s="21">
        <v>640</v>
      </c>
      <c r="O265" s="13" t="s">
        <v>187</v>
      </c>
    </row>
    <row r="266" spans="1:16" x14ac:dyDescent="0.25">
      <c r="J266" s="7" t="s">
        <v>181</v>
      </c>
      <c r="K266" s="4"/>
      <c r="L266" s="6"/>
      <c r="M266" s="13" t="s">
        <v>187</v>
      </c>
      <c r="N266" s="21">
        <v>400</v>
      </c>
      <c r="O266" s="13" t="s">
        <v>187</v>
      </c>
    </row>
    <row r="267" spans="1:16" x14ac:dyDescent="0.25">
      <c r="J267" s="13" t="s">
        <v>182</v>
      </c>
      <c r="K267" s="13"/>
      <c r="L267" s="13"/>
      <c r="M267" s="7"/>
      <c r="N267" s="4"/>
      <c r="O267" s="6"/>
    </row>
    <row r="268" spans="1:16" x14ac:dyDescent="0.25">
      <c r="J268" s="7" t="s">
        <v>183</v>
      </c>
      <c r="K268" s="4"/>
      <c r="L268" s="6"/>
      <c r="M268" s="13">
        <v>20</v>
      </c>
      <c r="N268" s="13">
        <v>140</v>
      </c>
      <c r="O268" s="13" t="s">
        <v>187</v>
      </c>
    </row>
    <row r="269" spans="1:16" x14ac:dyDescent="0.25">
      <c r="J269" s="7" t="s">
        <v>184</v>
      </c>
      <c r="K269" s="4"/>
      <c r="L269" s="6"/>
      <c r="M269" s="13" t="s">
        <v>187</v>
      </c>
      <c r="N269" s="13">
        <v>280</v>
      </c>
      <c r="O269" s="13">
        <v>370</v>
      </c>
    </row>
    <row r="270" spans="1:16" x14ac:dyDescent="0.25">
      <c r="I270" s="10"/>
      <c r="J270" s="29" t="s">
        <v>17</v>
      </c>
      <c r="M270" s="28" t="s">
        <v>30</v>
      </c>
      <c r="N270" t="s">
        <v>185</v>
      </c>
      <c r="O270" s="32" t="s">
        <v>186</v>
      </c>
    </row>
    <row r="271" spans="1:16" x14ac:dyDescent="0.25">
      <c r="I271" s="10"/>
      <c r="J271" s="30" t="s">
        <v>188</v>
      </c>
      <c r="K271" s="7"/>
      <c r="L271" s="6"/>
      <c r="M271" s="13">
        <v>640</v>
      </c>
      <c r="N271" s="13">
        <v>400</v>
      </c>
      <c r="O271" s="13" t="s">
        <v>193</v>
      </c>
      <c r="P271" s="26"/>
    </row>
    <row r="272" spans="1:16" x14ac:dyDescent="0.25">
      <c r="A272" s="1"/>
      <c r="B272" s="1" t="s">
        <v>5</v>
      </c>
      <c r="C272" s="1"/>
      <c r="D272" s="2"/>
      <c r="E272" s="13" t="s">
        <v>201</v>
      </c>
      <c r="F272" s="13" t="s">
        <v>202</v>
      </c>
      <c r="G272" s="13"/>
      <c r="H272" s="13" t="s">
        <v>203</v>
      </c>
      <c r="J272" s="31" t="s">
        <v>189</v>
      </c>
      <c r="K272" s="4"/>
      <c r="L272" s="6"/>
      <c r="O272" s="2"/>
    </row>
    <row r="273" spans="1:16" x14ac:dyDescent="0.25">
      <c r="A273" s="7"/>
      <c r="B273" s="4"/>
      <c r="C273" s="4"/>
      <c r="D273" s="34" t="s">
        <v>194</v>
      </c>
      <c r="E273" s="13">
        <v>35</v>
      </c>
      <c r="F273" s="7"/>
      <c r="G273" s="6">
        <v>35</v>
      </c>
      <c r="H273" s="13">
        <v>35</v>
      </c>
      <c r="J273" s="30" t="s">
        <v>192</v>
      </c>
      <c r="K273" s="7"/>
      <c r="L273" s="6"/>
      <c r="M273" s="13">
        <f>100*20/640</f>
        <v>3.125</v>
      </c>
      <c r="N273" s="13">
        <f>100*140/400</f>
        <v>35</v>
      </c>
      <c r="O273" s="13">
        <v>0</v>
      </c>
    </row>
    <row r="274" spans="1:16" x14ac:dyDescent="0.25">
      <c r="A274" s="7"/>
      <c r="B274" s="4"/>
      <c r="C274" s="4"/>
      <c r="D274" s="34" t="s">
        <v>195</v>
      </c>
      <c r="E274" s="13">
        <f>35*M273/100</f>
        <v>1.09375</v>
      </c>
      <c r="F274" s="7"/>
      <c r="G274" s="6">
        <f>35*M274/100</f>
        <v>1.09375</v>
      </c>
      <c r="H274" s="13">
        <f>35*M275/100</f>
        <v>1.09375</v>
      </c>
      <c r="J274" s="30" t="s">
        <v>190</v>
      </c>
      <c r="K274" s="7"/>
      <c r="L274" s="6"/>
      <c r="M274" s="13">
        <f>100*20/640</f>
        <v>3.125</v>
      </c>
      <c r="N274" s="13">
        <f>100*(140+280)/400</f>
        <v>105</v>
      </c>
      <c r="O274" s="13">
        <f>100*370/1480</f>
        <v>25</v>
      </c>
    </row>
    <row r="275" spans="1:16" x14ac:dyDescent="0.25">
      <c r="A275" s="4"/>
      <c r="B275" s="4"/>
      <c r="C275" s="4"/>
      <c r="D275" s="34" t="s">
        <v>196</v>
      </c>
      <c r="E275">
        <v>20</v>
      </c>
      <c r="F275" s="7"/>
      <c r="G275" s="6">
        <v>20</v>
      </c>
      <c r="H275" s="2">
        <v>20</v>
      </c>
      <c r="J275" s="30" t="s">
        <v>191</v>
      </c>
      <c r="K275" s="7"/>
      <c r="L275" s="6"/>
      <c r="M275" s="13">
        <f>100*20/640</f>
        <v>3.125</v>
      </c>
      <c r="N275" s="13">
        <f>100*((140+(280*0.8))/400)</f>
        <v>91</v>
      </c>
      <c r="O275" s="13">
        <f>100*(0.8*370/1425)</f>
        <v>20.771929824561404</v>
      </c>
    </row>
    <row r="276" spans="1:16" x14ac:dyDescent="0.25">
      <c r="A276" s="7"/>
      <c r="B276" s="4"/>
      <c r="C276" s="4"/>
      <c r="D276" s="34" t="s">
        <v>197</v>
      </c>
      <c r="E276" s="13">
        <f>20*N273/100</f>
        <v>7</v>
      </c>
      <c r="F276" s="7"/>
      <c r="G276" s="6">
        <f>20*N274/100</f>
        <v>21</v>
      </c>
      <c r="H276" s="13">
        <f>20*N275/100</f>
        <v>18.2</v>
      </c>
      <c r="J276" s="7"/>
      <c r="K276" s="4"/>
      <c r="L276" s="6"/>
      <c r="M276" s="13"/>
      <c r="N276" s="13"/>
      <c r="O276" s="13"/>
    </row>
    <row r="277" spans="1:16" x14ac:dyDescent="0.25">
      <c r="A277" s="7"/>
      <c r="B277" s="4"/>
      <c r="C277" s="4"/>
      <c r="D277" s="34" t="s">
        <v>198</v>
      </c>
      <c r="E277" s="13">
        <f>SUM(E273:E276)</f>
        <v>63.09375</v>
      </c>
      <c r="F277" s="7"/>
      <c r="G277" s="6">
        <f t="shared" ref="G277" si="4">SUM(G273:G276)</f>
        <v>77.09375</v>
      </c>
      <c r="H277" s="13">
        <f>SUM(H273:H276)</f>
        <v>74.293750000000003</v>
      </c>
      <c r="J277" s="7"/>
      <c r="K277" s="4"/>
      <c r="L277" s="6"/>
      <c r="M277" s="13"/>
      <c r="N277" s="13"/>
      <c r="O277" s="13"/>
    </row>
    <row r="278" spans="1:16" x14ac:dyDescent="0.25">
      <c r="A278" s="7"/>
      <c r="B278" s="4"/>
      <c r="C278" s="4"/>
      <c r="D278" s="34" t="s">
        <v>199</v>
      </c>
      <c r="E278" s="13">
        <v>0</v>
      </c>
      <c r="F278" s="7"/>
      <c r="G278" s="6">
        <f>G277*O274/100</f>
        <v>19.2734375</v>
      </c>
      <c r="H278" s="6">
        <f>H277*O275/100</f>
        <v>15.432245614035089</v>
      </c>
    </row>
    <row r="279" spans="1:16" x14ac:dyDescent="0.25">
      <c r="A279" s="1"/>
      <c r="B279" s="1"/>
      <c r="C279" s="1"/>
      <c r="D279" s="33" t="s">
        <v>200</v>
      </c>
      <c r="E279" s="13">
        <f>SUM(E277:E278)</f>
        <v>63.09375</v>
      </c>
      <c r="F279" s="7"/>
      <c r="G279" s="6">
        <f t="shared" ref="G279:H279" si="5">SUM(G277:G278)</f>
        <v>96.3671875</v>
      </c>
      <c r="H279" s="13">
        <f t="shared" si="5"/>
        <v>89.725995614035099</v>
      </c>
    </row>
    <row r="282" spans="1:16" x14ac:dyDescent="0.25">
      <c r="A282" s="20" t="s">
        <v>204</v>
      </c>
      <c r="B282" s="5" t="s">
        <v>215</v>
      </c>
    </row>
    <row r="284" spans="1:16" x14ac:dyDescent="0.25">
      <c r="H284" s="13" t="s">
        <v>205</v>
      </c>
      <c r="I284" s="13"/>
      <c r="J284" s="13" t="s">
        <v>206</v>
      </c>
      <c r="K284" s="13" t="s">
        <v>207</v>
      </c>
      <c r="M284" s="7" t="s">
        <v>212</v>
      </c>
      <c r="N284" s="6"/>
      <c r="O284" s="13" t="s">
        <v>206</v>
      </c>
      <c r="P284" s="13" t="s">
        <v>207</v>
      </c>
    </row>
    <row r="285" spans="1:16" x14ac:dyDescent="0.25">
      <c r="H285" s="13" t="s">
        <v>208</v>
      </c>
      <c r="I285" s="13"/>
      <c r="J285" s="13">
        <f>15000/7500</f>
        <v>2</v>
      </c>
      <c r="K285" s="13">
        <f>15015/6825</f>
        <v>2.2000000000000002</v>
      </c>
      <c r="M285" s="13" t="s">
        <v>213</v>
      </c>
      <c r="N285" s="13"/>
      <c r="O285" s="13">
        <f>20000/500</f>
        <v>40</v>
      </c>
      <c r="P285" s="13">
        <f>19404/462</f>
        <v>42</v>
      </c>
    </row>
    <row r="286" spans="1:16" x14ac:dyDescent="0.25">
      <c r="H286" s="13" t="s">
        <v>209</v>
      </c>
      <c r="I286" s="13"/>
      <c r="J286" s="13">
        <f>7500/2500</f>
        <v>3</v>
      </c>
      <c r="K286" s="13">
        <f>6825/2100</f>
        <v>3.25</v>
      </c>
      <c r="M286" s="13" t="s">
        <v>214</v>
      </c>
      <c r="N286" s="13"/>
      <c r="O286" s="13">
        <f>500/2500</f>
        <v>0.2</v>
      </c>
      <c r="P286" s="13">
        <f>462/2100</f>
        <v>0.22</v>
      </c>
    </row>
    <row r="287" spans="1:16" x14ac:dyDescent="0.25">
      <c r="H287" s="31" t="s">
        <v>210</v>
      </c>
      <c r="I287" s="4"/>
      <c r="J287" s="6"/>
      <c r="K287" s="6">
        <f>(2-2.2)*3.25*2100</f>
        <v>-1365.0000000000011</v>
      </c>
      <c r="M287" s="31" t="s">
        <v>210</v>
      </c>
      <c r="N287" s="4"/>
      <c r="O287" s="6"/>
      <c r="P287" s="6">
        <f>(40-42)*0.22*2100</f>
        <v>-924</v>
      </c>
    </row>
    <row r="288" spans="1:16" x14ac:dyDescent="0.25">
      <c r="H288" s="30" t="s">
        <v>211</v>
      </c>
      <c r="I288" s="13"/>
      <c r="J288" s="13"/>
      <c r="K288" s="13">
        <f>(3-3.25)*2*2100</f>
        <v>-1050</v>
      </c>
      <c r="M288" s="30" t="s">
        <v>211</v>
      </c>
      <c r="N288" s="13"/>
      <c r="O288" s="13"/>
      <c r="P288" s="13">
        <f>(0.2-0.22)*0.2*2100</f>
        <v>-8.3999999999999968</v>
      </c>
    </row>
    <row r="289" spans="7:12" x14ac:dyDescent="0.25">
      <c r="J289" s="12"/>
      <c r="K289" s="12"/>
      <c r="L289" s="10"/>
    </row>
    <row r="291" spans="7:12" x14ac:dyDescent="0.25">
      <c r="G291" s="10"/>
      <c r="H291" s="10"/>
      <c r="I291" s="10"/>
      <c r="J291" s="10"/>
      <c r="K291" s="10"/>
      <c r="L291" s="10"/>
    </row>
    <row r="292" spans="7:12" x14ac:dyDescent="0.25">
      <c r="G292" s="10"/>
      <c r="H292" s="10"/>
      <c r="I292" s="10"/>
      <c r="J292" s="10"/>
      <c r="K292" s="10"/>
      <c r="L292" s="10"/>
    </row>
    <row r="293" spans="7:12" x14ac:dyDescent="0.25">
      <c r="G293" s="10"/>
      <c r="H293" s="10"/>
      <c r="I293" s="10"/>
      <c r="J293" s="10"/>
      <c r="K293" s="10"/>
      <c r="L293" s="10"/>
    </row>
    <row r="294" spans="7:12" x14ac:dyDescent="0.25">
      <c r="G294" s="10"/>
      <c r="H294" s="29"/>
      <c r="I294" s="10"/>
      <c r="J294" s="10"/>
      <c r="K294" s="10"/>
      <c r="L294" s="10"/>
    </row>
    <row r="295" spans="7:12" x14ac:dyDescent="0.25">
      <c r="G295" s="10"/>
      <c r="H295" s="29"/>
      <c r="I295" s="10"/>
      <c r="J295" s="10"/>
      <c r="K295" s="10"/>
      <c r="L295" s="10"/>
    </row>
    <row r="296" spans="7:12" x14ac:dyDescent="0.25">
      <c r="G296" s="10"/>
      <c r="H296" s="10"/>
      <c r="I296" s="10"/>
      <c r="J296" s="10"/>
      <c r="K296" s="10"/>
      <c r="L296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2020-12-08T16:32:41Z</dcterms:modified>
</cp:coreProperties>
</file>