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2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3.xml" ContentType="application/vnd.openxmlformats-officedocument.drawingml.chartshapes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4.xml" ContentType="application/vnd.openxmlformats-officedocument.drawing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5.xml" ContentType="application/vnd.openxmlformats-officedocument.drawing+xml"/>
  <Override PartName="/xl/ctrlProps/ctrlProp65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meaze\Downloads\"/>
    </mc:Choice>
  </mc:AlternateContent>
  <xr:revisionPtr revIDLastSave="0" documentId="13_ncr:1_{80289219-721E-4DFF-8BDE-B187772FF74C}" xr6:coauthVersionLast="47" xr6:coauthVersionMax="47" xr10:uidLastSave="{00000000-0000-0000-0000-000000000000}"/>
  <bookViews>
    <workbookView xWindow="-110" yWindow="-110" windowWidth="21820" windowHeight="13900" activeTab="1" xr2:uid="{00000000-000D-0000-FFFF-FFFF00000000}"/>
  </bookViews>
  <sheets>
    <sheet name="Исходные" sheetId="9" r:id="rId1"/>
    <sheet name="Проект" sheetId="1" r:id="rId2"/>
    <sheet name="Портфель" sheetId="8" r:id="rId3"/>
    <sheet name="Отчет" sheetId="7" r:id="rId4"/>
    <sheet name="Options" sheetId="4" state="veryHidden" r:id="rId5"/>
    <sheet name="Language" sheetId="5" r:id="rId6"/>
  </sheets>
  <functionGroups builtInGroupCount="19"/>
  <definedNames>
    <definedName name="__ESTATE">Options!$B$12</definedName>
    <definedName name="_NPV1" localSheetId="1">Проект!$B$1790</definedName>
    <definedName name="_NPV2" localSheetId="1">Проект!$B$1863</definedName>
    <definedName name="_NPV3" localSheetId="1">Проект!$B$1934</definedName>
    <definedName name="AI_Version">Options!$B$5</definedName>
    <definedName name="CalcMethod">Проект!$B$77</definedName>
    <definedName name="Cash_At_End" localSheetId="1">Проект!$A$1458:$S$1458</definedName>
    <definedName name="Cash_Dividends" localSheetId="1">Проект!$A$1452:$S$1452</definedName>
    <definedName name="Cash_Finance" localSheetId="1">Проект!$A$1454:$S$1454</definedName>
    <definedName name="Cash_Grant" localSheetId="1">Проект!$A$1447:$S$1447</definedName>
    <definedName name="Cash_Interest" localSheetId="1">Проект!$A$1429:$S$1429</definedName>
    <definedName name="Cash_Invest" localSheetId="1">Проект!$A$1444:$S$1444</definedName>
    <definedName name="Cash_Leasing" localSheetId="1">Проект!$A$1451:$S$1451</definedName>
    <definedName name="Cash_LoanOut" localSheetId="1">Проект!$A$1450:$S$1450</definedName>
    <definedName name="Cash_Oper" localSheetId="1">Проект!$A$1433:$S$1433</definedName>
    <definedName name="Cash_Share" localSheetId="1">Проект!$A$1446:$S$1446</definedName>
    <definedName name="Cash_Total" localSheetId="1">Проект!$A$1456:$S$1456</definedName>
    <definedName name="Chart_1" localSheetId="2">Портфель!$A$189:$G$212</definedName>
    <definedName name="Chart_1" localSheetId="1">Проект!$A$1326:$G$1349</definedName>
    <definedName name="Chart_10" localSheetId="2">Портфель!$A$591:$G$614</definedName>
    <definedName name="Chart_10" localSheetId="1">Проект!$A$1733:$G$1756</definedName>
    <definedName name="Chart_11" localSheetId="2">Портфель!$A$616:$G$639</definedName>
    <definedName name="Chart_11" localSheetId="1">Проект!$A$1535:$G$1558</definedName>
    <definedName name="Chart_12" localSheetId="2">Портфель!$A$641:$G$664</definedName>
    <definedName name="Chart_12" localSheetId="1">Проект!$A$1806:$G$1829</definedName>
    <definedName name="Chart_13" localSheetId="2">Портфель!$A$716:$G$739</definedName>
    <definedName name="Chart_13" localSheetId="1">Проект!$A$1879:$G$1902</definedName>
    <definedName name="Chart_14" localSheetId="2">Портфель!$A$791:$G$814</definedName>
    <definedName name="Chart_14" localSheetId="1">Проект!$A$1950:$G$1973</definedName>
    <definedName name="Chart_15" localSheetId="2">Портфель!$A$864:$G$887</definedName>
    <definedName name="Chart_15" localSheetId="1">Проект!$A$1395:$G$1418</definedName>
    <definedName name="Chart_16" localSheetId="1">Проект!$A$1241:$G$1264</definedName>
    <definedName name="Chart_2" localSheetId="2">Портфель!$A$214:$G$237</definedName>
    <definedName name="Chart_2" localSheetId="1">Проект!$A$1351:$G$1374</definedName>
    <definedName name="Chart_3" localSheetId="2">Портфель!$A$239:$G$262</definedName>
    <definedName name="Chart_3" localSheetId="1">Проект!$A$1460:$G$1483</definedName>
    <definedName name="Chart_4" localSheetId="2">Портфель!$A$334:$G$357</definedName>
    <definedName name="Chart_4" localSheetId="1">Проект!$A$1485:$G$1508</definedName>
    <definedName name="Chart_5" localSheetId="2">Портфель!$A$359:$G$382</definedName>
    <definedName name="Chart_5" localSheetId="1">Проект!$A$1605:$G$1628</definedName>
    <definedName name="Chart_6" localSheetId="2">Портфель!$A$384:$G$407</definedName>
    <definedName name="Chart_6" localSheetId="1">Проект!$A$1630:$G$1653</definedName>
    <definedName name="Chart_7" localSheetId="2">Портфель!$A$409:$G$432</definedName>
    <definedName name="Chart_7" localSheetId="1">Проект!$A$1510:$G$1533</definedName>
    <definedName name="Chart_8" localSheetId="2">Портфель!$A$513:$G$536</definedName>
    <definedName name="Chart_8" localSheetId="1">Проект!$A$1683:$G$1706</definedName>
    <definedName name="Chart_9" localSheetId="2">Портфель!$A$538:$G$561</definedName>
    <definedName name="Chart_9" localSheetId="1">Проект!$A$1708:$G$1731</definedName>
    <definedName name="Count_Assets_1" localSheetId="1">Проект!$D$283</definedName>
    <definedName name="Count_Assets_2" localSheetId="1">Проект!$D$298</definedName>
    <definedName name="Count_Assets_3" localSheetId="1">Проект!$D$321</definedName>
    <definedName name="Count_Assets_4" localSheetId="1">Проект!$D$347</definedName>
    <definedName name="Count_Assets_5" localSheetId="1">Проект!$D$370</definedName>
    <definedName name="Count_Assets_6" localSheetId="1">Проект!$D$387</definedName>
    <definedName name="Count_Expenses_1" localSheetId="1">Проект!$D$1036</definedName>
    <definedName name="Count_Expenses_2" localSheetId="1">Проект!$D$1053</definedName>
    <definedName name="Count_Expenses_3" localSheetId="1">Проект!$D$1064</definedName>
    <definedName name="Count_Expenses_4" localSheetId="1">Проект!$D$1079</definedName>
    <definedName name="Count_Leasing" localSheetId="1">Проект!$D$499</definedName>
    <definedName name="Count_Loans" localSheetId="1">Проект!$D$1211</definedName>
    <definedName name="Count_Personnel_1" localSheetId="1">Проект!$D$946</definedName>
    <definedName name="Count_Personnel_2" localSheetId="1">Проект!$D$960</definedName>
    <definedName name="Count_Personnel_3" localSheetId="1">Проект!$D$979</definedName>
    <definedName name="Count_Personnel_4">Проект!$D$1003</definedName>
    <definedName name="Count_Taxes_1" localSheetId="1">Проект!$D$150</definedName>
    <definedName name="Count_Taxes_2" localSheetId="1">Проект!$D$162</definedName>
    <definedName name="CUR_Foreign" localSheetId="1">Проект!$B$14</definedName>
    <definedName name="CUR_I_Foreign" localSheetId="1">Проект!$D$14</definedName>
    <definedName name="CUR_I_Main" localSheetId="1">Проект!$D$13</definedName>
    <definedName name="CUR_I_Report" localSheetId="2">Портфель!$D$25</definedName>
    <definedName name="CUR_I_Report" localSheetId="1">Проект!$D$15</definedName>
    <definedName name="CUR_Main" localSheetId="1">Проект!$B$13</definedName>
    <definedName name="CUR_Report" localSheetId="2">Портфель!$B$25</definedName>
    <definedName name="CUR_Report" localSheetId="1">Проект!$B$15</definedName>
    <definedName name="CurrencyRate" localSheetId="1">Проект!$F$88:$Q$88</definedName>
    <definedName name="EST_BALANCE" localSheetId="1">Проект!#REF!</definedName>
    <definedName name="EST_DATA" localSheetId="1">Проект!#REF!</definedName>
    <definedName name="EST_Obj_Count" localSheetId="1">Проект!#REF!</definedName>
    <definedName name="EST_Obj_Height_1" localSheetId="1">Проект!#REF!</definedName>
    <definedName name="EST_Obj_Height_2" localSheetId="1">Проект!#REF!</definedName>
    <definedName name="EST_Obj_Height_2_After" localSheetId="1">Проект!#REF!</definedName>
    <definedName name="EST_Obj_Height_3" localSheetId="1">Проект!#REF!</definedName>
    <definedName name="EST_Obj_Height_3_After" localSheetId="1">Проект!#REF!</definedName>
    <definedName name="EST_Obj_Height_4" localSheetId="1">Проект!#REF!</definedName>
    <definedName name="EST_Obj_Height_4_After" localSheetId="1">Проект!#REF!</definedName>
    <definedName name="EST_Obj_Height_5" localSheetId="1">Проект!#REF!</definedName>
    <definedName name="EST_Obj_Height_5_After" localSheetId="1">Проект!#REF!</definedName>
    <definedName name="EST_Obj_Height_6" localSheetId="1">Проект!#REF!</definedName>
    <definedName name="EST_Obj_Height_6_After" localSheetId="1">Проект!#REF!</definedName>
    <definedName name="EST_Obj_Height_7" localSheetId="1">Проект!#REF!</definedName>
    <definedName name="EST_Obj_Height_7_After" localSheetId="1">Проект!#REF!</definedName>
    <definedName name="EST_Obj_Height_8" localSheetId="1">Проект!#REF!</definedName>
    <definedName name="EST_Obj_Height_8_After" localSheetId="1">Проект!#REF!</definedName>
    <definedName name="EST_Obj_Height_9" localSheetId="1">Проект!#REF!</definedName>
    <definedName name="Height_Assets_1" localSheetId="1">Проект!$E$283</definedName>
    <definedName name="Height_Assets_2" localSheetId="1">Проект!$E$298</definedName>
    <definedName name="Height_Assets_3" localSheetId="1">Проект!$E$321</definedName>
    <definedName name="Height_Assets_4" localSheetId="1">Проект!$E$347</definedName>
    <definedName name="Height_Assets_5" localSheetId="1">Проект!$E$370</definedName>
    <definedName name="Height_Assets_6" localSheetId="1">Проект!$E$387</definedName>
    <definedName name="Height_Expenses_1" localSheetId="1">Проект!$E$1036</definedName>
    <definedName name="Height_Expenses_2" localSheetId="1">Проект!$E$1053</definedName>
    <definedName name="Height_Expenses_3" localSheetId="1">Проект!$E$1064</definedName>
    <definedName name="Height_Expenses_4" localSheetId="1">Проект!$E$1079</definedName>
    <definedName name="Height_Leasing" localSheetId="1">Проект!$E$499</definedName>
    <definedName name="Height_Loans">Проект!$E$1211</definedName>
    <definedName name="Height_Personnel_1" localSheetId="1">Проект!$E$946</definedName>
    <definedName name="Height_Personnel_2" localSheetId="1">Проект!$E$960</definedName>
    <definedName name="Height_Personnel_3" localSheetId="1">Проект!$E$979</definedName>
    <definedName name="Height_Personnel_4" localSheetId="1">Проект!$E$1003</definedName>
    <definedName name="Height_Taxes_1" localSheetId="1">Проект!$E$150</definedName>
    <definedName name="Height_Taxes_2" localSheetId="1">Проект!$E$162</definedName>
    <definedName name="IS_BUILT">Options!$B$4</definedName>
    <definedName name="IS_DEMO">Options!$B$7</definedName>
    <definedName name="IS_ESTATE">Options!$B$11</definedName>
    <definedName name="IS_SUMM">Options!$B$10</definedName>
    <definedName name="IS_TRIAL">Options!$B$8</definedName>
    <definedName name="LanguageID">Language!$A$2</definedName>
    <definedName name="LAST_COLUMN" localSheetId="2">Портфель!$Q:$Q</definedName>
    <definedName name="LAST_COLUMN" localSheetId="1">Проект!$Q:$Q</definedName>
    <definedName name="LIFE_PRJ" localSheetId="2">Портфель!$B$14</definedName>
    <definedName name="LNG_CurList">Language!$A$39:$A$56</definedName>
    <definedName name="NWC_T_Cr_AdvK" localSheetId="1">Проект!$B$1144</definedName>
    <definedName name="NWC_T_Cr_AdvT" localSheetId="1">Проект!$C$1144</definedName>
    <definedName name="NWC_T_Cr_CrdK" localSheetId="1">Проект!$B$1145</definedName>
    <definedName name="NWC_T_Cr_CrdT" localSheetId="1">Проект!$C$1145</definedName>
    <definedName name="NWC_T_Cycle" localSheetId="1">Проект!$B$1121</definedName>
    <definedName name="NWC_T_Db_AdvK" localSheetId="1">Проект!$B$1132</definedName>
    <definedName name="NWC_T_Db_AdvT" localSheetId="1">Проект!$C$1132</definedName>
    <definedName name="NWC_T_Db_CrdK" localSheetId="1">Проект!$B$1133</definedName>
    <definedName name="NWC_T_Db_CrdT" localSheetId="1">Проект!$C$1133</definedName>
    <definedName name="NWC_T_Goods" localSheetId="1">Проект!$B$1125</definedName>
    <definedName name="NWC_T_Mat" localSheetId="1">Проект!$B$1117</definedName>
    <definedName name="PeriodTitle" localSheetId="2">Портфель!$F$89:$Q$89</definedName>
    <definedName name="PeriodTitle" localSheetId="1">Проект!$F$75:$Q$75</definedName>
    <definedName name="PORT_Consolidated_1">Портфель!$E$44</definedName>
    <definedName name="PORT_ExtPrjCount" localSheetId="2">Портфель!$E$11</definedName>
    <definedName name="PORT_ExtUpdatedTime" localSheetId="2">Портфель!$B$16</definedName>
    <definedName name="PORT_IntPrjCount" localSheetId="2">Портфель!$D$11</definedName>
    <definedName name="PORT_Name" localSheetId="2">Портфель!$A$7</definedName>
    <definedName name="PORT_PRJ_COUNT">Options!$B$14</definedName>
    <definedName name="PORT_PrjList" localSheetId="2">Портфель!$A$11</definedName>
    <definedName name="PORT_PrjPeriods">Портфель!$A$27</definedName>
    <definedName name="PRJ_Len" localSheetId="2">Портфель!$D$23</definedName>
    <definedName name="PRJ_Len" localSheetId="1">Проект!$D$10</definedName>
    <definedName name="PRJ_Name" localSheetId="1">Проект!$A$7</definedName>
    <definedName name="PRJ_Protected" localSheetId="1">Проект!$D$21</definedName>
    <definedName name="PRJ_StartDate" localSheetId="2">Портфель!$B$22</definedName>
    <definedName name="PRJ_StartDate" localSheetId="1">Проект!$B$9</definedName>
    <definedName name="PRJ_StartMon" localSheetId="2">Портфель!$F$32</definedName>
    <definedName name="PRJ_StartMon" localSheetId="1">Проект!$F$28</definedName>
    <definedName name="PRJ_StartYear" localSheetId="2">Портфель!$F$31</definedName>
    <definedName name="PRJ_StartYear" localSheetId="1">Проект!$F$27</definedName>
    <definedName name="PRJ_Step" localSheetId="2">Портфель!$E$24</definedName>
    <definedName name="PRJ_Step" localSheetId="1">Проект!$D$12</definedName>
    <definedName name="PRJ_Step_SName" localSheetId="2">Портфель!$E$23</definedName>
    <definedName name="PRJ_Step_SName" localSheetId="1">Проект!$E$11</definedName>
    <definedName name="PRJ_StepType" localSheetId="2">Портфель!$D$24</definedName>
    <definedName name="PRJ_StepType" localSheetId="1">Проект!$D$11</definedName>
    <definedName name="Product_Count" localSheetId="1">Проект!$D$540</definedName>
    <definedName name="Product_Height_1" localSheetId="1">Проект!$E$540</definedName>
    <definedName name="Product_Height_2" localSheetId="1">Проект!$E$550</definedName>
    <definedName name="Product_Height_2_After" localSheetId="1">Проект!$D$550</definedName>
    <definedName name="Product_Height_3" localSheetId="1">Проект!$E$560</definedName>
    <definedName name="Product_Height_3_After" localSheetId="1">Проект!$D$560</definedName>
    <definedName name="Product_Height_4" localSheetId="1">Проект!$E$600</definedName>
    <definedName name="Product_Height_4_After" localSheetId="1">Проект!$D$600</definedName>
    <definedName name="Product_Height_5" localSheetId="1">Проект!$E$653</definedName>
    <definedName name="Product_Height_5_After" localSheetId="1">Проект!$D$653</definedName>
    <definedName name="Product_Height_6" localSheetId="1">Проект!$E$678</definedName>
    <definedName name="Product_Height_6_After" localSheetId="1">Проект!$D$678</definedName>
    <definedName name="Product_Height_7" localSheetId="1">Проект!$E$694</definedName>
    <definedName name="Product_Height_7_After" localSheetId="1">Проект!$D$694</definedName>
    <definedName name="Product_Height_8" localSheetId="1">Проект!$E$740</definedName>
    <definedName name="Product_Height_8_After" localSheetId="1">Проект!$D$740</definedName>
    <definedName name="Product_Height_9" localSheetId="1">Проект!$E$854</definedName>
    <definedName name="Product_Height_9_After" localSheetId="1">Проект!$D$854</definedName>
    <definedName name="ProfitTax" localSheetId="1">Проект!$B$171</definedName>
    <definedName name="SENS_Discount" localSheetId="1">Проект!$B$1764</definedName>
    <definedName name="SENS_From" localSheetId="1">Проект!$B$2100</definedName>
    <definedName name="SENS_Invest" localSheetId="1">Проект!$F$428:$S$495</definedName>
    <definedName name="SENS_PList_Result" localSheetId="1">Проект!$A$2151:$C$2156</definedName>
    <definedName name="SENS_PList_Source" localSheetId="1">Проект!$A$2144:$D$2149</definedName>
    <definedName name="SENS_Price" localSheetId="1">Проект!$F$642:$S$649</definedName>
    <definedName name="SENS_Result" localSheetId="1">Проект!$E$2105</definedName>
    <definedName name="SENS_Sales" localSheetId="1">Проект!$F$551:$S$556</definedName>
    <definedName name="SENS_Source" localSheetId="1">Проект!$E$2097</definedName>
    <definedName name="SENS_Step" localSheetId="1">Проект!$B$2101</definedName>
    <definedName name="SENS_Table" localSheetId="1">Проект!$B$2108:$C$2114</definedName>
    <definedName name="ShowAbout">Options!$B$9</definedName>
    <definedName name="ShowRealDates" localSheetId="1">Проект!$D$22</definedName>
    <definedName name="SUMM_Only_Money1" localSheetId="1">Проект!$1197:$1197</definedName>
    <definedName name="SUMM_Only_Money2" localSheetId="1">Проект!$1253:$1253</definedName>
    <definedName name="Table_1" localSheetId="2">Портфель!$A$4:$S$36</definedName>
    <definedName name="Table_1" localSheetId="1">Проект!$A$4:$S$32</definedName>
    <definedName name="Table_10" localSheetId="2">Портфель!$A$817:$S$862</definedName>
    <definedName name="Table_10" localSheetId="1">Проект!$A$559:$S$596</definedName>
    <definedName name="Table_11" localSheetId="2">Портфель!$A$890:$S$915</definedName>
    <definedName name="Table_11" localSheetId="1">Проект!$A$599:$S$649</definedName>
    <definedName name="Table_12" localSheetId="2">Портфель!$A$918:$S$955</definedName>
    <definedName name="Table_12" localSheetId="1">Проект!$A$652:$S$674</definedName>
    <definedName name="Table_13" localSheetId="1">Проект!$A$677:$S$690</definedName>
    <definedName name="Table_14" localSheetId="1">Проект!$A$693:$S$736</definedName>
    <definedName name="Table_15" localSheetId="1">Проект!$A$739:$S$850</definedName>
    <definedName name="Table_16" localSheetId="1">Проект!$A$853:$S$940</definedName>
    <definedName name="Table_17" localSheetId="1">Проект!$A$943:$S$1025</definedName>
    <definedName name="Table_18" localSheetId="1">Проект!$A$1028:$S$1110</definedName>
    <definedName name="Table_19" localSheetId="1">Проект!$A$1113:$S$1175</definedName>
    <definedName name="Table_2" localSheetId="2">Портфель!$A$39:$S$59</definedName>
    <definedName name="Table_2" localSheetId="1">Проект!$A$35:$F$72</definedName>
    <definedName name="Table_20" localSheetId="1">Проект!$A$1178:$S$1196</definedName>
    <definedName name="Table_21" localSheetId="1">Проект!$A$1201:$S$1237</definedName>
    <definedName name="Table_22" localSheetId="1">Проект!$A$1267:$S$1296</definedName>
    <definedName name="Table_23" localSheetId="1">Проект!$A$1299:$S$1324</definedName>
    <definedName name="Table_24" localSheetId="1">Проект!$A$1377:$S$1393</definedName>
    <definedName name="Table_25" localSheetId="1">Проект!$A$1421:$S$1458</definedName>
    <definedName name="Table_26" localSheetId="1">Проект!$A$1561:$R$1603</definedName>
    <definedName name="Table_27" localSheetId="1">Проект!$A$1656:$R$1681</definedName>
    <definedName name="Table_28" localSheetId="1">Проект!$A$1759:$S$1804</definedName>
    <definedName name="Table_29" localSheetId="1">Проект!$A$1832:$S$1877</definedName>
    <definedName name="Table_3" localSheetId="2">Портфель!$A$66:$S$119</definedName>
    <definedName name="Table_3" localSheetId="1">Проект!$A$75:$S$99</definedName>
    <definedName name="Table_30" localSheetId="1">Проект!$A$1905:$S$1948</definedName>
    <definedName name="Table_31" localSheetId="1">Проект!$A$1976:$S$1999</definedName>
    <definedName name="Table_32" localSheetId="1">Проект!$A$2002:$S$2050</definedName>
    <definedName name="Table_33" localSheetId="1">Проект!$A$2053:$S$2090</definedName>
    <definedName name="Table_34" localSheetId="1">Проект!$A$2093:$S$2118</definedName>
    <definedName name="Table_4" localSheetId="2">Портфель!$A$122:$S$187</definedName>
    <definedName name="Table_4" localSheetId="1">Проект!$A$102:$S$228</definedName>
    <definedName name="Table_5" localSheetId="2">Портфель!$A$265:$S$332</definedName>
    <definedName name="Table_5" localSheetId="1">Проект!$A$231:$S$278</definedName>
    <definedName name="Table_6" localSheetId="2">Портфель!$A$435:$R$511</definedName>
    <definedName name="Table_6" localSheetId="1">Проект!$A$281:$S$495</definedName>
    <definedName name="Table_7" localSheetId="2">Портфель!$A$564:$R$589</definedName>
    <definedName name="Table_7" localSheetId="1">Проект!$A$498:$S$535</definedName>
    <definedName name="Table_8" localSheetId="2">Портфель!$A$667:$S$714</definedName>
    <definedName name="Table_8" localSheetId="1">Проект!$A$538:$S$546</definedName>
    <definedName name="Table_9" localSheetId="2">Портфель!$A$742:$S$789</definedName>
    <definedName name="Table_9" localSheetId="1">Проект!$A$549:$S$556</definedName>
    <definedName name="ToBuild_Demo">Options!$B$20</definedName>
    <definedName name="ToBuild_Estate">Options!$B$19</definedName>
    <definedName name="ToBuild_Lang">Options!$B$21</definedName>
    <definedName name="ToBuild_Summ">Options!$B$18</definedName>
    <definedName name="TotalProfit" localSheetId="1">Проект!$S$1324</definedName>
    <definedName name="TRIAL_DATE">Options!$C$8</definedName>
    <definedName name="VAT" localSheetId="2">Портфель!$B$126</definedName>
    <definedName name="VAT" localSheetId="1">Проект!$B$111</definedName>
    <definedName name="VAT_Period" localSheetId="1">Проект!$B$112</definedName>
    <definedName name="VAT_Repay" localSheetId="1">Проект!$B$113</definedName>
    <definedName name="Ver_BuildDate">Options!$B$6</definedName>
  </definedNames>
  <calcPr calcId="181029"/>
</workbook>
</file>

<file path=xl/calcChain.xml><?xml version="1.0" encoding="utf-8"?>
<calcChain xmlns="http://schemas.openxmlformats.org/spreadsheetml/2006/main">
  <c r="D1044" i="1" l="1"/>
  <c r="F1042" i="1"/>
  <c r="G1041" i="1"/>
  <c r="H1041" i="1" s="1"/>
  <c r="D1041" i="1"/>
  <c r="D1072" i="1"/>
  <c r="F1070" i="1"/>
  <c r="G1069" i="1"/>
  <c r="H1069" i="1" s="1"/>
  <c r="D1069" i="1"/>
  <c r="Q763" i="8"/>
  <c r="Q688" i="8"/>
  <c r="P763" i="8"/>
  <c r="P688" i="8"/>
  <c r="O763" i="8"/>
  <c r="O688" i="8"/>
  <c r="N763" i="8"/>
  <c r="N688" i="8"/>
  <c r="Q1321" i="1"/>
  <c r="Q1283" i="1"/>
  <c r="Q1282" i="1"/>
  <c r="Q1194" i="1"/>
  <c r="Q1192" i="1"/>
  <c r="Q1447" i="1" s="1"/>
  <c r="Q1189" i="1"/>
  <c r="Q1123" i="1"/>
  <c r="Q555" i="1"/>
  <c r="Q554" i="1"/>
  <c r="Q667" i="1" s="1"/>
  <c r="Q553" i="1"/>
  <c r="Q664" i="1" s="1"/>
  <c r="Q552" i="1"/>
  <c r="Q660" i="1" s="1"/>
  <c r="Q551" i="1"/>
  <c r="Q655" i="1" s="1"/>
  <c r="Q448" i="1"/>
  <c r="Q1315" i="1" s="1"/>
  <c r="Q440" i="1"/>
  <c r="Q385" i="1"/>
  <c r="Q384" i="1"/>
  <c r="Q376" i="1"/>
  <c r="Q374" i="1" s="1"/>
  <c r="Q367" i="1"/>
  <c r="Q352" i="1"/>
  <c r="Q344" i="1"/>
  <c r="Q328" i="1"/>
  <c r="Q318" i="1"/>
  <c r="Q296" i="1"/>
  <c r="Q288" i="1"/>
  <c r="Q276" i="1"/>
  <c r="Q263" i="1"/>
  <c r="Q254" i="1"/>
  <c r="Q245" i="1"/>
  <c r="Q237" i="1"/>
  <c r="Q236" i="1"/>
  <c r="Q180" i="1"/>
  <c r="Q136" i="1"/>
  <c r="Q130" i="1"/>
  <c r="Q98" i="1"/>
  <c r="Q93" i="1"/>
  <c r="Q82" i="1"/>
  <c r="P1321" i="1"/>
  <c r="P1283" i="1"/>
  <c r="P1282" i="1"/>
  <c r="P1194" i="1"/>
  <c r="P1284" i="1" s="1"/>
  <c r="P1192" i="1"/>
  <c r="P1447" i="1" s="1"/>
  <c r="P1189" i="1"/>
  <c r="P1123" i="1"/>
  <c r="P555" i="1"/>
  <c r="P672" i="1" s="1"/>
  <c r="P554" i="1"/>
  <c r="P667" i="1" s="1"/>
  <c r="P686" i="1" s="1"/>
  <c r="P790" i="1" s="1"/>
  <c r="P553" i="1"/>
  <c r="P552" i="1"/>
  <c r="P660" i="1" s="1"/>
  <c r="P551" i="1"/>
  <c r="P656" i="1" s="1"/>
  <c r="P448" i="1"/>
  <c r="P1315" i="1" s="1"/>
  <c r="P440" i="1"/>
  <c r="P385" i="1"/>
  <c r="P384" i="1"/>
  <c r="P376" i="1"/>
  <c r="P374" i="1" s="1"/>
  <c r="P367" i="1"/>
  <c r="P352" i="1"/>
  <c r="P344" i="1"/>
  <c r="P328" i="1"/>
  <c r="P318" i="1"/>
  <c r="P296" i="1"/>
  <c r="P288" i="1"/>
  <c r="P276" i="1"/>
  <c r="P263" i="1"/>
  <c r="P254" i="1"/>
  <c r="P245" i="1"/>
  <c r="P237" i="1"/>
  <c r="P236" i="1"/>
  <c r="P180" i="1"/>
  <c r="P136" i="1"/>
  <c r="P130" i="1"/>
  <c r="P98" i="1"/>
  <c r="P93" i="1"/>
  <c r="P82" i="1"/>
  <c r="O1447" i="1"/>
  <c r="O1321" i="1"/>
  <c r="O1283" i="1"/>
  <c r="O1282" i="1"/>
  <c r="O1194" i="1"/>
  <c r="O1448" i="1" s="1"/>
  <c r="O1192" i="1"/>
  <c r="O1189" i="1"/>
  <c r="O1123" i="1"/>
  <c r="O555" i="1"/>
  <c r="O554" i="1"/>
  <c r="O668" i="1" s="1"/>
  <c r="O553" i="1"/>
  <c r="O664" i="1" s="1"/>
  <c r="O552" i="1"/>
  <c r="O660" i="1" s="1"/>
  <c r="O551" i="1"/>
  <c r="O656" i="1" s="1"/>
  <c r="O448" i="1"/>
  <c r="O1315" i="1" s="1"/>
  <c r="O440" i="1"/>
  <c r="O385" i="1"/>
  <c r="O384" i="1"/>
  <c r="O376" i="1"/>
  <c r="O374" i="1" s="1"/>
  <c r="O367" i="1"/>
  <c r="O352" i="1"/>
  <c r="O344" i="1"/>
  <c r="O328" i="1"/>
  <c r="O318" i="1"/>
  <c r="O296" i="1"/>
  <c r="O288" i="1"/>
  <c r="O276" i="1"/>
  <c r="O263" i="1"/>
  <c r="O254" i="1"/>
  <c r="O245" i="1"/>
  <c r="O237" i="1"/>
  <c r="O236" i="1"/>
  <c r="O180" i="1"/>
  <c r="O136" i="1"/>
  <c r="O130" i="1"/>
  <c r="O98" i="1"/>
  <c r="O93" i="1"/>
  <c r="O82" i="1"/>
  <c r="N1321" i="1"/>
  <c r="N1283" i="1"/>
  <c r="N1282" i="1"/>
  <c r="N1194" i="1"/>
  <c r="N1192" i="1"/>
  <c r="N1447" i="1" s="1"/>
  <c r="N1189" i="1"/>
  <c r="N1123" i="1"/>
  <c r="N555" i="1"/>
  <c r="N554" i="1"/>
  <c r="N668" i="1" s="1"/>
  <c r="N553" i="1"/>
  <c r="N552" i="1"/>
  <c r="N659" i="1" s="1"/>
  <c r="N682" i="1" s="1"/>
  <c r="N758" i="1" s="1"/>
  <c r="N551" i="1"/>
  <c r="N655" i="1" s="1"/>
  <c r="N448" i="1"/>
  <c r="N1315" i="1" s="1"/>
  <c r="N440" i="1"/>
  <c r="N385" i="1"/>
  <c r="N384" i="1"/>
  <c r="N376" i="1"/>
  <c r="N374" i="1" s="1"/>
  <c r="N367" i="1"/>
  <c r="N352" i="1"/>
  <c r="N344" i="1"/>
  <c r="N328" i="1"/>
  <c r="N318" i="1"/>
  <c r="N296" i="1"/>
  <c r="N288" i="1"/>
  <c r="N276" i="1"/>
  <c r="N263" i="1"/>
  <c r="N254" i="1"/>
  <c r="N245" i="1"/>
  <c r="N237" i="1"/>
  <c r="N236" i="1"/>
  <c r="N180" i="1"/>
  <c r="N136" i="1"/>
  <c r="N130" i="1"/>
  <c r="N98" i="1"/>
  <c r="N93" i="1"/>
  <c r="N82" i="1"/>
  <c r="F968" i="1"/>
  <c r="G968" i="1" s="1"/>
  <c r="F998" i="1"/>
  <c r="D995" i="1"/>
  <c r="F993" i="1"/>
  <c r="D990" i="1"/>
  <c r="F988" i="1"/>
  <c r="D985" i="1"/>
  <c r="F974" i="1"/>
  <c r="I973" i="1"/>
  <c r="J973" i="1" s="1"/>
  <c r="F973" i="1"/>
  <c r="G973" i="1" s="1"/>
  <c r="D971" i="1"/>
  <c r="F969" i="1"/>
  <c r="I968" i="1"/>
  <c r="J968" i="1" s="1"/>
  <c r="D966" i="1"/>
  <c r="F955" i="1"/>
  <c r="D952" i="1"/>
  <c r="D914" i="1"/>
  <c r="B914" i="1"/>
  <c r="D913" i="1"/>
  <c r="D912" i="1"/>
  <c r="D911" i="1"/>
  <c r="D910" i="1"/>
  <c r="D909" i="1"/>
  <c r="D908" i="1"/>
  <c r="D907" i="1"/>
  <c r="D906" i="1"/>
  <c r="F904" i="1"/>
  <c r="D903" i="1"/>
  <c r="I902" i="1"/>
  <c r="G902" i="1"/>
  <c r="A900" i="1"/>
  <c r="D804" i="1"/>
  <c r="B804" i="1"/>
  <c r="D803" i="1"/>
  <c r="D802" i="1"/>
  <c r="D801" i="1"/>
  <c r="D800" i="1"/>
  <c r="D799" i="1"/>
  <c r="D798" i="1"/>
  <c r="D797" i="1"/>
  <c r="D796" i="1"/>
  <c r="D795" i="1"/>
  <c r="D794" i="1"/>
  <c r="D793" i="1"/>
  <c r="D792" i="1"/>
  <c r="B791" i="1"/>
  <c r="D790" i="1"/>
  <c r="A790" i="1"/>
  <c r="A789" i="1"/>
  <c r="F718" i="1"/>
  <c r="A717" i="1"/>
  <c r="A716" i="1"/>
  <c r="A685" i="1"/>
  <c r="C669" i="1"/>
  <c r="C668" i="1"/>
  <c r="C667" i="1"/>
  <c r="A666" i="1"/>
  <c r="D632" i="1"/>
  <c r="D631" i="1"/>
  <c r="D630" i="1"/>
  <c r="D629" i="1"/>
  <c r="D628" i="1"/>
  <c r="D627" i="1"/>
  <c r="D626" i="1"/>
  <c r="D625" i="1"/>
  <c r="A625" i="1"/>
  <c r="F583" i="1"/>
  <c r="G582" i="1"/>
  <c r="H582" i="1" s="1"/>
  <c r="I582" i="1" s="1"/>
  <c r="J582" i="1" s="1"/>
  <c r="K582" i="1" s="1"/>
  <c r="L582" i="1" s="1"/>
  <c r="A582" i="1"/>
  <c r="M554" i="1"/>
  <c r="L554" i="1"/>
  <c r="L668" i="1" s="1"/>
  <c r="K554" i="1"/>
  <c r="K668" i="1" s="1"/>
  <c r="J554" i="1"/>
  <c r="J668" i="1" s="1"/>
  <c r="I554" i="1"/>
  <c r="I667" i="1" s="1"/>
  <c r="I686" i="1" s="1"/>
  <c r="I790" i="1" s="1"/>
  <c r="H554" i="1"/>
  <c r="H667" i="1" s="1"/>
  <c r="H686" i="1" s="1"/>
  <c r="H790" i="1" s="1"/>
  <c r="G554" i="1"/>
  <c r="G667" i="1" s="1"/>
  <c r="G686" i="1" s="1"/>
  <c r="G790" i="1" s="1"/>
  <c r="F554" i="1"/>
  <c r="C554" i="1"/>
  <c r="A554" i="1"/>
  <c r="D899" i="1"/>
  <c r="B899" i="1"/>
  <c r="D898" i="1"/>
  <c r="D897" i="1"/>
  <c r="D896" i="1"/>
  <c r="D895" i="1"/>
  <c r="D894" i="1"/>
  <c r="D893" i="1"/>
  <c r="D892" i="1"/>
  <c r="D891" i="1"/>
  <c r="F889" i="1"/>
  <c r="D888" i="1"/>
  <c r="I887" i="1"/>
  <c r="J887" i="1" s="1"/>
  <c r="K887" i="1" s="1"/>
  <c r="G887" i="1"/>
  <c r="A885" i="1"/>
  <c r="D788" i="1"/>
  <c r="B788" i="1"/>
  <c r="D787" i="1"/>
  <c r="D786" i="1"/>
  <c r="D785" i="1"/>
  <c r="D784" i="1"/>
  <c r="D783" i="1"/>
  <c r="D782" i="1"/>
  <c r="D781" i="1"/>
  <c r="D780" i="1"/>
  <c r="D779" i="1"/>
  <c r="D778" i="1"/>
  <c r="D777" i="1"/>
  <c r="D776" i="1"/>
  <c r="B775" i="1"/>
  <c r="D774" i="1"/>
  <c r="A774" i="1"/>
  <c r="A773" i="1"/>
  <c r="F711" i="1"/>
  <c r="A710" i="1"/>
  <c r="A709" i="1"/>
  <c r="A683" i="1"/>
  <c r="C665" i="1"/>
  <c r="C664" i="1"/>
  <c r="C663" i="1"/>
  <c r="A662" i="1"/>
  <c r="D624" i="1"/>
  <c r="D623" i="1"/>
  <c r="D622" i="1"/>
  <c r="D621" i="1"/>
  <c r="D620" i="1"/>
  <c r="D619" i="1"/>
  <c r="D618" i="1"/>
  <c r="D617" i="1"/>
  <c r="A617" i="1"/>
  <c r="F576" i="1"/>
  <c r="G575" i="1"/>
  <c r="H575" i="1" s="1"/>
  <c r="I575" i="1" s="1"/>
  <c r="J575" i="1" s="1"/>
  <c r="K575" i="1" s="1"/>
  <c r="A575" i="1"/>
  <c r="M553" i="1"/>
  <c r="L553" i="1"/>
  <c r="L663" i="1" s="1"/>
  <c r="L684" i="1" s="1"/>
  <c r="L774" i="1" s="1"/>
  <c r="K553" i="1"/>
  <c r="K664" i="1" s="1"/>
  <c r="J553" i="1"/>
  <c r="J664" i="1" s="1"/>
  <c r="I553" i="1"/>
  <c r="I663" i="1" s="1"/>
  <c r="I684" i="1" s="1"/>
  <c r="I774" i="1" s="1"/>
  <c r="H553" i="1"/>
  <c r="H663" i="1" s="1"/>
  <c r="H684" i="1" s="1"/>
  <c r="H774" i="1" s="1"/>
  <c r="G553" i="1"/>
  <c r="G663" i="1" s="1"/>
  <c r="G684" i="1" s="1"/>
  <c r="G774" i="1" s="1"/>
  <c r="F553" i="1"/>
  <c r="F663" i="1" s="1"/>
  <c r="C553" i="1"/>
  <c r="A553" i="1"/>
  <c r="D884" i="1"/>
  <c r="B884" i="1"/>
  <c r="D883" i="1"/>
  <c r="D882" i="1"/>
  <c r="D881" i="1"/>
  <c r="D880" i="1"/>
  <c r="D879" i="1"/>
  <c r="D878" i="1"/>
  <c r="D877" i="1"/>
  <c r="D876" i="1"/>
  <c r="F874" i="1"/>
  <c r="D873" i="1"/>
  <c r="I872" i="1"/>
  <c r="G872" i="1"/>
  <c r="A870" i="1"/>
  <c r="D772" i="1"/>
  <c r="B772" i="1"/>
  <c r="D771" i="1"/>
  <c r="D770" i="1"/>
  <c r="D769" i="1"/>
  <c r="D768" i="1"/>
  <c r="D767" i="1"/>
  <c r="D766" i="1"/>
  <c r="D765" i="1"/>
  <c r="D764" i="1"/>
  <c r="D763" i="1"/>
  <c r="D762" i="1"/>
  <c r="D761" i="1"/>
  <c r="D760" i="1"/>
  <c r="B759" i="1"/>
  <c r="D758" i="1"/>
  <c r="A758" i="1"/>
  <c r="A757" i="1"/>
  <c r="F704" i="1"/>
  <c r="A703" i="1"/>
  <c r="A702" i="1"/>
  <c r="A681" i="1"/>
  <c r="C661" i="1"/>
  <c r="C660" i="1"/>
  <c r="C659" i="1"/>
  <c r="A658" i="1"/>
  <c r="D616" i="1"/>
  <c r="D615" i="1"/>
  <c r="D614" i="1"/>
  <c r="D613" i="1"/>
  <c r="D612" i="1"/>
  <c r="D611" i="1"/>
  <c r="D610" i="1"/>
  <c r="D609" i="1"/>
  <c r="A609" i="1"/>
  <c r="F569" i="1"/>
  <c r="G568" i="1"/>
  <c r="H568" i="1" s="1"/>
  <c r="I568" i="1" s="1"/>
  <c r="J568" i="1" s="1"/>
  <c r="K568" i="1" s="1"/>
  <c r="A568" i="1"/>
  <c r="M552" i="1"/>
  <c r="L552" i="1"/>
  <c r="L660" i="1" s="1"/>
  <c r="K552" i="1"/>
  <c r="K660" i="1" s="1"/>
  <c r="J552" i="1"/>
  <c r="I552" i="1"/>
  <c r="I660" i="1" s="1"/>
  <c r="H552" i="1"/>
  <c r="H659" i="1" s="1"/>
  <c r="G552" i="1"/>
  <c r="G659" i="1" s="1"/>
  <c r="F552" i="1"/>
  <c r="F659" i="1" s="1"/>
  <c r="F882" i="1" s="1"/>
  <c r="C552" i="1"/>
  <c r="A552" i="1"/>
  <c r="D835" i="1"/>
  <c r="B835" i="1"/>
  <c r="D834" i="1"/>
  <c r="D833" i="1"/>
  <c r="D832" i="1"/>
  <c r="D831" i="1"/>
  <c r="D830" i="1"/>
  <c r="D829" i="1"/>
  <c r="D828" i="1"/>
  <c r="D827" i="1"/>
  <c r="D826" i="1"/>
  <c r="D825" i="1"/>
  <c r="D824" i="1"/>
  <c r="D823" i="1"/>
  <c r="B822" i="1"/>
  <c r="D821" i="1"/>
  <c r="A821" i="1"/>
  <c r="F731" i="1"/>
  <c r="A730" i="1"/>
  <c r="D929" i="1"/>
  <c r="B929" i="1"/>
  <c r="D928" i="1"/>
  <c r="D927" i="1"/>
  <c r="D926" i="1"/>
  <c r="D925" i="1"/>
  <c r="D924" i="1"/>
  <c r="D923" i="1"/>
  <c r="D922" i="1"/>
  <c r="D921" i="1"/>
  <c r="F919" i="1"/>
  <c r="D918" i="1"/>
  <c r="A915" i="1"/>
  <c r="D820" i="1"/>
  <c r="B820" i="1"/>
  <c r="D819" i="1"/>
  <c r="D818" i="1"/>
  <c r="D817" i="1"/>
  <c r="D816" i="1"/>
  <c r="D815" i="1"/>
  <c r="D814" i="1"/>
  <c r="D813" i="1"/>
  <c r="D812" i="1"/>
  <c r="D811" i="1"/>
  <c r="D810" i="1"/>
  <c r="D809" i="1"/>
  <c r="D808" i="1"/>
  <c r="B807" i="1"/>
  <c r="D806" i="1"/>
  <c r="A806" i="1"/>
  <c r="A805" i="1"/>
  <c r="F725" i="1"/>
  <c r="A724" i="1"/>
  <c r="A723" i="1"/>
  <c r="A687" i="1"/>
  <c r="C673" i="1"/>
  <c r="C672" i="1"/>
  <c r="C671" i="1"/>
  <c r="A670" i="1"/>
  <c r="D640" i="1"/>
  <c r="D639" i="1"/>
  <c r="D638" i="1"/>
  <c r="D637" i="1"/>
  <c r="D636" i="1"/>
  <c r="D635" i="1"/>
  <c r="D634" i="1"/>
  <c r="D633" i="1"/>
  <c r="A633" i="1"/>
  <c r="F590" i="1"/>
  <c r="A589" i="1"/>
  <c r="M555" i="1"/>
  <c r="L555" i="1"/>
  <c r="L672" i="1" s="1"/>
  <c r="K555" i="1"/>
  <c r="K672" i="1" s="1"/>
  <c r="J555" i="1"/>
  <c r="J672" i="1" s="1"/>
  <c r="I555" i="1"/>
  <c r="I672" i="1" s="1"/>
  <c r="H555" i="1"/>
  <c r="H672" i="1" s="1"/>
  <c r="G555" i="1"/>
  <c r="G672" i="1" s="1"/>
  <c r="F555" i="1"/>
  <c r="F671" i="1" s="1"/>
  <c r="F689" i="1" s="1"/>
  <c r="F821" i="1" s="1"/>
  <c r="C555" i="1"/>
  <c r="A555" i="1"/>
  <c r="G80" i="1"/>
  <c r="G569" i="1" s="1"/>
  <c r="B9" i="1"/>
  <c r="I1041" i="1" l="1"/>
  <c r="G1042" i="1"/>
  <c r="I1069" i="1"/>
  <c r="G1070" i="1"/>
  <c r="O1917" i="1"/>
  <c r="O655" i="1"/>
  <c r="O680" i="1" s="1"/>
  <c r="O742" i="1" s="1"/>
  <c r="O1846" i="1"/>
  <c r="Q656" i="1"/>
  <c r="O1284" i="1"/>
  <c r="P1448" i="1"/>
  <c r="P1917" i="1" s="1"/>
  <c r="Q663" i="1"/>
  <c r="Q684" i="1" s="1"/>
  <c r="Q774" i="1" s="1"/>
  <c r="Q668" i="1"/>
  <c r="P668" i="1"/>
  <c r="P671" i="1"/>
  <c r="O663" i="1"/>
  <c r="O659" i="1"/>
  <c r="O682" i="1" s="1"/>
  <c r="O758" i="1" s="1"/>
  <c r="O667" i="1"/>
  <c r="O686" i="1" s="1"/>
  <c r="O790" i="1" s="1"/>
  <c r="N656" i="1"/>
  <c r="N667" i="1"/>
  <c r="N686" i="1" s="1"/>
  <c r="N790" i="1" s="1"/>
  <c r="N1448" i="1"/>
  <c r="N1917" i="1" s="1"/>
  <c r="N1284" i="1"/>
  <c r="N664" i="1"/>
  <c r="N663" i="1"/>
  <c r="Q672" i="1"/>
  <c r="Q671" i="1"/>
  <c r="N680" i="1"/>
  <c r="N742" i="1" s="1"/>
  <c r="Q680" i="1"/>
  <c r="Q742" i="1" s="1"/>
  <c r="N672" i="1"/>
  <c r="N671" i="1"/>
  <c r="P659" i="1"/>
  <c r="O684" i="1"/>
  <c r="O774" i="1" s="1"/>
  <c r="P663" i="1"/>
  <c r="P664" i="1"/>
  <c r="P655" i="1"/>
  <c r="Q1284" i="1"/>
  <c r="Q1448" i="1"/>
  <c r="Q1846" i="1" s="1"/>
  <c r="O672" i="1"/>
  <c r="O671" i="1"/>
  <c r="Q686" i="1"/>
  <c r="Q790" i="1" s="1"/>
  <c r="N660" i="1"/>
  <c r="Q659" i="1"/>
  <c r="G998" i="1"/>
  <c r="G993" i="1"/>
  <c r="G988" i="1"/>
  <c r="K973" i="1"/>
  <c r="G969" i="1"/>
  <c r="G974" i="1"/>
  <c r="K968" i="1"/>
  <c r="G718" i="1"/>
  <c r="J663" i="1"/>
  <c r="J684" i="1" s="1"/>
  <c r="J774" i="1" s="1"/>
  <c r="G955" i="1"/>
  <c r="G889" i="1"/>
  <c r="G583" i="1"/>
  <c r="H668" i="1"/>
  <c r="F833" i="1"/>
  <c r="F834" i="1"/>
  <c r="G668" i="1"/>
  <c r="G576" i="1"/>
  <c r="I668" i="1"/>
  <c r="H660" i="1"/>
  <c r="F660" i="1"/>
  <c r="F661" i="1" s="1"/>
  <c r="F658" i="1" s="1"/>
  <c r="G660" i="1"/>
  <c r="K663" i="1"/>
  <c r="K684" i="1" s="1"/>
  <c r="K774" i="1" s="1"/>
  <c r="H664" i="1"/>
  <c r="F664" i="1"/>
  <c r="F665" i="1" s="1"/>
  <c r="I664" i="1"/>
  <c r="G664" i="1"/>
  <c r="J667" i="1"/>
  <c r="J686" i="1" s="1"/>
  <c r="J790" i="1" s="1"/>
  <c r="K667" i="1"/>
  <c r="K686" i="1" s="1"/>
  <c r="K790" i="1" s="1"/>
  <c r="S554" i="1"/>
  <c r="F667" i="1"/>
  <c r="F912" i="1" s="1"/>
  <c r="G903" i="1"/>
  <c r="I903" i="1"/>
  <c r="H888" i="1"/>
  <c r="F668" i="1"/>
  <c r="J902" i="1"/>
  <c r="M668" i="1"/>
  <c r="M667" i="1"/>
  <c r="I888" i="1"/>
  <c r="I659" i="1"/>
  <c r="I682" i="1" s="1"/>
  <c r="I758" i="1" s="1"/>
  <c r="H903" i="1"/>
  <c r="K659" i="1"/>
  <c r="K682" i="1" s="1"/>
  <c r="K758" i="1" s="1"/>
  <c r="J659" i="1"/>
  <c r="J682" i="1" s="1"/>
  <c r="J758" i="1" s="1"/>
  <c r="J660" i="1"/>
  <c r="M582" i="1"/>
  <c r="N582" i="1" s="1"/>
  <c r="L667" i="1"/>
  <c r="L664" i="1"/>
  <c r="G711" i="1"/>
  <c r="G873" i="1"/>
  <c r="G904" i="1"/>
  <c r="L575" i="1"/>
  <c r="L887" i="1"/>
  <c r="F888" i="1"/>
  <c r="F684" i="1"/>
  <c r="F787" i="1"/>
  <c r="F786" i="1"/>
  <c r="G888" i="1"/>
  <c r="F897" i="1"/>
  <c r="M663" i="1"/>
  <c r="M664" i="1"/>
  <c r="S553" i="1"/>
  <c r="L568" i="1"/>
  <c r="J872" i="1"/>
  <c r="G682" i="1"/>
  <c r="G758" i="1" s="1"/>
  <c r="G704" i="1"/>
  <c r="H682" i="1"/>
  <c r="H758" i="1" s="1"/>
  <c r="H873" i="1"/>
  <c r="S552" i="1"/>
  <c r="G919" i="1"/>
  <c r="G874" i="1"/>
  <c r="M660" i="1"/>
  <c r="M659" i="1"/>
  <c r="F873" i="1"/>
  <c r="F682" i="1"/>
  <c r="F771" i="1"/>
  <c r="F770" i="1"/>
  <c r="L659" i="1"/>
  <c r="G731" i="1"/>
  <c r="G725" i="1"/>
  <c r="G590" i="1"/>
  <c r="G671" i="1"/>
  <c r="I671" i="1"/>
  <c r="J671" i="1"/>
  <c r="F672" i="1"/>
  <c r="F673" i="1" s="1"/>
  <c r="M672" i="1"/>
  <c r="M671" i="1"/>
  <c r="F918" i="1"/>
  <c r="F688" i="1"/>
  <c r="F819" i="1"/>
  <c r="F818" i="1"/>
  <c r="F927" i="1"/>
  <c r="S555" i="1"/>
  <c r="H671" i="1"/>
  <c r="K671" i="1"/>
  <c r="L671" i="1"/>
  <c r="J1041" i="1" l="1"/>
  <c r="G833" i="1"/>
  <c r="P1846" i="1"/>
  <c r="J1069" i="1"/>
  <c r="N1846" i="1"/>
  <c r="P689" i="1"/>
  <c r="P821" i="1" s="1"/>
  <c r="P688" i="1"/>
  <c r="P806" i="1" s="1"/>
  <c r="O582" i="1"/>
  <c r="Q689" i="1"/>
  <c r="Q821" i="1" s="1"/>
  <c r="Q688" i="1"/>
  <c r="Q806" i="1" s="1"/>
  <c r="Q682" i="1"/>
  <c r="Q758" i="1" s="1"/>
  <c r="N688" i="1"/>
  <c r="N806" i="1" s="1"/>
  <c r="N689" i="1"/>
  <c r="N821" i="1" s="1"/>
  <c r="N684" i="1"/>
  <c r="N774" i="1" s="1"/>
  <c r="P680" i="1"/>
  <c r="P742" i="1" s="1"/>
  <c r="O688" i="1"/>
  <c r="O806" i="1" s="1"/>
  <c r="O689" i="1"/>
  <c r="O821" i="1" s="1"/>
  <c r="P682" i="1"/>
  <c r="P758" i="1" s="1"/>
  <c r="Q1917" i="1"/>
  <c r="P684" i="1"/>
  <c r="P774" i="1" s="1"/>
  <c r="L973" i="1"/>
  <c r="J888" i="1"/>
  <c r="L968" i="1"/>
  <c r="F686" i="1"/>
  <c r="F790" i="1" s="1"/>
  <c r="F903" i="1"/>
  <c r="F803" i="1"/>
  <c r="K888" i="1"/>
  <c r="I873" i="1"/>
  <c r="S664" i="1"/>
  <c r="F802" i="1"/>
  <c r="M686" i="1"/>
  <c r="M790" i="1" s="1"/>
  <c r="S668" i="1"/>
  <c r="F669" i="1"/>
  <c r="L686" i="1"/>
  <c r="L790" i="1" s="1"/>
  <c r="G661" i="1"/>
  <c r="G770" i="1"/>
  <c r="G771" i="1"/>
  <c r="J903" i="1"/>
  <c r="K902" i="1"/>
  <c r="G882" i="1"/>
  <c r="S667" i="1"/>
  <c r="G786" i="1"/>
  <c r="G665" i="1"/>
  <c r="G897" i="1"/>
  <c r="F662" i="1"/>
  <c r="G787" i="1"/>
  <c r="S660" i="1"/>
  <c r="F774" i="1"/>
  <c r="L888" i="1"/>
  <c r="M887" i="1"/>
  <c r="N887" i="1" s="1"/>
  <c r="S663" i="1"/>
  <c r="M684" i="1"/>
  <c r="M774" i="1" s="1"/>
  <c r="M575" i="1"/>
  <c r="N575" i="1" s="1"/>
  <c r="L682" i="1"/>
  <c r="L758" i="1" s="1"/>
  <c r="M568" i="1"/>
  <c r="N568" i="1" s="1"/>
  <c r="K872" i="1"/>
  <c r="J873" i="1"/>
  <c r="S659" i="1"/>
  <c r="M682" i="1"/>
  <c r="M758" i="1" s="1"/>
  <c r="F758" i="1"/>
  <c r="L689" i="1"/>
  <c r="L821" i="1" s="1"/>
  <c r="H689" i="1"/>
  <c r="H821" i="1" s="1"/>
  <c r="M689" i="1"/>
  <c r="M821" i="1" s="1"/>
  <c r="K689" i="1"/>
  <c r="K821" i="1" s="1"/>
  <c r="J688" i="1"/>
  <c r="J806" i="1" s="1"/>
  <c r="J689" i="1"/>
  <c r="J821" i="1" s="1"/>
  <c r="I688" i="1"/>
  <c r="I806" i="1" s="1"/>
  <c r="I689" i="1"/>
  <c r="I821" i="1" s="1"/>
  <c r="G688" i="1"/>
  <c r="G806" i="1" s="1"/>
  <c r="G834" i="1"/>
  <c r="G689" i="1"/>
  <c r="S672" i="1"/>
  <c r="G927" i="1"/>
  <c r="G673" i="1"/>
  <c r="H673" i="1" s="1"/>
  <c r="G819" i="1"/>
  <c r="F670" i="1"/>
  <c r="G818" i="1"/>
  <c r="L688" i="1"/>
  <c r="L806" i="1" s="1"/>
  <c r="S671" i="1"/>
  <c r="M688" i="1"/>
  <c r="M806" i="1" s="1"/>
  <c r="F806" i="1"/>
  <c r="K688" i="1"/>
  <c r="K806" i="1" s="1"/>
  <c r="H918" i="1"/>
  <c r="H688" i="1"/>
  <c r="H806" i="1" s="1"/>
  <c r="B136" i="1"/>
  <c r="K1041" i="1" l="1"/>
  <c r="K1069" i="1"/>
  <c r="P582" i="1"/>
  <c r="O568" i="1"/>
  <c r="O575" i="1"/>
  <c r="O887" i="1"/>
  <c r="N888" i="1"/>
  <c r="M973" i="1"/>
  <c r="N973" i="1" s="1"/>
  <c r="M968" i="1"/>
  <c r="N968" i="1" s="1"/>
  <c r="G658" i="1"/>
  <c r="G802" i="1"/>
  <c r="G912" i="1"/>
  <c r="G669" i="1"/>
  <c r="F666" i="1"/>
  <c r="G803" i="1"/>
  <c r="S686" i="1"/>
  <c r="S790" i="1"/>
  <c r="H661" i="1"/>
  <c r="H658" i="1" s="1"/>
  <c r="L902" i="1"/>
  <c r="K903" i="1"/>
  <c r="H665" i="1"/>
  <c r="G662" i="1"/>
  <c r="S774" i="1"/>
  <c r="M888" i="1"/>
  <c r="S684" i="1"/>
  <c r="S682" i="1"/>
  <c r="S758" i="1"/>
  <c r="L872" i="1"/>
  <c r="K873" i="1"/>
  <c r="G821" i="1"/>
  <c r="S689" i="1"/>
  <c r="G670" i="1"/>
  <c r="I673" i="1"/>
  <c r="H670" i="1"/>
  <c r="S688" i="1"/>
  <c r="S806" i="1"/>
  <c r="F963" i="1"/>
  <c r="L1041" i="1" l="1"/>
  <c r="L1069" i="1"/>
  <c r="P568" i="1"/>
  <c r="P575" i="1"/>
  <c r="O973" i="1"/>
  <c r="Q582" i="1"/>
  <c r="O888" i="1"/>
  <c r="P887" i="1"/>
  <c r="O968" i="1"/>
  <c r="I661" i="1"/>
  <c r="I658" i="1" s="1"/>
  <c r="H669" i="1"/>
  <c r="G666" i="1"/>
  <c r="M902" i="1"/>
  <c r="N902" i="1" s="1"/>
  <c r="L903" i="1"/>
  <c r="I665" i="1"/>
  <c r="H662" i="1"/>
  <c r="M872" i="1"/>
  <c r="N872" i="1" s="1"/>
  <c r="L873" i="1"/>
  <c r="S821" i="1"/>
  <c r="J673" i="1"/>
  <c r="I670" i="1"/>
  <c r="A551" i="1"/>
  <c r="M1041" i="1" l="1"/>
  <c r="M1069" i="1"/>
  <c r="Q887" i="1"/>
  <c r="Q888" i="1" s="1"/>
  <c r="P888" i="1"/>
  <c r="Q568" i="1"/>
  <c r="O872" i="1"/>
  <c r="N873" i="1"/>
  <c r="S888" i="1"/>
  <c r="P973" i="1"/>
  <c r="O902" i="1"/>
  <c r="N903" i="1"/>
  <c r="Q575" i="1"/>
  <c r="P968" i="1"/>
  <c r="J661" i="1"/>
  <c r="J658" i="1" s="1"/>
  <c r="M903" i="1"/>
  <c r="I669" i="1"/>
  <c r="H666" i="1"/>
  <c r="J665" i="1"/>
  <c r="I662" i="1"/>
  <c r="M873" i="1"/>
  <c r="K673" i="1"/>
  <c r="J670" i="1"/>
  <c r="E7" i="9"/>
  <c r="E8" i="9"/>
  <c r="E9" i="9"/>
  <c r="D10" i="9"/>
  <c r="E10" i="9"/>
  <c r="E15" i="9"/>
  <c r="E16" i="9"/>
  <c r="E17" i="9"/>
  <c r="D18" i="9"/>
  <c r="D19" i="9"/>
  <c r="E11" i="9"/>
  <c r="E18" i="9" s="1"/>
  <c r="E12" i="9"/>
  <c r="E13" i="9"/>
  <c r="E14" i="9"/>
  <c r="N1041" i="1" l="1"/>
  <c r="N1069" i="1"/>
  <c r="Q973" i="1"/>
  <c r="O873" i="1"/>
  <c r="P872" i="1"/>
  <c r="Q968" i="1"/>
  <c r="K661" i="1"/>
  <c r="L661" i="1" s="1"/>
  <c r="O903" i="1"/>
  <c r="P902" i="1"/>
  <c r="J669" i="1"/>
  <c r="I666" i="1"/>
  <c r="J662" i="1"/>
  <c r="K665" i="1"/>
  <c r="L673" i="1"/>
  <c r="K670" i="1"/>
  <c r="A3" i="5"/>
  <c r="A4" i="5"/>
  <c r="A5" i="5"/>
  <c r="A6" i="5"/>
  <c r="A7" i="5"/>
  <c r="A8" i="5"/>
  <c r="A9" i="5"/>
  <c r="A10" i="5"/>
  <c r="A11" i="5"/>
  <c r="A12" i="5"/>
  <c r="A13" i="5"/>
  <c r="A14" i="5"/>
  <c r="A4" i="1" s="1"/>
  <c r="A1" i="7" s="1"/>
  <c r="A15" i="5"/>
  <c r="A6" i="1" s="1"/>
  <c r="A3" i="7" s="1"/>
  <c r="A16" i="5"/>
  <c r="A17" i="5"/>
  <c r="A9" i="1" s="1"/>
  <c r="A6" i="7" s="1"/>
  <c r="A18" i="5"/>
  <c r="A10" i="1" s="1"/>
  <c r="A7" i="7" s="1"/>
  <c r="A19" i="5"/>
  <c r="A11" i="1" s="1"/>
  <c r="A8" i="7" s="1"/>
  <c r="A20" i="5"/>
  <c r="A12" i="1" s="1"/>
  <c r="A9" i="7" s="1"/>
  <c r="A21" i="5"/>
  <c r="A13" i="1" s="1"/>
  <c r="A10" i="7" s="1"/>
  <c r="A22" i="5"/>
  <c r="A14" i="1" s="1"/>
  <c r="A11" i="7" s="1"/>
  <c r="A23" i="5"/>
  <c r="A15" i="1" s="1"/>
  <c r="A12" i="7" s="1"/>
  <c r="A24" i="5"/>
  <c r="A77" i="1" s="1"/>
  <c r="A25" i="5"/>
  <c r="A26" i="5"/>
  <c r="A27" i="5"/>
  <c r="A20" i="1" s="1"/>
  <c r="A17" i="7" s="1"/>
  <c r="A28" i="5"/>
  <c r="A21" i="1" s="1"/>
  <c r="A18" i="7" s="1"/>
  <c r="A29" i="5"/>
  <c r="A22" i="1" s="1"/>
  <c r="A19" i="7" s="1"/>
  <c r="A30" i="5"/>
  <c r="A31" i="5"/>
  <c r="A32" i="5"/>
  <c r="A33" i="5"/>
  <c r="A34" i="5"/>
  <c r="A35" i="5"/>
  <c r="A36" i="5"/>
  <c r="A37" i="5"/>
  <c r="A38" i="5"/>
  <c r="A39" i="5"/>
  <c r="A40" i="5"/>
  <c r="B14" i="1" s="1"/>
  <c r="B11" i="7" s="1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B20" i="1" s="1"/>
  <c r="B17" i="7" s="1"/>
  <c r="A58" i="5"/>
  <c r="A59" i="5"/>
  <c r="B21" i="1" s="1"/>
  <c r="B18" i="7" s="1"/>
  <c r="A60" i="5"/>
  <c r="B22" i="1" s="1"/>
  <c r="B19" i="7" s="1"/>
  <c r="A61" i="5"/>
  <c r="A62" i="5"/>
  <c r="A27" i="1" s="1"/>
  <c r="A24" i="7" s="1"/>
  <c r="A63" i="5"/>
  <c r="A28" i="1" s="1"/>
  <c r="A25" i="7" s="1"/>
  <c r="A64" i="5"/>
  <c r="A29" i="1" s="1"/>
  <c r="A26" i="7" s="1"/>
  <c r="A65" i="5"/>
  <c r="A30" i="1" s="1"/>
  <c r="A27" i="7" s="1"/>
  <c r="A66" i="5"/>
  <c r="A31" i="1" s="1"/>
  <c r="A28" i="7" s="1"/>
  <c r="A67" i="5"/>
  <c r="A32" i="1" s="1"/>
  <c r="A29" i="7" s="1"/>
  <c r="A68" i="5"/>
  <c r="A69" i="5"/>
  <c r="A70" i="5"/>
  <c r="A71" i="5"/>
  <c r="A72" i="5"/>
  <c r="A35" i="1" s="1"/>
  <c r="A73" i="5"/>
  <c r="A74" i="5"/>
  <c r="A37" i="1" s="1"/>
  <c r="A75" i="5"/>
  <c r="A76" i="5"/>
  <c r="A413" i="1" s="1"/>
  <c r="A179" i="7" s="1"/>
  <c r="A77" i="5"/>
  <c r="A419" i="1" s="1"/>
  <c r="A185" i="7" s="1"/>
  <c r="A78" i="5"/>
  <c r="A79" i="5"/>
  <c r="A80" i="5"/>
  <c r="A43" i="1" s="1"/>
  <c r="A81" i="5"/>
  <c r="A49" i="1" s="1"/>
  <c r="A82" i="5"/>
  <c r="A50" i="1" s="1"/>
  <c r="A83" i="5"/>
  <c r="A51" i="1" s="1"/>
  <c r="A84" i="5"/>
  <c r="A52" i="1" s="1"/>
  <c r="A85" i="5"/>
  <c r="A53" i="1" s="1"/>
  <c r="A86" i="5"/>
  <c r="A54" i="1" s="1"/>
  <c r="A87" i="5"/>
  <c r="A55" i="1" s="1"/>
  <c r="A88" i="5"/>
  <c r="A56" i="1" s="1"/>
  <c r="A89" i="5"/>
  <c r="A90" i="5"/>
  <c r="A57" i="1" s="1"/>
  <c r="A91" i="5"/>
  <c r="A59" i="1" s="1"/>
  <c r="A92" i="5"/>
  <c r="A61" i="1" s="1"/>
  <c r="A93" i="5"/>
  <c r="A62" i="1" s="1"/>
  <c r="A94" i="5"/>
  <c r="A63" i="1" s="1"/>
  <c r="A95" i="5"/>
  <c r="A64" i="1" s="1"/>
  <c r="A96" i="5"/>
  <c r="A65" i="1" s="1"/>
  <c r="A97" i="5"/>
  <c r="A66" i="1" s="1"/>
  <c r="A98" i="5"/>
  <c r="A67" i="1" s="1"/>
  <c r="A99" i="5"/>
  <c r="A68" i="1" s="1"/>
  <c r="A100" i="5"/>
  <c r="A101" i="5"/>
  <c r="A70" i="1" s="1"/>
  <c r="A102" i="5"/>
  <c r="A72" i="1" s="1"/>
  <c r="A103" i="5"/>
  <c r="A75" i="1" s="1"/>
  <c r="A104" i="5"/>
  <c r="A1042" i="1" s="1"/>
  <c r="A105" i="5"/>
  <c r="A80" i="1" s="1"/>
  <c r="A106" i="5"/>
  <c r="A1043" i="1" s="1"/>
  <c r="A107" i="5"/>
  <c r="A108" i="5"/>
  <c r="A109" i="5"/>
  <c r="A110" i="5"/>
  <c r="A84" i="1" s="1"/>
  <c r="A111" i="5"/>
  <c r="A86" i="1" s="1"/>
  <c r="A112" i="5"/>
  <c r="A87" i="1" s="1"/>
  <c r="A113" i="5"/>
  <c r="A114" i="5"/>
  <c r="A90" i="1" s="1"/>
  <c r="A115" i="5"/>
  <c r="A91" i="1" s="1"/>
  <c r="A116" i="5"/>
  <c r="A92" i="1" s="1"/>
  <c r="A117" i="5"/>
  <c r="A118" i="5"/>
  <c r="A95" i="1" s="1"/>
  <c r="A119" i="5"/>
  <c r="A96" i="1" s="1"/>
  <c r="A120" i="5"/>
  <c r="A97" i="1" s="1"/>
  <c r="A121" i="5"/>
  <c r="A98" i="1" s="1"/>
  <c r="A122" i="5"/>
  <c r="A99" i="1" s="1"/>
  <c r="A123" i="5"/>
  <c r="A102" i="1" s="1"/>
  <c r="A124" i="5"/>
  <c r="A104" i="1" s="1"/>
  <c r="A125" i="5"/>
  <c r="A126" i="5"/>
  <c r="A127" i="5"/>
  <c r="A128" i="5"/>
  <c r="A107" i="1" s="1"/>
  <c r="A129" i="5"/>
  <c r="A108" i="1" s="1"/>
  <c r="A130" i="5"/>
  <c r="A110" i="1" s="1"/>
  <c r="A131" i="5"/>
  <c r="A111" i="1" s="1"/>
  <c r="A132" i="5"/>
  <c r="A112" i="1" s="1"/>
  <c r="A133" i="5"/>
  <c r="A113" i="1" s="1"/>
  <c r="A134" i="5"/>
  <c r="A114" i="1" s="1"/>
  <c r="A135" i="5"/>
  <c r="C114" i="1" s="1"/>
  <c r="A136" i="5"/>
  <c r="A115" i="1" s="1"/>
  <c r="A137" i="5"/>
  <c r="A116" i="1" s="1"/>
  <c r="A138" i="5"/>
  <c r="A117" i="1" s="1"/>
  <c r="A139" i="5"/>
  <c r="A118" i="1" s="1"/>
  <c r="A140" i="5"/>
  <c r="A119" i="1" s="1"/>
  <c r="A141" i="5"/>
  <c r="A120" i="1" s="1"/>
  <c r="A142" i="5"/>
  <c r="A121" i="1" s="1"/>
  <c r="A143" i="5"/>
  <c r="A122" i="1" s="1"/>
  <c r="A144" i="5"/>
  <c r="A123" i="1" s="1"/>
  <c r="A145" i="5"/>
  <c r="A124" i="1" s="1"/>
  <c r="A146" i="5"/>
  <c r="A125" i="1" s="1"/>
  <c r="A147" i="5"/>
  <c r="A126" i="1" s="1"/>
  <c r="A148" i="5"/>
  <c r="A127" i="1" s="1"/>
  <c r="A149" i="5"/>
  <c r="A128" i="1" s="1"/>
  <c r="A150" i="5"/>
  <c r="A129" i="1" s="1"/>
  <c r="A151" i="5"/>
  <c r="A130" i="1" s="1"/>
  <c r="A152" i="5"/>
  <c r="A131" i="1" s="1"/>
  <c r="A153" i="5"/>
  <c r="A134" i="1" s="1"/>
  <c r="A154" i="5"/>
  <c r="A136" i="1" s="1"/>
  <c r="A155" i="5"/>
  <c r="A137" i="1" s="1"/>
  <c r="A156" i="5"/>
  <c r="A138" i="1" s="1"/>
  <c r="A157" i="5"/>
  <c r="A139" i="1" s="1"/>
  <c r="A158" i="5"/>
  <c r="A140" i="1" s="1"/>
  <c r="A159" i="5"/>
  <c r="A141" i="1" s="1"/>
  <c r="A160" i="5"/>
  <c r="A142" i="1" s="1"/>
  <c r="A161" i="5"/>
  <c r="A143" i="1" s="1"/>
  <c r="A162" i="5"/>
  <c r="A144" i="1" s="1"/>
  <c r="A163" i="5"/>
  <c r="A145" i="1" s="1"/>
  <c r="A164" i="5"/>
  <c r="A146" i="1" s="1"/>
  <c r="A165" i="5"/>
  <c r="A147" i="1" s="1"/>
  <c r="A2014" i="1" s="1"/>
  <c r="A166" i="5"/>
  <c r="A148" i="1" s="1"/>
  <c r="A167" i="5"/>
  <c r="A149" i="1" s="1"/>
  <c r="A168" i="5"/>
  <c r="A150" i="1" s="1"/>
  <c r="A169" i="5"/>
  <c r="A152" i="1" s="1"/>
  <c r="A170" i="5"/>
  <c r="A153" i="1" s="1"/>
  <c r="A171" i="5"/>
  <c r="A154" i="1" s="1"/>
  <c r="A172" i="5"/>
  <c r="A173" i="5"/>
  <c r="A174" i="5"/>
  <c r="A157" i="1" s="1"/>
  <c r="A175" i="5"/>
  <c r="A158" i="1" s="1"/>
  <c r="A176" i="5"/>
  <c r="A159" i="1" s="1"/>
  <c r="A177" i="5"/>
  <c r="A160" i="1" s="1"/>
  <c r="A178" i="5"/>
  <c r="A161" i="1" s="1"/>
  <c r="A179" i="5"/>
  <c r="A162" i="1" s="1"/>
  <c r="A2015" i="1" s="1"/>
  <c r="A180" i="5"/>
  <c r="A164" i="1" s="1"/>
  <c r="A181" i="5"/>
  <c r="A165" i="1" s="1"/>
  <c r="A182" i="5"/>
  <c r="A183" i="5"/>
  <c r="A170" i="1" s="1"/>
  <c r="A184" i="5"/>
  <c r="A185" i="5"/>
  <c r="A186" i="5"/>
  <c r="A173" i="1" s="1"/>
  <c r="A187" i="5"/>
  <c r="A188" i="5"/>
  <c r="A189" i="5"/>
  <c r="A190" i="5"/>
  <c r="A50" i="8" s="1"/>
  <c r="A191" i="5"/>
  <c r="A218" i="1" s="1"/>
  <c r="A192" i="5"/>
  <c r="A193" i="5"/>
  <c r="A56" i="8" s="1"/>
  <c r="A194" i="5"/>
  <c r="A195" i="5"/>
  <c r="A191" i="1" s="1"/>
  <c r="A196" i="5"/>
  <c r="A193" i="1" s="1"/>
  <c r="A197" i="5"/>
  <c r="C1940" i="1" s="1"/>
  <c r="A198" i="5"/>
  <c r="A201" i="1" s="1"/>
  <c r="A199" i="5"/>
  <c r="A197" i="1" s="1"/>
  <c r="A200" i="5"/>
  <c r="A198" i="1" s="1"/>
  <c r="A201" i="5"/>
  <c r="A199" i="1" s="1"/>
  <c r="A202" i="5"/>
  <c r="A200" i="1" s="1"/>
  <c r="A203" i="5"/>
  <c r="A203" i="1" s="1"/>
  <c r="A204" i="5"/>
  <c r="A205" i="5"/>
  <c r="B206" i="5"/>
  <c r="A206" i="5" s="1"/>
  <c r="A207" i="5"/>
  <c r="A208" i="5"/>
  <c r="A209" i="5"/>
  <c r="A210" i="1" s="1"/>
  <c r="A210" i="5"/>
  <c r="C212" i="1" s="1"/>
  <c r="A211" i="5"/>
  <c r="A212" i="5"/>
  <c r="A212" i="1" s="1"/>
  <c r="A213" i="5"/>
  <c r="A215" i="1" s="1"/>
  <c r="A214" i="5"/>
  <c r="A217" i="1" s="1"/>
  <c r="A215" i="5"/>
  <c r="A221" i="1" s="1"/>
  <c r="A216" i="5"/>
  <c r="A222" i="1" s="1"/>
  <c r="A217" i="5"/>
  <c r="A228" i="1" s="1"/>
  <c r="A218" i="5"/>
  <c r="C166" i="1" s="1"/>
  <c r="A219" i="5"/>
  <c r="A220" i="5"/>
  <c r="C113" i="1" s="1"/>
  <c r="A221" i="5"/>
  <c r="A222" i="5"/>
  <c r="B106" i="1" s="1"/>
  <c r="A223" i="5"/>
  <c r="C145" i="1" s="1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231" i="1" s="1"/>
  <c r="A353" i="5"/>
  <c r="A423" i="1" s="1"/>
  <c r="A189" i="7" s="1"/>
  <c r="A354" i="5"/>
  <c r="A355" i="5"/>
  <c r="A356" i="5"/>
  <c r="A239" i="1" s="1"/>
  <c r="A357" i="5"/>
  <c r="A358" i="5"/>
  <c r="A359" i="5"/>
  <c r="A262" i="1" s="1"/>
  <c r="A360" i="5"/>
  <c r="A361" i="5"/>
  <c r="A362" i="5"/>
  <c r="A363" i="5"/>
  <c r="A364" i="5"/>
  <c r="A233" i="1" s="1"/>
  <c r="A365" i="5"/>
  <c r="A248" i="1" s="1"/>
  <c r="A366" i="5"/>
  <c r="A257" i="1" s="1"/>
  <c r="A367" i="5"/>
  <c r="A368" i="5"/>
  <c r="A369" i="5"/>
  <c r="A274" i="1" s="1"/>
  <c r="A370" i="5"/>
  <c r="A281" i="1" s="1"/>
  <c r="A32" i="7" s="1"/>
  <c r="A371" i="5"/>
  <c r="S853" i="1" s="1"/>
  <c r="A372" i="5"/>
  <c r="A373" i="5"/>
  <c r="A374" i="5"/>
  <c r="A375" i="5"/>
  <c r="A376" i="5"/>
  <c r="A377" i="5"/>
  <c r="A378" i="5"/>
  <c r="A283" i="1" s="1"/>
  <c r="A34" i="7" s="1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298" i="1" s="1"/>
  <c r="A49" i="7" s="1"/>
  <c r="A393" i="5"/>
  <c r="A394" i="5"/>
  <c r="A395" i="5"/>
  <c r="A396" i="5"/>
  <c r="A397" i="5"/>
  <c r="A398" i="5"/>
  <c r="A399" i="5"/>
  <c r="A400" i="5"/>
  <c r="A401" i="5"/>
  <c r="A321" i="1" s="1"/>
  <c r="A72" i="7" s="1"/>
  <c r="A402" i="5"/>
  <c r="A403" i="5"/>
  <c r="A404" i="5"/>
  <c r="A405" i="5"/>
  <c r="A347" i="1" s="1"/>
  <c r="A98" i="7" s="1"/>
  <c r="A406" i="5"/>
  <c r="A407" i="5"/>
  <c r="A408" i="5"/>
  <c r="A409" i="5"/>
  <c r="A410" i="5"/>
  <c r="A403" i="1" s="1"/>
  <c r="A169" i="7" s="1"/>
  <c r="A411" i="5"/>
  <c r="A404" i="1" s="1"/>
  <c r="A170" i="7" s="1"/>
  <c r="A412" i="5"/>
  <c r="A413" i="5"/>
  <c r="A410" i="1" s="1"/>
  <c r="A176" i="7" s="1"/>
  <c r="A414" i="5"/>
  <c r="A411" i="1" s="1"/>
  <c r="A177" i="7" s="1"/>
  <c r="A415" i="5"/>
  <c r="A416" i="5"/>
  <c r="A424" i="1" s="1"/>
  <c r="A190" i="7" s="1"/>
  <c r="A417" i="5"/>
  <c r="A417" i="1" s="1"/>
  <c r="A183" i="7" s="1"/>
  <c r="A418" i="5"/>
  <c r="A425" i="1" s="1"/>
  <c r="A191" i="7" s="1"/>
  <c r="A419" i="5"/>
  <c r="A428" i="1" s="1"/>
  <c r="A194" i="7" s="1"/>
  <c r="A420" i="5"/>
  <c r="A436" i="1" s="1"/>
  <c r="A202" i="7" s="1"/>
  <c r="A421" i="5"/>
  <c r="A440" i="1" s="1"/>
  <c r="A206" i="7" s="1"/>
  <c r="A422" i="5"/>
  <c r="A468" i="1" s="1"/>
  <c r="A234" i="7" s="1"/>
  <c r="A423" i="5"/>
  <c r="A448" i="1" s="1"/>
  <c r="A214" i="7" s="1"/>
  <c r="A424" i="5"/>
  <c r="A450" i="1" s="1"/>
  <c r="A216" i="7" s="1"/>
  <c r="A425" i="5"/>
  <c r="A463" i="1" s="1"/>
  <c r="A229" i="7" s="1"/>
  <c r="A426" i="5"/>
  <c r="A475" i="1" s="1"/>
  <c r="A241" i="7" s="1"/>
  <c r="A427" i="5"/>
  <c r="A428" i="5"/>
  <c r="A495" i="1" s="1"/>
  <c r="A261" i="7" s="1"/>
  <c r="A429" i="5"/>
  <c r="A498" i="1" s="1"/>
  <c r="A430" i="5"/>
  <c r="A431" i="5"/>
  <c r="A502" i="1" s="1"/>
  <c r="A432" i="5"/>
  <c r="A503" i="1" s="1"/>
  <c r="A433" i="5"/>
  <c r="A504" i="1" s="1"/>
  <c r="A434" i="5"/>
  <c r="A505" i="1" s="1"/>
  <c r="A435" i="5"/>
  <c r="A506" i="1" s="1"/>
  <c r="A436" i="5"/>
  <c r="A515" i="1" s="1"/>
  <c r="A437" i="5"/>
  <c r="A507" i="1" s="1"/>
  <c r="A438" i="5"/>
  <c r="A439" i="5"/>
  <c r="A440" i="5"/>
  <c r="A508" i="1" s="1"/>
  <c r="A441" i="5"/>
  <c r="A509" i="1" s="1"/>
  <c r="A442" i="5"/>
  <c r="A510" i="1" s="1"/>
  <c r="A443" i="5"/>
  <c r="A511" i="1" s="1"/>
  <c r="A444" i="5"/>
  <c r="A513" i="1" s="1"/>
  <c r="A445" i="5"/>
  <c r="A446" i="5"/>
  <c r="A512" i="1" s="1"/>
  <c r="A447" i="5"/>
  <c r="A514" i="1" s="1"/>
  <c r="A448" i="5"/>
  <c r="A516" i="1" s="1"/>
  <c r="A449" i="5"/>
  <c r="A517" i="1" s="1"/>
  <c r="A450" i="5"/>
  <c r="A518" i="1" s="1"/>
  <c r="A451" i="5"/>
  <c r="A519" i="1" s="1"/>
  <c r="A452" i="5"/>
  <c r="A520" i="1" s="1"/>
  <c r="A453" i="5"/>
  <c r="A521" i="1" s="1"/>
  <c r="A454" i="5"/>
  <c r="A522" i="1" s="1"/>
  <c r="A455" i="5"/>
  <c r="A524" i="1" s="1"/>
  <c r="A456" i="5"/>
  <c r="A525" i="1" s="1"/>
  <c r="A457" i="5"/>
  <c r="A526" i="1" s="1"/>
  <c r="A458" i="5"/>
  <c r="A527" i="1" s="1"/>
  <c r="A459" i="5"/>
  <c r="A528" i="1" s="1"/>
  <c r="A460" i="5"/>
  <c r="A529" i="1" s="1"/>
  <c r="A461" i="5"/>
  <c r="A530" i="1" s="1"/>
  <c r="A462" i="5"/>
  <c r="A531" i="1" s="1"/>
  <c r="A463" i="5"/>
  <c r="A532" i="1" s="1"/>
  <c r="A464" i="5"/>
  <c r="A533" i="1" s="1"/>
  <c r="A465" i="5"/>
  <c r="A534" i="1" s="1"/>
  <c r="A466" i="5"/>
  <c r="A535" i="1" s="1"/>
  <c r="A467" i="5"/>
  <c r="C502" i="1" s="1"/>
  <c r="A468" i="5"/>
  <c r="A469" i="5"/>
  <c r="A470" i="5"/>
  <c r="A471" i="5"/>
  <c r="A1113" i="1" s="1"/>
  <c r="A517" i="7" s="1"/>
  <c r="A472" i="5"/>
  <c r="A1115" i="1" s="1"/>
  <c r="A519" i="7" s="1"/>
  <c r="A473" i="5"/>
  <c r="A1116" i="1" s="1"/>
  <c r="A520" i="7" s="1"/>
  <c r="A474" i="5"/>
  <c r="A1117" i="1" s="1"/>
  <c r="A521" i="7" s="1"/>
  <c r="A475" i="5"/>
  <c r="A1120" i="1" s="1"/>
  <c r="A524" i="7" s="1"/>
  <c r="A476" i="5"/>
  <c r="A1121" i="1" s="1"/>
  <c r="A525" i="7" s="1"/>
  <c r="A477" i="5"/>
  <c r="A1124" i="1" s="1"/>
  <c r="A528" i="7" s="1"/>
  <c r="A478" i="5"/>
  <c r="A479" i="5"/>
  <c r="A480" i="5"/>
  <c r="A1125" i="1" s="1"/>
  <c r="A529" i="7" s="1"/>
  <c r="A481" i="5"/>
  <c r="A1129" i="1" s="1"/>
  <c r="A533" i="7" s="1"/>
  <c r="A482" i="5"/>
  <c r="A1130" i="1" s="1"/>
  <c r="A534" i="7" s="1"/>
  <c r="A483" i="5"/>
  <c r="A1131" i="1" s="1"/>
  <c r="A535" i="7" s="1"/>
  <c r="A484" i="5"/>
  <c r="A1132" i="1" s="1"/>
  <c r="A536" i="7" s="1"/>
  <c r="A485" i="5"/>
  <c r="A1133" i="1" s="1"/>
  <c r="A537" i="7" s="1"/>
  <c r="A486" i="5"/>
  <c r="A1134" i="1" s="1"/>
  <c r="A538" i="7" s="1"/>
  <c r="A487" i="5"/>
  <c r="A1135" i="1" s="1"/>
  <c r="A539" i="7" s="1"/>
  <c r="A488" i="5"/>
  <c r="A1136" i="1" s="1"/>
  <c r="A540" i="7" s="1"/>
  <c r="A489" i="5"/>
  <c r="A1137" i="1" s="1"/>
  <c r="A541" i="7" s="1"/>
  <c r="A490" i="5"/>
  <c r="A1138" i="1" s="1"/>
  <c r="A542" i="7" s="1"/>
  <c r="A491" i="5"/>
  <c r="A1139" i="1" s="1"/>
  <c r="A543" i="7" s="1"/>
  <c r="A492" i="5"/>
  <c r="A1141" i="1" s="1"/>
  <c r="A545" i="7" s="1"/>
  <c r="A493" i="5"/>
  <c r="A1142" i="1" s="1"/>
  <c r="A546" i="7" s="1"/>
  <c r="A494" i="5"/>
  <c r="A1143" i="1" s="1"/>
  <c r="A547" i="7" s="1"/>
  <c r="A495" i="5"/>
  <c r="A1144" i="1" s="1"/>
  <c r="A548" i="7" s="1"/>
  <c r="A496" i="5"/>
  <c r="A1145" i="1" s="1"/>
  <c r="A549" i="7" s="1"/>
  <c r="A497" i="5"/>
  <c r="A1146" i="1" s="1"/>
  <c r="A550" i="7" s="1"/>
  <c r="A498" i="5"/>
  <c r="A1147" i="1" s="1"/>
  <c r="A551" i="7" s="1"/>
  <c r="A499" i="5"/>
  <c r="A1151" i="1" s="1"/>
  <c r="A555" i="7" s="1"/>
  <c r="A500" i="5"/>
  <c r="A1149" i="1" s="1"/>
  <c r="A553" i="7" s="1"/>
  <c r="A501" i="5"/>
  <c r="A1150" i="1" s="1"/>
  <c r="A554" i="7" s="1"/>
  <c r="A502" i="5"/>
  <c r="A503" i="5"/>
  <c r="A1153" i="1" s="1"/>
  <c r="A557" i="7" s="1"/>
  <c r="A504" i="5"/>
  <c r="A1154" i="1" s="1"/>
  <c r="A558" i="7" s="1"/>
  <c r="A505" i="5"/>
  <c r="A1155" i="1" s="1"/>
  <c r="A559" i="7" s="1"/>
  <c r="A506" i="5"/>
  <c r="A1156" i="1" s="1"/>
  <c r="A560" i="7" s="1"/>
  <c r="A507" i="5"/>
  <c r="A1157" i="1" s="1"/>
  <c r="A561" i="7" s="1"/>
  <c r="A508" i="5"/>
  <c r="A1158" i="1" s="1"/>
  <c r="A562" i="7" s="1"/>
  <c r="A509" i="5"/>
  <c r="A1160" i="1" s="1"/>
  <c r="A564" i="7" s="1"/>
  <c r="A510" i="5"/>
  <c r="A1161" i="1" s="1"/>
  <c r="A565" i="7" s="1"/>
  <c r="A511" i="5"/>
  <c r="A1162" i="1" s="1"/>
  <c r="A566" i="7" s="1"/>
  <c r="A512" i="5"/>
  <c r="A1164" i="1" s="1"/>
  <c r="A568" i="7" s="1"/>
  <c r="A513" i="5"/>
  <c r="A115" i="8" s="1"/>
  <c r="A514" i="5"/>
  <c r="A1166" i="1" s="1"/>
  <c r="A570" i="7" s="1"/>
  <c r="A515" i="5"/>
  <c r="A1167" i="1" s="1"/>
  <c r="A571" i="7" s="1"/>
  <c r="A516" i="5"/>
  <c r="A1170" i="1" s="1"/>
  <c r="A574" i="7" s="1"/>
  <c r="A517" i="5"/>
  <c r="A1171" i="1" s="1"/>
  <c r="A575" i="7" s="1"/>
  <c r="A518" i="5"/>
  <c r="A1172" i="1" s="1"/>
  <c r="A576" i="7" s="1"/>
  <c r="A519" i="5"/>
  <c r="A1173" i="1" s="1"/>
  <c r="A577" i="7" s="1"/>
  <c r="A520" i="5"/>
  <c r="A1174" i="1" s="1"/>
  <c r="A578" i="7" s="1"/>
  <c r="A521" i="5"/>
  <c r="A1175" i="1" s="1"/>
  <c r="A579" i="7" s="1"/>
  <c r="A522" i="5"/>
  <c r="B1130" i="1" s="1"/>
  <c r="B534" i="7" s="1"/>
  <c r="A523" i="5"/>
  <c r="C1130" i="1" s="1"/>
  <c r="C534" i="7" s="1"/>
  <c r="A524" i="5"/>
  <c r="A525" i="5"/>
  <c r="A526" i="5"/>
  <c r="A538" i="1" s="1"/>
  <c r="A264" i="7" s="1"/>
  <c r="A527" i="5"/>
  <c r="A528" i="5"/>
  <c r="B540" i="1" s="1"/>
  <c r="B266" i="7" s="1"/>
  <c r="A529" i="5"/>
  <c r="C197" i="1" s="1"/>
  <c r="A530" i="5"/>
  <c r="A531" i="5"/>
  <c r="A549" i="1" s="1"/>
  <c r="A278" i="7" s="1"/>
  <c r="A532" i="5"/>
  <c r="A559" i="1" s="1"/>
  <c r="A533" i="5"/>
  <c r="A534" i="5"/>
  <c r="A535" i="5"/>
  <c r="A536" i="5"/>
  <c r="A537" i="5"/>
  <c r="A538" i="5"/>
  <c r="A539" i="5"/>
  <c r="A599" i="1" s="1"/>
  <c r="A291" i="7" s="1"/>
  <c r="A540" i="5"/>
  <c r="A541" i="5"/>
  <c r="A542" i="5"/>
  <c r="A543" i="5"/>
  <c r="A544" i="5"/>
  <c r="A545" i="5"/>
  <c r="A546" i="5"/>
  <c r="A547" i="5"/>
  <c r="A1011" i="1" s="1"/>
  <c r="A548" i="5"/>
  <c r="A652" i="1" s="1"/>
  <c r="A368" i="7" s="1"/>
  <c r="A549" i="5"/>
  <c r="A550" i="5"/>
  <c r="A551" i="5"/>
  <c r="A552" i="5"/>
  <c r="A553" i="5"/>
  <c r="A554" i="5"/>
  <c r="A677" i="1" s="1"/>
  <c r="A405" i="7" s="1"/>
  <c r="A555" i="5"/>
  <c r="A556" i="5"/>
  <c r="A557" i="5"/>
  <c r="A693" i="1" s="1"/>
  <c r="A558" i="5"/>
  <c r="A720" i="1" s="1"/>
  <c r="A559" i="5"/>
  <c r="A721" i="1" s="1"/>
  <c r="A560" i="5"/>
  <c r="A561" i="5"/>
  <c r="A739" i="1" s="1"/>
  <c r="A562" i="5"/>
  <c r="A791" i="1" s="1"/>
  <c r="A563" i="5"/>
  <c r="A792" i="1" s="1"/>
  <c r="A564" i="5"/>
  <c r="A793" i="1" s="1"/>
  <c r="A565" i="5"/>
  <c r="A794" i="1" s="1"/>
  <c r="A566" i="5"/>
  <c r="A796" i="1" s="1"/>
  <c r="A567" i="5"/>
  <c r="A797" i="1" s="1"/>
  <c r="A568" i="5"/>
  <c r="A798" i="1" s="1"/>
  <c r="A569" i="5"/>
  <c r="A795" i="1" s="1"/>
  <c r="A570" i="5"/>
  <c r="A571" i="5"/>
  <c r="A572" i="5"/>
  <c r="A573" i="5"/>
  <c r="A574" i="5"/>
  <c r="A575" i="5"/>
  <c r="A576" i="5"/>
  <c r="A853" i="1" s="1"/>
  <c r="A577" i="5"/>
  <c r="A578" i="5"/>
  <c r="A579" i="5"/>
  <c r="A580" i="5"/>
  <c r="A581" i="5"/>
  <c r="A582" i="5"/>
  <c r="A943" i="1" s="1"/>
  <c r="A583" i="5"/>
  <c r="A945" i="1" s="1"/>
  <c r="A584" i="5"/>
  <c r="A959" i="1" s="1"/>
  <c r="A585" i="5"/>
  <c r="A978" i="1" s="1"/>
  <c r="A586" i="5"/>
  <c r="A1002" i="1" s="1"/>
  <c r="A587" i="5"/>
  <c r="A1025" i="1" s="1"/>
  <c r="A588" i="5"/>
  <c r="A589" i="5"/>
  <c r="A590" i="5"/>
  <c r="A591" i="5"/>
  <c r="A592" i="5"/>
  <c r="A1017" i="1" s="1"/>
  <c r="A593" i="5"/>
  <c r="A1018" i="1" s="1"/>
  <c r="A594" i="5"/>
  <c r="A1019" i="1" s="1"/>
  <c r="A595" i="5"/>
  <c r="A1020" i="1" s="1"/>
  <c r="A596" i="5"/>
  <c r="A1021" i="1" s="1"/>
  <c r="A597" i="5"/>
  <c r="A1023" i="1" s="1"/>
  <c r="A598" i="5"/>
  <c r="A1028" i="1" s="1"/>
  <c r="A440" i="7" s="1"/>
  <c r="A599" i="5"/>
  <c r="A271" i="8" s="1"/>
  <c r="A600" i="5"/>
  <c r="A1030" i="1" s="1"/>
  <c r="A442" i="7" s="1"/>
  <c r="A601" i="5"/>
  <c r="A1047" i="1" s="1"/>
  <c r="A455" i="7" s="1"/>
  <c r="A602" i="5"/>
  <c r="A1060" i="1" s="1"/>
  <c r="A468" i="7" s="1"/>
  <c r="A603" i="5"/>
  <c r="A1075" i="1" s="1"/>
  <c r="A479" i="7" s="1"/>
  <c r="A604" i="5"/>
  <c r="A605" i="5"/>
  <c r="A606" i="5"/>
  <c r="A607" i="5"/>
  <c r="A608" i="5"/>
  <c r="A609" i="5"/>
  <c r="A610" i="5"/>
  <c r="A1032" i="1" s="1"/>
  <c r="A444" i="7" s="1"/>
  <c r="A611" i="5"/>
  <c r="A1034" i="1" s="1"/>
  <c r="A446" i="7" s="1"/>
  <c r="A612" i="5"/>
  <c r="A1035" i="1" s="1"/>
  <c r="A447" i="7" s="1"/>
  <c r="A613" i="5"/>
  <c r="A1049" i="1" s="1"/>
  <c r="A457" i="7" s="1"/>
  <c r="A614" i="5"/>
  <c r="A1050" i="1" s="1"/>
  <c r="A458" i="7" s="1"/>
  <c r="A615" i="5"/>
  <c r="A1077" i="1" s="1"/>
  <c r="A481" i="7" s="1"/>
  <c r="A616" i="5"/>
  <c r="A1078" i="1" s="1"/>
  <c r="A482" i="7" s="1"/>
  <c r="A617" i="5"/>
  <c r="A1062" i="1" s="1"/>
  <c r="A470" i="7" s="1"/>
  <c r="A618" i="5"/>
  <c r="A1063" i="1" s="1"/>
  <c r="A471" i="7" s="1"/>
  <c r="A619" i="5"/>
  <c r="A1044" i="1" s="1"/>
  <c r="A620" i="5"/>
  <c r="A1051" i="1" s="1"/>
  <c r="A459" i="7" s="1"/>
  <c r="A621" i="5"/>
  <c r="A1052" i="1" s="1"/>
  <c r="A460" i="7" s="1"/>
  <c r="A622" i="5"/>
  <c r="A1087" i="1" s="1"/>
  <c r="A491" i="7" s="1"/>
  <c r="A623" i="5"/>
  <c r="A1088" i="1" s="1"/>
  <c r="A492" i="7" s="1"/>
  <c r="A624" i="5"/>
  <c r="A1089" i="1" s="1"/>
  <c r="A493" i="7" s="1"/>
  <c r="A625" i="5"/>
  <c r="A1090" i="1" s="1"/>
  <c r="A494" i="7" s="1"/>
  <c r="A626" i="5"/>
  <c r="A1091" i="1" s="1"/>
  <c r="A495" i="7" s="1"/>
  <c r="A627" i="5"/>
  <c r="A1092" i="1" s="1"/>
  <c r="A496" i="7" s="1"/>
  <c r="A628" i="5"/>
  <c r="A1093" i="1" s="1"/>
  <c r="A497" i="7" s="1"/>
  <c r="A629" i="5"/>
  <c r="A1094" i="1" s="1"/>
  <c r="A498" i="7" s="1"/>
  <c r="A630" i="5"/>
  <c r="A1095" i="1" s="1"/>
  <c r="A499" i="7" s="1"/>
  <c r="A631" i="5"/>
  <c r="A1096" i="1" s="1"/>
  <c r="A500" i="7" s="1"/>
  <c r="A632" i="5"/>
  <c r="A1097" i="1" s="1"/>
  <c r="A501" i="7" s="1"/>
  <c r="A633" i="5"/>
  <c r="A1102" i="1" s="1"/>
  <c r="A506" i="7" s="1"/>
  <c r="A634" i="5"/>
  <c r="A1109" i="1" s="1"/>
  <c r="A513" i="7" s="1"/>
  <c r="A635" i="5"/>
  <c r="A1104" i="1" s="1"/>
  <c r="A508" i="7" s="1"/>
  <c r="A636" i="5"/>
  <c r="A1105" i="1" s="1"/>
  <c r="A509" i="7" s="1"/>
  <c r="A637" i="5"/>
  <c r="A1108" i="1" s="1"/>
  <c r="A512" i="7" s="1"/>
  <c r="A638" i="5"/>
  <c r="A1098" i="1" s="1"/>
  <c r="A502" i="7" s="1"/>
  <c r="A639" i="5"/>
  <c r="A1100" i="1" s="1"/>
  <c r="A504" i="7" s="1"/>
  <c r="A640" i="5"/>
  <c r="A1178" i="1" s="1"/>
  <c r="A582" i="7" s="1"/>
  <c r="A641" i="5"/>
  <c r="A1180" i="1" s="1"/>
  <c r="A584" i="7" s="1"/>
  <c r="A642" i="5"/>
  <c r="A1182" i="1" s="1"/>
  <c r="A586" i="7" s="1"/>
  <c r="A643" i="5"/>
  <c r="A1183" i="1" s="1"/>
  <c r="A587" i="7" s="1"/>
  <c r="A644" i="5"/>
  <c r="A1184" i="1" s="1"/>
  <c r="A588" i="7" s="1"/>
  <c r="A645" i="5"/>
  <c r="A1185" i="1" s="1"/>
  <c r="A589" i="7" s="1"/>
  <c r="A646" i="5"/>
  <c r="A1186" i="1" s="1"/>
  <c r="A590" i="7" s="1"/>
  <c r="A647" i="5"/>
  <c r="A91" i="8" s="1"/>
  <c r="A648" i="5"/>
  <c r="A1189" i="1" s="1"/>
  <c r="A593" i="7" s="1"/>
  <c r="A649" i="5"/>
  <c r="A1191" i="1" s="1"/>
  <c r="A595" i="7" s="1"/>
  <c r="A650" i="5"/>
  <c r="A1194" i="1" s="1"/>
  <c r="A598" i="7" s="1"/>
  <c r="A651" i="5"/>
  <c r="A1294" i="1" s="1"/>
  <c r="A652" i="5"/>
  <c r="A1239" i="1" s="1"/>
  <c r="A653" i="5"/>
  <c r="A654" i="5"/>
  <c r="A1201" i="1" s="1"/>
  <c r="A603" i="7" s="1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1226" i="1" s="1"/>
  <c r="A629" i="7" s="1"/>
  <c r="A670" i="5"/>
  <c r="A1227" i="1" s="1"/>
  <c r="A630" i="7" s="1"/>
  <c r="A671" i="5"/>
  <c r="A1230" i="1" s="1"/>
  <c r="A633" i="7" s="1"/>
  <c r="A672" i="5"/>
  <c r="A1228" i="1" s="1"/>
  <c r="A631" i="7" s="1"/>
  <c r="A673" i="5"/>
  <c r="A674" i="5"/>
  <c r="A1232" i="1" s="1"/>
  <c r="A635" i="7" s="1"/>
  <c r="A675" i="5"/>
  <c r="A1233" i="1" s="1"/>
  <c r="A636" i="7" s="1"/>
  <c r="A676" i="5"/>
  <c r="A1234" i="1" s="1"/>
  <c r="A637" i="7" s="1"/>
  <c r="A677" i="5"/>
  <c r="A678" i="5"/>
  <c r="A679" i="5"/>
  <c r="A680" i="5"/>
  <c r="A681" i="5"/>
  <c r="A1236" i="1" s="1"/>
  <c r="A639" i="7" s="1"/>
  <c r="A682" i="5"/>
  <c r="C1236" i="1" s="1"/>
  <c r="C639" i="7" s="1"/>
  <c r="A683" i="5"/>
  <c r="A1203" i="1" s="1"/>
  <c r="A605" i="7" s="1"/>
  <c r="A684" i="5"/>
  <c r="A1211" i="1" s="1"/>
  <c r="A613" i="7" s="1"/>
  <c r="A685" i="5"/>
  <c r="A1231" i="1" s="1"/>
  <c r="A634" i="7" s="1"/>
  <c r="A686" i="5"/>
  <c r="A1267" i="1" s="1"/>
  <c r="A687" i="5"/>
  <c r="A688" i="5"/>
  <c r="A1272" i="1" s="1"/>
  <c r="A689" i="5"/>
  <c r="A690" i="5"/>
  <c r="A77" i="8" s="1"/>
  <c r="A691" i="5"/>
  <c r="A71" i="8" s="1"/>
  <c r="A692" i="5"/>
  <c r="A693" i="5"/>
  <c r="A297" i="8" s="1"/>
  <c r="A694" i="5"/>
  <c r="A299" i="8" s="1"/>
  <c r="A695" i="5"/>
  <c r="A1277" i="1" s="1"/>
  <c r="A696" i="5"/>
  <c r="A86" i="8" s="1"/>
  <c r="A697" i="5"/>
  <c r="A698" i="5"/>
  <c r="A105" i="8" s="1"/>
  <c r="A699" i="5"/>
  <c r="A700" i="5"/>
  <c r="A109" i="8" s="1"/>
  <c r="A701" i="5"/>
  <c r="A702" i="5"/>
  <c r="A1299" i="1" s="1"/>
  <c r="A669" i="7" s="1"/>
  <c r="A703" i="5"/>
  <c r="A704" i="5"/>
  <c r="A705" i="5"/>
  <c r="A128" i="8" s="1"/>
  <c r="A706" i="5"/>
  <c r="A129" i="8" s="1"/>
  <c r="A707" i="5"/>
  <c r="A708" i="5"/>
  <c r="A133" i="8" s="1"/>
  <c r="A709" i="5"/>
  <c r="A135" i="8" s="1"/>
  <c r="A710" i="5"/>
  <c r="A137" i="8" s="1"/>
  <c r="A711" i="5"/>
  <c r="A712" i="5"/>
  <c r="A713" i="5"/>
  <c r="A145" i="8" s="1"/>
  <c r="A714" i="5"/>
  <c r="A715" i="5"/>
  <c r="A149" i="8" s="1"/>
  <c r="A716" i="5"/>
  <c r="A717" i="5"/>
  <c r="A718" i="5"/>
  <c r="A155" i="8" s="1"/>
  <c r="A719" i="5"/>
  <c r="A720" i="5"/>
  <c r="A721" i="5"/>
  <c r="A722" i="5"/>
  <c r="A723" i="5"/>
  <c r="A173" i="8" s="1"/>
  <c r="A724" i="5"/>
  <c r="A725" i="5"/>
  <c r="A2058" i="1" s="1"/>
  <c r="A1097" i="7" s="1"/>
  <c r="A726" i="5"/>
  <c r="A151" i="8" s="1"/>
  <c r="A727" i="5"/>
  <c r="A165" i="8" s="1"/>
  <c r="A728" i="5"/>
  <c r="A729" i="5"/>
  <c r="A2060" i="1" s="1"/>
  <c r="A1099" i="7" s="1"/>
  <c r="A730" i="5"/>
  <c r="A731" i="5"/>
  <c r="A732" i="5"/>
  <c r="A1377" i="1" s="1"/>
  <c r="A733" i="5"/>
  <c r="A1379" i="1" s="1"/>
  <c r="A734" i="5"/>
  <c r="A1380" i="1" s="1"/>
  <c r="A735" i="5"/>
  <c r="A1381" i="1" s="1"/>
  <c r="A736" i="5"/>
  <c r="A1384" i="1" s="1"/>
  <c r="A737" i="5"/>
  <c r="A738" i="5"/>
  <c r="A2061" i="1" s="1"/>
  <c r="A1100" i="7" s="1"/>
  <c r="A739" i="5"/>
  <c r="A740" i="5"/>
  <c r="A741" i="5"/>
  <c r="A1421" i="1" s="1"/>
  <c r="A775" i="7" s="1"/>
  <c r="A742" i="5"/>
  <c r="A743" i="5"/>
  <c r="A744" i="5"/>
  <c r="A273" i="8" s="1"/>
  <c r="A745" i="5"/>
  <c r="A746" i="5"/>
  <c r="A277" i="8" s="1"/>
  <c r="A747" i="5"/>
  <c r="A279" i="8" s="1"/>
  <c r="A748" i="5"/>
  <c r="A281" i="8" s="1"/>
  <c r="A749" i="5"/>
  <c r="A750" i="5"/>
  <c r="A286" i="8" s="1"/>
  <c r="A751" i="5"/>
  <c r="A303" i="8" s="1"/>
  <c r="A752" i="5"/>
  <c r="A753" i="5"/>
  <c r="A754" i="5"/>
  <c r="A755" i="5"/>
  <c r="A315" i="8" s="1"/>
  <c r="A756" i="5"/>
  <c r="A317" i="8" s="1"/>
  <c r="A757" i="5"/>
  <c r="A758" i="5"/>
  <c r="A759" i="5"/>
  <c r="A324" i="8" s="1"/>
  <c r="A760" i="5"/>
  <c r="A761" i="5"/>
  <c r="A2073" i="1" s="1"/>
  <c r="A1112" i="7" s="1"/>
  <c r="A762" i="5"/>
  <c r="A2074" i="1" s="1"/>
  <c r="A1113" i="7" s="1"/>
  <c r="A763" i="5"/>
  <c r="A764" i="5"/>
  <c r="A765" i="5"/>
  <c r="A1561" i="1" s="1"/>
  <c r="A919" i="7" s="1"/>
  <c r="A766" i="5"/>
  <c r="A437" i="8" s="1"/>
  <c r="A767" i="5"/>
  <c r="A439" i="8" s="1"/>
  <c r="A768" i="5"/>
  <c r="A441" i="8" s="1"/>
  <c r="A769" i="5"/>
  <c r="A770" i="5"/>
  <c r="A445" i="8" s="1"/>
  <c r="A771" i="5"/>
  <c r="A447" i="8" s="1"/>
  <c r="A772" i="5"/>
  <c r="A449" i="8" s="1"/>
  <c r="A773" i="5"/>
  <c r="A774" i="5"/>
  <c r="A453" i="8" s="1"/>
  <c r="A775" i="5"/>
  <c r="A776" i="5"/>
  <c r="A777" i="5"/>
  <c r="A460" i="8" s="1"/>
  <c r="A778" i="5"/>
  <c r="A779" i="5"/>
  <c r="A780" i="5"/>
  <c r="A464" i="8" s="1"/>
  <c r="A781" i="5"/>
  <c r="A468" i="8" s="1"/>
  <c r="A782" i="5"/>
  <c r="A783" i="5"/>
  <c r="A784" i="5"/>
  <c r="A785" i="5"/>
  <c r="A478" i="8" s="1"/>
  <c r="A786" i="5"/>
  <c r="A787" i="5"/>
  <c r="A788" i="5"/>
  <c r="A789" i="5"/>
  <c r="A486" i="8" s="1"/>
  <c r="A790" i="5"/>
  <c r="A791" i="5"/>
  <c r="A792" i="5"/>
  <c r="A793" i="5"/>
  <c r="A494" i="8" s="1"/>
  <c r="A794" i="5"/>
  <c r="A497" i="8" s="1"/>
  <c r="A795" i="5"/>
  <c r="A500" i="8" s="1"/>
  <c r="A796" i="5"/>
  <c r="A502" i="8" s="1"/>
  <c r="A797" i="5"/>
  <c r="A504" i="8" s="1"/>
  <c r="A798" i="5"/>
  <c r="A506" i="8" s="1"/>
  <c r="A799" i="5"/>
  <c r="A509" i="8" s="1"/>
  <c r="A800" i="5"/>
  <c r="A511" i="8" s="1"/>
  <c r="A801" i="5"/>
  <c r="A802" i="5"/>
  <c r="A803" i="5"/>
  <c r="A804" i="5"/>
  <c r="A1656" i="1" s="1"/>
  <c r="A964" i="7" s="1"/>
  <c r="A805" i="5"/>
  <c r="A566" i="8" s="1"/>
  <c r="A806" i="5"/>
  <c r="A807" i="5"/>
  <c r="A568" i="8" s="1"/>
  <c r="A808" i="5"/>
  <c r="A809" i="5"/>
  <c r="A570" i="8" s="1"/>
  <c r="A810" i="5"/>
  <c r="A811" i="5"/>
  <c r="A573" i="8" s="1"/>
  <c r="A812" i="5"/>
  <c r="A813" i="5"/>
  <c r="A576" i="8" s="1"/>
  <c r="A814" i="5"/>
  <c r="A815" i="5"/>
  <c r="A578" i="8" s="1"/>
  <c r="A816" i="5"/>
  <c r="A817" i="5"/>
  <c r="A582" i="8" s="1"/>
  <c r="A818" i="5"/>
  <c r="A583" i="8" s="1"/>
  <c r="A819" i="5"/>
  <c r="A585" i="8" s="1"/>
  <c r="A820" i="5"/>
  <c r="A821" i="5"/>
  <c r="A587" i="8" s="1"/>
  <c r="A822" i="5"/>
  <c r="A588" i="8" s="1"/>
  <c r="A823" i="5"/>
  <c r="A589" i="8" s="1"/>
  <c r="A824" i="5"/>
  <c r="A591" i="8" s="1"/>
  <c r="A825" i="5"/>
  <c r="A616" i="8" s="1"/>
  <c r="A826" i="5"/>
  <c r="A641" i="8" s="1"/>
  <c r="A827" i="5"/>
  <c r="A667" i="8" s="1"/>
  <c r="A828" i="5"/>
  <c r="B1847" i="1" s="1"/>
  <c r="A829" i="5"/>
  <c r="C672" i="8" s="1"/>
  <c r="A830" i="5"/>
  <c r="A831" i="5"/>
  <c r="A832" i="5"/>
  <c r="A833" i="5"/>
  <c r="A747" i="8" s="1"/>
  <c r="A834" i="5"/>
  <c r="A835" i="5"/>
  <c r="A1763" i="1" s="1"/>
  <c r="A996" i="7" s="1"/>
  <c r="A836" i="5"/>
  <c r="A674" i="8" s="1"/>
  <c r="A837" i="5"/>
  <c r="A1765" i="1" s="1"/>
  <c r="A998" i="7" s="1"/>
  <c r="A838" i="5"/>
  <c r="A2044" i="1" s="1"/>
  <c r="A839" i="5"/>
  <c r="A898" i="8" s="1"/>
  <c r="A840" i="5"/>
  <c r="A678" i="8" s="1"/>
  <c r="A841" i="5"/>
  <c r="A1769" i="1" s="1"/>
  <c r="A1002" i="7" s="1"/>
  <c r="A842" i="5"/>
  <c r="A1914" i="1" s="1"/>
  <c r="A843" i="5"/>
  <c r="A1771" i="1" s="1"/>
  <c r="A1004" i="7" s="1"/>
  <c r="A844" i="5"/>
  <c r="A845" i="5"/>
  <c r="A1773" i="1" s="1"/>
  <c r="A1006" i="7" s="1"/>
  <c r="A846" i="5"/>
  <c r="A1918" i="1" s="1"/>
  <c r="A847" i="5"/>
  <c r="A685" i="8" s="1"/>
  <c r="A848" i="5"/>
  <c r="A1920" i="1" s="1"/>
  <c r="A849" i="5"/>
  <c r="A835" i="8" s="1"/>
  <c r="A850" i="5"/>
  <c r="A851" i="5"/>
  <c r="A764" i="8" s="1"/>
  <c r="A852" i="5"/>
  <c r="A1939" i="1" s="1"/>
  <c r="A853" i="5"/>
  <c r="A767" i="8" s="1"/>
  <c r="A854" i="5"/>
  <c r="A1927" i="1" s="1"/>
  <c r="A855" i="5"/>
  <c r="A770" i="8" s="1"/>
  <c r="A856" i="5"/>
  <c r="A1930" i="1" s="1"/>
  <c r="A857" i="5"/>
  <c r="A772" i="8" s="1"/>
  <c r="A858" i="5"/>
  <c r="A1788" i="1" s="1"/>
  <c r="A1021" i="7" s="1"/>
  <c r="A859" i="5"/>
  <c r="A775" i="8" s="1"/>
  <c r="A860" i="5"/>
  <c r="A1935" i="1" s="1"/>
  <c r="A861" i="5"/>
  <c r="A777" i="8" s="1"/>
  <c r="A862" i="5"/>
  <c r="A703" i="8" s="1"/>
  <c r="A863" i="5"/>
  <c r="A955" i="8" s="1"/>
  <c r="A864" i="5"/>
  <c r="A706" i="8" s="1"/>
  <c r="A865" i="5"/>
  <c r="A855" i="8" s="1"/>
  <c r="A866" i="5"/>
  <c r="A1942" i="1" s="1"/>
  <c r="A867" i="5"/>
  <c r="A784" i="8" s="1"/>
  <c r="A868" i="5"/>
  <c r="A1800" i="1" s="1"/>
  <c r="A1033" i="7" s="1"/>
  <c r="A869" i="5"/>
  <c r="A860" i="8" s="1"/>
  <c r="A870" i="5"/>
  <c r="A1803" i="1" s="1"/>
  <c r="A1036" i="7" s="1"/>
  <c r="A871" i="5"/>
  <c r="A789" i="8" s="1"/>
  <c r="A872" i="5"/>
  <c r="A873" i="5"/>
  <c r="A742" i="8" s="1"/>
  <c r="A874" i="5"/>
  <c r="A875" i="5"/>
  <c r="A817" i="8" s="1"/>
  <c r="A876" i="5"/>
  <c r="A877" i="5"/>
  <c r="A890" i="8" s="1"/>
  <c r="A878" i="5"/>
  <c r="A897" i="8" s="1"/>
  <c r="A879" i="5"/>
  <c r="A899" i="8" s="1"/>
  <c r="A880" i="5"/>
  <c r="A900" i="8" s="1"/>
  <c r="A881" i="5"/>
  <c r="A902" i="8" s="1"/>
  <c r="A882" i="5"/>
  <c r="A903" i="8" s="1"/>
  <c r="A883" i="5"/>
  <c r="A904" i="8" s="1"/>
  <c r="A884" i="5"/>
  <c r="A905" i="8" s="1"/>
  <c r="A885" i="5"/>
  <c r="A906" i="8" s="1"/>
  <c r="A886" i="5"/>
  <c r="A907" i="8" s="1"/>
  <c r="A887" i="5"/>
  <c r="A909" i="8" s="1"/>
  <c r="A888" i="5"/>
  <c r="A911" i="8" s="1"/>
  <c r="A889" i="5"/>
  <c r="A177" i="8" s="1"/>
  <c r="A890" i="5"/>
  <c r="A913" i="8" s="1"/>
  <c r="A891" i="5"/>
  <c r="A915" i="8" s="1"/>
  <c r="A892" i="5"/>
  <c r="A2002" i="1" s="1"/>
  <c r="A893" i="5"/>
  <c r="B2005" i="1" s="1"/>
  <c r="A894" i="5"/>
  <c r="C2005" i="1" s="1"/>
  <c r="A895" i="5"/>
  <c r="A2004" i="1" s="1"/>
  <c r="A896" i="5"/>
  <c r="A2006" i="1" s="1"/>
  <c r="A897" i="5"/>
  <c r="A2007" i="1" s="1"/>
  <c r="A898" i="5"/>
  <c r="A2008" i="1" s="1"/>
  <c r="A899" i="5"/>
  <c r="A2009" i="1" s="1"/>
  <c r="A900" i="5"/>
  <c r="A2010" i="1" s="1"/>
  <c r="A901" i="5"/>
  <c r="A2011" i="1" s="1"/>
  <c r="A902" i="5"/>
  <c r="A2012" i="1" s="1"/>
  <c r="A903" i="5"/>
  <c r="A2013" i="1" s="1"/>
  <c r="A904" i="5"/>
  <c r="A2016" i="1" s="1"/>
  <c r="A905" i="5"/>
  <c r="A2017" i="1" s="1"/>
  <c r="A906" i="5"/>
  <c r="A2019" i="1" s="1"/>
  <c r="A907" i="5"/>
  <c r="A2021" i="1" s="1"/>
  <c r="A908" i="5"/>
  <c r="A2022" i="1" s="1"/>
  <c r="A909" i="5"/>
  <c r="A2024" i="1" s="1"/>
  <c r="A910" i="5"/>
  <c r="A2026" i="1" s="1"/>
  <c r="A911" i="5"/>
  <c r="A2032" i="1" s="1"/>
  <c r="A912" i="5"/>
  <c r="A2028" i="1" s="1"/>
  <c r="A913" i="5"/>
  <c r="A2034" i="1" s="1"/>
  <c r="A914" i="5"/>
  <c r="A2030" i="1" s="1"/>
  <c r="A915" i="5"/>
  <c r="A2031" i="1" s="1"/>
  <c r="A916" i="5"/>
  <c r="A2037" i="1" s="1"/>
  <c r="A917" i="5"/>
  <c r="A2039" i="1" s="1"/>
  <c r="A918" i="5"/>
  <c r="A2040" i="1" s="1"/>
  <c r="A919" i="5"/>
  <c r="A2042" i="1" s="1"/>
  <c r="A920" i="5"/>
  <c r="A2043" i="1" s="1"/>
  <c r="A921" i="5"/>
  <c r="A922" i="5"/>
  <c r="A2046" i="1" s="1"/>
  <c r="A923" i="5"/>
  <c r="A2047" i="1" s="1"/>
  <c r="A924" i="5"/>
  <c r="A2049" i="1" s="1"/>
  <c r="A925" i="5"/>
  <c r="A2050" i="1" s="1"/>
  <c r="A926" i="5"/>
  <c r="A2053" i="1" s="1"/>
  <c r="A1092" i="7" s="1"/>
  <c r="A927" i="5"/>
  <c r="A920" i="8" s="1"/>
  <c r="A928" i="5"/>
  <c r="A921" i="8" s="1"/>
  <c r="A929" i="5"/>
  <c r="A928" i="8" s="1"/>
  <c r="A930" i="5"/>
  <c r="A929" i="8" s="1"/>
  <c r="A931" i="5"/>
  <c r="A931" i="8" s="1"/>
  <c r="A932" i="5"/>
  <c r="A933" i="8" s="1"/>
  <c r="A933" i="5"/>
  <c r="A934" i="8" s="1"/>
  <c r="A934" i="5"/>
  <c r="A935" i="8" s="1"/>
  <c r="A935" i="5"/>
  <c r="A941" i="8" s="1"/>
  <c r="A936" i="5"/>
  <c r="A947" i="8" s="1"/>
  <c r="A937" i="5"/>
  <c r="A953" i="8" s="1"/>
  <c r="A938" i="5"/>
  <c r="A2093" i="1" s="1"/>
  <c r="A939" i="5"/>
  <c r="A2" i="8" s="1"/>
  <c r="A940" i="5"/>
  <c r="A4" i="8" s="1"/>
  <c r="A941" i="5"/>
  <c r="A6" i="8" s="1"/>
  <c r="A942" i="5"/>
  <c r="A7" i="8" s="1"/>
  <c r="A943" i="5"/>
  <c r="A11" i="8" s="1"/>
  <c r="A944" i="5"/>
  <c r="B11" i="8" s="1"/>
  <c r="A945" i="5"/>
  <c r="F11" i="8" s="1"/>
  <c r="A946" i="5"/>
  <c r="A16" i="8" s="1"/>
  <c r="A947" i="5"/>
  <c r="A20" i="8" s="1"/>
  <c r="A948" i="5"/>
  <c r="A22" i="8" s="1"/>
  <c r="A949" i="5"/>
  <c r="A23" i="8" s="1"/>
  <c r="A950" i="5"/>
  <c r="A24" i="8" s="1"/>
  <c r="A951" i="5"/>
  <c r="A25" i="8" s="1"/>
  <c r="A952" i="5"/>
  <c r="A27" i="8" s="1"/>
  <c r="A953" i="5"/>
  <c r="B27" i="8" s="1"/>
  <c r="A954" i="5"/>
  <c r="C27" i="8" s="1"/>
  <c r="A955" i="5"/>
  <c r="A31" i="8" s="1"/>
  <c r="A956" i="5"/>
  <c r="A32" i="8" s="1"/>
  <c r="A957" i="5"/>
  <c r="A33" i="8" s="1"/>
  <c r="A958" i="5"/>
  <c r="A34" i="8" s="1"/>
  <c r="A959" i="5"/>
  <c r="A35" i="8" s="1"/>
  <c r="A960" i="5"/>
  <c r="A36" i="8" s="1"/>
  <c r="A961" i="5"/>
  <c r="A39" i="8" s="1"/>
  <c r="A962" i="5"/>
  <c r="C41" i="8" s="1"/>
  <c r="A963" i="5"/>
  <c r="A964" i="5"/>
  <c r="A965" i="5"/>
  <c r="A966" i="5"/>
  <c r="A41" i="8" s="1"/>
  <c r="A967" i="5"/>
  <c r="A42" i="8" s="1"/>
  <c r="A968" i="5"/>
  <c r="A66" i="8" s="1"/>
  <c r="A969" i="5"/>
  <c r="A122" i="8" s="1"/>
  <c r="A970" i="5"/>
  <c r="A265" i="8" s="1"/>
  <c r="A971" i="5"/>
  <c r="A435" i="8" s="1"/>
  <c r="A972" i="5"/>
  <c r="A513" i="8" s="1"/>
  <c r="A973" i="5"/>
  <c r="A538" i="8" s="1"/>
  <c r="A974" i="5"/>
  <c r="A564" i="8" s="1"/>
  <c r="A975" i="5"/>
  <c r="A716" i="8" s="1"/>
  <c r="A976" i="5"/>
  <c r="A791" i="8" s="1"/>
  <c r="A977" i="5"/>
  <c r="A864" i="8" s="1"/>
  <c r="A978" i="5"/>
  <c r="A918" i="8" s="1"/>
  <c r="A979" i="5"/>
  <c r="A2095" i="1" s="1"/>
  <c r="A980" i="5"/>
  <c r="A2099" i="1" s="1"/>
  <c r="A981" i="5"/>
  <c r="A2100" i="1" s="1"/>
  <c r="A982" i="5"/>
  <c r="A2101" i="1" s="1"/>
  <c r="A983" i="5"/>
  <c r="A2151" i="1" s="1"/>
  <c r="A984" i="5"/>
  <c r="A2107" i="1" s="1"/>
  <c r="A985" i="5"/>
  <c r="B2107" i="1" s="1"/>
  <c r="A986" i="5"/>
  <c r="C2107" i="1" s="1"/>
  <c r="A987" i="5"/>
  <c r="A2116" i="1" s="1"/>
  <c r="A988" i="5"/>
  <c r="A2142" i="1" s="1"/>
  <c r="A989" i="5"/>
  <c r="A2145" i="1" s="1"/>
  <c r="A990" i="5"/>
  <c r="A2146" i="1" s="1"/>
  <c r="A2097" i="1" s="1"/>
  <c r="A991" i="5"/>
  <c r="A2147" i="1" s="1"/>
  <c r="A992" i="5"/>
  <c r="A2148" i="1" s="1"/>
  <c r="A993" i="5"/>
  <c r="A2149" i="1" s="1"/>
  <c r="A994" i="5"/>
  <c r="A2152" i="1" s="1"/>
  <c r="A2105" i="1" s="1"/>
  <c r="A995" i="5"/>
  <c r="A2153" i="1" s="1"/>
  <c r="A996" i="5"/>
  <c r="A2154" i="1" s="1"/>
  <c r="A997" i="5"/>
  <c r="A2155" i="1" s="1"/>
  <c r="A998" i="5"/>
  <c r="A2156" i="1" s="1"/>
  <c r="A999" i="5"/>
  <c r="B2144" i="1" s="1"/>
  <c r="A1000" i="5"/>
  <c r="C2100" i="1" s="1"/>
  <c r="A1001" i="5"/>
  <c r="A61" i="8" s="1"/>
  <c r="A1002" i="5"/>
  <c r="C12" i="8" s="1"/>
  <c r="A1003" i="5"/>
  <c r="A1004" i="5"/>
  <c r="A1005" i="5"/>
  <c r="A1006" i="5"/>
  <c r="A1007" i="5"/>
  <c r="A1008" i="5"/>
  <c r="A1009" i="5"/>
  <c r="A1010" i="5"/>
  <c r="A112" i="8" s="1"/>
  <c r="A1011" i="5"/>
  <c r="A1012" i="5"/>
  <c r="A1013" i="5"/>
  <c r="A1014" i="5"/>
  <c r="A1015" i="5"/>
  <c r="A14" i="8" s="1"/>
  <c r="A1016" i="5"/>
  <c r="C14" i="8" s="1"/>
  <c r="A1017" i="5"/>
  <c r="B17" i="4"/>
  <c r="A4" i="7"/>
  <c r="D7" i="7"/>
  <c r="D8" i="7"/>
  <c r="D10" i="7"/>
  <c r="D11" i="7"/>
  <c r="D12" i="7"/>
  <c r="D18" i="7"/>
  <c r="D19" i="7"/>
  <c r="D24" i="7"/>
  <c r="F24" i="7"/>
  <c r="D25" i="7"/>
  <c r="F25" i="7"/>
  <c r="D26" i="7"/>
  <c r="F26" i="7"/>
  <c r="D27" i="7"/>
  <c r="D28" i="7"/>
  <c r="D29" i="7"/>
  <c r="D34" i="7"/>
  <c r="E34" i="7"/>
  <c r="B36" i="7"/>
  <c r="F36" i="7"/>
  <c r="G36" i="7"/>
  <c r="H36" i="7"/>
  <c r="I36" i="7"/>
  <c r="J36" i="7"/>
  <c r="K36" i="7"/>
  <c r="L36" i="7"/>
  <c r="M36" i="7"/>
  <c r="N36" i="7"/>
  <c r="O36" i="7"/>
  <c r="P36" i="7"/>
  <c r="Q36" i="7"/>
  <c r="D37" i="7"/>
  <c r="D39" i="7"/>
  <c r="D41" i="7"/>
  <c r="D42" i="7"/>
  <c r="D43" i="7"/>
  <c r="D44" i="7"/>
  <c r="D45" i="7"/>
  <c r="D46" i="7"/>
  <c r="F46" i="7"/>
  <c r="G46" i="7"/>
  <c r="H46" i="7"/>
  <c r="I46" i="7"/>
  <c r="J46" i="7"/>
  <c r="K46" i="7"/>
  <c r="L46" i="7"/>
  <c r="M46" i="7"/>
  <c r="N46" i="7"/>
  <c r="O46" i="7"/>
  <c r="P46" i="7"/>
  <c r="Q46" i="7"/>
  <c r="D47" i="7"/>
  <c r="D49" i="7"/>
  <c r="E49" i="7"/>
  <c r="B51" i="7"/>
  <c r="G51" i="7"/>
  <c r="H51" i="7"/>
  <c r="I51" i="7"/>
  <c r="J51" i="7"/>
  <c r="K51" i="7"/>
  <c r="L51" i="7"/>
  <c r="M51" i="7"/>
  <c r="N51" i="7"/>
  <c r="O51" i="7"/>
  <c r="P51" i="7"/>
  <c r="Q51" i="7"/>
  <c r="D52" i="7"/>
  <c r="B54" i="7"/>
  <c r="D54" i="7"/>
  <c r="B55" i="7"/>
  <c r="D55" i="7"/>
  <c r="D56" i="7"/>
  <c r="B57" i="7"/>
  <c r="D58" i="7"/>
  <c r="D60" i="7"/>
  <c r="D61" i="7"/>
  <c r="D62" i="7"/>
  <c r="D63" i="7"/>
  <c r="D64" i="7"/>
  <c r="D65" i="7"/>
  <c r="D66" i="7"/>
  <c r="D67" i="7"/>
  <c r="D68" i="7"/>
  <c r="F68" i="7"/>
  <c r="G68" i="7"/>
  <c r="H68" i="7"/>
  <c r="I68" i="7"/>
  <c r="J68" i="7"/>
  <c r="K68" i="7"/>
  <c r="L68" i="7"/>
  <c r="M68" i="7"/>
  <c r="N68" i="7"/>
  <c r="O68" i="7"/>
  <c r="P68" i="7"/>
  <c r="Q68" i="7"/>
  <c r="D69" i="7"/>
  <c r="D70" i="7"/>
  <c r="D72" i="7"/>
  <c r="E72" i="7"/>
  <c r="A73" i="7"/>
  <c r="B74" i="7"/>
  <c r="G74" i="7"/>
  <c r="H74" i="7"/>
  <c r="I74" i="7"/>
  <c r="J74" i="7"/>
  <c r="K74" i="7"/>
  <c r="L74" i="7"/>
  <c r="M74" i="7"/>
  <c r="N74" i="7"/>
  <c r="O74" i="7"/>
  <c r="P74" i="7"/>
  <c r="Q74" i="7"/>
  <c r="D75" i="7"/>
  <c r="B77" i="7"/>
  <c r="B78" i="7"/>
  <c r="D79" i="7"/>
  <c r="B80" i="7"/>
  <c r="D80" i="7"/>
  <c r="B81" i="7"/>
  <c r="D81" i="7"/>
  <c r="D82" i="7"/>
  <c r="B83" i="7"/>
  <c r="D84" i="7"/>
  <c r="D86" i="7"/>
  <c r="D87" i="7"/>
  <c r="D88" i="7"/>
  <c r="D89" i="7"/>
  <c r="D90" i="7"/>
  <c r="D91" i="7"/>
  <c r="D92" i="7"/>
  <c r="D93" i="7"/>
  <c r="D94" i="7"/>
  <c r="F94" i="7"/>
  <c r="G94" i="7"/>
  <c r="H94" i="7"/>
  <c r="I94" i="7"/>
  <c r="J94" i="7"/>
  <c r="K94" i="7"/>
  <c r="L94" i="7"/>
  <c r="M94" i="7"/>
  <c r="N94" i="7"/>
  <c r="O94" i="7"/>
  <c r="P94" i="7"/>
  <c r="Q94" i="7"/>
  <c r="D95" i="7"/>
  <c r="D96" i="7"/>
  <c r="D98" i="7"/>
  <c r="E98" i="7"/>
  <c r="B100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D101" i="7"/>
  <c r="B103" i="7"/>
  <c r="D103" i="7"/>
  <c r="B104" i="7"/>
  <c r="D104" i="7"/>
  <c r="D105" i="7"/>
  <c r="B106" i="7"/>
  <c r="D107" i="7"/>
  <c r="D109" i="7"/>
  <c r="D110" i="7"/>
  <c r="D111" i="7"/>
  <c r="D112" i="7"/>
  <c r="D113" i="7"/>
  <c r="D114" i="7"/>
  <c r="D115" i="7"/>
  <c r="D116" i="7"/>
  <c r="D117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D118" i="7"/>
  <c r="D119" i="7"/>
  <c r="D121" i="7"/>
  <c r="E121" i="7"/>
  <c r="B123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B125" i="7"/>
  <c r="D125" i="7"/>
  <c r="B126" i="7"/>
  <c r="D126" i="7"/>
  <c r="D127" i="7"/>
  <c r="D129" i="7"/>
  <c r="D130" i="7"/>
  <c r="D131" i="7"/>
  <c r="D132" i="7"/>
  <c r="D133" i="7"/>
  <c r="D134" i="7"/>
  <c r="F134" i="7"/>
  <c r="G134" i="7"/>
  <c r="H134" i="7"/>
  <c r="I134" i="7"/>
  <c r="J134" i="7"/>
  <c r="K134" i="7"/>
  <c r="L134" i="7"/>
  <c r="M134" i="7"/>
  <c r="N134" i="7"/>
  <c r="O134" i="7"/>
  <c r="P134" i="7"/>
  <c r="Q134" i="7"/>
  <c r="D135" i="7"/>
  <c r="B136" i="7"/>
  <c r="D136" i="7"/>
  <c r="A137" i="7"/>
  <c r="B138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B140" i="7"/>
  <c r="D140" i="7"/>
  <c r="B141" i="7"/>
  <c r="D141" i="7"/>
  <c r="D142" i="7"/>
  <c r="D144" i="7"/>
  <c r="D145" i="7"/>
  <c r="D146" i="7"/>
  <c r="D147" i="7"/>
  <c r="D148" i="7"/>
  <c r="D149" i="7"/>
  <c r="F149" i="7"/>
  <c r="G149" i="7"/>
  <c r="H149" i="7"/>
  <c r="I149" i="7"/>
  <c r="J149" i="7"/>
  <c r="K149" i="7"/>
  <c r="L149" i="7"/>
  <c r="M149" i="7"/>
  <c r="N149" i="7"/>
  <c r="O149" i="7"/>
  <c r="P149" i="7"/>
  <c r="Q149" i="7"/>
  <c r="D150" i="7"/>
  <c r="B151" i="7"/>
  <c r="D151" i="7"/>
  <c r="D153" i="7"/>
  <c r="E153" i="7"/>
  <c r="B155" i="7"/>
  <c r="F155" i="7"/>
  <c r="G155" i="7"/>
  <c r="H155" i="7"/>
  <c r="I155" i="7"/>
  <c r="J155" i="7"/>
  <c r="K155" i="7"/>
  <c r="L155" i="7"/>
  <c r="M155" i="7"/>
  <c r="N155" i="7"/>
  <c r="O155" i="7"/>
  <c r="P155" i="7"/>
  <c r="Q155" i="7"/>
  <c r="B157" i="7"/>
  <c r="D157" i="7"/>
  <c r="D158" i="7"/>
  <c r="D159" i="7"/>
  <c r="D161" i="7"/>
  <c r="D162" i="7"/>
  <c r="D163" i="7"/>
  <c r="D164" i="7"/>
  <c r="D165" i="7"/>
  <c r="D166" i="7"/>
  <c r="D167" i="7"/>
  <c r="B171" i="7"/>
  <c r="D172" i="7"/>
  <c r="D173" i="7"/>
  <c r="D174" i="7"/>
  <c r="G192" i="7"/>
  <c r="H192" i="7"/>
  <c r="I192" i="7"/>
  <c r="J192" i="7"/>
  <c r="K192" i="7"/>
  <c r="L192" i="7"/>
  <c r="M192" i="7"/>
  <c r="N192" i="7"/>
  <c r="O192" i="7"/>
  <c r="P192" i="7"/>
  <c r="Q192" i="7"/>
  <c r="D196" i="7"/>
  <c r="D197" i="7"/>
  <c r="D198" i="7"/>
  <c r="D199" i="7"/>
  <c r="D204" i="7"/>
  <c r="D205" i="7"/>
  <c r="D206" i="7"/>
  <c r="D207" i="7"/>
  <c r="D209" i="7"/>
  <c r="D218" i="7"/>
  <c r="D219" i="7"/>
  <c r="D220" i="7"/>
  <c r="D222" i="7"/>
  <c r="D231" i="7"/>
  <c r="D232" i="7"/>
  <c r="D233" i="7"/>
  <c r="D235" i="7"/>
  <c r="D243" i="7"/>
  <c r="D245" i="7"/>
  <c r="D246" i="7"/>
  <c r="A252" i="7"/>
  <c r="D254" i="7"/>
  <c r="D255" i="7"/>
  <c r="D256" i="7"/>
  <c r="D258" i="7"/>
  <c r="D264" i="7"/>
  <c r="D266" i="7"/>
  <c r="E266" i="7"/>
  <c r="A267" i="7"/>
  <c r="C267" i="7"/>
  <c r="D267" i="7"/>
  <c r="F267" i="7"/>
  <c r="G267" i="7"/>
  <c r="H267" i="7"/>
  <c r="I267" i="7"/>
  <c r="J267" i="7"/>
  <c r="K267" i="7"/>
  <c r="L267" i="7"/>
  <c r="M267" i="7"/>
  <c r="N267" i="7"/>
  <c r="O267" i="7"/>
  <c r="P267" i="7"/>
  <c r="Q267" i="7"/>
  <c r="A268" i="7"/>
  <c r="C268" i="7"/>
  <c r="D268" i="7"/>
  <c r="F268" i="7"/>
  <c r="G268" i="7"/>
  <c r="H268" i="7"/>
  <c r="I268" i="7"/>
  <c r="J268" i="7"/>
  <c r="K268" i="7"/>
  <c r="L268" i="7"/>
  <c r="M268" i="7"/>
  <c r="N268" i="7"/>
  <c r="O268" i="7"/>
  <c r="P268" i="7"/>
  <c r="Q268" i="7"/>
  <c r="A269" i="7"/>
  <c r="B269" i="7"/>
  <c r="C269" i="7"/>
  <c r="D269" i="7"/>
  <c r="F269" i="7"/>
  <c r="G269" i="7"/>
  <c r="H269" i="7"/>
  <c r="I269" i="7"/>
  <c r="J269" i="7"/>
  <c r="K269" i="7"/>
  <c r="L269" i="7"/>
  <c r="M269" i="7"/>
  <c r="N269" i="7"/>
  <c r="O269" i="7"/>
  <c r="P269" i="7"/>
  <c r="Q269" i="7"/>
  <c r="A270" i="7"/>
  <c r="B270" i="7"/>
  <c r="C270" i="7"/>
  <c r="D270" i="7"/>
  <c r="F270" i="7"/>
  <c r="G270" i="7"/>
  <c r="H270" i="7"/>
  <c r="I270" i="7"/>
  <c r="J270" i="7"/>
  <c r="K270" i="7"/>
  <c r="L270" i="7"/>
  <c r="M270" i="7"/>
  <c r="N270" i="7"/>
  <c r="O270" i="7"/>
  <c r="P270" i="7"/>
  <c r="Q270" i="7"/>
  <c r="A271" i="7"/>
  <c r="B271" i="7"/>
  <c r="C271" i="7"/>
  <c r="D271" i="7"/>
  <c r="F271" i="7"/>
  <c r="G271" i="7"/>
  <c r="H271" i="7"/>
  <c r="I271" i="7"/>
  <c r="J271" i="7"/>
  <c r="K271" i="7"/>
  <c r="L271" i="7"/>
  <c r="M271" i="7"/>
  <c r="N271" i="7"/>
  <c r="O271" i="7"/>
  <c r="P271" i="7"/>
  <c r="Q271" i="7"/>
  <c r="A272" i="7"/>
  <c r="B272" i="7"/>
  <c r="C272" i="7"/>
  <c r="D272" i="7"/>
  <c r="F272" i="7"/>
  <c r="G272" i="7"/>
  <c r="H272" i="7"/>
  <c r="I272" i="7"/>
  <c r="J272" i="7"/>
  <c r="K272" i="7"/>
  <c r="L272" i="7"/>
  <c r="M272" i="7"/>
  <c r="N272" i="7"/>
  <c r="O272" i="7"/>
  <c r="P272" i="7"/>
  <c r="Q272" i="7"/>
  <c r="B273" i="7"/>
  <c r="C273" i="7"/>
  <c r="D273" i="7"/>
  <c r="F273" i="7"/>
  <c r="G273" i="7"/>
  <c r="H273" i="7"/>
  <c r="I273" i="7"/>
  <c r="J273" i="7"/>
  <c r="K273" i="7"/>
  <c r="L273" i="7"/>
  <c r="M273" i="7"/>
  <c r="N273" i="7"/>
  <c r="O273" i="7"/>
  <c r="P273" i="7"/>
  <c r="Q273" i="7"/>
  <c r="C274" i="7"/>
  <c r="D274" i="7"/>
  <c r="F274" i="7"/>
  <c r="G274" i="7"/>
  <c r="H274" i="7"/>
  <c r="I274" i="7"/>
  <c r="J274" i="7"/>
  <c r="K274" i="7"/>
  <c r="L274" i="7"/>
  <c r="M274" i="7"/>
  <c r="N274" i="7"/>
  <c r="O274" i="7"/>
  <c r="P274" i="7"/>
  <c r="Q274" i="7"/>
  <c r="D279" i="7"/>
  <c r="E279" i="7"/>
  <c r="D292" i="7"/>
  <c r="E292" i="7"/>
  <c r="D364" i="7"/>
  <c r="D365" i="7"/>
  <c r="D369" i="7"/>
  <c r="E369" i="7"/>
  <c r="D371" i="7"/>
  <c r="D372" i="7"/>
  <c r="D373" i="7"/>
  <c r="E373" i="7"/>
  <c r="D375" i="7"/>
  <c r="D376" i="7"/>
  <c r="D377" i="7"/>
  <c r="E377" i="7"/>
  <c r="D379" i="7"/>
  <c r="D380" i="7"/>
  <c r="D381" i="7"/>
  <c r="E381" i="7"/>
  <c r="D383" i="7"/>
  <c r="D384" i="7"/>
  <c r="D385" i="7"/>
  <c r="E385" i="7"/>
  <c r="D387" i="7"/>
  <c r="D388" i="7"/>
  <c r="D389" i="7"/>
  <c r="E389" i="7"/>
  <c r="D391" i="7"/>
  <c r="D392" i="7"/>
  <c r="D393" i="7"/>
  <c r="E393" i="7"/>
  <c r="D395" i="7"/>
  <c r="D396" i="7"/>
  <c r="D397" i="7"/>
  <c r="E397" i="7"/>
  <c r="D399" i="7"/>
  <c r="D400" i="7"/>
  <c r="D401" i="7"/>
  <c r="E401" i="7"/>
  <c r="D405" i="7"/>
  <c r="D406" i="7"/>
  <c r="E406" i="7"/>
  <c r="D407" i="7"/>
  <c r="E407" i="7"/>
  <c r="A408" i="7"/>
  <c r="B408" i="7"/>
  <c r="C408" i="7"/>
  <c r="D409" i="7"/>
  <c r="E409" i="7"/>
  <c r="A410" i="7"/>
  <c r="B410" i="7"/>
  <c r="C410" i="7"/>
  <c r="A411" i="7"/>
  <c r="B411" i="7"/>
  <c r="C411" i="7"/>
  <c r="A412" i="7"/>
  <c r="B412" i="7"/>
  <c r="C412" i="7"/>
  <c r="D413" i="7"/>
  <c r="E413" i="7"/>
  <c r="A414" i="7"/>
  <c r="B414" i="7"/>
  <c r="C414" i="7"/>
  <c r="A415" i="7"/>
  <c r="B415" i="7"/>
  <c r="C415" i="7"/>
  <c r="A416" i="7"/>
  <c r="B416" i="7"/>
  <c r="C416" i="7"/>
  <c r="D417" i="7"/>
  <c r="E417" i="7"/>
  <c r="A418" i="7"/>
  <c r="B418" i="7"/>
  <c r="C418" i="7"/>
  <c r="A419" i="7"/>
  <c r="B419" i="7"/>
  <c r="C419" i="7"/>
  <c r="A420" i="7"/>
  <c r="B420" i="7"/>
  <c r="C420" i="7"/>
  <c r="D421" i="7"/>
  <c r="E421" i="7"/>
  <c r="A422" i="7"/>
  <c r="B422" i="7"/>
  <c r="C422" i="7"/>
  <c r="A423" i="7"/>
  <c r="B423" i="7"/>
  <c r="C423" i="7"/>
  <c r="A424" i="7"/>
  <c r="B424" i="7"/>
  <c r="C424" i="7"/>
  <c r="D425" i="7"/>
  <c r="E425" i="7"/>
  <c r="A426" i="7"/>
  <c r="B426" i="7"/>
  <c r="C426" i="7"/>
  <c r="A427" i="7"/>
  <c r="B427" i="7"/>
  <c r="C427" i="7"/>
  <c r="A428" i="7"/>
  <c r="B428" i="7"/>
  <c r="C428" i="7"/>
  <c r="D429" i="7"/>
  <c r="E429" i="7"/>
  <c r="A430" i="7"/>
  <c r="B430" i="7"/>
  <c r="C430" i="7"/>
  <c r="A431" i="7"/>
  <c r="B431" i="7"/>
  <c r="C431" i="7"/>
  <c r="A432" i="7"/>
  <c r="B432" i="7"/>
  <c r="C432" i="7"/>
  <c r="D433" i="7"/>
  <c r="E433" i="7"/>
  <c r="A434" i="7"/>
  <c r="B434" i="7"/>
  <c r="C434" i="7"/>
  <c r="A435" i="7"/>
  <c r="B435" i="7"/>
  <c r="C435" i="7"/>
  <c r="A436" i="7"/>
  <c r="B436" i="7"/>
  <c r="C436" i="7"/>
  <c r="D448" i="7"/>
  <c r="E448" i="7"/>
  <c r="B449" i="7"/>
  <c r="F449" i="7"/>
  <c r="C450" i="7"/>
  <c r="D450" i="7"/>
  <c r="C451" i="7"/>
  <c r="D451" i="7"/>
  <c r="D461" i="7"/>
  <c r="E461" i="7"/>
  <c r="A462" i="7"/>
  <c r="B462" i="7"/>
  <c r="F462" i="7"/>
  <c r="C463" i="7"/>
  <c r="D463" i="7"/>
  <c r="C464" i="7"/>
  <c r="D464" i="7"/>
  <c r="D472" i="7"/>
  <c r="E472" i="7"/>
  <c r="A473" i="7"/>
  <c r="B473" i="7"/>
  <c r="F473" i="7"/>
  <c r="C474" i="7"/>
  <c r="D474" i="7"/>
  <c r="C475" i="7"/>
  <c r="D475" i="7"/>
  <c r="D483" i="7"/>
  <c r="E483" i="7"/>
  <c r="B484" i="7"/>
  <c r="B485" i="7"/>
  <c r="D485" i="7"/>
  <c r="C486" i="7"/>
  <c r="D486" i="7"/>
  <c r="C487" i="7"/>
  <c r="D487" i="7"/>
  <c r="D520" i="7"/>
  <c r="B521" i="7"/>
  <c r="D522" i="7"/>
  <c r="D523" i="7"/>
  <c r="D524" i="7"/>
  <c r="B525" i="7"/>
  <c r="D526" i="7"/>
  <c r="D527" i="7"/>
  <c r="D528" i="7"/>
  <c r="B529" i="7"/>
  <c r="D530" i="7"/>
  <c r="D531" i="7"/>
  <c r="C535" i="7"/>
  <c r="B536" i="7"/>
  <c r="C536" i="7"/>
  <c r="B537" i="7"/>
  <c r="C537" i="7"/>
  <c r="D538" i="7"/>
  <c r="D539" i="7"/>
  <c r="D540" i="7"/>
  <c r="D541" i="7"/>
  <c r="D542" i="7"/>
  <c r="D543" i="7"/>
  <c r="C547" i="7"/>
  <c r="B548" i="7"/>
  <c r="C548" i="7"/>
  <c r="B549" i="7"/>
  <c r="C549" i="7"/>
  <c r="D550" i="7"/>
  <c r="D551" i="7"/>
  <c r="D552" i="7"/>
  <c r="D553" i="7"/>
  <c r="D554" i="7"/>
  <c r="D555" i="7"/>
  <c r="D558" i="7"/>
  <c r="D559" i="7"/>
  <c r="D560" i="7"/>
  <c r="D561" i="7"/>
  <c r="D562" i="7"/>
  <c r="D565" i="7"/>
  <c r="B566" i="7"/>
  <c r="D569" i="7"/>
  <c r="B570" i="7"/>
  <c r="B571" i="7"/>
  <c r="D572" i="7"/>
  <c r="D574" i="7"/>
  <c r="D575" i="7"/>
  <c r="D576" i="7"/>
  <c r="B586" i="7"/>
  <c r="F586" i="7"/>
  <c r="G586" i="7"/>
  <c r="H586" i="7"/>
  <c r="I586" i="7"/>
  <c r="J586" i="7"/>
  <c r="K586" i="7"/>
  <c r="L586" i="7"/>
  <c r="M586" i="7"/>
  <c r="N586" i="7"/>
  <c r="O586" i="7"/>
  <c r="P586" i="7"/>
  <c r="Q586" i="7"/>
  <c r="B587" i="7"/>
  <c r="F587" i="7"/>
  <c r="G587" i="7"/>
  <c r="H587" i="7"/>
  <c r="I587" i="7"/>
  <c r="J587" i="7"/>
  <c r="K587" i="7"/>
  <c r="L587" i="7"/>
  <c r="M587" i="7"/>
  <c r="N587" i="7"/>
  <c r="O587" i="7"/>
  <c r="P587" i="7"/>
  <c r="Q587" i="7"/>
  <c r="B588" i="7"/>
  <c r="F588" i="7"/>
  <c r="G588" i="7"/>
  <c r="H588" i="7"/>
  <c r="I588" i="7"/>
  <c r="J588" i="7"/>
  <c r="K588" i="7"/>
  <c r="L588" i="7"/>
  <c r="M588" i="7"/>
  <c r="N588" i="7"/>
  <c r="O588" i="7"/>
  <c r="P588" i="7"/>
  <c r="Q588" i="7"/>
  <c r="B589" i="7"/>
  <c r="F589" i="7"/>
  <c r="G589" i="7"/>
  <c r="H589" i="7"/>
  <c r="I589" i="7"/>
  <c r="J589" i="7"/>
  <c r="K589" i="7"/>
  <c r="L589" i="7"/>
  <c r="M589" i="7"/>
  <c r="N589" i="7"/>
  <c r="O589" i="7"/>
  <c r="P589" i="7"/>
  <c r="Q589" i="7"/>
  <c r="B590" i="7"/>
  <c r="F590" i="7"/>
  <c r="G590" i="7"/>
  <c r="H590" i="7"/>
  <c r="I590" i="7"/>
  <c r="J590" i="7"/>
  <c r="K590" i="7"/>
  <c r="L590" i="7"/>
  <c r="M590" i="7"/>
  <c r="N590" i="7"/>
  <c r="O590" i="7"/>
  <c r="P590" i="7"/>
  <c r="Q590" i="7"/>
  <c r="B592" i="7"/>
  <c r="F592" i="7"/>
  <c r="G592" i="7"/>
  <c r="H592" i="7"/>
  <c r="I592" i="7"/>
  <c r="J592" i="7"/>
  <c r="K592" i="7"/>
  <c r="L592" i="7"/>
  <c r="M592" i="7"/>
  <c r="N592" i="7"/>
  <c r="O592" i="7"/>
  <c r="P592" i="7"/>
  <c r="Q592" i="7"/>
  <c r="B595" i="7"/>
  <c r="F595" i="7"/>
  <c r="G595" i="7"/>
  <c r="H595" i="7"/>
  <c r="I595" i="7"/>
  <c r="J595" i="7"/>
  <c r="K595" i="7"/>
  <c r="L595" i="7"/>
  <c r="M595" i="7"/>
  <c r="N595" i="7"/>
  <c r="O595" i="7"/>
  <c r="P595" i="7"/>
  <c r="Q595" i="7"/>
  <c r="D598" i="7"/>
  <c r="D600" i="7"/>
  <c r="B606" i="7"/>
  <c r="D606" i="7"/>
  <c r="D607" i="7"/>
  <c r="F607" i="7"/>
  <c r="G607" i="7"/>
  <c r="H607" i="7"/>
  <c r="I607" i="7"/>
  <c r="J607" i="7"/>
  <c r="K607" i="7"/>
  <c r="L607" i="7"/>
  <c r="M607" i="7"/>
  <c r="N607" i="7"/>
  <c r="O607" i="7"/>
  <c r="P607" i="7"/>
  <c r="Q607" i="7"/>
  <c r="D608" i="7"/>
  <c r="D609" i="7"/>
  <c r="D610" i="7"/>
  <c r="D611" i="7"/>
  <c r="D613" i="7"/>
  <c r="E613" i="7"/>
  <c r="A614" i="7"/>
  <c r="B615" i="7"/>
  <c r="B616" i="7"/>
  <c r="B617" i="7"/>
  <c r="D617" i="7"/>
  <c r="B618" i="7"/>
  <c r="E618" i="7"/>
  <c r="D619" i="7"/>
  <c r="F620" i="7"/>
  <c r="G620" i="7"/>
  <c r="H620" i="7"/>
  <c r="I620" i="7"/>
  <c r="J620" i="7"/>
  <c r="K620" i="7"/>
  <c r="L620" i="7"/>
  <c r="M620" i="7"/>
  <c r="N620" i="7"/>
  <c r="O620" i="7"/>
  <c r="P620" i="7"/>
  <c r="Q620" i="7"/>
  <c r="F621" i="7"/>
  <c r="G621" i="7"/>
  <c r="H621" i="7"/>
  <c r="I621" i="7"/>
  <c r="J621" i="7"/>
  <c r="K621" i="7"/>
  <c r="L621" i="7"/>
  <c r="M621" i="7"/>
  <c r="N621" i="7"/>
  <c r="O621" i="7"/>
  <c r="P621" i="7"/>
  <c r="Q621" i="7"/>
  <c r="D624" i="7"/>
  <c r="D635" i="7"/>
  <c r="D636" i="7"/>
  <c r="D637" i="7"/>
  <c r="D639" i="7"/>
  <c r="D640" i="7"/>
  <c r="D811" i="7"/>
  <c r="D812" i="7"/>
  <c r="D921" i="7"/>
  <c r="D922" i="7"/>
  <c r="D923" i="7"/>
  <c r="D924" i="7"/>
  <c r="D925" i="7"/>
  <c r="D926" i="7"/>
  <c r="D927" i="7"/>
  <c r="D928" i="7"/>
  <c r="D929" i="7"/>
  <c r="D930" i="7"/>
  <c r="D932" i="7"/>
  <c r="D933" i="7"/>
  <c r="D934" i="7"/>
  <c r="D935" i="7"/>
  <c r="D936" i="7"/>
  <c r="D937" i="7"/>
  <c r="D938" i="7"/>
  <c r="D939" i="7"/>
  <c r="D941" i="7"/>
  <c r="D943" i="7"/>
  <c r="D944" i="7"/>
  <c r="D945" i="7"/>
  <c r="D946" i="7"/>
  <c r="D947" i="7"/>
  <c r="D948" i="7"/>
  <c r="D949" i="7"/>
  <c r="D950" i="7"/>
  <c r="D951" i="7"/>
  <c r="D952" i="7"/>
  <c r="D953" i="7"/>
  <c r="D955" i="7"/>
  <c r="D956" i="7"/>
  <c r="D957" i="7"/>
  <c r="D958" i="7"/>
  <c r="D960" i="7"/>
  <c r="C966" i="7"/>
  <c r="D966" i="7"/>
  <c r="C967" i="7"/>
  <c r="D967" i="7"/>
  <c r="C968" i="7"/>
  <c r="D968" i="7"/>
  <c r="C969" i="7"/>
  <c r="D969" i="7"/>
  <c r="C970" i="7"/>
  <c r="D970" i="7"/>
  <c r="C972" i="7"/>
  <c r="D972" i="7"/>
  <c r="D973" i="7"/>
  <c r="C974" i="7"/>
  <c r="D974" i="7"/>
  <c r="C976" i="7"/>
  <c r="D976" i="7"/>
  <c r="C977" i="7"/>
  <c r="D977" i="7"/>
  <c r="C978" i="7"/>
  <c r="D978" i="7"/>
  <c r="C980" i="7"/>
  <c r="D980" i="7"/>
  <c r="D982" i="7"/>
  <c r="D983" i="7"/>
  <c r="D985" i="7"/>
  <c r="D986" i="7"/>
  <c r="C987" i="7"/>
  <c r="D987" i="7"/>
  <c r="D988" i="7"/>
  <c r="D989" i="7"/>
  <c r="B994" i="7"/>
  <c r="B995" i="7"/>
  <c r="B996" i="7"/>
  <c r="B997" i="7"/>
  <c r="C997" i="7"/>
  <c r="D997" i="7"/>
  <c r="D998" i="7"/>
  <c r="D999" i="7"/>
  <c r="F999" i="7"/>
  <c r="G1011" i="7"/>
  <c r="H1011" i="7"/>
  <c r="I1011" i="7"/>
  <c r="J1011" i="7"/>
  <c r="K1011" i="7"/>
  <c r="L1011" i="7"/>
  <c r="M1011" i="7"/>
  <c r="N1011" i="7"/>
  <c r="O1011" i="7"/>
  <c r="P1011" i="7"/>
  <c r="Q1011" i="7"/>
  <c r="D1016" i="7"/>
  <c r="D1019" i="7"/>
  <c r="D1020" i="7"/>
  <c r="D1021" i="7"/>
  <c r="D1025" i="7"/>
  <c r="D1026" i="7"/>
  <c r="B1068" i="7"/>
  <c r="C1069" i="7"/>
  <c r="D1069" i="7"/>
  <c r="D1070" i="7"/>
  <c r="D1071" i="7"/>
  <c r="D1072" i="7"/>
  <c r="C1073" i="7"/>
  <c r="C1119" i="7"/>
  <c r="A12" i="8"/>
  <c r="A45" i="8" s="1"/>
  <c r="D14" i="8"/>
  <c r="B22" i="8"/>
  <c r="E24" i="8"/>
  <c r="G33" i="8"/>
  <c r="F35" i="8"/>
  <c r="F54" i="8"/>
  <c r="F669" i="8"/>
  <c r="F819" i="8" s="1"/>
  <c r="B674" i="8"/>
  <c r="B713" i="8" s="1"/>
  <c r="F688" i="8"/>
  <c r="G688" i="8"/>
  <c r="H688" i="8"/>
  <c r="I688" i="8"/>
  <c r="J688" i="8"/>
  <c r="K688" i="8"/>
  <c r="L688" i="8"/>
  <c r="M688" i="8"/>
  <c r="F689" i="8"/>
  <c r="G689" i="8"/>
  <c r="F763" i="8"/>
  <c r="G763" i="8"/>
  <c r="H763" i="8"/>
  <c r="I763" i="8"/>
  <c r="J763" i="8"/>
  <c r="K763" i="8"/>
  <c r="L763" i="8"/>
  <c r="M763" i="8"/>
  <c r="F764" i="8"/>
  <c r="G764" i="8"/>
  <c r="B6" i="7"/>
  <c r="D12" i="1"/>
  <c r="G29" i="1"/>
  <c r="F31" i="1"/>
  <c r="D37" i="1"/>
  <c r="F37" i="1"/>
  <c r="D39" i="1"/>
  <c r="D40" i="1"/>
  <c r="D41" i="1"/>
  <c r="D42" i="1"/>
  <c r="D43" i="1"/>
  <c r="F43" i="1"/>
  <c r="D45" i="1"/>
  <c r="D46" i="1"/>
  <c r="D47" i="1"/>
  <c r="D48" i="1"/>
  <c r="D49" i="1"/>
  <c r="D50" i="1"/>
  <c r="D52" i="1"/>
  <c r="D53" i="1"/>
  <c r="D55" i="1"/>
  <c r="D57" i="1"/>
  <c r="D58" i="1"/>
  <c r="D61" i="1"/>
  <c r="D62" i="1"/>
  <c r="D63" i="1"/>
  <c r="D64" i="1"/>
  <c r="F1207" i="1" s="1"/>
  <c r="F609" i="7" s="1"/>
  <c r="D65" i="1"/>
  <c r="D66" i="1"/>
  <c r="D67" i="1"/>
  <c r="D69" i="1"/>
  <c r="F70" i="1"/>
  <c r="G87" i="1"/>
  <c r="H87" i="1" s="1"/>
  <c r="I87" i="1" s="1"/>
  <c r="J87" i="1" s="1"/>
  <c r="K87" i="1" s="1"/>
  <c r="L87" i="1" s="1"/>
  <c r="M87" i="1" s="1"/>
  <c r="N87" i="1" s="1"/>
  <c r="O87" i="1" s="1"/>
  <c r="P87" i="1" s="1"/>
  <c r="Q87" i="1" s="1"/>
  <c r="G91" i="1"/>
  <c r="H91" i="1" s="1"/>
  <c r="F98" i="1"/>
  <c r="G98" i="1"/>
  <c r="H98" i="1"/>
  <c r="L98" i="1"/>
  <c r="G99" i="1"/>
  <c r="H99" i="1" s="1"/>
  <c r="I99" i="1" s="1"/>
  <c r="J99" i="1" s="1"/>
  <c r="K99" i="1" s="1"/>
  <c r="L99" i="1" s="1"/>
  <c r="M99" i="1" s="1"/>
  <c r="N99" i="1" s="1"/>
  <c r="O99" i="1" s="1"/>
  <c r="P99" i="1" s="1"/>
  <c r="Q99" i="1" s="1"/>
  <c r="B111" i="1"/>
  <c r="B1044" i="1" s="1"/>
  <c r="M1044" i="1" s="1"/>
  <c r="F130" i="1"/>
  <c r="G130" i="1"/>
  <c r="H130" i="1"/>
  <c r="I130" i="1"/>
  <c r="J130" i="1"/>
  <c r="K130" i="1"/>
  <c r="L130" i="1"/>
  <c r="M130" i="1"/>
  <c r="F138" i="1"/>
  <c r="G138" i="1" s="1"/>
  <c r="H138" i="1" s="1"/>
  <c r="I138" i="1" s="1"/>
  <c r="J138" i="1" s="1"/>
  <c r="K138" i="1" s="1"/>
  <c r="L138" i="1" s="1"/>
  <c r="M138" i="1" s="1"/>
  <c r="N138" i="1" s="1"/>
  <c r="O138" i="1" s="1"/>
  <c r="P138" i="1" s="1"/>
  <c r="Q138" i="1" s="1"/>
  <c r="F141" i="1"/>
  <c r="G141" i="1" s="1"/>
  <c r="H141" i="1" s="1"/>
  <c r="I141" i="1" s="1"/>
  <c r="J141" i="1" s="1"/>
  <c r="K141" i="1" s="1"/>
  <c r="L141" i="1" s="1"/>
  <c r="M141" i="1" s="1"/>
  <c r="N141" i="1" s="1"/>
  <c r="O141" i="1" s="1"/>
  <c r="P141" i="1" s="1"/>
  <c r="Q141" i="1" s="1"/>
  <c r="F144" i="1"/>
  <c r="F145" i="1"/>
  <c r="G145" i="1" s="1"/>
  <c r="H145" i="1" s="1"/>
  <c r="I145" i="1" s="1"/>
  <c r="J145" i="1" s="1"/>
  <c r="K145" i="1" s="1"/>
  <c r="L145" i="1" s="1"/>
  <c r="M145" i="1" s="1"/>
  <c r="N145" i="1" s="1"/>
  <c r="O145" i="1" s="1"/>
  <c r="P145" i="1" s="1"/>
  <c r="Q145" i="1" s="1"/>
  <c r="F149" i="1"/>
  <c r="G149" i="1" s="1"/>
  <c r="H149" i="1" s="1"/>
  <c r="I149" i="1" s="1"/>
  <c r="J149" i="1" s="1"/>
  <c r="K149" i="1" s="1"/>
  <c r="L149" i="1" s="1"/>
  <c r="M149" i="1" s="1"/>
  <c r="N149" i="1" s="1"/>
  <c r="G152" i="1"/>
  <c r="H152" i="1" s="1"/>
  <c r="I152" i="1" s="1"/>
  <c r="J152" i="1" s="1"/>
  <c r="K152" i="1" s="1"/>
  <c r="L152" i="1" s="1"/>
  <c r="F153" i="1"/>
  <c r="B157" i="1"/>
  <c r="F160" i="1" s="1"/>
  <c r="G160" i="1" s="1"/>
  <c r="H160" i="1" s="1"/>
  <c r="I160" i="1" s="1"/>
  <c r="J160" i="1" s="1"/>
  <c r="K160" i="1" s="1"/>
  <c r="L160" i="1" s="1"/>
  <c r="M160" i="1" s="1"/>
  <c r="N160" i="1" s="1"/>
  <c r="O160" i="1" s="1"/>
  <c r="P160" i="1" s="1"/>
  <c r="Q160" i="1" s="1"/>
  <c r="G164" i="1"/>
  <c r="H164" i="1" s="1"/>
  <c r="F165" i="1"/>
  <c r="F163" i="1" s="1"/>
  <c r="F162" i="1" s="1"/>
  <c r="B171" i="1"/>
  <c r="B42" i="8" s="1"/>
  <c r="S179" i="1"/>
  <c r="F180" i="1"/>
  <c r="F51" i="8" s="1"/>
  <c r="F50" i="8" s="1"/>
  <c r="G180" i="1"/>
  <c r="H180" i="1"/>
  <c r="I180" i="1"/>
  <c r="J180" i="1"/>
  <c r="K180" i="1"/>
  <c r="L180" i="1"/>
  <c r="M180" i="1"/>
  <c r="F183" i="1"/>
  <c r="F184" i="1" s="1"/>
  <c r="F55" i="8" s="1"/>
  <c r="B195" i="1"/>
  <c r="F195" i="1" s="1"/>
  <c r="G195" i="1" s="1"/>
  <c r="H195" i="1" s="1"/>
  <c r="I195" i="1" s="1"/>
  <c r="J195" i="1" s="1"/>
  <c r="K195" i="1" s="1"/>
  <c r="L195" i="1" s="1"/>
  <c r="M195" i="1" s="1"/>
  <c r="N195" i="1" s="1"/>
  <c r="O195" i="1" s="1"/>
  <c r="P195" i="1" s="1"/>
  <c r="Q195" i="1" s="1"/>
  <c r="F197" i="1"/>
  <c r="G197" i="1" s="1"/>
  <c r="F198" i="1"/>
  <c r="G198" i="1" s="1"/>
  <c r="H198" i="1" s="1"/>
  <c r="I198" i="1" s="1"/>
  <c r="J198" i="1" s="1"/>
  <c r="K198" i="1" s="1"/>
  <c r="L198" i="1" s="1"/>
  <c r="M198" i="1" s="1"/>
  <c r="N198" i="1" s="1"/>
  <c r="O198" i="1" s="1"/>
  <c r="P198" i="1" s="1"/>
  <c r="Q198" i="1" s="1"/>
  <c r="F199" i="1"/>
  <c r="G199" i="1" s="1"/>
  <c r="H199" i="1" s="1"/>
  <c r="I199" i="1" s="1"/>
  <c r="J199" i="1" s="1"/>
  <c r="K199" i="1" s="1"/>
  <c r="L199" i="1" s="1"/>
  <c r="M199" i="1" s="1"/>
  <c r="N199" i="1" s="1"/>
  <c r="O199" i="1" s="1"/>
  <c r="P199" i="1" s="1"/>
  <c r="Q199" i="1" s="1"/>
  <c r="F200" i="1"/>
  <c r="G200" i="1" s="1"/>
  <c r="H200" i="1" s="1"/>
  <c r="I200" i="1" s="1"/>
  <c r="J200" i="1" s="1"/>
  <c r="K200" i="1" s="1"/>
  <c r="L200" i="1" s="1"/>
  <c r="M200" i="1" s="1"/>
  <c r="N200" i="1" s="1"/>
  <c r="O200" i="1" s="1"/>
  <c r="P200" i="1" s="1"/>
  <c r="Q200" i="1" s="1"/>
  <c r="B205" i="1"/>
  <c r="F205" i="1" s="1"/>
  <c r="G205" i="1" s="1"/>
  <c r="H205" i="1" s="1"/>
  <c r="I205" i="1" s="1"/>
  <c r="J205" i="1" s="1"/>
  <c r="K205" i="1" s="1"/>
  <c r="L205" i="1" s="1"/>
  <c r="M205" i="1" s="1"/>
  <c r="N205" i="1" s="1"/>
  <c r="B213" i="1"/>
  <c r="B224" i="1"/>
  <c r="F224" i="1" s="1"/>
  <c r="G224" i="1" s="1"/>
  <c r="H224" i="1" s="1"/>
  <c r="I224" i="1" s="1"/>
  <c r="J224" i="1" s="1"/>
  <c r="K224" i="1" s="1"/>
  <c r="L224" i="1" s="1"/>
  <c r="M224" i="1" s="1"/>
  <c r="N224" i="1" s="1"/>
  <c r="E234" i="1"/>
  <c r="F234" i="1" s="1"/>
  <c r="G234" i="1" s="1"/>
  <c r="H234" i="1" s="1"/>
  <c r="I234" i="1" s="1"/>
  <c r="J234" i="1" s="1"/>
  <c r="K234" i="1" s="1"/>
  <c r="L234" i="1" s="1"/>
  <c r="M234" i="1" s="1"/>
  <c r="N234" i="1" s="1"/>
  <c r="O234" i="1" s="1"/>
  <c r="P234" i="1" s="1"/>
  <c r="Q234" i="1" s="1"/>
  <c r="S235" i="1"/>
  <c r="F236" i="1"/>
  <c r="G236" i="1"/>
  <c r="H236" i="1"/>
  <c r="I236" i="1"/>
  <c r="J236" i="1"/>
  <c r="K236" i="1"/>
  <c r="L236" i="1"/>
  <c r="M236" i="1"/>
  <c r="F237" i="1"/>
  <c r="G237" i="1"/>
  <c r="H237" i="1"/>
  <c r="I237" i="1"/>
  <c r="J237" i="1"/>
  <c r="K237" i="1"/>
  <c r="L237" i="1"/>
  <c r="M237" i="1"/>
  <c r="S241" i="1"/>
  <c r="E242" i="1"/>
  <c r="E240" i="1" s="1"/>
  <c r="B243" i="1"/>
  <c r="F245" i="1"/>
  <c r="G245" i="1"/>
  <c r="H245" i="1"/>
  <c r="I245" i="1"/>
  <c r="J245" i="1"/>
  <c r="K245" i="1"/>
  <c r="L245" i="1"/>
  <c r="M245" i="1"/>
  <c r="S250" i="1"/>
  <c r="E251" i="1"/>
  <c r="F251" i="1" s="1"/>
  <c r="G251" i="1" s="1"/>
  <c r="H251" i="1" s="1"/>
  <c r="I251" i="1" s="1"/>
  <c r="J251" i="1" s="1"/>
  <c r="K251" i="1" s="1"/>
  <c r="L251" i="1" s="1"/>
  <c r="M251" i="1" s="1"/>
  <c r="N251" i="1" s="1"/>
  <c r="B252" i="1"/>
  <c r="F254" i="1"/>
  <c r="G254" i="1"/>
  <c r="H254" i="1"/>
  <c r="I254" i="1"/>
  <c r="J254" i="1"/>
  <c r="K254" i="1"/>
  <c r="L254" i="1"/>
  <c r="M254" i="1"/>
  <c r="S259" i="1"/>
  <c r="E260" i="1"/>
  <c r="B261" i="1"/>
  <c r="I263" i="1"/>
  <c r="J263" i="1"/>
  <c r="K263" i="1"/>
  <c r="L263" i="1"/>
  <c r="M263" i="1"/>
  <c r="E268" i="1"/>
  <c r="F268" i="1" s="1"/>
  <c r="G268" i="1" s="1"/>
  <c r="H268" i="1" s="1"/>
  <c r="I268" i="1" s="1"/>
  <c r="J268" i="1" s="1"/>
  <c r="K268" i="1" s="1"/>
  <c r="L268" i="1" s="1"/>
  <c r="M268" i="1" s="1"/>
  <c r="N268" i="1" s="1"/>
  <c r="B269" i="1"/>
  <c r="E273" i="1"/>
  <c r="F273" i="1" s="1"/>
  <c r="S275" i="1"/>
  <c r="F276" i="1"/>
  <c r="G276" i="1"/>
  <c r="H276" i="1"/>
  <c r="I276" i="1"/>
  <c r="J276" i="1"/>
  <c r="K276" i="1"/>
  <c r="L276" i="1"/>
  <c r="M276" i="1"/>
  <c r="D285" i="1"/>
  <c r="S285" i="1"/>
  <c r="S36" i="7" s="1"/>
  <c r="B286" i="1"/>
  <c r="F288" i="1"/>
  <c r="F39" i="7" s="1"/>
  <c r="G288" i="1"/>
  <c r="H288" i="1"/>
  <c r="H39" i="7" s="1"/>
  <c r="I288" i="1"/>
  <c r="I39" i="7" s="1"/>
  <c r="J288" i="1"/>
  <c r="J39" i="7" s="1"/>
  <c r="K288" i="1"/>
  <c r="K39" i="7" s="1"/>
  <c r="L288" i="1"/>
  <c r="L39" i="7" s="1"/>
  <c r="M288" i="1"/>
  <c r="M39" i="7" s="1"/>
  <c r="N39" i="7"/>
  <c r="O39" i="7"/>
  <c r="P39" i="7"/>
  <c r="Q39" i="7"/>
  <c r="S295" i="1"/>
  <c r="S46" i="7" s="1"/>
  <c r="F296" i="1"/>
  <c r="F47" i="7" s="1"/>
  <c r="G296" i="1"/>
  <c r="H296" i="1"/>
  <c r="H47" i="7" s="1"/>
  <c r="I296" i="1"/>
  <c r="I47" i="7" s="1"/>
  <c r="J296" i="1"/>
  <c r="J47" i="7" s="1"/>
  <c r="K296" i="1"/>
  <c r="K47" i="7" s="1"/>
  <c r="L296" i="1"/>
  <c r="L47" i="7" s="1"/>
  <c r="M296" i="1"/>
  <c r="M47" i="7" s="1"/>
  <c r="N47" i="7"/>
  <c r="O47" i="7"/>
  <c r="P47" i="7"/>
  <c r="Q47" i="7"/>
  <c r="D300" i="1"/>
  <c r="B301" i="1"/>
  <c r="B52" i="7" s="1"/>
  <c r="S317" i="1"/>
  <c r="S68" i="7" s="1"/>
  <c r="F318" i="1"/>
  <c r="F69" i="7" s="1"/>
  <c r="G318" i="1"/>
  <c r="G69" i="7" s="1"/>
  <c r="H318" i="1"/>
  <c r="H69" i="7" s="1"/>
  <c r="I318" i="1"/>
  <c r="I69" i="7" s="1"/>
  <c r="J318" i="1"/>
  <c r="J69" i="7" s="1"/>
  <c r="K318" i="1"/>
  <c r="K69" i="7" s="1"/>
  <c r="L318" i="1"/>
  <c r="L69" i="7" s="1"/>
  <c r="M318" i="1"/>
  <c r="M69" i="7" s="1"/>
  <c r="N69" i="7"/>
  <c r="O69" i="7"/>
  <c r="P69" i="7"/>
  <c r="Q69" i="7"/>
  <c r="D323" i="1"/>
  <c r="B324" i="1"/>
  <c r="B75" i="7" s="1"/>
  <c r="B328" i="1"/>
  <c r="B79" i="7" s="1"/>
  <c r="F328" i="1"/>
  <c r="F79" i="7" s="1"/>
  <c r="G328" i="1"/>
  <c r="H328" i="1"/>
  <c r="H79" i="7" s="1"/>
  <c r="I328" i="1"/>
  <c r="I79" i="7" s="1"/>
  <c r="J328" i="1"/>
  <c r="J79" i="7" s="1"/>
  <c r="K328" i="1"/>
  <c r="K79" i="7" s="1"/>
  <c r="L328" i="1"/>
  <c r="L79" i="7" s="1"/>
  <c r="M328" i="1"/>
  <c r="M79" i="7" s="1"/>
  <c r="N79" i="7"/>
  <c r="O79" i="7"/>
  <c r="P79" i="7"/>
  <c r="Q79" i="7"/>
  <c r="S343" i="1"/>
  <c r="S94" i="7" s="1"/>
  <c r="F344" i="1"/>
  <c r="F95" i="7" s="1"/>
  <c r="G344" i="1"/>
  <c r="G95" i="7" s="1"/>
  <c r="H344" i="1"/>
  <c r="H95" i="7" s="1"/>
  <c r="I344" i="1"/>
  <c r="I95" i="7" s="1"/>
  <c r="J344" i="1"/>
  <c r="J95" i="7" s="1"/>
  <c r="K344" i="1"/>
  <c r="K95" i="7" s="1"/>
  <c r="L344" i="1"/>
  <c r="L95" i="7" s="1"/>
  <c r="M344" i="1"/>
  <c r="M95" i="7" s="1"/>
  <c r="N95" i="7"/>
  <c r="O95" i="7"/>
  <c r="P95" i="7"/>
  <c r="Q95" i="7"/>
  <c r="D349" i="1"/>
  <c r="S349" i="1"/>
  <c r="S100" i="7" s="1"/>
  <c r="B350" i="1"/>
  <c r="F352" i="1"/>
  <c r="F103" i="7" s="1"/>
  <c r="G352" i="1"/>
  <c r="H352" i="1"/>
  <c r="H103" i="7" s="1"/>
  <c r="I352" i="1"/>
  <c r="I103" i="7" s="1"/>
  <c r="J352" i="1"/>
  <c r="J103" i="7" s="1"/>
  <c r="K352" i="1"/>
  <c r="K103" i="7" s="1"/>
  <c r="L352" i="1"/>
  <c r="L103" i="7" s="1"/>
  <c r="M352" i="1"/>
  <c r="M103" i="7" s="1"/>
  <c r="N103" i="7"/>
  <c r="O103" i="7"/>
  <c r="P103" i="7"/>
  <c r="Q103" i="7"/>
  <c r="S366" i="1"/>
  <c r="S117" i="7" s="1"/>
  <c r="F367" i="1"/>
  <c r="F118" i="7" s="1"/>
  <c r="G367" i="1"/>
  <c r="H367" i="1"/>
  <c r="H118" i="7" s="1"/>
  <c r="I367" i="1"/>
  <c r="I118" i="7" s="1"/>
  <c r="J367" i="1"/>
  <c r="J118" i="7" s="1"/>
  <c r="K367" i="1"/>
  <c r="K118" i="7" s="1"/>
  <c r="L367" i="1"/>
  <c r="L118" i="7" s="1"/>
  <c r="M367" i="1"/>
  <c r="M118" i="7" s="1"/>
  <c r="N118" i="7"/>
  <c r="O118" i="7"/>
  <c r="P118" i="7"/>
  <c r="Q118" i="7"/>
  <c r="D372" i="1"/>
  <c r="S372" i="1"/>
  <c r="S123" i="7" s="1"/>
  <c r="F376" i="1"/>
  <c r="F127" i="7" s="1"/>
  <c r="G376" i="1"/>
  <c r="G127" i="7" s="1"/>
  <c r="H376" i="1"/>
  <c r="I376" i="1"/>
  <c r="I127" i="7" s="1"/>
  <c r="J376" i="1"/>
  <c r="K376" i="1"/>
  <c r="K127" i="7" s="1"/>
  <c r="L376" i="1"/>
  <c r="M376" i="1"/>
  <c r="M127" i="7" s="1"/>
  <c r="O127" i="7"/>
  <c r="Q127" i="7"/>
  <c r="S383" i="1"/>
  <c r="S134" i="7" s="1"/>
  <c r="F384" i="1"/>
  <c r="F135" i="7" s="1"/>
  <c r="G384" i="1"/>
  <c r="G135" i="7" s="1"/>
  <c r="H384" i="1"/>
  <c r="H135" i="7" s="1"/>
  <c r="I384" i="1"/>
  <c r="I135" i="7" s="1"/>
  <c r="J384" i="1"/>
  <c r="J135" i="7" s="1"/>
  <c r="K384" i="1"/>
  <c r="K135" i="7" s="1"/>
  <c r="L384" i="1"/>
  <c r="L135" i="7" s="1"/>
  <c r="M384" i="1"/>
  <c r="M135" i="7" s="1"/>
  <c r="N135" i="7"/>
  <c r="O135" i="7"/>
  <c r="P135" i="7"/>
  <c r="Q135" i="7"/>
  <c r="F385" i="1"/>
  <c r="F136" i="7" s="1"/>
  <c r="G385" i="1"/>
  <c r="G136" i="7" s="1"/>
  <c r="H385" i="1"/>
  <c r="H136" i="7" s="1"/>
  <c r="I385" i="1"/>
  <c r="I136" i="7" s="1"/>
  <c r="J385" i="1"/>
  <c r="J136" i="7" s="1"/>
  <c r="K385" i="1"/>
  <c r="K136" i="7" s="1"/>
  <c r="L385" i="1"/>
  <c r="L136" i="7" s="1"/>
  <c r="M385" i="1"/>
  <c r="M136" i="7" s="1"/>
  <c r="N136" i="7"/>
  <c r="O136" i="7"/>
  <c r="P136" i="7"/>
  <c r="Q136" i="7"/>
  <c r="D138" i="7"/>
  <c r="S138" i="7"/>
  <c r="G142" i="7"/>
  <c r="I142" i="7"/>
  <c r="K142" i="7"/>
  <c r="M142" i="7"/>
  <c r="O142" i="7"/>
  <c r="Q142" i="7"/>
  <c r="C148" i="7"/>
  <c r="S149" i="7"/>
  <c r="F150" i="7"/>
  <c r="H150" i="7"/>
  <c r="I150" i="7"/>
  <c r="J150" i="7"/>
  <c r="K150" i="7"/>
  <c r="L150" i="7"/>
  <c r="M150" i="7"/>
  <c r="N150" i="7"/>
  <c r="O150" i="7"/>
  <c r="P150" i="7"/>
  <c r="Q150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D389" i="1"/>
  <c r="S389" i="1"/>
  <c r="S155" i="7" s="1"/>
  <c r="B412" i="1"/>
  <c r="B178" i="7" s="1"/>
  <c r="B413" i="1"/>
  <c r="B179" i="7" s="1"/>
  <c r="B414" i="1"/>
  <c r="B180" i="7" s="1"/>
  <c r="B415" i="1"/>
  <c r="B181" i="7" s="1"/>
  <c r="B416" i="1"/>
  <c r="B182" i="7" s="1"/>
  <c r="F440" i="1"/>
  <c r="F206" i="7" s="1"/>
  <c r="G440" i="1"/>
  <c r="G206" i="7" s="1"/>
  <c r="H440" i="1"/>
  <c r="H206" i="7" s="1"/>
  <c r="I440" i="1"/>
  <c r="I206" i="7" s="1"/>
  <c r="J440" i="1"/>
  <c r="J206" i="7" s="1"/>
  <c r="K440" i="1"/>
  <c r="K206" i="7" s="1"/>
  <c r="L440" i="1"/>
  <c r="L206" i="7" s="1"/>
  <c r="M440" i="1"/>
  <c r="M206" i="7" s="1"/>
  <c r="N206" i="7"/>
  <c r="O206" i="7"/>
  <c r="P206" i="7"/>
  <c r="Q206" i="7"/>
  <c r="F448" i="1"/>
  <c r="F214" i="7" s="1"/>
  <c r="G448" i="1"/>
  <c r="G214" i="7" s="1"/>
  <c r="H448" i="1"/>
  <c r="H214" i="7" s="1"/>
  <c r="I448" i="1"/>
  <c r="I214" i="7" s="1"/>
  <c r="J448" i="1"/>
  <c r="J214" i="7" s="1"/>
  <c r="K448" i="1"/>
  <c r="K214" i="7" s="1"/>
  <c r="L448" i="1"/>
  <c r="L214" i="7" s="1"/>
  <c r="M448" i="1"/>
  <c r="M214" i="7" s="1"/>
  <c r="N214" i="7"/>
  <c r="O214" i="7"/>
  <c r="P214" i="7"/>
  <c r="Q214" i="7"/>
  <c r="D505" i="1"/>
  <c r="D506" i="1"/>
  <c r="D507" i="1"/>
  <c r="D508" i="1"/>
  <c r="D509" i="1"/>
  <c r="D510" i="1"/>
  <c r="D511" i="1"/>
  <c r="D512" i="1"/>
  <c r="D514" i="1"/>
  <c r="D515" i="1"/>
  <c r="D516" i="1"/>
  <c r="D517" i="1"/>
  <c r="F517" i="1"/>
  <c r="D518" i="1"/>
  <c r="F518" i="1"/>
  <c r="D519" i="1"/>
  <c r="D520" i="1"/>
  <c r="D521" i="1"/>
  <c r="D522" i="1"/>
  <c r="I551" i="1"/>
  <c r="A273" i="7"/>
  <c r="A280" i="7"/>
  <c r="C551" i="1"/>
  <c r="C280" i="7" s="1"/>
  <c r="A281" i="7"/>
  <c r="C281" i="7"/>
  <c r="G376" i="7"/>
  <c r="A282" i="7"/>
  <c r="C282" i="7"/>
  <c r="G282" i="7"/>
  <c r="H380" i="7"/>
  <c r="I282" i="7"/>
  <c r="J380" i="7"/>
  <c r="K282" i="7"/>
  <c r="L380" i="7"/>
  <c r="M282" i="7"/>
  <c r="N380" i="7"/>
  <c r="O282" i="7"/>
  <c r="P380" i="7"/>
  <c r="Q282" i="7"/>
  <c r="A283" i="7"/>
  <c r="C283" i="7"/>
  <c r="F283" i="7"/>
  <c r="H283" i="7"/>
  <c r="I384" i="7"/>
  <c r="J283" i="7"/>
  <c r="K384" i="7"/>
  <c r="M384" i="7"/>
  <c r="N283" i="7"/>
  <c r="O384" i="7"/>
  <c r="P283" i="7"/>
  <c r="Q384" i="7"/>
  <c r="A284" i="7"/>
  <c r="C284" i="7"/>
  <c r="G284" i="7"/>
  <c r="H388" i="7"/>
  <c r="I284" i="7"/>
  <c r="J388" i="7"/>
  <c r="K284" i="7"/>
  <c r="L388" i="7"/>
  <c r="M284" i="7"/>
  <c r="N388" i="7"/>
  <c r="O284" i="7"/>
  <c r="P388" i="7"/>
  <c r="Q284" i="7"/>
  <c r="A285" i="7"/>
  <c r="C285" i="7"/>
  <c r="F285" i="7"/>
  <c r="H285" i="7"/>
  <c r="I392" i="7"/>
  <c r="J285" i="7"/>
  <c r="K392" i="7"/>
  <c r="L285" i="7"/>
  <c r="M392" i="7"/>
  <c r="N285" i="7"/>
  <c r="O392" i="7"/>
  <c r="P285" i="7"/>
  <c r="Q392" i="7"/>
  <c r="C286" i="7"/>
  <c r="F286" i="7"/>
  <c r="J286" i="7"/>
  <c r="L286" i="7"/>
  <c r="N286" i="7"/>
  <c r="C287" i="7"/>
  <c r="A561" i="1"/>
  <c r="F562" i="1"/>
  <c r="A601" i="1"/>
  <c r="A293" i="7" s="1"/>
  <c r="D601" i="1"/>
  <c r="D602" i="1"/>
  <c r="D294" i="7" s="1"/>
  <c r="D603" i="1"/>
  <c r="D295" i="7" s="1"/>
  <c r="D604" i="1"/>
  <c r="D296" i="7" s="1"/>
  <c r="D605" i="1"/>
  <c r="D297" i="7" s="1"/>
  <c r="D606" i="1"/>
  <c r="D298" i="7" s="1"/>
  <c r="D607" i="1"/>
  <c r="D299" i="7" s="1"/>
  <c r="D608" i="1"/>
  <c r="D300" i="7" s="1"/>
  <c r="A301" i="7"/>
  <c r="D301" i="7"/>
  <c r="D302" i="7"/>
  <c r="D303" i="7"/>
  <c r="D304" i="7"/>
  <c r="D305" i="7"/>
  <c r="D306" i="7"/>
  <c r="D307" i="7"/>
  <c r="D308" i="7"/>
  <c r="A309" i="7"/>
  <c r="D309" i="7"/>
  <c r="D310" i="7"/>
  <c r="D311" i="7"/>
  <c r="D312" i="7"/>
  <c r="D313" i="7"/>
  <c r="D314" i="7"/>
  <c r="D315" i="7"/>
  <c r="D316" i="7"/>
  <c r="A317" i="7"/>
  <c r="D317" i="7"/>
  <c r="D318" i="7"/>
  <c r="D319" i="7"/>
  <c r="D320" i="7"/>
  <c r="D321" i="7"/>
  <c r="D322" i="7"/>
  <c r="D323" i="7"/>
  <c r="D324" i="7"/>
  <c r="A325" i="7"/>
  <c r="D325" i="7"/>
  <c r="D326" i="7"/>
  <c r="D327" i="7"/>
  <c r="D328" i="7"/>
  <c r="D329" i="7"/>
  <c r="D330" i="7"/>
  <c r="D331" i="7"/>
  <c r="D332" i="7"/>
  <c r="A333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A654" i="1"/>
  <c r="A370" i="7" s="1"/>
  <c r="C655" i="1"/>
  <c r="C371" i="7" s="1"/>
  <c r="C656" i="1"/>
  <c r="C372" i="7" s="1"/>
  <c r="C657" i="1"/>
  <c r="C373" i="7" s="1"/>
  <c r="A374" i="7"/>
  <c r="C375" i="7"/>
  <c r="C376" i="7"/>
  <c r="K376" i="7"/>
  <c r="O376" i="7"/>
  <c r="C377" i="7"/>
  <c r="A378" i="7"/>
  <c r="C379" i="7"/>
  <c r="C380" i="7"/>
  <c r="O380" i="7"/>
  <c r="C381" i="7"/>
  <c r="A382" i="7"/>
  <c r="C383" i="7"/>
  <c r="C384" i="7"/>
  <c r="C385" i="7"/>
  <c r="A386" i="7"/>
  <c r="C387" i="7"/>
  <c r="C388" i="7"/>
  <c r="M388" i="7"/>
  <c r="C389" i="7"/>
  <c r="A390" i="7"/>
  <c r="C391" i="7"/>
  <c r="P428" i="7"/>
  <c r="C392" i="7"/>
  <c r="C393" i="7"/>
  <c r="C395" i="7"/>
  <c r="C396" i="7"/>
  <c r="C397" i="7"/>
  <c r="C399" i="7"/>
  <c r="C400" i="7"/>
  <c r="C401" i="7"/>
  <c r="A679" i="1"/>
  <c r="A407" i="7" s="1"/>
  <c r="A409" i="7"/>
  <c r="A413" i="7"/>
  <c r="A417" i="7"/>
  <c r="A421" i="7"/>
  <c r="A425" i="7"/>
  <c r="A695" i="1"/>
  <c r="A696" i="1"/>
  <c r="F697" i="1"/>
  <c r="A741" i="1"/>
  <c r="A742" i="1"/>
  <c r="D742" i="1"/>
  <c r="B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B756" i="1"/>
  <c r="D756" i="1"/>
  <c r="A855" i="1"/>
  <c r="D858" i="1"/>
  <c r="F859" i="1"/>
  <c r="D861" i="1"/>
  <c r="D862" i="1"/>
  <c r="D863" i="1"/>
  <c r="D864" i="1"/>
  <c r="D865" i="1"/>
  <c r="D866" i="1"/>
  <c r="D867" i="1"/>
  <c r="D868" i="1"/>
  <c r="B869" i="1"/>
  <c r="D869" i="1"/>
  <c r="D947" i="1"/>
  <c r="F950" i="1"/>
  <c r="D961" i="1"/>
  <c r="F964" i="1"/>
  <c r="D980" i="1"/>
  <c r="F983" i="1"/>
  <c r="D1004" i="1"/>
  <c r="F1007" i="1"/>
  <c r="D1037" i="1"/>
  <c r="D449" i="7" s="1"/>
  <c r="F1038" i="1"/>
  <c r="F450" i="7" s="1"/>
  <c r="D1040" i="1"/>
  <c r="D452" i="7" s="1"/>
  <c r="D1054" i="1"/>
  <c r="D462" i="7" s="1"/>
  <c r="F1055" i="1"/>
  <c r="F463" i="7" s="1"/>
  <c r="D1057" i="1"/>
  <c r="D465" i="7" s="1"/>
  <c r="D1065" i="1"/>
  <c r="D473" i="7" s="1"/>
  <c r="F1066" i="1"/>
  <c r="F474" i="7" s="1"/>
  <c r="D1068" i="1"/>
  <c r="D476" i="7" s="1"/>
  <c r="D1080" i="1"/>
  <c r="D484" i="7" s="1"/>
  <c r="F1082" i="1"/>
  <c r="F486" i="7" s="1"/>
  <c r="D1084" i="1"/>
  <c r="D488" i="7" s="1"/>
  <c r="E1118" i="1"/>
  <c r="E522" i="7" s="1"/>
  <c r="E1122" i="1"/>
  <c r="E526" i="7" s="1"/>
  <c r="F1123" i="1"/>
  <c r="F527" i="7" s="1"/>
  <c r="G1123" i="1"/>
  <c r="G527" i="7" s="1"/>
  <c r="H1123" i="1"/>
  <c r="H527" i="7" s="1"/>
  <c r="I1123" i="1"/>
  <c r="I527" i="7" s="1"/>
  <c r="J1123" i="1"/>
  <c r="J527" i="7" s="1"/>
  <c r="K1123" i="1"/>
  <c r="K527" i="7" s="1"/>
  <c r="L1123" i="1"/>
  <c r="L527" i="7" s="1"/>
  <c r="M1123" i="1"/>
  <c r="M527" i="7" s="1"/>
  <c r="N527" i="7"/>
  <c r="O527" i="7"/>
  <c r="P527" i="7"/>
  <c r="Q527" i="7"/>
  <c r="E1126" i="1"/>
  <c r="E530" i="7" s="1"/>
  <c r="B535" i="7"/>
  <c r="E1135" i="1"/>
  <c r="E539" i="7" s="1"/>
  <c r="E1138" i="1"/>
  <c r="E542" i="7" s="1"/>
  <c r="B1143" i="1"/>
  <c r="B547" i="7" s="1"/>
  <c r="E1147" i="1"/>
  <c r="E551" i="7" s="1"/>
  <c r="E1150" i="1"/>
  <c r="E554" i="7" s="1"/>
  <c r="E1153" i="1"/>
  <c r="E557" i="7" s="1"/>
  <c r="E1161" i="1"/>
  <c r="E565" i="7" s="1"/>
  <c r="D1182" i="1"/>
  <c r="D586" i="7" s="1"/>
  <c r="S1182" i="1"/>
  <c r="S586" i="7" s="1"/>
  <c r="D1183" i="1"/>
  <c r="D587" i="7" s="1"/>
  <c r="S1183" i="1"/>
  <c r="S587" i="7" s="1"/>
  <c r="D1184" i="1"/>
  <c r="D588" i="7" s="1"/>
  <c r="S1184" i="1"/>
  <c r="S588" i="7" s="1"/>
  <c r="D1185" i="1"/>
  <c r="D589" i="7" s="1"/>
  <c r="S1185" i="1"/>
  <c r="S589" i="7" s="1"/>
  <c r="D1186" i="1"/>
  <c r="D590" i="7" s="1"/>
  <c r="S1186" i="1"/>
  <c r="S590" i="7" s="1"/>
  <c r="S1188" i="1"/>
  <c r="S592" i="7" s="1"/>
  <c r="F1189" i="1"/>
  <c r="F593" i="7" s="1"/>
  <c r="G1189" i="1"/>
  <c r="G593" i="7" s="1"/>
  <c r="H1189" i="1"/>
  <c r="H593" i="7" s="1"/>
  <c r="I1189" i="1"/>
  <c r="I593" i="7" s="1"/>
  <c r="J1189" i="1"/>
  <c r="J593" i="7" s="1"/>
  <c r="K1189" i="1"/>
  <c r="K593" i="7" s="1"/>
  <c r="L1189" i="1"/>
  <c r="L593" i="7" s="1"/>
  <c r="M1189" i="1"/>
  <c r="M593" i="7" s="1"/>
  <c r="N593" i="7"/>
  <c r="O593" i="7"/>
  <c r="P593" i="7"/>
  <c r="Q593" i="7"/>
  <c r="S1191" i="1"/>
  <c r="S595" i="7" s="1"/>
  <c r="F1192" i="1"/>
  <c r="F596" i="7" s="1"/>
  <c r="G1192" i="1"/>
  <c r="G596" i="7" s="1"/>
  <c r="H1192" i="1"/>
  <c r="H596" i="7" s="1"/>
  <c r="I1192" i="1"/>
  <c r="I596" i="7" s="1"/>
  <c r="J1192" i="1"/>
  <c r="J596" i="7" s="1"/>
  <c r="K1192" i="1"/>
  <c r="K596" i="7" s="1"/>
  <c r="L1192" i="1"/>
  <c r="L596" i="7" s="1"/>
  <c r="M1192" i="1"/>
  <c r="M596" i="7" s="1"/>
  <c r="N596" i="7"/>
  <c r="O596" i="7"/>
  <c r="P596" i="7"/>
  <c r="Q596" i="7"/>
  <c r="F1194" i="1"/>
  <c r="F598" i="7" s="1"/>
  <c r="G1194" i="1"/>
  <c r="G1284" i="1" s="1"/>
  <c r="H1194" i="1"/>
  <c r="H598" i="7" s="1"/>
  <c r="I1194" i="1"/>
  <c r="I598" i="7" s="1"/>
  <c r="J1194" i="1"/>
  <c r="J598" i="7" s="1"/>
  <c r="K1194" i="1"/>
  <c r="K598" i="7" s="1"/>
  <c r="L1194" i="1"/>
  <c r="L598" i="7" s="1"/>
  <c r="M1194" i="1"/>
  <c r="M598" i="7" s="1"/>
  <c r="N598" i="7"/>
  <c r="O598" i="7"/>
  <c r="P598" i="7"/>
  <c r="Q598" i="7"/>
  <c r="F1204" i="1"/>
  <c r="F606" i="7" s="1"/>
  <c r="S1205" i="1"/>
  <c r="S607" i="7" s="1"/>
  <c r="F1215" i="1"/>
  <c r="F617" i="7" s="1"/>
  <c r="D1218" i="1"/>
  <c r="D620" i="7" s="1"/>
  <c r="S1218" i="1"/>
  <c r="S620" i="7" s="1"/>
  <c r="D1219" i="1"/>
  <c r="D621" i="7" s="1"/>
  <c r="S1219" i="1"/>
  <c r="S621" i="7" s="1"/>
  <c r="D1220" i="1"/>
  <c r="D622" i="7" s="1"/>
  <c r="D1221" i="1"/>
  <c r="D623" i="7" s="1"/>
  <c r="D1223" i="1"/>
  <c r="D625" i="7" s="1"/>
  <c r="F1223" i="1"/>
  <c r="F625" i="7" s="1"/>
  <c r="D1224" i="1"/>
  <c r="D626" i="7" s="1"/>
  <c r="D1225" i="1"/>
  <c r="D627" i="7" s="1"/>
  <c r="F1282" i="1"/>
  <c r="F92" i="8" s="1"/>
  <c r="F91" i="8" s="1"/>
  <c r="G1282" i="1"/>
  <c r="H1282" i="1"/>
  <c r="I1282" i="1"/>
  <c r="J1282" i="1"/>
  <c r="K1282" i="1"/>
  <c r="L1282" i="1"/>
  <c r="M1282" i="1"/>
  <c r="F1283" i="1"/>
  <c r="F94" i="8" s="1"/>
  <c r="F93" i="8" s="1"/>
  <c r="G1283" i="1"/>
  <c r="H1283" i="1"/>
  <c r="I1283" i="1"/>
  <c r="J1283" i="1"/>
  <c r="K1283" i="1"/>
  <c r="L1283" i="1"/>
  <c r="M1283" i="1"/>
  <c r="F1321" i="1"/>
  <c r="G1321" i="1"/>
  <c r="H1321" i="1"/>
  <c r="I1321" i="1"/>
  <c r="J1321" i="1"/>
  <c r="K1321" i="1"/>
  <c r="L1321" i="1"/>
  <c r="M1321" i="1"/>
  <c r="S1379" i="1"/>
  <c r="S1381" i="1"/>
  <c r="E1393" i="1"/>
  <c r="E1458" i="1"/>
  <c r="E812" i="7" s="1"/>
  <c r="F1571" i="1"/>
  <c r="G1571" i="1" s="1"/>
  <c r="F1592" i="1"/>
  <c r="F1764" i="1"/>
  <c r="F997" i="7" s="1"/>
  <c r="F1778" i="1"/>
  <c r="F1011" i="7" s="1"/>
  <c r="F1779" i="1"/>
  <c r="F1012" i="7" s="1"/>
  <c r="B1803" i="1"/>
  <c r="B1036" i="7" s="1"/>
  <c r="B1804" i="1"/>
  <c r="B1037" i="7" s="1"/>
  <c r="B1837" i="1"/>
  <c r="F1837" i="1" s="1"/>
  <c r="F1852" i="1"/>
  <c r="B1908" i="1"/>
  <c r="F1908" i="1" s="1"/>
  <c r="B1979" i="1"/>
  <c r="B1069" i="7" s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S2027" i="1"/>
  <c r="S2032" i="1"/>
  <c r="B2042" i="1"/>
  <c r="F2042" i="1" s="1"/>
  <c r="B2108" i="1"/>
  <c r="B2109" i="1" s="1"/>
  <c r="B2110" i="1" s="1"/>
  <c r="B2111" i="1" s="1"/>
  <c r="B2112" i="1" s="1"/>
  <c r="B2113" i="1" s="1"/>
  <c r="B2114" i="1" s="1"/>
  <c r="E3" i="9"/>
  <c r="F12" i="8"/>
  <c r="F1043" i="1" l="1"/>
  <c r="G1043" i="1"/>
  <c r="F1044" i="1"/>
  <c r="G1044" i="1"/>
  <c r="H1044" i="1"/>
  <c r="I1044" i="1"/>
  <c r="J1044" i="1"/>
  <c r="K1044" i="1"/>
  <c r="L1044" i="1"/>
  <c r="O1041" i="1"/>
  <c r="N1044" i="1"/>
  <c r="A1071" i="1"/>
  <c r="A1070" i="1"/>
  <c r="F1071" i="1"/>
  <c r="G1071" i="1"/>
  <c r="B1072" i="1"/>
  <c r="N1072" i="1" s="1"/>
  <c r="A1072" i="1"/>
  <c r="O1069" i="1"/>
  <c r="A1081" i="1"/>
  <c r="A485" i="7" s="1"/>
  <c r="A500" i="1"/>
  <c r="G94" i="8"/>
  <c r="G93" i="8" s="1"/>
  <c r="G164" i="8"/>
  <c r="G163" i="8" s="1"/>
  <c r="G158" i="8"/>
  <c r="G113" i="8"/>
  <c r="G112" i="8" s="1"/>
  <c r="G92" i="8"/>
  <c r="G91" i="8" s="1"/>
  <c r="G454" i="8"/>
  <c r="G453" i="8" s="1"/>
  <c r="G51" i="8"/>
  <c r="G50" i="8" s="1"/>
  <c r="G96" i="8"/>
  <c r="G95" i="8" s="1"/>
  <c r="Q447" i="1"/>
  <c r="Q446" i="1"/>
  <c r="Q212" i="7" s="1"/>
  <c r="O446" i="1"/>
  <c r="N446" i="1"/>
  <c r="P446" i="1"/>
  <c r="N447" i="1"/>
  <c r="O447" i="1"/>
  <c r="P447" i="1"/>
  <c r="Q872" i="1"/>
  <c r="Q873" i="1" s="1"/>
  <c r="P873" i="1"/>
  <c r="O268" i="1"/>
  <c r="N472" i="1"/>
  <c r="P473" i="1"/>
  <c r="O472" i="1"/>
  <c r="P472" i="1"/>
  <c r="Q473" i="1"/>
  <c r="Q239" i="7" s="1"/>
  <c r="Q472" i="1"/>
  <c r="Q238" i="7" s="1"/>
  <c r="O473" i="1"/>
  <c r="N473" i="1"/>
  <c r="O224" i="1"/>
  <c r="O149" i="1"/>
  <c r="K658" i="1"/>
  <c r="Q985" i="1"/>
  <c r="Q947" i="1"/>
  <c r="Q952" i="1"/>
  <c r="P990" i="1"/>
  <c r="P952" i="1"/>
  <c r="O985" i="1"/>
  <c r="O947" i="1"/>
  <c r="P995" i="1"/>
  <c r="P947" i="1"/>
  <c r="Q990" i="1"/>
  <c r="N985" i="1"/>
  <c r="N947" i="1"/>
  <c r="N990" i="1"/>
  <c r="N980" i="1"/>
  <c r="P980" i="1"/>
  <c r="O990" i="1"/>
  <c r="N952" i="1"/>
  <c r="N995" i="1"/>
  <c r="O980" i="1"/>
  <c r="P985" i="1"/>
  <c r="O952" i="1"/>
  <c r="Q995" i="1"/>
  <c r="Q980" i="1"/>
  <c r="O995" i="1"/>
  <c r="Q459" i="1"/>
  <c r="Q225" i="7" s="1"/>
  <c r="Q461" i="1"/>
  <c r="Q227" i="7" s="1"/>
  <c r="N460" i="1"/>
  <c r="Q460" i="1"/>
  <c r="Q226" i="7" s="1"/>
  <c r="P461" i="1"/>
  <c r="P460" i="1"/>
  <c r="P459" i="1"/>
  <c r="N459" i="1"/>
  <c r="O460" i="1"/>
  <c r="O459" i="1"/>
  <c r="N461" i="1"/>
  <c r="O461" i="1"/>
  <c r="Q483" i="1"/>
  <c r="Q249" i="7" s="1"/>
  <c r="Q481" i="1"/>
  <c r="Q476" i="1"/>
  <c r="Q484" i="1"/>
  <c r="N484" i="1"/>
  <c r="O481" i="1"/>
  <c r="N485" i="1"/>
  <c r="O484" i="1"/>
  <c r="O485" i="1"/>
  <c r="N483" i="1"/>
  <c r="P485" i="1"/>
  <c r="P484" i="1"/>
  <c r="Q485" i="1"/>
  <c r="Q251" i="7" s="1"/>
  <c r="O476" i="1"/>
  <c r="N481" i="1"/>
  <c r="P483" i="1"/>
  <c r="P481" i="1"/>
  <c r="O483" i="1"/>
  <c r="P476" i="1"/>
  <c r="N476" i="1"/>
  <c r="Q902" i="1"/>
  <c r="Q903" i="1" s="1"/>
  <c r="P903" i="1"/>
  <c r="Q435" i="1"/>
  <c r="Q201" i="7" s="1"/>
  <c r="Q434" i="1"/>
  <c r="O434" i="1"/>
  <c r="N434" i="1"/>
  <c r="Q429" i="1"/>
  <c r="Q195" i="7" s="1"/>
  <c r="N429" i="1"/>
  <c r="O429" i="1"/>
  <c r="P434" i="1"/>
  <c r="P435" i="1"/>
  <c r="N435" i="1"/>
  <c r="O435" i="1"/>
  <c r="P429" i="1"/>
  <c r="N222" i="1"/>
  <c r="Q222" i="1"/>
  <c r="O222" i="1"/>
  <c r="P222" i="1"/>
  <c r="O251" i="1"/>
  <c r="O205" i="1"/>
  <c r="C991" i="1"/>
  <c r="C996" i="1"/>
  <c r="A991" i="1"/>
  <c r="A996" i="1"/>
  <c r="A992" i="1"/>
  <c r="A997" i="1"/>
  <c r="I995" i="1"/>
  <c r="M995" i="1"/>
  <c r="F999" i="1"/>
  <c r="L995" i="1"/>
  <c r="J995" i="1"/>
  <c r="H995" i="1"/>
  <c r="G995" i="1"/>
  <c r="K995" i="1"/>
  <c r="F995" i="1"/>
  <c r="G999" i="1"/>
  <c r="A993" i="1"/>
  <c r="A998" i="1"/>
  <c r="A994" i="1"/>
  <c r="A999" i="1"/>
  <c r="J990" i="1"/>
  <c r="M990" i="1"/>
  <c r="I990" i="1"/>
  <c r="L990" i="1"/>
  <c r="K990" i="1"/>
  <c r="H990" i="1"/>
  <c r="F990" i="1"/>
  <c r="G990" i="1"/>
  <c r="F994" i="1"/>
  <c r="G994" i="1"/>
  <c r="C972" i="1"/>
  <c r="C986" i="1"/>
  <c r="A975" i="1"/>
  <c r="A989" i="1"/>
  <c r="H985" i="1"/>
  <c r="F989" i="1"/>
  <c r="M985" i="1"/>
  <c r="L985" i="1"/>
  <c r="K985" i="1"/>
  <c r="I985" i="1"/>
  <c r="J985" i="1"/>
  <c r="G985" i="1"/>
  <c r="F985" i="1"/>
  <c r="G989" i="1"/>
  <c r="A974" i="1"/>
  <c r="A988" i="1"/>
  <c r="A973" i="1"/>
  <c r="A987" i="1"/>
  <c r="A972" i="1"/>
  <c r="A986" i="1"/>
  <c r="F975" i="1"/>
  <c r="F971" i="1"/>
  <c r="G975" i="1"/>
  <c r="A956" i="1"/>
  <c r="A970" i="1"/>
  <c r="A953" i="1"/>
  <c r="A967" i="1"/>
  <c r="F970" i="1"/>
  <c r="F966" i="1"/>
  <c r="G970" i="1"/>
  <c r="A955" i="1"/>
  <c r="A969" i="1"/>
  <c r="C953" i="1"/>
  <c r="C967" i="1"/>
  <c r="A954" i="1"/>
  <c r="A968" i="1"/>
  <c r="M952" i="1"/>
  <c r="L952" i="1"/>
  <c r="K952" i="1"/>
  <c r="I952" i="1"/>
  <c r="H952" i="1"/>
  <c r="J952" i="1"/>
  <c r="F956" i="1"/>
  <c r="G952" i="1"/>
  <c r="F952" i="1"/>
  <c r="G956" i="1"/>
  <c r="A1222" i="1"/>
  <c r="A624" i="7" s="1"/>
  <c r="A1216" i="1"/>
  <c r="A618" i="7" s="1"/>
  <c r="A1215" i="1"/>
  <c r="A617" i="7" s="1"/>
  <c r="A1221" i="1"/>
  <c r="A623" i="7" s="1"/>
  <c r="A1285" i="1"/>
  <c r="A1214" i="1"/>
  <c r="A616" i="7" s="1"/>
  <c r="A1205" i="1"/>
  <c r="A607" i="7" s="1"/>
  <c r="A1208" i="1"/>
  <c r="A610" i="7" s="1"/>
  <c r="A1213" i="1"/>
  <c r="A615" i="7" s="1"/>
  <c r="C1213" i="1"/>
  <c r="C615" i="7" s="1"/>
  <c r="A1223" i="1"/>
  <c r="A625" i="7" s="1"/>
  <c r="A891" i="1"/>
  <c r="A906" i="1"/>
  <c r="A620" i="1"/>
  <c r="A628" i="1"/>
  <c r="C791" i="1"/>
  <c r="C804" i="1"/>
  <c r="C914" i="1"/>
  <c r="A619" i="1"/>
  <c r="A627" i="1"/>
  <c r="B716" i="1"/>
  <c r="B900" i="1"/>
  <c r="B722" i="1"/>
  <c r="B907" i="1"/>
  <c r="N906" i="1" s="1"/>
  <c r="B588" i="1"/>
  <c r="A618" i="1"/>
  <c r="A626" i="1"/>
  <c r="A664" i="1"/>
  <c r="A668" i="1"/>
  <c r="B578" i="1"/>
  <c r="B585" i="1"/>
  <c r="A909" i="1"/>
  <c r="A799" i="1"/>
  <c r="A624" i="1"/>
  <c r="A632" i="1"/>
  <c r="A579" i="1"/>
  <c r="A586" i="1"/>
  <c r="J666" i="1"/>
  <c r="K669" i="1"/>
  <c r="A665" i="1"/>
  <c r="A669" i="1"/>
  <c r="C578" i="1"/>
  <c r="C585" i="1"/>
  <c r="A663" i="1"/>
  <c r="A667" i="1"/>
  <c r="A581" i="1"/>
  <c r="A588" i="1"/>
  <c r="A910" i="1"/>
  <c r="A800" i="1"/>
  <c r="A580" i="1"/>
  <c r="A587" i="1"/>
  <c r="A893" i="1"/>
  <c r="A908" i="1"/>
  <c r="A623" i="1"/>
  <c r="A631" i="1"/>
  <c r="A578" i="1"/>
  <c r="A585" i="1"/>
  <c r="A719" i="1"/>
  <c r="A584" i="1"/>
  <c r="A905" i="1"/>
  <c r="G719" i="1"/>
  <c r="F719" i="1"/>
  <c r="G584" i="1"/>
  <c r="F905" i="1"/>
  <c r="F584" i="1"/>
  <c r="G905" i="1"/>
  <c r="A911" i="1"/>
  <c r="A801" i="1"/>
  <c r="A888" i="1"/>
  <c r="A903" i="1"/>
  <c r="B683" i="1"/>
  <c r="B685" i="1"/>
  <c r="A622" i="1"/>
  <c r="A630" i="1"/>
  <c r="A914" i="1"/>
  <c r="A804" i="1"/>
  <c r="A913" i="1"/>
  <c r="A803" i="1"/>
  <c r="A912" i="1"/>
  <c r="A802" i="1"/>
  <c r="A722" i="1"/>
  <c r="A907" i="1"/>
  <c r="A904" i="1"/>
  <c r="A583" i="1"/>
  <c r="A718" i="1"/>
  <c r="A887" i="1"/>
  <c r="A902" i="1"/>
  <c r="A621" i="1"/>
  <c r="A629" i="1"/>
  <c r="B709" i="1"/>
  <c r="B885" i="1"/>
  <c r="A761" i="1"/>
  <c r="A777" i="1"/>
  <c r="A760" i="1"/>
  <c r="A776" i="1"/>
  <c r="A712" i="1"/>
  <c r="A577" i="1"/>
  <c r="A890" i="1"/>
  <c r="G890" i="1"/>
  <c r="F890" i="1"/>
  <c r="G712" i="1"/>
  <c r="F712" i="1"/>
  <c r="G577" i="1"/>
  <c r="F577" i="1"/>
  <c r="A897" i="1"/>
  <c r="A786" i="1"/>
  <c r="A889" i="1"/>
  <c r="A576" i="1"/>
  <c r="A711" i="1"/>
  <c r="A895" i="1"/>
  <c r="A784" i="1"/>
  <c r="A707" i="1"/>
  <c r="A714" i="1"/>
  <c r="A894" i="1"/>
  <c r="A783" i="1"/>
  <c r="K662" i="1"/>
  <c r="L665" i="1"/>
  <c r="A766" i="1"/>
  <c r="A782" i="1"/>
  <c r="A762" i="1"/>
  <c r="A778" i="1"/>
  <c r="A898" i="1"/>
  <c r="A787" i="1"/>
  <c r="A759" i="1"/>
  <c r="A775" i="1"/>
  <c r="A896" i="1"/>
  <c r="A785" i="1"/>
  <c r="A715" i="1"/>
  <c r="A892" i="1"/>
  <c r="A763" i="1"/>
  <c r="A779" i="1"/>
  <c r="A765" i="1"/>
  <c r="A781" i="1"/>
  <c r="B715" i="1"/>
  <c r="B892" i="1"/>
  <c r="B581" i="1"/>
  <c r="A899" i="1"/>
  <c r="A788" i="1"/>
  <c r="A706" i="1"/>
  <c r="A713" i="1"/>
  <c r="A764" i="1"/>
  <c r="A780" i="1"/>
  <c r="C775" i="1"/>
  <c r="C788" i="1"/>
  <c r="C899" i="1"/>
  <c r="B735" i="1"/>
  <c r="B708" i="1"/>
  <c r="B877" i="1"/>
  <c r="N876" i="1" s="1"/>
  <c r="B574" i="1"/>
  <c r="A835" i="1"/>
  <c r="A884" i="1"/>
  <c r="A772" i="1"/>
  <c r="A832" i="1"/>
  <c r="A881" i="1"/>
  <c r="A769" i="1"/>
  <c r="A735" i="1"/>
  <c r="A708" i="1"/>
  <c r="A877" i="1"/>
  <c r="A595" i="1"/>
  <c r="A574" i="1"/>
  <c r="A731" i="1"/>
  <c r="A874" i="1"/>
  <c r="A704" i="1"/>
  <c r="A569" i="1"/>
  <c r="A637" i="1"/>
  <c r="A613" i="1"/>
  <c r="A921" i="1"/>
  <c r="A876" i="1"/>
  <c r="A732" i="1"/>
  <c r="A705" i="1"/>
  <c r="A570" i="1"/>
  <c r="A875" i="1"/>
  <c r="A831" i="1"/>
  <c r="A880" i="1"/>
  <c r="A768" i="1"/>
  <c r="A594" i="1"/>
  <c r="A573" i="1"/>
  <c r="A917" i="1"/>
  <c r="A872" i="1"/>
  <c r="A636" i="1"/>
  <c r="A612" i="1"/>
  <c r="A635" i="1"/>
  <c r="A611" i="1"/>
  <c r="A673" i="1"/>
  <c r="A661" i="1"/>
  <c r="C592" i="1"/>
  <c r="C571" i="1"/>
  <c r="F570" i="1"/>
  <c r="G570" i="1"/>
  <c r="F705" i="1"/>
  <c r="F875" i="1"/>
  <c r="G875" i="1"/>
  <c r="G705" i="1"/>
  <c r="A671" i="1"/>
  <c r="A659" i="1"/>
  <c r="A830" i="1"/>
  <c r="A879" i="1"/>
  <c r="A767" i="1"/>
  <c r="A640" i="1"/>
  <c r="A616" i="1"/>
  <c r="A593" i="1"/>
  <c r="A572" i="1"/>
  <c r="C759" i="1"/>
  <c r="C772" i="1"/>
  <c r="C884" i="1"/>
  <c r="A833" i="1"/>
  <c r="A882" i="1"/>
  <c r="A770" i="1"/>
  <c r="A923" i="1"/>
  <c r="A878" i="1"/>
  <c r="A639" i="1"/>
  <c r="A615" i="1"/>
  <c r="A592" i="1"/>
  <c r="A571" i="1"/>
  <c r="M661" i="1"/>
  <c r="L658" i="1"/>
  <c r="B702" i="1"/>
  <c r="B870" i="1"/>
  <c r="A634" i="1"/>
  <c r="A610" i="1"/>
  <c r="A834" i="1"/>
  <c r="A883" i="1"/>
  <c r="A771" i="1"/>
  <c r="A672" i="1"/>
  <c r="A660" i="1"/>
  <c r="B592" i="1"/>
  <c r="B571" i="1"/>
  <c r="A918" i="1"/>
  <c r="A873" i="1"/>
  <c r="B687" i="1"/>
  <c r="B681" i="1"/>
  <c r="A638" i="1"/>
  <c r="A614" i="1"/>
  <c r="F732" i="1"/>
  <c r="G732" i="1"/>
  <c r="A728" i="1"/>
  <c r="A734" i="1"/>
  <c r="A813" i="1"/>
  <c r="A828" i="1"/>
  <c r="C822" i="1"/>
  <c r="C835" i="1"/>
  <c r="A809" i="1"/>
  <c r="A824" i="1"/>
  <c r="A727" i="1"/>
  <c r="A733" i="1"/>
  <c r="A811" i="1"/>
  <c r="A826" i="1"/>
  <c r="A814" i="1"/>
  <c r="A829" i="1"/>
  <c r="A808" i="1"/>
  <c r="A823" i="1"/>
  <c r="A812" i="1"/>
  <c r="A827" i="1"/>
  <c r="A810" i="1"/>
  <c r="A825" i="1"/>
  <c r="A807" i="1"/>
  <c r="A822" i="1"/>
  <c r="G591" i="1"/>
  <c r="F591" i="1"/>
  <c r="G589" i="1" s="1"/>
  <c r="F726" i="1"/>
  <c r="G726" i="1"/>
  <c r="F920" i="1"/>
  <c r="G917" i="1" s="1"/>
  <c r="G918" i="1" s="1"/>
  <c r="G920" i="1"/>
  <c r="A927" i="1"/>
  <c r="A818" i="1"/>
  <c r="A926" i="1"/>
  <c r="A817" i="1"/>
  <c r="A729" i="1"/>
  <c r="A922" i="1"/>
  <c r="A919" i="1"/>
  <c r="A725" i="1"/>
  <c r="A590" i="1"/>
  <c r="A924" i="1"/>
  <c r="A815" i="1"/>
  <c r="A925" i="1"/>
  <c r="A816" i="1"/>
  <c r="C807" i="1"/>
  <c r="C820" i="1"/>
  <c r="C929" i="1"/>
  <c r="B723" i="1"/>
  <c r="B915" i="1"/>
  <c r="B595" i="1"/>
  <c r="F592" i="1" s="1"/>
  <c r="B729" i="1"/>
  <c r="B922" i="1"/>
  <c r="A929" i="1"/>
  <c r="A820" i="1"/>
  <c r="B25" i="8"/>
  <c r="C100" i="8" s="1"/>
  <c r="M673" i="1"/>
  <c r="L670" i="1"/>
  <c r="A928" i="1"/>
  <c r="A819" i="1"/>
  <c r="A726" i="1"/>
  <c r="A591" i="1"/>
  <c r="A920" i="1"/>
  <c r="G1779" i="1"/>
  <c r="G1012" i="7" s="1"/>
  <c r="G88" i="1"/>
  <c r="G2033" i="1" s="1"/>
  <c r="F378" i="1"/>
  <c r="F129" i="7" s="1"/>
  <c r="C1867" i="1"/>
  <c r="C2085" i="1" s="1"/>
  <c r="C1124" i="7" s="1"/>
  <c r="F77" i="1"/>
  <c r="Q250" i="7"/>
  <c r="Q242" i="7"/>
  <c r="Q213" i="7"/>
  <c r="Q200" i="7"/>
  <c r="F820" i="8"/>
  <c r="I280" i="7"/>
  <c r="I655" i="1"/>
  <c r="C962" i="1"/>
  <c r="G1038" i="1"/>
  <c r="G450" i="7" s="1"/>
  <c r="G1007" i="1"/>
  <c r="G1008" i="1" s="1"/>
  <c r="G983" i="1"/>
  <c r="G984" i="1" s="1"/>
  <c r="G964" i="1"/>
  <c r="G965" i="1" s="1"/>
  <c r="G950" i="1"/>
  <c r="G951" i="1" s="1"/>
  <c r="K1315" i="1"/>
  <c r="K685" i="7" s="1"/>
  <c r="G1082" i="1"/>
  <c r="G486" i="7" s="1"/>
  <c r="G1066" i="1"/>
  <c r="G474" i="7" s="1"/>
  <c r="G1852" i="1"/>
  <c r="G1315" i="1"/>
  <c r="G1055" i="1"/>
  <c r="G463" i="7" s="1"/>
  <c r="G859" i="1"/>
  <c r="G860" i="1" s="1"/>
  <c r="G697" i="1"/>
  <c r="G698" i="1" s="1"/>
  <c r="E1226" i="1"/>
  <c r="E629" i="7" s="1"/>
  <c r="M1315" i="1"/>
  <c r="M685" i="7" s="1"/>
  <c r="I1315" i="1"/>
  <c r="I685" i="7" s="1"/>
  <c r="A379" i="7"/>
  <c r="A347" i="7"/>
  <c r="A343" i="7"/>
  <c r="B679" i="1"/>
  <c r="B407" i="7" s="1"/>
  <c r="A861" i="1"/>
  <c r="A388" i="7"/>
  <c r="B1382" i="1"/>
  <c r="F860" i="1"/>
  <c r="G857" i="1" s="1"/>
  <c r="I1284" i="1"/>
  <c r="L483" i="1"/>
  <c r="L249" i="7" s="1"/>
  <c r="F463" i="1"/>
  <c r="F1438" i="1" s="1"/>
  <c r="F296" i="8" s="1"/>
  <c r="F295" i="8" s="1"/>
  <c r="D74" i="7"/>
  <c r="G26" i="7"/>
  <c r="F428" i="1"/>
  <c r="F1435" i="1" s="1"/>
  <c r="H33" i="8"/>
  <c r="F521" i="1"/>
  <c r="F535" i="1" s="1"/>
  <c r="B862" i="1"/>
  <c r="B1380" i="1"/>
  <c r="B1057" i="1"/>
  <c r="B465" i="7" s="1"/>
  <c r="F698" i="1"/>
  <c r="G429" i="1"/>
  <c r="G195" i="7" s="1"/>
  <c r="G518" i="1"/>
  <c r="G520" i="1" s="1"/>
  <c r="O201" i="7"/>
  <c r="F1008" i="1"/>
  <c r="G1006" i="1" s="1"/>
  <c r="F984" i="1"/>
  <c r="B13" i="1"/>
  <c r="B419" i="1"/>
  <c r="B185" i="7" s="1"/>
  <c r="H428" i="7"/>
  <c r="P801" i="7"/>
  <c r="L1447" i="1"/>
  <c r="L801" i="7" s="1"/>
  <c r="H1447" i="1"/>
  <c r="H801" i="7" s="1"/>
  <c r="N239" i="7"/>
  <c r="A72" i="8"/>
  <c r="A187" i="8"/>
  <c r="A51" i="8"/>
  <c r="C104" i="1"/>
  <c r="P227" i="7"/>
  <c r="N212" i="7"/>
  <c r="G35" i="8"/>
  <c r="H35" i="8" s="1"/>
  <c r="H36" i="8" s="1"/>
  <c r="H39" i="8" s="1"/>
  <c r="C1166" i="1"/>
  <c r="C570" i="7" s="1"/>
  <c r="M422" i="7"/>
  <c r="L485" i="1"/>
  <c r="L251" i="7" s="1"/>
  <c r="G517" i="1"/>
  <c r="G508" i="1"/>
  <c r="O226" i="7"/>
  <c r="F446" i="1"/>
  <c r="F212" i="7" s="1"/>
  <c r="L434" i="1"/>
  <c r="L200" i="7" s="1"/>
  <c r="G435" i="1"/>
  <c r="G201" i="7" s="1"/>
  <c r="J1447" i="1"/>
  <c r="J801" i="7" s="1"/>
  <c r="F1447" i="1"/>
  <c r="F801" i="7" s="1"/>
  <c r="M447" i="1"/>
  <c r="M213" i="7" s="1"/>
  <c r="A837" i="1"/>
  <c r="A744" i="8"/>
  <c r="A670" i="8"/>
  <c r="A669" i="8"/>
  <c r="A44" i="8"/>
  <c r="A360" i="1"/>
  <c r="A111" i="7" s="1"/>
  <c r="A328" i="1"/>
  <c r="A79" i="7" s="1"/>
  <c r="A490" i="1"/>
  <c r="A256" i="7" s="1"/>
  <c r="C269" i="1"/>
  <c r="A1118" i="1"/>
  <c r="A522" i="7" s="1"/>
  <c r="A859" i="1"/>
  <c r="H10" i="9"/>
  <c r="H17" i="9"/>
  <c r="H8" i="9"/>
  <c r="H16" i="9"/>
  <c r="H7" i="9"/>
  <c r="H15" i="9"/>
  <c r="H18" i="9"/>
  <c r="H9" i="9"/>
  <c r="H11" i="9"/>
  <c r="H13" i="9"/>
  <c r="H12" i="9"/>
  <c r="H14" i="9"/>
  <c r="C352" i="1"/>
  <c r="C103" i="7" s="1"/>
  <c r="C248" i="1"/>
  <c r="A983" i="1"/>
  <c r="C1167" i="1"/>
  <c r="C571" i="7" s="1"/>
  <c r="A1083" i="1"/>
  <c r="A487" i="7" s="1"/>
  <c r="A1066" i="1"/>
  <c r="A474" i="7" s="1"/>
  <c r="A965" i="1"/>
  <c r="A1597" i="1"/>
  <c r="A955" i="7" s="1"/>
  <c r="A1585" i="1"/>
  <c r="A943" i="7" s="1"/>
  <c r="S1299" i="1"/>
  <c r="S669" i="7" s="1"/>
  <c r="A1271" i="1"/>
  <c r="A1148" i="1"/>
  <c r="A552" i="7" s="1"/>
  <c r="C1142" i="1"/>
  <c r="C546" i="7" s="1"/>
  <c r="S1028" i="1"/>
  <c r="S440" i="7" s="1"/>
  <c r="S1832" i="1"/>
  <c r="C981" i="1"/>
  <c r="A1122" i="1"/>
  <c r="A526" i="7" s="1"/>
  <c r="A1040" i="1"/>
  <c r="A452" i="7" s="1"/>
  <c r="A1014" i="1"/>
  <c r="A938" i="1"/>
  <c r="B1187" i="1"/>
  <c r="B591" i="7" s="1"/>
  <c r="A1844" i="1"/>
  <c r="A1921" i="1"/>
  <c r="A1875" i="1"/>
  <c r="A1670" i="1"/>
  <c r="A978" i="7" s="1"/>
  <c r="A1425" i="1"/>
  <c r="A779" i="7" s="1"/>
  <c r="S1377" i="1"/>
  <c r="A1165" i="1"/>
  <c r="A569" i="7" s="1"/>
  <c r="A1126" i="1"/>
  <c r="A530" i="7" s="1"/>
  <c r="A1099" i="1"/>
  <c r="A503" i="7" s="1"/>
  <c r="A1068" i="1"/>
  <c r="A476" i="7" s="1"/>
  <c r="A1056" i="1"/>
  <c r="A464" i="7" s="1"/>
  <c r="A1038" i="1"/>
  <c r="A450" i="7" s="1"/>
  <c r="A1008" i="1"/>
  <c r="A950" i="1"/>
  <c r="C948" i="1"/>
  <c r="S943" i="1"/>
  <c r="A931" i="1"/>
  <c r="C869" i="1"/>
  <c r="A867" i="1"/>
  <c r="A857" i="1"/>
  <c r="A2057" i="1"/>
  <c r="A1096" i="7" s="1"/>
  <c r="A1990" i="1"/>
  <c r="A1080" i="7" s="1"/>
  <c r="A1936" i="1"/>
  <c r="A1858" i="1"/>
  <c r="A1787" i="1"/>
  <c r="A1020" i="7" s="1"/>
  <c r="B1775" i="1"/>
  <c r="B1008" i="7" s="1"/>
  <c r="A1681" i="1"/>
  <c r="A989" i="7" s="1"/>
  <c r="A1660" i="1"/>
  <c r="A968" i="7" s="1"/>
  <c r="A1442" i="1"/>
  <c r="A796" i="7" s="1"/>
  <c r="A1312" i="1"/>
  <c r="A682" i="7" s="1"/>
  <c r="A1237" i="1"/>
  <c r="A640" i="7" s="1"/>
  <c r="A433" i="7"/>
  <c r="N685" i="7"/>
  <c r="L1315" i="1"/>
  <c r="L685" i="7" s="1"/>
  <c r="J1315" i="1"/>
  <c r="J685" i="7" s="1"/>
  <c r="H1315" i="1"/>
  <c r="H685" i="7" s="1"/>
  <c r="F1315" i="1"/>
  <c r="F158" i="8" s="1"/>
  <c r="F157" i="8" s="1"/>
  <c r="L428" i="7"/>
  <c r="G414" i="7"/>
  <c r="F965" i="1"/>
  <c r="G963" i="1" s="1"/>
  <c r="F951" i="1"/>
  <c r="F563" i="1"/>
  <c r="G561" i="1" s="1"/>
  <c r="B1948" i="1"/>
  <c r="P225" i="7"/>
  <c r="A863" i="1"/>
  <c r="A934" i="1"/>
  <c r="A848" i="1"/>
  <c r="A752" i="1"/>
  <c r="A749" i="1"/>
  <c r="A840" i="1"/>
  <c r="A744" i="1"/>
  <c r="A657" i="1"/>
  <c r="A373" i="7" s="1"/>
  <c r="A401" i="7"/>
  <c r="A313" i="7"/>
  <c r="A321" i="7"/>
  <c r="A329" i="7"/>
  <c r="A337" i="7"/>
  <c r="A456" i="1"/>
  <c r="A222" i="7" s="1"/>
  <c r="A408" i="1"/>
  <c r="A174" i="7" s="1"/>
  <c r="C327" i="1"/>
  <c r="C78" i="7" s="1"/>
  <c r="C332" i="1"/>
  <c r="C83" i="7" s="1"/>
  <c r="S739" i="1"/>
  <c r="S677" i="1"/>
  <c r="S405" i="7" s="1"/>
  <c r="A893" i="8"/>
  <c r="A860" i="1"/>
  <c r="A819" i="8"/>
  <c r="C756" i="1"/>
  <c r="A2085" i="1"/>
  <c r="A1124" i="7" s="1"/>
  <c r="A2059" i="1"/>
  <c r="A1098" i="7" s="1"/>
  <c r="S2053" i="1"/>
  <c r="S1092" i="7" s="1"/>
  <c r="S2002" i="1"/>
  <c r="A1982" i="1"/>
  <c r="A1072" i="7" s="1"/>
  <c r="S1976" i="1"/>
  <c r="S1066" i="7" s="1"/>
  <c r="A1943" i="1"/>
  <c r="A1926" i="1"/>
  <c r="A1917" i="1"/>
  <c r="S1905" i="1"/>
  <c r="A1867" i="1"/>
  <c r="A1850" i="1"/>
  <c r="C1794" i="1"/>
  <c r="C1027" i="7" s="1"/>
  <c r="B1772" i="1"/>
  <c r="B1005" i="7" s="1"/>
  <c r="S1759" i="1"/>
  <c r="S992" i="7" s="1"/>
  <c r="A1677" i="1"/>
  <c r="A985" i="7" s="1"/>
  <c r="A1665" i="1"/>
  <c r="A973" i="7" s="1"/>
  <c r="A1602" i="1"/>
  <c r="A960" i="7" s="1"/>
  <c r="A1575" i="1"/>
  <c r="A933" i="7" s="1"/>
  <c r="A1568" i="1"/>
  <c r="A926" i="7" s="1"/>
  <c r="A1449" i="1"/>
  <c r="A803" i="7" s="1"/>
  <c r="A1436" i="1"/>
  <c r="A790" i="7" s="1"/>
  <c r="S1421" i="1"/>
  <c r="S775" i="7" s="1"/>
  <c r="A1322" i="1"/>
  <c r="A692" i="7" s="1"/>
  <c r="A1303" i="1"/>
  <c r="A673" i="7" s="1"/>
  <c r="A1282" i="1"/>
  <c r="S1267" i="1"/>
  <c r="S1201" i="1"/>
  <c r="S603" i="7" s="1"/>
  <c r="S1178" i="1"/>
  <c r="S582" i="7" s="1"/>
  <c r="C1162" i="1"/>
  <c r="C566" i="7" s="1"/>
  <c r="C1125" i="1"/>
  <c r="C529" i="7" s="1"/>
  <c r="C1121" i="1"/>
  <c r="C525" i="7" s="1"/>
  <c r="C1117" i="1"/>
  <c r="C521" i="7" s="1"/>
  <c r="S1113" i="1"/>
  <c r="S517" i="7" s="1"/>
  <c r="A1101" i="1"/>
  <c r="A505" i="7" s="1"/>
  <c r="A1082" i="1"/>
  <c r="A486" i="7" s="1"/>
  <c r="A1067" i="1"/>
  <c r="A475" i="7" s="1"/>
  <c r="A1055" i="1"/>
  <c r="A463" i="7" s="1"/>
  <c r="A1039" i="1"/>
  <c r="A451" i="7" s="1"/>
  <c r="A1033" i="1"/>
  <c r="A445" i="7" s="1"/>
  <c r="C1025" i="1"/>
  <c r="A1012" i="1"/>
  <c r="A1007" i="1"/>
  <c r="C1005" i="1"/>
  <c r="A984" i="1"/>
  <c r="A964" i="1"/>
  <c r="A951" i="1"/>
  <c r="A940" i="1"/>
  <c r="A936" i="1"/>
  <c r="A844" i="1"/>
  <c r="A700" i="1"/>
  <c r="A698" i="1"/>
  <c r="A391" i="7"/>
  <c r="A642" i="1"/>
  <c r="A358" i="7" s="1"/>
  <c r="A445" i="1"/>
  <c r="A211" i="7" s="1"/>
  <c r="K1448" i="1"/>
  <c r="K802" i="7" s="1"/>
  <c r="O802" i="7"/>
  <c r="G1448" i="1"/>
  <c r="G802" i="7" s="1"/>
  <c r="M1284" i="1"/>
  <c r="Q388" i="7"/>
  <c r="I388" i="7"/>
  <c r="G380" i="7"/>
  <c r="K484" i="1"/>
  <c r="K250" i="7" s="1"/>
  <c r="F473" i="1"/>
  <c r="F239" i="7" s="1"/>
  <c r="I472" i="1"/>
  <c r="I238" i="7" s="1"/>
  <c r="H461" i="1"/>
  <c r="H227" i="7" s="1"/>
  <c r="G460" i="1"/>
  <c r="G226" i="7" s="1"/>
  <c r="I447" i="1"/>
  <c r="I213" i="7" s="1"/>
  <c r="J446" i="1"/>
  <c r="J212" i="7" s="1"/>
  <c r="K435" i="1"/>
  <c r="K201" i="7" s="1"/>
  <c r="P200" i="7"/>
  <c r="H434" i="1"/>
  <c r="H200" i="7" s="1"/>
  <c r="B418" i="1"/>
  <c r="B184" i="7" s="1"/>
  <c r="A479" i="8"/>
  <c r="H80" i="1"/>
  <c r="H1042" i="1" s="1"/>
  <c r="H1043" i="1" s="1"/>
  <c r="D9" i="7"/>
  <c r="A438" i="8"/>
  <c r="A2090" i="1"/>
  <c r="A1129" i="7" s="1"/>
  <c r="A2079" i="1"/>
  <c r="A1118" i="7" s="1"/>
  <c r="A2055" i="1"/>
  <c r="A1094" i="7" s="1"/>
  <c r="A2029" i="1"/>
  <c r="A2027" i="1"/>
  <c r="A1996" i="1"/>
  <c r="A1086" i="7" s="1"/>
  <c r="A1986" i="1"/>
  <c r="A1076" i="7" s="1"/>
  <c r="C1938" i="1"/>
  <c r="C2090" i="1" s="1"/>
  <c r="C1129" i="7" s="1"/>
  <c r="A1931" i="1"/>
  <c r="A1923" i="1"/>
  <c r="A1919" i="1"/>
  <c r="A1913" i="1"/>
  <c r="A1870" i="1"/>
  <c r="A1863" i="1"/>
  <c r="A1852" i="1"/>
  <c r="A1846" i="1"/>
  <c r="A1842" i="1"/>
  <c r="A1834" i="1"/>
  <c r="A1832" i="1"/>
  <c r="A1804" i="1"/>
  <c r="A1037" i="7" s="1"/>
  <c r="A1802" i="1"/>
  <c r="A1035" i="7" s="1"/>
  <c r="A1792" i="1"/>
  <c r="A1025" i="7" s="1"/>
  <c r="A1782" i="1"/>
  <c r="A1015" i="7" s="1"/>
  <c r="B1777" i="1"/>
  <c r="B1010" i="7" s="1"/>
  <c r="B1773" i="1"/>
  <c r="B1006" i="7" s="1"/>
  <c r="C1761" i="1"/>
  <c r="C994" i="7" s="1"/>
  <c r="A1708" i="1"/>
  <c r="A1679" i="1"/>
  <c r="A987" i="7" s="1"/>
  <c r="A1674" i="1"/>
  <c r="A982" i="7" s="1"/>
  <c r="A1668" i="1"/>
  <c r="A976" i="7" s="1"/>
  <c r="A1662" i="1"/>
  <c r="A970" i="7" s="1"/>
  <c r="A1658" i="1"/>
  <c r="A966" i="7" s="1"/>
  <c r="A1599" i="1"/>
  <c r="A957" i="7" s="1"/>
  <c r="A1593" i="1"/>
  <c r="A951" i="7" s="1"/>
  <c r="A1589" i="1"/>
  <c r="A947" i="7" s="1"/>
  <c r="A1579" i="1"/>
  <c r="A937" i="7" s="1"/>
  <c r="A1564" i="1"/>
  <c r="A922" i="7" s="1"/>
  <c r="A1454" i="1"/>
  <c r="A808" i="7" s="1"/>
  <c r="A1439" i="1"/>
  <c r="A793" i="7" s="1"/>
  <c r="A1429" i="1"/>
  <c r="A783" i="7" s="1"/>
  <c r="A1387" i="1"/>
  <c r="A1316" i="1"/>
  <c r="A686" i="7" s="1"/>
  <c r="A1307" i="1"/>
  <c r="A677" i="7" s="1"/>
  <c r="A1204" i="1"/>
  <c r="A606" i="7" s="1"/>
  <c r="A1196" i="1"/>
  <c r="A600" i="7" s="1"/>
  <c r="A1188" i="1"/>
  <c r="A592" i="7" s="1"/>
  <c r="B1036" i="1"/>
  <c r="B448" i="7" s="1"/>
  <c r="B855" i="1"/>
  <c r="C351" i="1"/>
  <c r="C102" i="7" s="1"/>
  <c r="C329" i="1"/>
  <c r="C80" i="7" s="1"/>
  <c r="A220" i="1"/>
  <c r="A185" i="1"/>
  <c r="C582" i="8"/>
  <c r="A773" i="8"/>
  <c r="A2144" i="1"/>
  <c r="A2103" i="1"/>
  <c r="K429" i="1"/>
  <c r="K195" i="7" s="1"/>
  <c r="A449" i="1"/>
  <c r="A215" i="7" s="1"/>
  <c r="A432" i="1"/>
  <c r="A198" i="7" s="1"/>
  <c r="A438" i="1"/>
  <c r="A204" i="7" s="1"/>
  <c r="A372" i="1"/>
  <c r="A123" i="7" s="1"/>
  <c r="A150" i="7"/>
  <c r="A493" i="1"/>
  <c r="A259" i="7" s="1"/>
  <c r="A476" i="1"/>
  <c r="A242" i="7" s="1"/>
  <c r="A388" i="1"/>
  <c r="A154" i="7" s="1"/>
  <c r="B1947" i="1"/>
  <c r="M1448" i="1"/>
  <c r="M802" i="7" s="1"/>
  <c r="I1448" i="1"/>
  <c r="I802" i="7" s="1"/>
  <c r="K1284" i="1"/>
  <c r="F81" i="1"/>
  <c r="F2043" i="1" s="1"/>
  <c r="A495" i="8"/>
  <c r="A471" i="8"/>
  <c r="A298" i="8"/>
  <c r="A154" i="8"/>
  <c r="A108" i="8"/>
  <c r="B345" i="1"/>
  <c r="B2151" i="1"/>
  <c r="A2088" i="1"/>
  <c r="A1127" i="7" s="1"/>
  <c r="A2083" i="1"/>
  <c r="A1122" i="7" s="1"/>
  <c r="A2077" i="1"/>
  <c r="A1116" i="7" s="1"/>
  <c r="A2066" i="1"/>
  <c r="A1105" i="7" s="1"/>
  <c r="A1999" i="1"/>
  <c r="A1089" i="7" s="1"/>
  <c r="A1993" i="1"/>
  <c r="A1083" i="7" s="1"/>
  <c r="A1988" i="1"/>
  <c r="A1078" i="7" s="1"/>
  <c r="A1983" i="1"/>
  <c r="A1073" i="7" s="1"/>
  <c r="A1980" i="1"/>
  <c r="A1070" i="7" s="1"/>
  <c r="A1978" i="1"/>
  <c r="A1068" i="7" s="1"/>
  <c r="A1976" i="1"/>
  <c r="A1066" i="7" s="1"/>
  <c r="A1948" i="1"/>
  <c r="A1946" i="1"/>
  <c r="A1941" i="1"/>
  <c r="A1938" i="1"/>
  <c r="A1934" i="1"/>
  <c r="A1929" i="1"/>
  <c r="B1923" i="1"/>
  <c r="B1922" i="1"/>
  <c r="B1919" i="1"/>
  <c r="B1918" i="1"/>
  <c r="A1915" i="1"/>
  <c r="A1909" i="1"/>
  <c r="A1907" i="1"/>
  <c r="A1905" i="1"/>
  <c r="A1872" i="1"/>
  <c r="A1865" i="1"/>
  <c r="A1860" i="1"/>
  <c r="A1855" i="1"/>
  <c r="B1850" i="1"/>
  <c r="A1848" i="1"/>
  <c r="B1845" i="1"/>
  <c r="B1843" i="1"/>
  <c r="A1838" i="1"/>
  <c r="A1836" i="1"/>
  <c r="A1797" i="1"/>
  <c r="A1030" i="7" s="1"/>
  <c r="A1794" i="1"/>
  <c r="A1027" i="7" s="1"/>
  <c r="A1790" i="1"/>
  <c r="A1023" i="7" s="1"/>
  <c r="A1785" i="1"/>
  <c r="A1018" i="7" s="1"/>
  <c r="A1779" i="1"/>
  <c r="A1012" i="7" s="1"/>
  <c r="B1778" i="1"/>
  <c r="B1011" i="7" s="1"/>
  <c r="A1777" i="1"/>
  <c r="A1010" i="7" s="1"/>
  <c r="B1774" i="1"/>
  <c r="B1007" i="7" s="1"/>
  <c r="A1761" i="1"/>
  <c r="A994" i="7" s="1"/>
  <c r="A1759" i="1"/>
  <c r="A992" i="7" s="1"/>
  <c r="A1389" i="1"/>
  <c r="A1866" i="1"/>
  <c r="B1852" i="1"/>
  <c r="B1851" i="1"/>
  <c r="B1844" i="1"/>
  <c r="A1837" i="1"/>
  <c r="C1835" i="1"/>
  <c r="A1295" i="1"/>
  <c r="B1142" i="1"/>
  <c r="B546" i="7" s="1"/>
  <c r="A939" i="1"/>
  <c r="A937" i="1"/>
  <c r="A935" i="1"/>
  <c r="A933" i="1"/>
  <c r="K380" i="7"/>
  <c r="A462" i="1"/>
  <c r="A228" i="7" s="1"/>
  <c r="A385" i="1"/>
  <c r="A136" i="7" s="1"/>
  <c r="B1769" i="1"/>
  <c r="B1002" i="7" s="1"/>
  <c r="A1768" i="1"/>
  <c r="A1001" i="7" s="1"/>
  <c r="A1733" i="1"/>
  <c r="A1683" i="1"/>
  <c r="A1680" i="1"/>
  <c r="A988" i="7" s="1"/>
  <c r="C1678" i="1"/>
  <c r="C986" i="7" s="1"/>
  <c r="A1292" i="1"/>
  <c r="A1015" i="1"/>
  <c r="A1013" i="1"/>
  <c r="B1921" i="1"/>
  <c r="B1920" i="1"/>
  <c r="B1917" i="1"/>
  <c r="B1916" i="1"/>
  <c r="B1913" i="1"/>
  <c r="A1912" i="1"/>
  <c r="B1776" i="1"/>
  <c r="B1009" i="7" s="1"/>
  <c r="A1290" i="1"/>
  <c r="A1793" i="1"/>
  <c r="A1026" i="7" s="1"/>
  <c r="A1791" i="1"/>
  <c r="A1024" i="7" s="1"/>
  <c r="A1786" i="1"/>
  <c r="A1019" i="7" s="1"/>
  <c r="A1783" i="1"/>
  <c r="A1016" i="7" s="1"/>
  <c r="A1781" i="1"/>
  <c r="A1014" i="7" s="1"/>
  <c r="A490" i="8"/>
  <c r="A1591" i="1"/>
  <c r="A949" i="7" s="1"/>
  <c r="A482" i="8"/>
  <c r="A1587" i="1"/>
  <c r="A945" i="7" s="1"/>
  <c r="A472" i="8"/>
  <c r="A1581" i="1"/>
  <c r="A939" i="7" s="1"/>
  <c r="A466" i="8"/>
  <c r="A1578" i="1"/>
  <c r="A936" i="7" s="1"/>
  <c r="A455" i="8"/>
  <c r="A1572" i="1"/>
  <c r="A930" i="7" s="1"/>
  <c r="A451" i="8"/>
  <c r="A1570" i="1"/>
  <c r="A928" i="7" s="1"/>
  <c r="A443" i="8"/>
  <c r="A1566" i="1"/>
  <c r="A924" i="7" s="1"/>
  <c r="A329" i="8"/>
  <c r="A1457" i="1"/>
  <c r="A811" i="7" s="1"/>
  <c r="A319" i="8"/>
  <c r="A1451" i="1"/>
  <c r="A805" i="7" s="1"/>
  <c r="A309" i="8"/>
  <c r="A1446" i="1"/>
  <c r="A800" i="7" s="1"/>
  <c r="A283" i="8"/>
  <c r="A1431" i="1"/>
  <c r="A785" i="7" s="1"/>
  <c r="A275" i="8"/>
  <c r="A1427" i="1"/>
  <c r="A781" i="7" s="1"/>
  <c r="A269" i="8"/>
  <c r="A1424" i="1"/>
  <c r="A778" i="7" s="1"/>
  <c r="A184" i="8"/>
  <c r="A1392" i="1"/>
  <c r="A180" i="8"/>
  <c r="A1385" i="1"/>
  <c r="A169" i="8"/>
  <c r="A1324" i="1"/>
  <c r="A694" i="7" s="1"/>
  <c r="A175" i="8"/>
  <c r="A1388" i="1"/>
  <c r="A161" i="8"/>
  <c r="A1320" i="1"/>
  <c r="A690" i="7" s="1"/>
  <c r="A157" i="8"/>
  <c r="A1315" i="1"/>
  <c r="A685" i="7" s="1"/>
  <c r="A141" i="8"/>
  <c r="A1310" i="1"/>
  <c r="A680" i="7" s="1"/>
  <c r="A131" i="8"/>
  <c r="A1305" i="1"/>
  <c r="A675" i="7" s="1"/>
  <c r="A124" i="8"/>
  <c r="A1301" i="1"/>
  <c r="A671" i="7" s="1"/>
  <c r="A119" i="8"/>
  <c r="A1296" i="1"/>
  <c r="A107" i="8"/>
  <c r="A1291" i="1"/>
  <c r="A100" i="8"/>
  <c r="A1287" i="1"/>
  <c r="A83" i="8"/>
  <c r="A1441" i="1"/>
  <c r="A795" i="7" s="1"/>
  <c r="A75" i="8"/>
  <c r="A1273" i="1"/>
  <c r="A1438" i="1"/>
  <c r="A792" i="7" s="1"/>
  <c r="A68" i="8"/>
  <c r="A1269" i="1"/>
  <c r="A1224" i="1"/>
  <c r="A626" i="7" s="1"/>
  <c r="A1229" i="1"/>
  <c r="A632" i="7" s="1"/>
  <c r="A1209" i="1"/>
  <c r="A611" i="7" s="1"/>
  <c r="A1225" i="1"/>
  <c r="A627" i="7" s="1"/>
  <c r="A97" i="8"/>
  <c r="A1218" i="1"/>
  <c r="A620" i="7" s="1"/>
  <c r="A118" i="8"/>
  <c r="A1197" i="1"/>
  <c r="A1238" i="1"/>
  <c r="A93" i="8"/>
  <c r="A1283" i="1"/>
  <c r="A89" i="8"/>
  <c r="A1281" i="1"/>
  <c r="A1107" i="1"/>
  <c r="A511" i="7" s="1"/>
  <c r="A1110" i="1"/>
  <c r="A514" i="7" s="1"/>
  <c r="A1057" i="1"/>
  <c r="A465" i="7" s="1"/>
  <c r="A1084" i="1"/>
  <c r="A488" i="7" s="1"/>
  <c r="A948" i="1"/>
  <c r="A962" i="1"/>
  <c r="A981" i="1"/>
  <c r="A1005" i="1"/>
  <c r="A756" i="1"/>
  <c r="A850" i="1"/>
  <c r="A869" i="1"/>
  <c r="A754" i="1"/>
  <c r="A846" i="1"/>
  <c r="A865" i="1"/>
  <c r="A747" i="1"/>
  <c r="A842" i="1"/>
  <c r="A746" i="1"/>
  <c r="A838" i="1"/>
  <c r="A383" i="7"/>
  <c r="A387" i="7"/>
  <c r="A655" i="1"/>
  <c r="A371" i="7" s="1"/>
  <c r="A605" i="1"/>
  <c r="A297" i="7" s="1"/>
  <c r="A353" i="7"/>
  <c r="A646" i="1"/>
  <c r="A362" i="7" s="1"/>
  <c r="A564" i="1"/>
  <c r="A2076" i="1"/>
  <c r="A1115" i="7" s="1"/>
  <c r="A2069" i="1"/>
  <c r="A1108" i="7" s="1"/>
  <c r="A2063" i="1"/>
  <c r="A1102" i="7" s="1"/>
  <c r="A1877" i="1"/>
  <c r="A1799" i="1"/>
  <c r="A1032" i="7" s="1"/>
  <c r="A1775" i="1"/>
  <c r="A1008" i="7" s="1"/>
  <c r="A375" i="1"/>
  <c r="A126" i="7" s="1"/>
  <c r="A478" i="1"/>
  <c r="A244" i="7" s="1"/>
  <c r="A342" i="1"/>
  <c r="A93" i="7" s="1"/>
  <c r="A401" i="1"/>
  <c r="A167" i="7" s="1"/>
  <c r="A79" i="1"/>
  <c r="S652" i="1"/>
  <c r="S368" i="7" s="1"/>
  <c r="A469" i="1"/>
  <c r="A235" i="7" s="1"/>
  <c r="A466" i="1"/>
  <c r="A232" i="7" s="1"/>
  <c r="A141" i="7"/>
  <c r="A376" i="1"/>
  <c r="A127" i="7" s="1"/>
  <c r="A1318" i="1"/>
  <c r="A688" i="7" s="1"/>
  <c r="A755" i="1"/>
  <c r="A753" i="1"/>
  <c r="A751" i="1"/>
  <c r="A750" i="1"/>
  <c r="A748" i="1"/>
  <c r="A745" i="1"/>
  <c r="A656" i="1"/>
  <c r="A372" i="7" s="1"/>
  <c r="A2080" i="1"/>
  <c r="A1119" i="7" s="1"/>
  <c r="A2078" i="1"/>
  <c r="A1117" i="7" s="1"/>
  <c r="A1947" i="1"/>
  <c r="A1944" i="1"/>
  <c r="A1450" i="1"/>
  <c r="A804" i="7" s="1"/>
  <c r="A1448" i="1"/>
  <c r="A802" i="7" s="1"/>
  <c r="A1440" i="1"/>
  <c r="A794" i="7" s="1"/>
  <c r="A1433" i="1"/>
  <c r="A787" i="7" s="1"/>
  <c r="A1430" i="1"/>
  <c r="A784" i="7" s="1"/>
  <c r="A1428" i="1"/>
  <c r="A782" i="7" s="1"/>
  <c r="A1426" i="1"/>
  <c r="A780" i="7" s="1"/>
  <c r="A1308" i="1"/>
  <c r="A678" i="7" s="1"/>
  <c r="A1306" i="1"/>
  <c r="A676" i="7" s="1"/>
  <c r="A1304" i="1"/>
  <c r="A674" i="7" s="1"/>
  <c r="A1274" i="1"/>
  <c r="A1219" i="1"/>
  <c r="A621" i="7" s="1"/>
  <c r="A1198" i="1"/>
  <c r="A1103" i="1"/>
  <c r="A507" i="7" s="1"/>
  <c r="A441" i="1"/>
  <c r="A207" i="7" s="1"/>
  <c r="C172" i="1"/>
  <c r="A1" i="1"/>
  <c r="A377" i="7"/>
  <c r="A381" i="7"/>
  <c r="A385" i="7"/>
  <c r="A389" i="7"/>
  <c r="A393" i="7"/>
  <c r="A397" i="7"/>
  <c r="A375" i="7"/>
  <c r="A395" i="7"/>
  <c r="A399" i="7"/>
  <c r="A307" i="7"/>
  <c r="A607" i="1"/>
  <c r="A299" i="7" s="1"/>
  <c r="A315" i="7"/>
  <c r="A323" i="7"/>
  <c r="A331" i="7"/>
  <c r="A339" i="7"/>
  <c r="A355" i="7"/>
  <c r="A648" i="1"/>
  <c r="A364" i="7" s="1"/>
  <c r="A305" i="7"/>
  <c r="A345" i="7"/>
  <c r="A303" i="7"/>
  <c r="A603" i="1"/>
  <c r="A295" i="7" s="1"/>
  <c r="A311" i="7"/>
  <c r="A319" i="7"/>
  <c r="A327" i="7"/>
  <c r="A335" i="7"/>
  <c r="A351" i="7"/>
  <c r="A644" i="1"/>
  <c r="A360" i="7" s="1"/>
  <c r="B564" i="1"/>
  <c r="A566" i="1"/>
  <c r="A412" i="1"/>
  <c r="A178" i="7" s="1"/>
  <c r="A422" i="1"/>
  <c r="A188" i="7" s="1"/>
  <c r="A494" i="1"/>
  <c r="A260" i="7" s="1"/>
  <c r="A458" i="1"/>
  <c r="A224" i="7" s="1"/>
  <c r="A471" i="1"/>
  <c r="A237" i="7" s="1"/>
  <c r="A482" i="1"/>
  <c r="A248" i="7" s="1"/>
  <c r="A339" i="1"/>
  <c r="A90" i="7" s="1"/>
  <c r="A362" i="1"/>
  <c r="A113" i="7" s="1"/>
  <c r="A399" i="1"/>
  <c r="A165" i="7" s="1"/>
  <c r="A374" i="1"/>
  <c r="A125" i="7" s="1"/>
  <c r="A444" i="1"/>
  <c r="A210" i="7" s="1"/>
  <c r="A457" i="1"/>
  <c r="A223" i="7" s="1"/>
  <c r="A470" i="1"/>
  <c r="A236" i="7" s="1"/>
  <c r="A481" i="1"/>
  <c r="A247" i="7" s="1"/>
  <c r="A354" i="1"/>
  <c r="A105" i="7" s="1"/>
  <c r="A352" i="1"/>
  <c r="A103" i="7" s="1"/>
  <c r="A405" i="1"/>
  <c r="A171" i="7" s="1"/>
  <c r="A492" i="1"/>
  <c r="A258" i="7" s="1"/>
  <c r="A443" i="1"/>
  <c r="A209" i="7" s="1"/>
  <c r="A406" i="1"/>
  <c r="A172" i="7" s="1"/>
  <c r="A453" i="1"/>
  <c r="A219" i="7" s="1"/>
  <c r="A337" i="1"/>
  <c r="A88" i="7" s="1"/>
  <c r="A335" i="1"/>
  <c r="A86" i="7" s="1"/>
  <c r="A378" i="1"/>
  <c r="A129" i="7" s="1"/>
  <c r="A395" i="1"/>
  <c r="A161" i="7" s="1"/>
  <c r="A307" i="1"/>
  <c r="A58" i="7" s="1"/>
  <c r="A356" i="1"/>
  <c r="A107" i="7" s="1"/>
  <c r="A464" i="1"/>
  <c r="A230" i="7" s="1"/>
  <c r="A487" i="1"/>
  <c r="A253" i="7" s="1"/>
  <c r="A451" i="1"/>
  <c r="A217" i="7" s="1"/>
  <c r="A324" i="1"/>
  <c r="A75" i="7" s="1"/>
  <c r="A350" i="1"/>
  <c r="A101" i="7" s="1"/>
  <c r="A323" i="1"/>
  <c r="A74" i="7" s="1"/>
  <c r="A389" i="1"/>
  <c r="A155" i="7" s="1"/>
  <c r="C326" i="1"/>
  <c r="C77" i="7" s="1"/>
  <c r="S281" i="1"/>
  <c r="S32" i="7" s="1"/>
  <c r="S122" i="8"/>
  <c r="S498" i="1"/>
  <c r="S549" i="1"/>
  <c r="S278" i="7" s="1"/>
  <c r="S538" i="1"/>
  <c r="S264" i="7" s="1"/>
  <c r="S599" i="1"/>
  <c r="S291" i="7" s="1"/>
  <c r="A255" i="1"/>
  <c r="A246" i="1"/>
  <c r="A235" i="1"/>
  <c r="A383" i="1"/>
  <c r="A134" i="7" s="1"/>
  <c r="A446" i="1"/>
  <c r="A212" i="7" s="1"/>
  <c r="A472" i="1"/>
  <c r="A238" i="7" s="1"/>
  <c r="A483" i="1"/>
  <c r="A249" i="7" s="1"/>
  <c r="A317" i="1"/>
  <c r="A68" i="7" s="1"/>
  <c r="A366" i="1"/>
  <c r="A117" i="7" s="1"/>
  <c r="A434" i="1"/>
  <c r="A200" i="7" s="1"/>
  <c r="A460" i="1"/>
  <c r="A226" i="7" s="1"/>
  <c r="A207" i="1"/>
  <c r="A226" i="1"/>
  <c r="A223" i="1"/>
  <c r="A204" i="1"/>
  <c r="A187" i="1"/>
  <c r="A58" i="8"/>
  <c r="A54" i="8"/>
  <c r="A183" i="1"/>
  <c r="A219" i="1"/>
  <c r="A175" i="1"/>
  <c r="A46" i="8"/>
  <c r="A171" i="1"/>
  <c r="A213" i="1"/>
  <c r="A166" i="1"/>
  <c r="A206" i="1"/>
  <c r="A167" i="1"/>
  <c r="A155" i="1"/>
  <c r="A745" i="8"/>
  <c r="A563" i="1"/>
  <c r="A892" i="8"/>
  <c r="A562" i="1"/>
  <c r="A697" i="1"/>
  <c r="A47" i="1"/>
  <c r="A415" i="1"/>
  <c r="A181" i="7" s="1"/>
  <c r="A420" i="1"/>
  <c r="A186" i="7" s="1"/>
  <c r="A41" i="1"/>
  <c r="A46" i="1"/>
  <c r="A418" i="1"/>
  <c r="A184" i="7" s="1"/>
  <c r="A40" i="1"/>
  <c r="C743" i="1"/>
  <c r="A93" i="1"/>
  <c r="A88" i="1"/>
  <c r="A2056" i="1"/>
  <c r="A1095" i="7" s="1"/>
  <c r="A1981" i="1"/>
  <c r="A1071" i="7" s="1"/>
  <c r="B1915" i="1"/>
  <c r="B1914" i="1"/>
  <c r="A1908" i="1"/>
  <c r="A1869" i="1"/>
  <c r="B1848" i="1"/>
  <c r="A708" i="8"/>
  <c r="A1798" i="1"/>
  <c r="A1031" i="7" s="1"/>
  <c r="A698" i="8"/>
  <c r="A1861" i="1"/>
  <c r="A691" i="8"/>
  <c r="A1795" i="1"/>
  <c r="A1028" i="7" s="1"/>
  <c r="A1854" i="1"/>
  <c r="A688" i="8"/>
  <c r="A1778" i="1"/>
  <c r="A1011" i="7" s="1"/>
  <c r="A1851" i="1"/>
  <c r="A830" i="8"/>
  <c r="A1772" i="1"/>
  <c r="A1005" i="7" s="1"/>
  <c r="A1845" i="1"/>
  <c r="A676" i="8"/>
  <c r="A1766" i="1"/>
  <c r="A999" i="7" s="1"/>
  <c r="A1839" i="1"/>
  <c r="A1762" i="1"/>
  <c r="A995" i="7" s="1"/>
  <c r="A1835" i="1"/>
  <c r="B686" i="8"/>
  <c r="B680" i="8"/>
  <c r="B756" i="8"/>
  <c r="B1779" i="1"/>
  <c r="B1012" i="7" s="1"/>
  <c r="A577" i="8"/>
  <c r="A1669" i="1"/>
  <c r="A977" i="7" s="1"/>
  <c r="A572" i="8"/>
  <c r="A1664" i="1"/>
  <c r="A972" i="7" s="1"/>
  <c r="A569" i="8"/>
  <c r="A1661" i="1"/>
  <c r="A969" i="7" s="1"/>
  <c r="A567" i="8"/>
  <c r="A1659" i="1"/>
  <c r="A967" i="7" s="1"/>
  <c r="A488" i="8"/>
  <c r="A1590" i="1"/>
  <c r="A948" i="7" s="1"/>
  <c r="A475" i="8"/>
  <c r="A1583" i="1"/>
  <c r="A941" i="7" s="1"/>
  <c r="A458" i="8"/>
  <c r="A1574" i="1"/>
  <c r="A932" i="7" s="1"/>
  <c r="A937" i="8"/>
  <c r="A1456" i="1"/>
  <c r="A810" i="7" s="1"/>
  <c r="A306" i="8"/>
  <c r="A1444" i="1"/>
  <c r="A798" i="7" s="1"/>
  <c r="A186" i="8"/>
  <c r="A1393" i="1"/>
  <c r="A167" i="8"/>
  <c r="A1323" i="1"/>
  <c r="A693" i="7" s="1"/>
  <c r="A163" i="8"/>
  <c r="A1321" i="1"/>
  <c r="A691" i="7" s="1"/>
  <c r="A147" i="8"/>
  <c r="A1313" i="1"/>
  <c r="A683" i="7" s="1"/>
  <c r="A949" i="1"/>
  <c r="A982" i="1"/>
  <c r="A1006" i="1"/>
  <c r="A1037" i="1"/>
  <c r="A449" i="7" s="1"/>
  <c r="A1080" i="1"/>
  <c r="A484" i="7" s="1"/>
  <c r="A442" i="1"/>
  <c r="A208" i="7" s="1"/>
  <c r="A455" i="1"/>
  <c r="A221" i="7" s="1"/>
  <c r="A491" i="1"/>
  <c r="A257" i="7" s="1"/>
  <c r="A380" i="1"/>
  <c r="A131" i="7" s="1"/>
  <c r="A397" i="1"/>
  <c r="A163" i="7" s="1"/>
  <c r="A146" i="7"/>
  <c r="A489" i="1"/>
  <c r="A255" i="7" s="1"/>
  <c r="A272" i="1"/>
  <c r="A370" i="1"/>
  <c r="A121" i="7" s="1"/>
  <c r="A459" i="1"/>
  <c r="A225" i="7" s="1"/>
  <c r="A326" i="1"/>
  <c r="A77" i="7" s="1"/>
  <c r="A368" i="1"/>
  <c r="A119" i="7" s="1"/>
  <c r="A151" i="7"/>
  <c r="A474" i="1"/>
  <c r="A240" i="7" s="1"/>
  <c r="A485" i="1"/>
  <c r="A251" i="7" s="1"/>
  <c r="A364" i="1"/>
  <c r="A115" i="7" s="1"/>
  <c r="A332" i="1"/>
  <c r="A83" i="7" s="1"/>
  <c r="A355" i="1"/>
  <c r="A106" i="7" s="1"/>
  <c r="A330" i="1"/>
  <c r="A81" i="7" s="1"/>
  <c r="A304" i="1"/>
  <c r="A55" i="7" s="1"/>
  <c r="A353" i="1"/>
  <c r="A104" i="7" s="1"/>
  <c r="A293" i="1"/>
  <c r="A44" i="7" s="1"/>
  <c r="A312" i="1"/>
  <c r="A63" i="7" s="1"/>
  <c r="A361" i="1"/>
  <c r="A112" i="7" s="1"/>
  <c r="A147" i="7"/>
  <c r="A454" i="1"/>
  <c r="A220" i="7" s="1"/>
  <c r="A467" i="1"/>
  <c r="A233" i="7" s="1"/>
  <c r="A480" i="1"/>
  <c r="A246" i="7" s="1"/>
  <c r="A338" i="1"/>
  <c r="A89" i="7" s="1"/>
  <c r="A381" i="1"/>
  <c r="A132" i="7" s="1"/>
  <c r="A398" i="1"/>
  <c r="A164" i="7" s="1"/>
  <c r="A291" i="1"/>
  <c r="A42" i="7" s="1"/>
  <c r="A310" i="1"/>
  <c r="A61" i="7" s="1"/>
  <c r="A359" i="1"/>
  <c r="A110" i="7" s="1"/>
  <c r="A145" i="7"/>
  <c r="A407" i="1"/>
  <c r="A173" i="7" s="1"/>
  <c r="A430" i="1"/>
  <c r="A196" i="7" s="1"/>
  <c r="A452" i="1"/>
  <c r="A218" i="7" s="1"/>
  <c r="A465" i="1"/>
  <c r="A231" i="7" s="1"/>
  <c r="A336" i="1"/>
  <c r="A87" i="7" s="1"/>
  <c r="A377" i="1"/>
  <c r="A128" i="7" s="1"/>
  <c r="A289" i="1"/>
  <c r="A40" i="7" s="1"/>
  <c r="A334" i="1"/>
  <c r="A85" i="7" s="1"/>
  <c r="A357" i="1"/>
  <c r="A108" i="7" s="1"/>
  <c r="A325" i="1"/>
  <c r="A76" i="7" s="1"/>
  <c r="A351" i="1"/>
  <c r="A102" i="7" s="1"/>
  <c r="A373" i="1"/>
  <c r="A124" i="7" s="1"/>
  <c r="A139" i="7"/>
  <c r="A390" i="1"/>
  <c r="A156" i="7" s="1"/>
  <c r="A302" i="1"/>
  <c r="A53" i="7" s="1"/>
  <c r="A285" i="1"/>
  <c r="A36" i="7" s="1"/>
  <c r="A138" i="7"/>
  <c r="C287" i="1"/>
  <c r="C38" i="7" s="1"/>
  <c r="C404" i="1"/>
  <c r="C170" i="7" s="1"/>
  <c r="C373" i="1"/>
  <c r="C124" i="7" s="1"/>
  <c r="C390" i="1"/>
  <c r="C156" i="7" s="1"/>
  <c r="A318" i="1"/>
  <c r="A69" i="7" s="1"/>
  <c r="A276" i="1"/>
  <c r="A296" i="1"/>
  <c r="A47" i="7" s="1"/>
  <c r="A384" i="1"/>
  <c r="A135" i="7" s="1"/>
  <c r="A435" i="1"/>
  <c r="A201" i="7" s="1"/>
  <c r="A447" i="1"/>
  <c r="A213" i="7" s="1"/>
  <c r="A461" i="1"/>
  <c r="A227" i="7" s="1"/>
  <c r="A473" i="1"/>
  <c r="A239" i="7" s="1"/>
  <c r="A236" i="1"/>
  <c r="A344" i="1"/>
  <c r="A95" i="7" s="1"/>
  <c r="A484" i="1"/>
  <c r="A250" i="7" s="1"/>
  <c r="A234" i="1"/>
  <c r="A258" i="1"/>
  <c r="A273" i="1"/>
  <c r="A261" i="1"/>
  <c r="A243" i="1"/>
  <c r="A252" i="1"/>
  <c r="B256" i="1"/>
  <c r="B238" i="1"/>
  <c r="B247" i="1"/>
  <c r="B265" i="1"/>
  <c r="A151" i="1"/>
  <c r="A163" i="1"/>
  <c r="C112" i="1"/>
  <c r="C107" i="1"/>
  <c r="C108" i="1"/>
  <c r="C142" i="1"/>
  <c r="C146" i="1"/>
  <c r="C161" i="1"/>
  <c r="C196" i="1"/>
  <c r="C214" i="1"/>
  <c r="C225" i="1"/>
  <c r="C206" i="1"/>
  <c r="A205" i="1"/>
  <c r="A224" i="1"/>
  <c r="C585" i="8"/>
  <c r="C200" i="1"/>
  <c r="C1674" i="1"/>
  <c r="C982" i="7" s="1"/>
  <c r="C1680" i="1"/>
  <c r="C988" i="7" s="1"/>
  <c r="C1681" i="1"/>
  <c r="C989" i="7" s="1"/>
  <c r="C1796" i="1"/>
  <c r="C1029" i="7" s="1"/>
  <c r="A52" i="8"/>
  <c r="A181" i="1"/>
  <c r="A48" i="8"/>
  <c r="A177" i="1"/>
  <c r="A174" i="1"/>
  <c r="A184" i="1"/>
  <c r="A186" i="1"/>
  <c r="A176" i="1"/>
  <c r="A182" i="1"/>
  <c r="A188" i="1"/>
  <c r="A202" i="1"/>
  <c r="A216" i="1"/>
  <c r="A426" i="1"/>
  <c r="A192" i="7" s="1"/>
  <c r="A178" i="1"/>
  <c r="A180" i="1"/>
  <c r="A172" i="1"/>
  <c r="A196" i="1"/>
  <c r="A214" i="1"/>
  <c r="A225" i="1"/>
  <c r="A42" i="1"/>
  <c r="A416" i="1"/>
  <c r="A182" i="7" s="1"/>
  <c r="A421" i="1"/>
  <c r="A187" i="7" s="1"/>
  <c r="A48" i="1"/>
  <c r="A39" i="1"/>
  <c r="A414" i="1"/>
  <c r="A180" i="7" s="1"/>
  <c r="A45" i="1"/>
  <c r="A44" i="1"/>
  <c r="B36" i="1"/>
  <c r="B284" i="1"/>
  <c r="B35" i="7" s="1"/>
  <c r="B322" i="1"/>
  <c r="B73" i="7" s="1"/>
  <c r="B371" i="1"/>
  <c r="B122" i="7" s="1"/>
  <c r="B137" i="7"/>
  <c r="B388" i="1"/>
  <c r="B154" i="7" s="1"/>
  <c r="A501" i="1"/>
  <c r="B695" i="1"/>
  <c r="B299" i="1"/>
  <c r="B50" i="7" s="1"/>
  <c r="B348" i="1"/>
  <c r="B99" i="7" s="1"/>
  <c r="B560" i="1"/>
  <c r="B946" i="1"/>
  <c r="B979" i="1"/>
  <c r="B1003" i="1"/>
  <c r="B1053" i="1"/>
  <c r="B461" i="7" s="1"/>
  <c r="B1064" i="1"/>
  <c r="B472" i="7" s="1"/>
  <c r="B1378" i="1"/>
  <c r="F36" i="8"/>
  <c r="F890" i="8" s="1"/>
  <c r="F30" i="1"/>
  <c r="F27" i="7" s="1"/>
  <c r="B24" i="8"/>
  <c r="B11" i="1"/>
  <c r="B8" i="7" s="1"/>
  <c r="C243" i="1"/>
  <c r="C252" i="1"/>
  <c r="C261" i="1"/>
  <c r="C266" i="1"/>
  <c r="C303" i="1"/>
  <c r="C54" i="7" s="1"/>
  <c r="C304" i="1"/>
  <c r="C55" i="7" s="1"/>
  <c r="C239" i="1"/>
  <c r="C257" i="1"/>
  <c r="C330" i="1"/>
  <c r="C81" i="7" s="1"/>
  <c r="C391" i="1"/>
  <c r="C157" i="7" s="1"/>
  <c r="C405" i="1"/>
  <c r="C171" i="7" s="1"/>
  <c r="C353" i="1"/>
  <c r="C104" i="7" s="1"/>
  <c r="E23" i="8"/>
  <c r="B10" i="1"/>
  <c r="B7" i="7" s="1"/>
  <c r="A2089" i="1"/>
  <c r="A1128" i="7" s="1"/>
  <c r="A2086" i="1"/>
  <c r="A1125" i="7" s="1"/>
  <c r="A2084" i="1"/>
  <c r="A1123" i="7" s="1"/>
  <c r="A2082" i="1"/>
  <c r="A1121" i="7" s="1"/>
  <c r="A2072" i="1"/>
  <c r="A1111" i="7" s="1"/>
  <c r="A2035" i="1"/>
  <c r="A2033" i="1"/>
  <c r="A1997" i="1"/>
  <c r="A1087" i="7" s="1"/>
  <c r="A1995" i="1"/>
  <c r="A1085" i="7" s="1"/>
  <c r="A1991" i="1"/>
  <c r="A1081" i="7" s="1"/>
  <c r="A1989" i="1"/>
  <c r="A1079" i="7" s="1"/>
  <c r="A1987" i="1"/>
  <c r="A1077" i="7" s="1"/>
  <c r="A1984" i="1"/>
  <c r="A1074" i="7" s="1"/>
  <c r="A1979" i="1"/>
  <c r="A1069" i="7" s="1"/>
  <c r="A1940" i="1"/>
  <c r="A1937" i="1"/>
  <c r="A1932" i="1"/>
  <c r="A1925" i="1"/>
  <c r="A1922" i="1"/>
  <c r="A1916" i="1"/>
  <c r="A1910" i="1"/>
  <c r="A1876" i="1"/>
  <c r="A1873" i="1"/>
  <c r="A1871" i="1"/>
  <c r="C1869" i="1"/>
  <c r="C2086" i="1" s="1"/>
  <c r="C1125" i="7" s="1"/>
  <c r="A1868" i="1"/>
  <c r="B1849" i="1"/>
  <c r="B1846" i="1"/>
  <c r="B1842" i="1"/>
  <c r="A1841" i="1"/>
  <c r="C1834" i="1"/>
  <c r="A1796" i="1"/>
  <c r="A1029" i="7" s="1"/>
  <c r="B1771" i="1"/>
  <c r="B1004" i="7" s="1"/>
  <c r="B1770" i="1"/>
  <c r="B1003" i="7" s="1"/>
  <c r="A1764" i="1"/>
  <c r="A997" i="7" s="1"/>
  <c r="C1762" i="1"/>
  <c r="C995" i="7" s="1"/>
  <c r="C1677" i="1"/>
  <c r="C985" i="7" s="1"/>
  <c r="A1675" i="1"/>
  <c r="A983" i="7" s="1"/>
  <c r="A1603" i="1"/>
  <c r="A961" i="7" s="1"/>
  <c r="A1600" i="1"/>
  <c r="A958" i="7" s="1"/>
  <c r="A1598" i="1"/>
  <c r="A956" i="7" s="1"/>
  <c r="A1595" i="1"/>
  <c r="A953" i="7" s="1"/>
  <c r="A1577" i="1"/>
  <c r="A935" i="7" s="1"/>
  <c r="A1571" i="1"/>
  <c r="A929" i="7" s="1"/>
  <c r="A1569" i="1"/>
  <c r="A927" i="7" s="1"/>
  <c r="A1567" i="1"/>
  <c r="A925" i="7" s="1"/>
  <c r="A1565" i="1"/>
  <c r="A923" i="7" s="1"/>
  <c r="A1563" i="1"/>
  <c r="A921" i="7" s="1"/>
  <c r="A1382" i="1"/>
  <c r="A1314" i="1"/>
  <c r="A684" i="7" s="1"/>
  <c r="A1284" i="1"/>
  <c r="A1279" i="1"/>
  <c r="A1276" i="1"/>
  <c r="A1207" i="1"/>
  <c r="A609" i="7" s="1"/>
  <c r="A1192" i="1"/>
  <c r="A596" i="7" s="1"/>
  <c r="B1190" i="1"/>
  <c r="B594" i="7" s="1"/>
  <c r="B1181" i="1"/>
  <c r="B585" i="7" s="1"/>
  <c r="A1168" i="1"/>
  <c r="A572" i="7" s="1"/>
  <c r="A1106" i="1"/>
  <c r="A510" i="7" s="1"/>
  <c r="B1079" i="1"/>
  <c r="B483" i="7" s="1"/>
  <c r="A963" i="1"/>
  <c r="B960" i="1"/>
  <c r="A862" i="1"/>
  <c r="A488" i="1"/>
  <c r="A254" i="7" s="1"/>
  <c r="A479" i="1"/>
  <c r="A245" i="7" s="1"/>
  <c r="A477" i="1"/>
  <c r="A243" i="7" s="1"/>
  <c r="A396" i="1"/>
  <c r="A162" i="7" s="1"/>
  <c r="A394" i="1"/>
  <c r="A160" i="7" s="1"/>
  <c r="A143" i="7"/>
  <c r="C139" i="7"/>
  <c r="A379" i="1"/>
  <c r="A130" i="7" s="1"/>
  <c r="A367" i="1"/>
  <c r="A118" i="7" s="1"/>
  <c r="C199" i="1"/>
  <c r="A701" i="8"/>
  <c r="A1864" i="1"/>
  <c r="A696" i="8"/>
  <c r="A1859" i="1"/>
  <c r="A693" i="8"/>
  <c r="A1856" i="1"/>
  <c r="A761" i="8"/>
  <c r="A1776" i="1"/>
  <c r="A1009" i="7" s="1"/>
  <c r="A1849" i="1"/>
  <c r="A832" i="8"/>
  <c r="A1774" i="1"/>
  <c r="A1007" i="7" s="1"/>
  <c r="A1847" i="1"/>
  <c r="A828" i="8"/>
  <c r="A1770" i="1"/>
  <c r="A1003" i="7" s="1"/>
  <c r="A1843" i="1"/>
  <c r="A586" i="8"/>
  <c r="A1678" i="1"/>
  <c r="A986" i="7" s="1"/>
  <c r="A580" i="8"/>
  <c r="A1672" i="1"/>
  <c r="A980" i="7" s="1"/>
  <c r="A574" i="8"/>
  <c r="A1666" i="1"/>
  <c r="A974" i="7" s="1"/>
  <c r="A492" i="8"/>
  <c r="A69" i="1"/>
  <c r="A1592" i="1"/>
  <c r="A950" i="7" s="1"/>
  <c r="A484" i="8"/>
  <c r="A1588" i="1"/>
  <c r="A946" i="7" s="1"/>
  <c r="A480" i="8"/>
  <c r="A1586" i="1"/>
  <c r="A944" i="7" s="1"/>
  <c r="A470" i="8"/>
  <c r="A1580" i="1"/>
  <c r="A938" i="7" s="1"/>
  <c r="A462" i="8"/>
  <c r="A1576" i="1"/>
  <c r="A934" i="7" s="1"/>
  <c r="A331" i="8"/>
  <c r="A1458" i="1"/>
  <c r="A812" i="7" s="1"/>
  <c r="A321" i="8"/>
  <c r="A1452" i="1"/>
  <c r="A806" i="7" s="1"/>
  <c r="A311" i="8"/>
  <c r="A1447" i="1"/>
  <c r="A801" i="7" s="1"/>
  <c r="A267" i="8"/>
  <c r="A1423" i="1"/>
  <c r="A777" i="7" s="1"/>
  <c r="A182" i="8"/>
  <c r="A1391" i="1"/>
  <c r="A139" i="8"/>
  <c r="A1309" i="1"/>
  <c r="A679" i="7" s="1"/>
  <c r="A159" i="8"/>
  <c r="A1319" i="1"/>
  <c r="A689" i="7" s="1"/>
  <c r="A153" i="8"/>
  <c r="A1317" i="1"/>
  <c r="A687" i="7" s="1"/>
  <c r="A143" i="8"/>
  <c r="A1311" i="1"/>
  <c r="A681" i="7" s="1"/>
  <c r="A126" i="8"/>
  <c r="A1302" i="1"/>
  <c r="A672" i="7" s="1"/>
  <c r="A293" i="8"/>
  <c r="A1275" i="1"/>
  <c r="A1437" i="1"/>
  <c r="A791" i="7" s="1"/>
  <c r="A73" i="8"/>
  <c r="A1435" i="1"/>
  <c r="A789" i="7" s="1"/>
  <c r="A103" i="8"/>
  <c r="A1206" i="1"/>
  <c r="A608" i="7" s="1"/>
  <c r="A1220" i="1"/>
  <c r="A622" i="7" s="1"/>
  <c r="A1289" i="1"/>
  <c r="A858" i="1"/>
  <c r="A932" i="1"/>
  <c r="A849" i="1"/>
  <c r="A868" i="1"/>
  <c r="A847" i="1"/>
  <c r="A866" i="1"/>
  <c r="A845" i="1"/>
  <c r="A864" i="1"/>
  <c r="A843" i="1"/>
  <c r="A1119" i="1"/>
  <c r="A523" i="7" s="1"/>
  <c r="A1123" i="1"/>
  <c r="A527" i="7" s="1"/>
  <c r="A1127" i="1"/>
  <c r="A531" i="7" s="1"/>
  <c r="A841" i="1"/>
  <c r="A839" i="1"/>
  <c r="A743" i="1"/>
  <c r="A701" i="1"/>
  <c r="A699" i="1"/>
  <c r="B409" i="7"/>
  <c r="B413" i="7"/>
  <c r="B417" i="7"/>
  <c r="B421" i="7"/>
  <c r="B425" i="7"/>
  <c r="B429" i="7"/>
  <c r="B433" i="7"/>
  <c r="A376" i="7"/>
  <c r="A384" i="7"/>
  <c r="A392" i="7"/>
  <c r="A396" i="7"/>
  <c r="A400" i="7"/>
  <c r="A380" i="7"/>
  <c r="A308" i="7"/>
  <c r="A608" i="1"/>
  <c r="A300" i="7" s="1"/>
  <c r="A316" i="7"/>
  <c r="A324" i="7"/>
  <c r="A332" i="7"/>
  <c r="A340" i="7"/>
  <c r="A356" i="7"/>
  <c r="A348" i="7"/>
  <c r="A649" i="1"/>
  <c r="A365" i="7" s="1"/>
  <c r="A306" i="7"/>
  <c r="A606" i="1"/>
  <c r="A298" i="7" s="1"/>
  <c r="A314" i="7"/>
  <c r="A322" i="7"/>
  <c r="A330" i="7"/>
  <c r="A338" i="7"/>
  <c r="A354" i="7"/>
  <c r="A346" i="7"/>
  <c r="A647" i="1"/>
  <c r="A363" i="7" s="1"/>
  <c r="A304" i="7"/>
  <c r="A604" i="1"/>
  <c r="A296" i="7" s="1"/>
  <c r="A312" i="7"/>
  <c r="A320" i="7"/>
  <c r="A328" i="7"/>
  <c r="A336" i="7"/>
  <c r="A352" i="7"/>
  <c r="A344" i="7"/>
  <c r="A645" i="1"/>
  <c r="A361" i="7" s="1"/>
  <c r="A302" i="7"/>
  <c r="A602" i="1"/>
  <c r="A294" i="7" s="1"/>
  <c r="A310" i="7"/>
  <c r="A318" i="7"/>
  <c r="A326" i="7"/>
  <c r="A334" i="7"/>
  <c r="A350" i="7"/>
  <c r="A342" i="7"/>
  <c r="A643" i="1"/>
  <c r="A359" i="7" s="1"/>
  <c r="C564" i="1"/>
  <c r="A567" i="1"/>
  <c r="A565" i="1"/>
  <c r="A454" i="8"/>
  <c r="A316" i="8"/>
  <c r="A282" i="8"/>
  <c r="A168" i="8"/>
  <c r="A138" i="8"/>
  <c r="A90" i="8"/>
  <c r="A429" i="7"/>
  <c r="L396" i="7"/>
  <c r="A394" i="7"/>
  <c r="O388" i="7"/>
  <c r="K388" i="7"/>
  <c r="G388" i="7"/>
  <c r="Q380" i="7"/>
  <c r="M380" i="7"/>
  <c r="I380" i="7"/>
  <c r="A341" i="7"/>
  <c r="G562" i="1"/>
  <c r="G563" i="1" s="1"/>
  <c r="J473" i="1"/>
  <c r="J239" i="7" s="1"/>
  <c r="M472" i="1"/>
  <c r="M238" i="7" s="1"/>
  <c r="L461" i="1"/>
  <c r="L227" i="7" s="1"/>
  <c r="K460" i="1"/>
  <c r="K226" i="7" s="1"/>
  <c r="H459" i="1"/>
  <c r="H225" i="7" s="1"/>
  <c r="O213" i="7"/>
  <c r="K447" i="1"/>
  <c r="K213" i="7" s="1"/>
  <c r="G447" i="1"/>
  <c r="G213" i="7" s="1"/>
  <c r="P212" i="7"/>
  <c r="L446" i="1"/>
  <c r="L212" i="7" s="1"/>
  <c r="H446" i="1"/>
  <c r="H212" i="7" s="1"/>
  <c r="O195" i="7"/>
  <c r="F92" i="1"/>
  <c r="G93" i="1" s="1"/>
  <c r="A505" i="8"/>
  <c r="A487" i="8"/>
  <c r="A463" i="8"/>
  <c r="A446" i="8"/>
  <c r="A325" i="8"/>
  <c r="A307" i="8"/>
  <c r="A290" i="8"/>
  <c r="A274" i="8"/>
  <c r="A178" i="8"/>
  <c r="A162" i="8"/>
  <c r="A146" i="8"/>
  <c r="A130" i="8"/>
  <c r="A98" i="8"/>
  <c r="A80" i="8"/>
  <c r="O432" i="7"/>
  <c r="O430" i="7"/>
  <c r="K432" i="7"/>
  <c r="K430" i="7"/>
  <c r="F2035" i="1"/>
  <c r="F2033" i="1"/>
  <c r="P392" i="7"/>
  <c r="N392" i="7"/>
  <c r="L392" i="7"/>
  <c r="J392" i="7"/>
  <c r="H392" i="7"/>
  <c r="F392" i="7"/>
  <c r="P251" i="7"/>
  <c r="H485" i="1"/>
  <c r="H251" i="7" s="1"/>
  <c r="O250" i="7"/>
  <c r="G484" i="1"/>
  <c r="G250" i="7" s="1"/>
  <c r="P249" i="7"/>
  <c r="H483" i="1"/>
  <c r="H249" i="7" s="1"/>
  <c r="O242" i="7"/>
  <c r="G476" i="1"/>
  <c r="G242" i="7" s="1"/>
  <c r="F475" i="1"/>
  <c r="M435" i="1"/>
  <c r="M201" i="7" s="1"/>
  <c r="I435" i="1"/>
  <c r="I201" i="7" s="1"/>
  <c r="N200" i="7"/>
  <c r="J434" i="1"/>
  <c r="J200" i="7" s="1"/>
  <c r="F434" i="1"/>
  <c r="F200" i="7" s="1"/>
  <c r="M429" i="1"/>
  <c r="M195" i="7" s="1"/>
  <c r="I429" i="1"/>
  <c r="I195" i="7" s="1"/>
  <c r="S385" i="1"/>
  <c r="S136" i="7" s="1"/>
  <c r="A2070" i="1"/>
  <c r="A1109" i="7" s="1"/>
  <c r="A2068" i="1"/>
  <c r="A1107" i="7" s="1"/>
  <c r="A2064" i="1"/>
  <c r="A1103" i="7" s="1"/>
  <c r="K414" i="7"/>
  <c r="L1448" i="1"/>
  <c r="J1448" i="1"/>
  <c r="H1448" i="1"/>
  <c r="F1448" i="1"/>
  <c r="F802" i="7" s="1"/>
  <c r="M1447" i="1"/>
  <c r="M801" i="7" s="1"/>
  <c r="K1447" i="1"/>
  <c r="K801" i="7" s="1"/>
  <c r="I1447" i="1"/>
  <c r="I801" i="7" s="1"/>
  <c r="G1447" i="1"/>
  <c r="G312" i="8" s="1"/>
  <c r="O416" i="7"/>
  <c r="S284" i="7"/>
  <c r="M551" i="1"/>
  <c r="N227" i="7"/>
  <c r="N225" i="7"/>
  <c r="F461" i="1"/>
  <c r="F227" i="7" s="1"/>
  <c r="F242" i="1"/>
  <c r="G242" i="1" s="1"/>
  <c r="H242" i="1" s="1"/>
  <c r="I242" i="1" s="1"/>
  <c r="J242" i="1" s="1"/>
  <c r="K242" i="1" s="1"/>
  <c r="L242" i="1" s="1"/>
  <c r="M242" i="1" s="1"/>
  <c r="N242" i="1" s="1"/>
  <c r="F203" i="1"/>
  <c r="G165" i="1"/>
  <c r="H165" i="1" s="1"/>
  <c r="I165" i="1" s="1"/>
  <c r="J165" i="1" s="1"/>
  <c r="K165" i="1" s="1"/>
  <c r="L165" i="1" s="1"/>
  <c r="M165" i="1" s="1"/>
  <c r="N165" i="1" s="1"/>
  <c r="O165" i="1" s="1"/>
  <c r="P165" i="1" s="1"/>
  <c r="Q165" i="1" s="1"/>
  <c r="F485" i="7"/>
  <c r="G485" i="7"/>
  <c r="F2030" i="1"/>
  <c r="F2028" i="1"/>
  <c r="B1877" i="1"/>
  <c r="B1876" i="1"/>
  <c r="G1764" i="1"/>
  <c r="G997" i="7" s="1"/>
  <c r="G1204" i="1"/>
  <c r="G606" i="7" s="1"/>
  <c r="G598" i="7"/>
  <c r="S1194" i="1"/>
  <c r="S598" i="7" s="1"/>
  <c r="Q432" i="7"/>
  <c r="Q430" i="7"/>
  <c r="M432" i="7"/>
  <c r="M430" i="7"/>
  <c r="I432" i="7"/>
  <c r="I430" i="7"/>
  <c r="P418" i="7"/>
  <c r="P420" i="7"/>
  <c r="P286" i="7"/>
  <c r="P396" i="7"/>
  <c r="H286" i="7"/>
  <c r="H396" i="7"/>
  <c r="L283" i="7"/>
  <c r="Q280" i="7"/>
  <c r="N251" i="7"/>
  <c r="J485" i="1"/>
  <c r="J251" i="7" s="1"/>
  <c r="F485" i="1"/>
  <c r="F251" i="7" s="1"/>
  <c r="M484" i="1"/>
  <c r="M250" i="7" s="1"/>
  <c r="I484" i="1"/>
  <c r="I250" i="7" s="1"/>
  <c r="N249" i="7"/>
  <c r="J483" i="1"/>
  <c r="J249" i="7" s="1"/>
  <c r="F483" i="1"/>
  <c r="F249" i="7" s="1"/>
  <c r="M476" i="1"/>
  <c r="M242" i="7" s="1"/>
  <c r="P239" i="7"/>
  <c r="L473" i="1"/>
  <c r="L239" i="7" s="1"/>
  <c r="H473" i="1"/>
  <c r="H239" i="7" s="1"/>
  <c r="O238" i="7"/>
  <c r="K472" i="1"/>
  <c r="K238" i="7" s="1"/>
  <c r="G472" i="1"/>
  <c r="G238" i="7" s="1"/>
  <c r="J461" i="1"/>
  <c r="J227" i="7" s="1"/>
  <c r="M460" i="1"/>
  <c r="M226" i="7" s="1"/>
  <c r="I460" i="1"/>
  <c r="I226" i="7" s="1"/>
  <c r="D155" i="7"/>
  <c r="F486" i="1"/>
  <c r="F252" i="7" s="1"/>
  <c r="A349" i="7"/>
  <c r="B267" i="7"/>
  <c r="G551" i="1"/>
  <c r="K551" i="1"/>
  <c r="G150" i="7"/>
  <c r="S150" i="7"/>
  <c r="D123" i="7"/>
  <c r="F476" i="1"/>
  <c r="F242" i="7" s="1"/>
  <c r="H476" i="1"/>
  <c r="H242" i="7" s="1"/>
  <c r="J476" i="1"/>
  <c r="J242" i="7" s="1"/>
  <c r="L476" i="1"/>
  <c r="L242" i="7" s="1"/>
  <c r="N242" i="7"/>
  <c r="P242" i="7"/>
  <c r="G483" i="1"/>
  <c r="G249" i="7" s="1"/>
  <c r="I483" i="1"/>
  <c r="I249" i="7" s="1"/>
  <c r="K483" i="1"/>
  <c r="K249" i="7" s="1"/>
  <c r="M483" i="1"/>
  <c r="M249" i="7" s="1"/>
  <c r="O249" i="7"/>
  <c r="F484" i="1"/>
  <c r="F250" i="7" s="1"/>
  <c r="H484" i="1"/>
  <c r="H250" i="7" s="1"/>
  <c r="J484" i="1"/>
  <c r="J250" i="7" s="1"/>
  <c r="L484" i="1"/>
  <c r="L250" i="7" s="1"/>
  <c r="N250" i="7"/>
  <c r="P250" i="7"/>
  <c r="G485" i="1"/>
  <c r="G251" i="7" s="1"/>
  <c r="I485" i="1"/>
  <c r="I251" i="7" s="1"/>
  <c r="K485" i="1"/>
  <c r="K251" i="7" s="1"/>
  <c r="M485" i="1"/>
  <c r="M251" i="7" s="1"/>
  <c r="O251" i="7"/>
  <c r="D100" i="7"/>
  <c r="F472" i="1"/>
  <c r="F238" i="7" s="1"/>
  <c r="H472" i="1"/>
  <c r="H238" i="7" s="1"/>
  <c r="J472" i="1"/>
  <c r="J238" i="7" s="1"/>
  <c r="L472" i="1"/>
  <c r="L238" i="7" s="1"/>
  <c r="N238" i="7"/>
  <c r="P238" i="7"/>
  <c r="G473" i="1"/>
  <c r="I473" i="1"/>
  <c r="I239" i="7" s="1"/>
  <c r="K473" i="1"/>
  <c r="M473" i="1"/>
  <c r="M239" i="7" s="1"/>
  <c r="L459" i="1"/>
  <c r="L225" i="7" s="1"/>
  <c r="F460" i="1"/>
  <c r="F226" i="7" s="1"/>
  <c r="H460" i="1"/>
  <c r="H226" i="7" s="1"/>
  <c r="J460" i="1"/>
  <c r="J226" i="7" s="1"/>
  <c r="L460" i="1"/>
  <c r="L226" i="7" s="1"/>
  <c r="N226" i="7"/>
  <c r="P226" i="7"/>
  <c r="G461" i="1"/>
  <c r="G227" i="7" s="1"/>
  <c r="I461" i="1"/>
  <c r="I227" i="7" s="1"/>
  <c r="K461" i="1"/>
  <c r="K227" i="7" s="1"/>
  <c r="M461" i="1"/>
  <c r="M227" i="7" s="1"/>
  <c r="O227" i="7"/>
  <c r="O225" i="7"/>
  <c r="G273" i="1"/>
  <c r="H273" i="1" s="1"/>
  <c r="F274" i="1"/>
  <c r="F143" i="1"/>
  <c r="G144" i="1"/>
  <c r="G143" i="1" s="1"/>
  <c r="B1084" i="1"/>
  <c r="B488" i="7" s="1"/>
  <c r="B1068" i="1"/>
  <c r="B476" i="7" s="1"/>
  <c r="B1040" i="1"/>
  <c r="B452" i="7" s="1"/>
  <c r="B701" i="1"/>
  <c r="B567" i="1"/>
  <c r="B522" i="1"/>
  <c r="B512" i="1"/>
  <c r="E505" i="1" s="1"/>
  <c r="E515" i="1" s="1"/>
  <c r="B392" i="1"/>
  <c r="G118" i="7"/>
  <c r="S367" i="1"/>
  <c r="S118" i="7" s="1"/>
  <c r="F151" i="1"/>
  <c r="G155" i="1" s="1"/>
  <c r="G153" i="1"/>
  <c r="H153" i="1" s="1"/>
  <c r="H151" i="1" s="1"/>
  <c r="I155" i="1" s="1"/>
  <c r="S763" i="8"/>
  <c r="A510" i="8"/>
  <c r="A501" i="8"/>
  <c r="A491" i="8"/>
  <c r="A483" i="8"/>
  <c r="A467" i="8"/>
  <c r="A459" i="8"/>
  <c r="A450" i="8"/>
  <c r="A442" i="8"/>
  <c r="A330" i="8"/>
  <c r="A320" i="8"/>
  <c r="A312" i="8"/>
  <c r="A302" i="8"/>
  <c r="A294" i="8"/>
  <c r="A287" i="8"/>
  <c r="A278" i="8"/>
  <c r="A270" i="8"/>
  <c r="A183" i="8"/>
  <c r="A174" i="8"/>
  <c r="A164" i="8"/>
  <c r="A158" i="8"/>
  <c r="A150" i="8"/>
  <c r="A142" i="8"/>
  <c r="A134" i="8"/>
  <c r="A125" i="8"/>
  <c r="A116" i="8"/>
  <c r="A113" i="8"/>
  <c r="A104" i="8"/>
  <c r="A94" i="8"/>
  <c r="A84" i="8"/>
  <c r="A76" i="8"/>
  <c r="A62" i="8"/>
  <c r="A55" i="8"/>
  <c r="A47" i="8"/>
  <c r="B354" i="1"/>
  <c r="B368" i="1"/>
  <c r="A28" i="8"/>
  <c r="A49" i="8"/>
  <c r="A53" i="8"/>
  <c r="A57" i="8"/>
  <c r="A59" i="8"/>
  <c r="A69" i="8"/>
  <c r="A74" i="8"/>
  <c r="A78" i="8"/>
  <c r="A82" i="8"/>
  <c r="A87" i="8"/>
  <c r="A92" i="8"/>
  <c r="A96" i="8"/>
  <c r="A101" i="8"/>
  <c r="A106" i="8"/>
  <c r="A110" i="8"/>
  <c r="A127" i="8"/>
  <c r="A132" i="8"/>
  <c r="A136" i="8"/>
  <c r="A140" i="8"/>
  <c r="A144" i="8"/>
  <c r="A148" i="8"/>
  <c r="A152" i="8"/>
  <c r="A156" i="8"/>
  <c r="A160" i="8"/>
  <c r="A166" i="8"/>
  <c r="A170" i="8"/>
  <c r="A176" i="8"/>
  <c r="A181" i="8"/>
  <c r="A185" i="8"/>
  <c r="A268" i="8"/>
  <c r="A272" i="8"/>
  <c r="A276" i="8"/>
  <c r="A280" i="8"/>
  <c r="A284" i="8"/>
  <c r="A292" i="8"/>
  <c r="A296" i="8"/>
  <c r="A300" i="8"/>
  <c r="A304" i="8"/>
  <c r="A310" i="8"/>
  <c r="A314" i="8"/>
  <c r="A318" i="8"/>
  <c r="A322" i="8"/>
  <c r="A328" i="8"/>
  <c r="A332" i="8"/>
  <c r="A440" i="8"/>
  <c r="A444" i="8"/>
  <c r="A448" i="8"/>
  <c r="A452" i="8"/>
  <c r="A456" i="8"/>
  <c r="A461" i="8"/>
  <c r="A465" i="8"/>
  <c r="A469" i="8"/>
  <c r="A473" i="8"/>
  <c r="A476" i="8"/>
  <c r="A481" i="8"/>
  <c r="A485" i="8"/>
  <c r="A489" i="8"/>
  <c r="A493" i="8"/>
  <c r="A498" i="8"/>
  <c r="A503" i="8"/>
  <c r="A507" i="8"/>
  <c r="J459" i="1"/>
  <c r="J225" i="7" s="1"/>
  <c r="F459" i="1"/>
  <c r="F225" i="7" s="1"/>
  <c r="A851" i="8"/>
  <c r="A289" i="8"/>
  <c r="A1" i="8"/>
  <c r="F388" i="7"/>
  <c r="F380" i="7"/>
  <c r="B101" i="7"/>
  <c r="B420" i="1"/>
  <c r="B186" i="7" s="1"/>
  <c r="M459" i="1"/>
  <c r="M225" i="7" s="1"/>
  <c r="K459" i="1"/>
  <c r="K225" i="7" s="1"/>
  <c r="I459" i="1"/>
  <c r="I225" i="7" s="1"/>
  <c r="G459" i="1"/>
  <c r="G225" i="7" s="1"/>
  <c r="F74" i="7"/>
  <c r="S323" i="1"/>
  <c r="S74" i="7" s="1"/>
  <c r="G47" i="7"/>
  <c r="S296" i="1"/>
  <c r="S47" i="7" s="1"/>
  <c r="S276" i="1"/>
  <c r="E249" i="1"/>
  <c r="F252" i="1" s="1"/>
  <c r="F253" i="1" s="1"/>
  <c r="F249" i="1" s="1"/>
  <c r="G252" i="1" s="1"/>
  <c r="F222" i="1"/>
  <c r="M222" i="1"/>
  <c r="B246" i="1"/>
  <c r="B255" i="1"/>
  <c r="B264" i="1"/>
  <c r="B305" i="1"/>
  <c r="B319" i="1"/>
  <c r="B331" i="1"/>
  <c r="I98" i="1"/>
  <c r="F59" i="1"/>
  <c r="F72" i="1" s="1"/>
  <c r="F35" i="1"/>
  <c r="F219" i="1"/>
  <c r="C352" i="7"/>
  <c r="C145" i="7"/>
  <c r="C146" i="7"/>
  <c r="C147" i="7"/>
  <c r="C149" i="7"/>
  <c r="F2034" i="1"/>
  <c r="F2029" i="1"/>
  <c r="F1227" i="1"/>
  <c r="F1292" i="1" s="1"/>
  <c r="F110" i="8" s="1"/>
  <c r="F109" i="8" s="1"/>
  <c r="F1226" i="1"/>
  <c r="F1285" i="1" s="1"/>
  <c r="F98" i="8" s="1"/>
  <c r="F97" i="8" s="1"/>
  <c r="F1180" i="1"/>
  <c r="P426" i="7"/>
  <c r="L426" i="7"/>
  <c r="H426" i="7"/>
  <c r="Q424" i="7"/>
  <c r="M424" i="7"/>
  <c r="I424" i="7"/>
  <c r="Q414" i="7"/>
  <c r="I414" i="7"/>
  <c r="N396" i="7"/>
  <c r="J396" i="7"/>
  <c r="P384" i="7"/>
  <c r="N384" i="7"/>
  <c r="L384" i="7"/>
  <c r="J384" i="7"/>
  <c r="H384" i="7"/>
  <c r="F384" i="7"/>
  <c r="J383" i="7"/>
  <c r="I656" i="1"/>
  <c r="I372" i="7" s="1"/>
  <c r="L551" i="1"/>
  <c r="J551" i="1"/>
  <c r="H551" i="1"/>
  <c r="F551" i="1"/>
  <c r="F656" i="1" s="1"/>
  <c r="F372" i="7" s="1"/>
  <c r="F142" i="7"/>
  <c r="F144" i="7"/>
  <c r="D51" i="7"/>
  <c r="G446" i="1"/>
  <c r="G212" i="7" s="1"/>
  <c r="I446" i="1"/>
  <c r="I212" i="7" s="1"/>
  <c r="K446" i="1"/>
  <c r="K212" i="7" s="1"/>
  <c r="M446" i="1"/>
  <c r="M212" i="7" s="1"/>
  <c r="O212" i="7"/>
  <c r="F447" i="1"/>
  <c r="F213" i="7" s="1"/>
  <c r="H447" i="1"/>
  <c r="H213" i="7" s="1"/>
  <c r="J447" i="1"/>
  <c r="J213" i="7" s="1"/>
  <c r="L447" i="1"/>
  <c r="L213" i="7" s="1"/>
  <c r="N213" i="7"/>
  <c r="P213" i="7"/>
  <c r="B37" i="7"/>
  <c r="F290" i="1"/>
  <c r="D36" i="7"/>
  <c r="F429" i="1"/>
  <c r="F195" i="7" s="1"/>
  <c r="H429" i="1"/>
  <c r="H195" i="7" s="1"/>
  <c r="J429" i="1"/>
  <c r="J195" i="7" s="1"/>
  <c r="L429" i="1"/>
  <c r="L195" i="7" s="1"/>
  <c r="N195" i="7"/>
  <c r="P195" i="7"/>
  <c r="G434" i="1"/>
  <c r="G200" i="7" s="1"/>
  <c r="I434" i="1"/>
  <c r="I200" i="7" s="1"/>
  <c r="K434" i="1"/>
  <c r="K200" i="7" s="1"/>
  <c r="M434" i="1"/>
  <c r="M200" i="7" s="1"/>
  <c r="O200" i="7"/>
  <c r="F435" i="1"/>
  <c r="F201" i="7" s="1"/>
  <c r="H435" i="1"/>
  <c r="H201" i="7" s="1"/>
  <c r="J435" i="1"/>
  <c r="J201" i="7" s="1"/>
  <c r="L435" i="1"/>
  <c r="L201" i="7" s="1"/>
  <c r="N201" i="7"/>
  <c r="P201" i="7"/>
  <c r="B277" i="1"/>
  <c r="S237" i="1"/>
  <c r="S236" i="1"/>
  <c r="A679" i="8"/>
  <c r="A827" i="8"/>
  <c r="A266" i="1"/>
  <c r="A387" i="1"/>
  <c r="A153" i="7" s="1"/>
  <c r="A327" i="1"/>
  <c r="A78" i="7" s="1"/>
  <c r="A365" i="1"/>
  <c r="A116" i="7" s="1"/>
  <c r="A382" i="1"/>
  <c r="A133" i="7" s="1"/>
  <c r="A148" i="7"/>
  <c r="A313" i="1"/>
  <c r="A64" i="7" s="1"/>
  <c r="A331" i="1"/>
  <c r="A82" i="7" s="1"/>
  <c r="A140" i="7"/>
  <c r="A392" i="1"/>
  <c r="A158" i="7" s="1"/>
  <c r="A329" i="1"/>
  <c r="A80" i="7" s="1"/>
  <c r="A391" i="1"/>
  <c r="A157" i="7" s="1"/>
  <c r="A340" i="1"/>
  <c r="A91" i="7" s="1"/>
  <c r="A363" i="1"/>
  <c r="A114" i="7" s="1"/>
  <c r="A400" i="1"/>
  <c r="A166" i="7" s="1"/>
  <c r="A433" i="1"/>
  <c r="A199" i="7" s="1"/>
  <c r="A311" i="1"/>
  <c r="A62" i="7" s="1"/>
  <c r="A431" i="1"/>
  <c r="A197" i="7" s="1"/>
  <c r="A439" i="1"/>
  <c r="A205" i="7" s="1"/>
  <c r="A358" i="1"/>
  <c r="A109" i="7" s="1"/>
  <c r="A144" i="7"/>
  <c r="A333" i="1"/>
  <c r="A84" i="7" s="1"/>
  <c r="A142" i="7"/>
  <c r="A393" i="1"/>
  <c r="A159" i="7" s="1"/>
  <c r="A429" i="1"/>
  <c r="A195" i="7" s="1"/>
  <c r="A437" i="1"/>
  <c r="A203" i="7" s="1"/>
  <c r="A286" i="1"/>
  <c r="A37" i="7" s="1"/>
  <c r="A301" i="1"/>
  <c r="A52" i="7" s="1"/>
  <c r="A349" i="1"/>
  <c r="A100" i="7" s="1"/>
  <c r="A50" i="7"/>
  <c r="A35" i="7"/>
  <c r="A348" i="1"/>
  <c r="A99" i="7" s="1"/>
  <c r="A371" i="1"/>
  <c r="A122" i="7" s="1"/>
  <c r="C355" i="1"/>
  <c r="C106" i="7" s="1"/>
  <c r="A250" i="1"/>
  <c r="A259" i="1"/>
  <c r="A295" i="1"/>
  <c r="A46" i="7" s="1"/>
  <c r="A343" i="1"/>
  <c r="A94" i="7" s="1"/>
  <c r="A149" i="7"/>
  <c r="A251" i="1"/>
  <c r="A260" i="1"/>
  <c r="F519" i="1"/>
  <c r="F533" i="1" s="1"/>
  <c r="I222" i="1"/>
  <c r="K222" i="1"/>
  <c r="G222" i="1"/>
  <c r="L222" i="1"/>
  <c r="J222" i="1"/>
  <c r="H222" i="1"/>
  <c r="A82" i="1"/>
  <c r="A681" i="8"/>
  <c r="A829" i="8"/>
  <c r="A316" i="1"/>
  <c r="A67" i="7" s="1"/>
  <c r="A305" i="1"/>
  <c r="A56" i="7" s="1"/>
  <c r="A303" i="1"/>
  <c r="A54" i="7" s="1"/>
  <c r="A294" i="1"/>
  <c r="A45" i="7" s="1"/>
  <c r="A314" i="1"/>
  <c r="A65" i="7" s="1"/>
  <c r="A292" i="1"/>
  <c r="A43" i="7" s="1"/>
  <c r="A290" i="1"/>
  <c r="A41" i="7" s="1"/>
  <c r="A309" i="1"/>
  <c r="A60" i="7" s="1"/>
  <c r="A288" i="1"/>
  <c r="A39" i="7" s="1"/>
  <c r="A300" i="1"/>
  <c r="A51" i="7" s="1"/>
  <c r="C306" i="1"/>
  <c r="C57" i="7" s="1"/>
  <c r="S39" i="8"/>
  <c r="S66" i="8"/>
  <c r="S667" i="8"/>
  <c r="S742" i="8"/>
  <c r="S817" i="8"/>
  <c r="S918" i="8"/>
  <c r="S231" i="1"/>
  <c r="A237" i="1"/>
  <c r="A264" i="1"/>
  <c r="A277" i="1"/>
  <c r="A241" i="1"/>
  <c r="A275" i="1"/>
  <c r="A244" i="1"/>
  <c r="A253" i="1"/>
  <c r="A270" i="1"/>
  <c r="A242" i="1"/>
  <c r="A268" i="1"/>
  <c r="S102" i="1"/>
  <c r="S890" i="8"/>
  <c r="S265" i="8"/>
  <c r="A195" i="1"/>
  <c r="A179" i="1"/>
  <c r="A81" i="1"/>
  <c r="A820" i="8"/>
  <c r="C779" i="8"/>
  <c r="C950" i="8" s="1"/>
  <c r="A945" i="8"/>
  <c r="B834" i="8"/>
  <c r="B764" i="8"/>
  <c r="B759" i="8"/>
  <c r="A751" i="8"/>
  <c r="A856" i="8"/>
  <c r="A841" i="8"/>
  <c r="A781" i="8"/>
  <c r="A763" i="8"/>
  <c r="A345" i="1"/>
  <c r="A96" i="7" s="1"/>
  <c r="A341" i="1"/>
  <c r="A92" i="7" s="1"/>
  <c r="C325" i="1"/>
  <c r="C76" i="7" s="1"/>
  <c r="A319" i="1"/>
  <c r="A70" i="7" s="1"/>
  <c r="A315" i="1"/>
  <c r="A66" i="7" s="1"/>
  <c r="A308" i="1"/>
  <c r="A59" i="7" s="1"/>
  <c r="A306" i="1"/>
  <c r="A57" i="7" s="1"/>
  <c r="C302" i="1"/>
  <c r="C53" i="7" s="1"/>
  <c r="A287" i="1"/>
  <c r="A38" i="7" s="1"/>
  <c r="A269" i="1"/>
  <c r="A267" i="1"/>
  <c r="A263" i="1"/>
  <c r="A254" i="1"/>
  <c r="A249" i="1"/>
  <c r="A245" i="1"/>
  <c r="A240" i="1"/>
  <c r="C154" i="1"/>
  <c r="C150" i="1"/>
  <c r="C139" i="1"/>
  <c r="A58" i="1"/>
  <c r="A951" i="8"/>
  <c r="A939" i="8"/>
  <c r="A926" i="8"/>
  <c r="A854" i="8"/>
  <c r="A846" i="8"/>
  <c r="A836" i="8"/>
  <c r="A824" i="8"/>
  <c r="A783" i="8"/>
  <c r="A778" i="8"/>
  <c r="A768" i="8"/>
  <c r="B758" i="8"/>
  <c r="B754" i="8"/>
  <c r="C748" i="8"/>
  <c r="C589" i="8"/>
  <c r="A327" i="8"/>
  <c r="A81" i="8"/>
  <c r="A79" i="8"/>
  <c r="F34" i="8"/>
  <c r="A713" i="8"/>
  <c r="A788" i="8"/>
  <c r="A710" i="8"/>
  <c r="A858" i="8"/>
  <c r="A776" i="8"/>
  <c r="A849" i="8"/>
  <c r="A943" i="8"/>
  <c r="A949" i="8"/>
  <c r="A954" i="8"/>
  <c r="A771" i="8"/>
  <c r="A844" i="8"/>
  <c r="A705" i="8"/>
  <c r="A766" i="8"/>
  <c r="A780" i="8"/>
  <c r="A839" i="8"/>
  <c r="A853" i="8"/>
  <c r="A686" i="8"/>
  <c r="A834" i="8"/>
  <c r="A684" i="8"/>
  <c r="A759" i="8"/>
  <c r="A682" i="8"/>
  <c r="A757" i="8"/>
  <c r="A680" i="8"/>
  <c r="A755" i="8"/>
  <c r="A753" i="8"/>
  <c r="A826" i="8"/>
  <c r="A749" i="8"/>
  <c r="A822" i="8"/>
  <c r="A895" i="8"/>
  <c r="A673" i="8"/>
  <c r="A748" i="8"/>
  <c r="C673" i="8"/>
  <c r="B679" i="8"/>
  <c r="B681" i="8"/>
  <c r="B689" i="8"/>
  <c r="B760" i="8"/>
  <c r="B761" i="8"/>
  <c r="B827" i="8"/>
  <c r="B828" i="8"/>
  <c r="B829" i="8"/>
  <c r="B830" i="8"/>
  <c r="B831" i="8"/>
  <c r="B835" i="8"/>
  <c r="A95" i="8"/>
  <c r="A313" i="8"/>
  <c r="C586" i="8"/>
  <c r="C588" i="8"/>
  <c r="C706" i="8"/>
  <c r="C945" i="8" s="1"/>
  <c r="C781" i="8"/>
  <c r="C951" i="8" s="1"/>
  <c r="C854" i="8"/>
  <c r="B23" i="8"/>
  <c r="E11" i="1"/>
  <c r="A861" i="8"/>
  <c r="A785" i="8"/>
  <c r="C304" i="7"/>
  <c r="C320" i="7"/>
  <c r="C336" i="7"/>
  <c r="C312" i="7"/>
  <c r="C328" i="7"/>
  <c r="C344" i="7"/>
  <c r="C356" i="7"/>
  <c r="C348" i="7"/>
  <c r="C340" i="7"/>
  <c r="C332" i="7"/>
  <c r="C324" i="7"/>
  <c r="C316" i="7"/>
  <c r="C308" i="7"/>
  <c r="C138" i="7"/>
  <c r="C140" i="7"/>
  <c r="C141" i="7"/>
  <c r="C142" i="7"/>
  <c r="C143" i="7"/>
  <c r="C144" i="7"/>
  <c r="C150" i="7"/>
  <c r="C151" i="7"/>
  <c r="C301" i="7"/>
  <c r="C303" i="7"/>
  <c r="C305" i="7"/>
  <c r="C307" i="7"/>
  <c r="C309" i="7"/>
  <c r="C311" i="7"/>
  <c r="C313" i="7"/>
  <c r="C315" i="7"/>
  <c r="C317" i="7"/>
  <c r="C319" i="7"/>
  <c r="C321" i="7"/>
  <c r="C323" i="7"/>
  <c r="C325" i="7"/>
  <c r="C327" i="7"/>
  <c r="C329" i="7"/>
  <c r="C331" i="7"/>
  <c r="C333" i="7"/>
  <c r="C335" i="7"/>
  <c r="C337" i="7"/>
  <c r="C339" i="7"/>
  <c r="C341" i="7"/>
  <c r="C343" i="7"/>
  <c r="C345" i="7"/>
  <c r="C347" i="7"/>
  <c r="C349" i="7"/>
  <c r="C351" i="7"/>
  <c r="C353" i="7"/>
  <c r="C355" i="7"/>
  <c r="C302" i="7"/>
  <c r="C306" i="7"/>
  <c r="C310" i="7"/>
  <c r="C314" i="7"/>
  <c r="C318" i="7"/>
  <c r="C322" i="7"/>
  <c r="C326" i="7"/>
  <c r="C330" i="7"/>
  <c r="C334" i="7"/>
  <c r="C338" i="7"/>
  <c r="C342" i="7"/>
  <c r="C346" i="7"/>
  <c r="C350" i="7"/>
  <c r="C354" i="7"/>
  <c r="A938" i="8"/>
  <c r="A924" i="8"/>
  <c r="A837" i="8"/>
  <c r="C704" i="8"/>
  <c r="C944" i="8" s="1"/>
  <c r="A689" i="8"/>
  <c r="B683" i="8"/>
  <c r="A672" i="8"/>
  <c r="A950" i="8"/>
  <c r="A948" i="8"/>
  <c r="A922" i="8"/>
  <c r="A912" i="8"/>
  <c r="B833" i="8"/>
  <c r="A779" i="8"/>
  <c r="A754" i="8"/>
  <c r="S282" i="7"/>
  <c r="A862" i="8"/>
  <c r="A857" i="8"/>
  <c r="C852" i="8"/>
  <c r="C955" i="8" s="1"/>
  <c r="B832" i="8"/>
  <c r="B762" i="8"/>
  <c r="A756" i="8"/>
  <c r="A709" i="8"/>
  <c r="B687" i="8"/>
  <c r="B682" i="8"/>
  <c r="G144" i="7"/>
  <c r="F140" i="7"/>
  <c r="A712" i="8"/>
  <c r="A787" i="8"/>
  <c r="A707" i="8"/>
  <c r="A782" i="8"/>
  <c r="A704" i="8"/>
  <c r="A852" i="8"/>
  <c r="A944" i="8"/>
  <c r="A702" i="8"/>
  <c r="A850" i="8"/>
  <c r="A700" i="8"/>
  <c r="A848" i="8"/>
  <c r="A942" i="8"/>
  <c r="A697" i="8"/>
  <c r="A845" i="8"/>
  <c r="A695" i="8"/>
  <c r="A843" i="8"/>
  <c r="A692" i="8"/>
  <c r="A840" i="8"/>
  <c r="A687" i="8"/>
  <c r="A762" i="8"/>
  <c r="A760" i="8"/>
  <c r="A833" i="8"/>
  <c r="A683" i="8"/>
  <c r="A758" i="8"/>
  <c r="A831" i="8"/>
  <c r="A675" i="8"/>
  <c r="A750" i="8"/>
  <c r="A823" i="8"/>
  <c r="A896" i="8"/>
  <c r="A714" i="8"/>
  <c r="A925" i="8"/>
  <c r="A923" i="8"/>
  <c r="B837" i="8"/>
  <c r="B836" i="8"/>
  <c r="B763" i="8"/>
  <c r="B757" i="8"/>
  <c r="B755" i="8"/>
  <c r="C747" i="8"/>
  <c r="B688" i="8"/>
  <c r="B685" i="8"/>
  <c r="B684" i="8"/>
  <c r="A301" i="8"/>
  <c r="A295" i="8"/>
  <c r="A291" i="8"/>
  <c r="L1284" i="1"/>
  <c r="J1284" i="1"/>
  <c r="H1284" i="1"/>
  <c r="F1284" i="1"/>
  <c r="F96" i="8" s="1"/>
  <c r="F95" i="8" s="1"/>
  <c r="F1233" i="1"/>
  <c r="G1215" i="1"/>
  <c r="F1209" i="1"/>
  <c r="F1206" i="1" s="1"/>
  <c r="F1208" i="1"/>
  <c r="F610" i="7" s="1"/>
  <c r="G1207" i="1"/>
  <c r="S1192" i="1"/>
  <c r="S596" i="7" s="1"/>
  <c r="E1149" i="1"/>
  <c r="E553" i="7" s="1"/>
  <c r="E1146" i="1"/>
  <c r="E1137" i="1"/>
  <c r="E541" i="7" s="1"/>
  <c r="E1134" i="1"/>
  <c r="E538" i="7" s="1"/>
  <c r="E1124" i="1"/>
  <c r="E528" i="7" s="1"/>
  <c r="E1120" i="1"/>
  <c r="E524" i="7" s="1"/>
  <c r="E1116" i="1"/>
  <c r="F1105" i="1"/>
  <c r="F509" i="7" s="1"/>
  <c r="F1083" i="1"/>
  <c r="F487" i="7" s="1"/>
  <c r="F1067" i="1"/>
  <c r="F1056" i="1"/>
  <c r="F1039" i="1"/>
  <c r="G432" i="7"/>
  <c r="B274" i="7"/>
  <c r="F691" i="7"/>
  <c r="F164" i="8"/>
  <c r="F163" i="8" s="1"/>
  <c r="F396" i="7"/>
  <c r="G392" i="7"/>
  <c r="S392" i="7"/>
  <c r="N391" i="7"/>
  <c r="N427" i="7"/>
  <c r="J391" i="7"/>
  <c r="J427" i="7"/>
  <c r="F391" i="7"/>
  <c r="O387" i="7"/>
  <c r="O423" i="7"/>
  <c r="K387" i="7"/>
  <c r="G387" i="7"/>
  <c r="G384" i="7"/>
  <c r="S384" i="7"/>
  <c r="N383" i="7"/>
  <c r="N419" i="7"/>
  <c r="J419" i="7"/>
  <c r="F383" i="7"/>
  <c r="O379" i="7"/>
  <c r="O415" i="7"/>
  <c r="K379" i="7"/>
  <c r="K415" i="7"/>
  <c r="G379" i="7"/>
  <c r="Q286" i="7"/>
  <c r="Q396" i="7"/>
  <c r="O286" i="7"/>
  <c r="O396" i="7"/>
  <c r="M286" i="7"/>
  <c r="M396" i="7"/>
  <c r="K286" i="7"/>
  <c r="K396" i="7"/>
  <c r="I286" i="7"/>
  <c r="I396" i="7"/>
  <c r="G286" i="7"/>
  <c r="S286" i="7"/>
  <c r="Q283" i="7"/>
  <c r="O283" i="7"/>
  <c r="M283" i="7"/>
  <c r="K283" i="7"/>
  <c r="I283" i="7"/>
  <c r="G283" i="7"/>
  <c r="S283" i="7"/>
  <c r="P282" i="7"/>
  <c r="N282" i="7"/>
  <c r="L282" i="7"/>
  <c r="J282" i="7"/>
  <c r="H282" i="7"/>
  <c r="F282" i="7"/>
  <c r="O281" i="7"/>
  <c r="K281" i="7"/>
  <c r="G281" i="7"/>
  <c r="A274" i="7"/>
  <c r="A398" i="7"/>
  <c r="B268" i="7"/>
  <c r="G430" i="7"/>
  <c r="Q395" i="7"/>
  <c r="Q431" i="7"/>
  <c r="O395" i="7"/>
  <c r="O431" i="7"/>
  <c r="M395" i="7"/>
  <c r="M431" i="7"/>
  <c r="K395" i="7"/>
  <c r="K431" i="7"/>
  <c r="I395" i="7"/>
  <c r="I431" i="7"/>
  <c r="G395" i="7"/>
  <c r="P391" i="7"/>
  <c r="P427" i="7"/>
  <c r="L391" i="7"/>
  <c r="L427" i="7"/>
  <c r="H391" i="7"/>
  <c r="Q387" i="7"/>
  <c r="Q423" i="7"/>
  <c r="M387" i="7"/>
  <c r="M423" i="7"/>
  <c r="I387" i="7"/>
  <c r="I423" i="7"/>
  <c r="P383" i="7"/>
  <c r="P419" i="7"/>
  <c r="L383" i="7"/>
  <c r="L419" i="7"/>
  <c r="H383" i="7"/>
  <c r="H419" i="7"/>
  <c r="Q379" i="7"/>
  <c r="Q415" i="7"/>
  <c r="M379" i="7"/>
  <c r="M415" i="7"/>
  <c r="I379" i="7"/>
  <c r="I415" i="7"/>
  <c r="D293" i="7"/>
  <c r="Q285" i="7"/>
  <c r="O285" i="7"/>
  <c r="M285" i="7"/>
  <c r="K285" i="7"/>
  <c r="I285" i="7"/>
  <c r="G285" i="7"/>
  <c r="S285" i="7"/>
  <c r="P284" i="7"/>
  <c r="N284" i="7"/>
  <c r="L284" i="7"/>
  <c r="J284" i="7"/>
  <c r="H284" i="7"/>
  <c r="F284" i="7"/>
  <c r="S448" i="1"/>
  <c r="S214" i="7" s="1"/>
  <c r="B411" i="1"/>
  <c r="B177" i="7" s="1"/>
  <c r="S151" i="7"/>
  <c r="S384" i="1"/>
  <c r="S135" i="7" s="1"/>
  <c r="F374" i="1"/>
  <c r="S344" i="1"/>
  <c r="S95" i="7" s="1"/>
  <c r="S318" i="1"/>
  <c r="S69" i="7" s="1"/>
  <c r="H197" i="1"/>
  <c r="G203" i="1"/>
  <c r="I91" i="1"/>
  <c r="H92" i="1"/>
  <c r="I93" i="1" s="1"/>
  <c r="I35" i="8"/>
  <c r="F532" i="1"/>
  <c r="E267" i="1"/>
  <c r="F269" i="1" s="1"/>
  <c r="F270" i="1" s="1"/>
  <c r="F267" i="1" s="1"/>
  <c r="G269" i="1" s="1"/>
  <c r="E258" i="1"/>
  <c r="F263" i="1" s="1"/>
  <c r="F260" i="1"/>
  <c r="I33" i="8"/>
  <c r="H34" i="8"/>
  <c r="H689" i="8"/>
  <c r="H764" i="8"/>
  <c r="F171" i="1"/>
  <c r="G171" i="1" s="1"/>
  <c r="H171" i="1" s="1"/>
  <c r="I171" i="1" s="1"/>
  <c r="J171" i="1" s="1"/>
  <c r="K171" i="1" s="1"/>
  <c r="L171" i="1" s="1"/>
  <c r="M171" i="1" s="1"/>
  <c r="N171" i="1" s="1"/>
  <c r="O171" i="1" s="1"/>
  <c r="P171" i="1" s="1"/>
  <c r="Q171" i="1" s="1"/>
  <c r="G167" i="1"/>
  <c r="M98" i="1"/>
  <c r="G92" i="1"/>
  <c r="H93" i="1" s="1"/>
  <c r="G81" i="1"/>
  <c r="G30" i="1"/>
  <c r="G27" i="7" s="1"/>
  <c r="H29" i="1"/>
  <c r="G36" i="8"/>
  <c r="G742" i="8" s="1"/>
  <c r="G34" i="8"/>
  <c r="G1223" i="1"/>
  <c r="G625" i="7" s="1"/>
  <c r="F1222" i="1"/>
  <c r="F624" i="7" s="1"/>
  <c r="S1321" i="1"/>
  <c r="S691" i="7" s="1"/>
  <c r="S254" i="1"/>
  <c r="A286" i="7"/>
  <c r="F1979" i="1"/>
  <c r="F1069" i="7" s="1"/>
  <c r="F1457" i="1"/>
  <c r="F2073" i="1" s="1"/>
  <c r="F1112" i="7" s="1"/>
  <c r="S1282" i="1"/>
  <c r="Q140" i="7"/>
  <c r="M140" i="7"/>
  <c r="I140" i="7"/>
  <c r="M374" i="1"/>
  <c r="I374" i="1"/>
  <c r="H144" i="7"/>
  <c r="O140" i="7"/>
  <c r="K140" i="7"/>
  <c r="G140" i="7"/>
  <c r="S376" i="1"/>
  <c r="K374" i="1"/>
  <c r="G374" i="1"/>
  <c r="B12" i="1"/>
  <c r="B9" i="7" s="1"/>
  <c r="D45" i="8"/>
  <c r="D49" i="8"/>
  <c r="D53" i="8"/>
  <c r="D55" i="8"/>
  <c r="D57" i="8"/>
  <c r="D62" i="8"/>
  <c r="D72" i="8"/>
  <c r="D76" i="8"/>
  <c r="D78" i="8"/>
  <c r="D84" i="8"/>
  <c r="D90" i="8"/>
  <c r="D92" i="8"/>
  <c r="D96" i="8"/>
  <c r="D104" i="8"/>
  <c r="D108" i="8"/>
  <c r="D113" i="8"/>
  <c r="D125" i="8"/>
  <c r="D132" i="8"/>
  <c r="D136" i="8"/>
  <c r="D140" i="8"/>
  <c r="D144" i="8"/>
  <c r="D148" i="8"/>
  <c r="D152" i="8"/>
  <c r="D156" i="8"/>
  <c r="D162" i="8"/>
  <c r="D166" i="8"/>
  <c r="D170" i="8"/>
  <c r="D176" i="8"/>
  <c r="D181" i="8"/>
  <c r="D185" i="8"/>
  <c r="D187" i="8"/>
  <c r="D268" i="8"/>
  <c r="D272" i="8"/>
  <c r="D276" i="8"/>
  <c r="D280" i="8"/>
  <c r="D282" i="8"/>
  <c r="D287" i="8"/>
  <c r="D292" i="8"/>
  <c r="D296" i="8"/>
  <c r="D300" i="8"/>
  <c r="D304" i="8"/>
  <c r="D310" i="8"/>
  <c r="D314" i="8"/>
  <c r="D318" i="8"/>
  <c r="D322" i="8"/>
  <c r="D328" i="8"/>
  <c r="D440" i="8"/>
  <c r="D444" i="8"/>
  <c r="D448" i="8"/>
  <c r="D452" i="8"/>
  <c r="D456" i="8"/>
  <c r="D461" i="8"/>
  <c r="D465" i="8"/>
  <c r="D469" i="8"/>
  <c r="D473" i="8"/>
  <c r="D479" i="8"/>
  <c r="D483" i="8"/>
  <c r="D487" i="8"/>
  <c r="D491" i="8"/>
  <c r="D495" i="8"/>
  <c r="D501" i="8"/>
  <c r="D505" i="8"/>
  <c r="D510" i="8"/>
  <c r="D47" i="8"/>
  <c r="D69" i="8"/>
  <c r="D80" i="8"/>
  <c r="D87" i="8"/>
  <c r="D94" i="8"/>
  <c r="D98" i="8"/>
  <c r="D106" i="8"/>
  <c r="D116" i="8"/>
  <c r="D134" i="8"/>
  <c r="D142" i="8"/>
  <c r="D150" i="8"/>
  <c r="D158" i="8"/>
  <c r="D160" i="8"/>
  <c r="D174" i="8"/>
  <c r="D183" i="8"/>
  <c r="D274" i="8"/>
  <c r="D290" i="8"/>
  <c r="D294" i="8"/>
  <c r="D307" i="8"/>
  <c r="D320" i="8"/>
  <c r="D330" i="8"/>
  <c r="D442" i="8"/>
  <c r="D450" i="8"/>
  <c r="D459" i="8"/>
  <c r="D467" i="8"/>
  <c r="D476" i="8"/>
  <c r="D485" i="8"/>
  <c r="D493" i="8"/>
  <c r="D503" i="8"/>
  <c r="D51" i="8"/>
  <c r="D59" i="8"/>
  <c r="D74" i="8"/>
  <c r="D82" i="8"/>
  <c r="D101" i="8"/>
  <c r="D110" i="8"/>
  <c r="D127" i="8"/>
  <c r="D130" i="8"/>
  <c r="D138" i="8"/>
  <c r="D146" i="8"/>
  <c r="D154" i="8"/>
  <c r="D164" i="8"/>
  <c r="D168" i="8"/>
  <c r="D178" i="8"/>
  <c r="D270" i="8"/>
  <c r="D278" i="8"/>
  <c r="D284" i="8"/>
  <c r="D298" i="8"/>
  <c r="D302" i="8"/>
  <c r="D312" i="8"/>
  <c r="D316" i="8"/>
  <c r="D325" i="8"/>
  <c r="D332" i="8"/>
  <c r="D438" i="8"/>
  <c r="D446" i="8"/>
  <c r="D454" i="8"/>
  <c r="D463" i="8"/>
  <c r="D471" i="8"/>
  <c r="D481" i="8"/>
  <c r="D489" i="8"/>
  <c r="D498" i="8"/>
  <c r="D507" i="8"/>
  <c r="G2042" i="1"/>
  <c r="G1908" i="1"/>
  <c r="G1837" i="1"/>
  <c r="F950" i="7"/>
  <c r="F493" i="8"/>
  <c r="F492" i="8" s="1"/>
  <c r="G929" i="7"/>
  <c r="P802" i="7"/>
  <c r="Q801" i="7"/>
  <c r="P691" i="7"/>
  <c r="N691" i="7"/>
  <c r="L691" i="7"/>
  <c r="J691" i="7"/>
  <c r="H691" i="7"/>
  <c r="Q685" i="7"/>
  <c r="O685" i="7"/>
  <c r="S1778" i="1"/>
  <c r="S1011" i="7" s="1"/>
  <c r="G1592" i="1"/>
  <c r="G493" i="8" s="1"/>
  <c r="H1571" i="1"/>
  <c r="F929" i="7"/>
  <c r="F454" i="8"/>
  <c r="F453" i="8" s="1"/>
  <c r="Q802" i="7"/>
  <c r="N801" i="7"/>
  <c r="Q691" i="7"/>
  <c r="O691" i="7"/>
  <c r="M691" i="7"/>
  <c r="K691" i="7"/>
  <c r="I691" i="7"/>
  <c r="G691" i="7"/>
  <c r="P685" i="7"/>
  <c r="S1283" i="1"/>
  <c r="S1189" i="1"/>
  <c r="S593" i="7" s="1"/>
  <c r="A287" i="7"/>
  <c r="F520" i="1"/>
  <c r="F534" i="1" s="1"/>
  <c r="M152" i="1"/>
  <c r="N152" i="1" s="1"/>
  <c r="G79" i="7"/>
  <c r="S328" i="1"/>
  <c r="S245" i="1"/>
  <c r="S180" i="1"/>
  <c r="I164" i="1"/>
  <c r="B822" i="8"/>
  <c r="B714" i="8"/>
  <c r="P142" i="7"/>
  <c r="P140" i="7"/>
  <c r="N142" i="7"/>
  <c r="N140" i="7"/>
  <c r="L142" i="7"/>
  <c r="L140" i="7"/>
  <c r="J142" i="7"/>
  <c r="J140" i="7"/>
  <c r="H142" i="7"/>
  <c r="H140" i="7"/>
  <c r="P127" i="7"/>
  <c r="N127" i="7"/>
  <c r="L127" i="7"/>
  <c r="L374" i="1"/>
  <c r="J127" i="7"/>
  <c r="J374" i="1"/>
  <c r="H127" i="7"/>
  <c r="H374" i="1"/>
  <c r="G103" i="7"/>
  <c r="S352" i="1"/>
  <c r="S103" i="7" s="1"/>
  <c r="G39" i="7"/>
  <c r="S288" i="1"/>
  <c r="F28" i="7"/>
  <c r="G31" i="1"/>
  <c r="F32" i="1"/>
  <c r="S688" i="8"/>
  <c r="F674" i="8"/>
  <c r="B749" i="8"/>
  <c r="B895" i="8"/>
  <c r="F895" i="8" s="1"/>
  <c r="G669" i="8"/>
  <c r="F670" i="8"/>
  <c r="F744" i="8"/>
  <c r="F745" i="8" s="1"/>
  <c r="F892" i="8"/>
  <c r="F893" i="8" s="1"/>
  <c r="S130" i="1"/>
  <c r="C1044" i="1" l="1"/>
  <c r="C1041" i="1"/>
  <c r="P1041" i="1"/>
  <c r="O1044" i="1"/>
  <c r="C1069" i="1"/>
  <c r="C1072" i="1"/>
  <c r="O1072" i="1"/>
  <c r="P1069" i="1"/>
  <c r="O876" i="1"/>
  <c r="H1070" i="1"/>
  <c r="H1071" i="1" s="1"/>
  <c r="F1072" i="1"/>
  <c r="G1072" i="1"/>
  <c r="H1072" i="1"/>
  <c r="I1072" i="1"/>
  <c r="J1072" i="1"/>
  <c r="K1072" i="1"/>
  <c r="L1072" i="1"/>
  <c r="M1072" i="1"/>
  <c r="P876" i="1"/>
  <c r="P877" i="1" s="1"/>
  <c r="Q720" i="1"/>
  <c r="P720" i="1"/>
  <c r="N720" i="1"/>
  <c r="O720" i="1"/>
  <c r="N792" i="1"/>
  <c r="O792" i="1"/>
  <c r="P792" i="1"/>
  <c r="Q792" i="1"/>
  <c r="P1318" i="1"/>
  <c r="Q1380" i="1"/>
  <c r="Q118" i="1" s="1"/>
  <c r="P1380" i="1"/>
  <c r="P118" i="1" s="1"/>
  <c r="O1380" i="1"/>
  <c r="O118" i="1" s="1"/>
  <c r="N1380" i="1"/>
  <c r="N118" i="1" s="1"/>
  <c r="P149" i="1"/>
  <c r="O152" i="1"/>
  <c r="I158" i="8"/>
  <c r="I157" i="8" s="1"/>
  <c r="I51" i="8"/>
  <c r="I50" i="8" s="1"/>
  <c r="I312" i="8"/>
  <c r="I311" i="8" s="1"/>
  <c r="I94" i="8"/>
  <c r="I96" i="8"/>
  <c r="I164" i="8"/>
  <c r="I163" i="8" s="1"/>
  <c r="I113" i="8"/>
  <c r="I112" i="8" s="1"/>
  <c r="I92" i="8"/>
  <c r="I314" i="8"/>
  <c r="I313" i="8" s="1"/>
  <c r="O878" i="1"/>
  <c r="O879" i="1" s="1"/>
  <c r="O884" i="1"/>
  <c r="O877" i="1"/>
  <c r="O242" i="1"/>
  <c r="O713" i="1"/>
  <c r="P713" i="1"/>
  <c r="Q713" i="1"/>
  <c r="N713" i="1"/>
  <c r="Q776" i="1"/>
  <c r="O776" i="1"/>
  <c r="N776" i="1"/>
  <c r="P776" i="1"/>
  <c r="O1318" i="1"/>
  <c r="P1382" i="1"/>
  <c r="Q1382" i="1"/>
  <c r="O1382" i="1"/>
  <c r="N1382" i="1"/>
  <c r="N661" i="1"/>
  <c r="P268" i="1"/>
  <c r="P224" i="1"/>
  <c r="N1318" i="1"/>
  <c r="P906" i="1"/>
  <c r="P907" i="1" s="1"/>
  <c r="S903" i="1"/>
  <c r="N333" i="1"/>
  <c r="O333" i="1"/>
  <c r="Q333" i="1"/>
  <c r="Q84" i="7" s="1"/>
  <c r="P333" i="1"/>
  <c r="Q699" i="1"/>
  <c r="O699" i="1"/>
  <c r="N699" i="1"/>
  <c r="P699" i="1"/>
  <c r="O744" i="1"/>
  <c r="N744" i="1"/>
  <c r="Q744" i="1"/>
  <c r="P744" i="1"/>
  <c r="N571" i="1"/>
  <c r="O571" i="1"/>
  <c r="P571" i="1"/>
  <c r="Q571" i="1"/>
  <c r="P205" i="1"/>
  <c r="Q906" i="1"/>
  <c r="Q733" i="1"/>
  <c r="O733" i="1"/>
  <c r="N733" i="1"/>
  <c r="P823" i="1"/>
  <c r="P733" i="1"/>
  <c r="Q823" i="1"/>
  <c r="O823" i="1"/>
  <c r="N823" i="1"/>
  <c r="N585" i="1"/>
  <c r="O585" i="1"/>
  <c r="P585" i="1"/>
  <c r="Q585" i="1"/>
  <c r="P251" i="1"/>
  <c r="N914" i="1"/>
  <c r="N908" i="1"/>
  <c r="N909" i="1" s="1"/>
  <c r="N907" i="1"/>
  <c r="N393" i="1"/>
  <c r="Q393" i="1"/>
  <c r="P393" i="1"/>
  <c r="O393" i="1"/>
  <c r="H51" i="8"/>
  <c r="H50" i="8" s="1"/>
  <c r="H312" i="8"/>
  <c r="H311" i="8" s="1"/>
  <c r="H94" i="8"/>
  <c r="H93" i="8" s="1"/>
  <c r="H164" i="8"/>
  <c r="H163" i="8" s="1"/>
  <c r="H158" i="8"/>
  <c r="H157" i="8" s="1"/>
  <c r="H113" i="8"/>
  <c r="H112" i="8" s="1"/>
  <c r="H92" i="8"/>
  <c r="H91" i="8" s="1"/>
  <c r="H454" i="8"/>
  <c r="H453" i="8" s="1"/>
  <c r="H314" i="8"/>
  <c r="H313" i="8" s="1"/>
  <c r="H96" i="8"/>
  <c r="H95" i="8" s="1"/>
  <c r="Q727" i="1"/>
  <c r="N727" i="1"/>
  <c r="O727" i="1"/>
  <c r="P727" i="1"/>
  <c r="P808" i="1"/>
  <c r="N808" i="1"/>
  <c r="Q808" i="1"/>
  <c r="O808" i="1"/>
  <c r="S873" i="1"/>
  <c r="P277" i="1"/>
  <c r="O277" i="1"/>
  <c r="Q277" i="1"/>
  <c r="N277" i="1"/>
  <c r="Q319" i="1"/>
  <c r="Q449" i="1" s="1"/>
  <c r="N319" i="1"/>
  <c r="N449" i="1" s="1"/>
  <c r="O319" i="1"/>
  <c r="O449" i="1" s="1"/>
  <c r="P319" i="1"/>
  <c r="P449" i="1" s="1"/>
  <c r="N878" i="1"/>
  <c r="N879" i="1" s="1"/>
  <c r="N884" i="1"/>
  <c r="N877" i="1"/>
  <c r="N578" i="1"/>
  <c r="O578" i="1"/>
  <c r="P578" i="1"/>
  <c r="Q578" i="1"/>
  <c r="O906" i="1"/>
  <c r="Q1318" i="1"/>
  <c r="Q688" i="7" s="1"/>
  <c r="P264" i="1"/>
  <c r="Q264" i="1"/>
  <c r="N264" i="1"/>
  <c r="O264" i="1"/>
  <c r="Q255" i="1"/>
  <c r="N255" i="1"/>
  <c r="P255" i="1"/>
  <c r="O255" i="1"/>
  <c r="N368" i="1"/>
  <c r="N474" i="1" s="1"/>
  <c r="Q368" i="1"/>
  <c r="Q474" i="1" s="1"/>
  <c r="O368" i="1"/>
  <c r="O474" i="1" s="1"/>
  <c r="P368" i="1"/>
  <c r="P474" i="1" s="1"/>
  <c r="P246" i="1"/>
  <c r="N246" i="1"/>
  <c r="Q246" i="1"/>
  <c r="O246" i="1"/>
  <c r="Q356" i="1"/>
  <c r="P356" i="1"/>
  <c r="N356" i="1"/>
  <c r="O356" i="1"/>
  <c r="N673" i="1"/>
  <c r="Q876" i="1"/>
  <c r="Q877" i="1" s="1"/>
  <c r="Q345" i="1"/>
  <c r="Q462" i="1" s="1"/>
  <c r="O345" i="1"/>
  <c r="O462" i="1" s="1"/>
  <c r="P345" i="1"/>
  <c r="P462" i="1" s="1"/>
  <c r="N345" i="1"/>
  <c r="N462" i="1" s="1"/>
  <c r="Q307" i="1"/>
  <c r="N307" i="1"/>
  <c r="O307" i="1"/>
  <c r="P307" i="1"/>
  <c r="P706" i="1"/>
  <c r="N706" i="1"/>
  <c r="O706" i="1"/>
  <c r="Q706" i="1"/>
  <c r="N760" i="1"/>
  <c r="O760" i="1"/>
  <c r="Q760" i="1"/>
  <c r="P760" i="1"/>
  <c r="N891" i="1"/>
  <c r="O891" i="1"/>
  <c r="P891" i="1"/>
  <c r="Q891" i="1"/>
  <c r="G314" i="8"/>
  <c r="G313" i="8" s="1"/>
  <c r="C997" i="1"/>
  <c r="C995" i="1"/>
  <c r="S995" i="1"/>
  <c r="H993" i="1"/>
  <c r="H994" i="1" s="1"/>
  <c r="H998" i="1"/>
  <c r="H999" i="1" s="1"/>
  <c r="S990" i="1"/>
  <c r="C992" i="1"/>
  <c r="C990" i="1"/>
  <c r="C987" i="1"/>
  <c r="C985" i="1"/>
  <c r="H974" i="1"/>
  <c r="H975" i="1" s="1"/>
  <c r="H988" i="1"/>
  <c r="H989" i="1" s="1"/>
  <c r="S985" i="1"/>
  <c r="S952" i="1"/>
  <c r="C971" i="1"/>
  <c r="C973" i="1"/>
  <c r="C966" i="1"/>
  <c r="C968" i="1"/>
  <c r="H955" i="1"/>
  <c r="H956" i="1" s="1"/>
  <c r="H969" i="1"/>
  <c r="H970" i="1" s="1"/>
  <c r="C954" i="1"/>
  <c r="C952" i="1"/>
  <c r="C1216" i="1"/>
  <c r="C618" i="7" s="1"/>
  <c r="L669" i="1"/>
  <c r="K666" i="1"/>
  <c r="F720" i="1"/>
  <c r="M720" i="1"/>
  <c r="L720" i="1"/>
  <c r="G720" i="1"/>
  <c r="H720" i="1"/>
  <c r="I720" i="1"/>
  <c r="K720" i="1"/>
  <c r="J720" i="1"/>
  <c r="J792" i="1"/>
  <c r="H792" i="1"/>
  <c r="K792" i="1"/>
  <c r="I792" i="1"/>
  <c r="G792" i="1"/>
  <c r="M792" i="1"/>
  <c r="L792" i="1"/>
  <c r="F792" i="1"/>
  <c r="C912" i="1"/>
  <c r="C911" i="1"/>
  <c r="C910" i="1"/>
  <c r="C629" i="1"/>
  <c r="C909" i="1"/>
  <c r="C901" i="1"/>
  <c r="C720" i="1"/>
  <c r="C628" i="1"/>
  <c r="C908" i="1"/>
  <c r="C903" i="1"/>
  <c r="C790" i="1"/>
  <c r="C722" i="1"/>
  <c r="C721" i="1"/>
  <c r="C627" i="1"/>
  <c r="C907" i="1"/>
  <c r="C803" i="1"/>
  <c r="C626" i="1"/>
  <c r="C588" i="1"/>
  <c r="C587" i="1"/>
  <c r="C802" i="1"/>
  <c r="C801" i="1"/>
  <c r="C800" i="1"/>
  <c r="C625" i="1"/>
  <c r="C906" i="1"/>
  <c r="C799" i="1"/>
  <c r="C798" i="1"/>
  <c r="C797" i="1"/>
  <c r="C796" i="1"/>
  <c r="C632" i="1"/>
  <c r="C913" i="1"/>
  <c r="C795" i="1"/>
  <c r="C793" i="1"/>
  <c r="C630" i="1"/>
  <c r="C794" i="1"/>
  <c r="C582" i="1"/>
  <c r="C902" i="1"/>
  <c r="C631" i="1"/>
  <c r="C792" i="1"/>
  <c r="C717" i="1"/>
  <c r="H718" i="1"/>
  <c r="H719" i="1" s="1"/>
  <c r="H904" i="1"/>
  <c r="H905" i="1" s="1"/>
  <c r="H583" i="1"/>
  <c r="H584" i="1" s="1"/>
  <c r="G733" i="1"/>
  <c r="G735" i="1" s="1"/>
  <c r="F585" i="1"/>
  <c r="J585" i="1"/>
  <c r="I585" i="1"/>
  <c r="H585" i="1"/>
  <c r="K585" i="1"/>
  <c r="G585" i="1"/>
  <c r="L585" i="1"/>
  <c r="M585" i="1"/>
  <c r="I906" i="1"/>
  <c r="G906" i="1"/>
  <c r="F906" i="1"/>
  <c r="H906" i="1"/>
  <c r="J906" i="1"/>
  <c r="K906" i="1"/>
  <c r="L906" i="1"/>
  <c r="M906" i="1"/>
  <c r="F713" i="1"/>
  <c r="J713" i="1"/>
  <c r="H713" i="1"/>
  <c r="G713" i="1"/>
  <c r="M713" i="1"/>
  <c r="L713" i="1"/>
  <c r="K713" i="1"/>
  <c r="I713" i="1"/>
  <c r="I776" i="1"/>
  <c r="G776" i="1"/>
  <c r="H776" i="1"/>
  <c r="L776" i="1"/>
  <c r="J776" i="1"/>
  <c r="K776" i="1"/>
  <c r="F776" i="1"/>
  <c r="M776" i="1"/>
  <c r="I823" i="1"/>
  <c r="I825" i="1" s="1"/>
  <c r="H733" i="1"/>
  <c r="H734" i="1" s="1"/>
  <c r="F733" i="1"/>
  <c r="F734" i="1" s="1"/>
  <c r="M733" i="1"/>
  <c r="M735" i="1" s="1"/>
  <c r="C897" i="1"/>
  <c r="C896" i="1"/>
  <c r="C895" i="1"/>
  <c r="C621" i="1"/>
  <c r="C787" i="1"/>
  <c r="C581" i="1"/>
  <c r="C786" i="1"/>
  <c r="C617" i="1"/>
  <c r="C894" i="1"/>
  <c r="C886" i="1"/>
  <c r="C713" i="1"/>
  <c r="C620" i="1"/>
  <c r="C892" i="1"/>
  <c r="C618" i="1"/>
  <c r="C785" i="1"/>
  <c r="C893" i="1"/>
  <c r="C888" i="1"/>
  <c r="C774" i="1"/>
  <c r="C715" i="1"/>
  <c r="C714" i="1"/>
  <c r="C619" i="1"/>
  <c r="C580" i="1"/>
  <c r="C784" i="1"/>
  <c r="C782" i="1"/>
  <c r="C779" i="1"/>
  <c r="C776" i="1"/>
  <c r="C777" i="1"/>
  <c r="C891" i="1"/>
  <c r="C778" i="1"/>
  <c r="C898" i="1"/>
  <c r="C887" i="1"/>
  <c r="C622" i="1"/>
  <c r="C783" i="1"/>
  <c r="C623" i="1"/>
  <c r="C575" i="1"/>
  <c r="C780" i="1"/>
  <c r="C781" i="1"/>
  <c r="C624" i="1"/>
  <c r="C710" i="1"/>
  <c r="H889" i="1"/>
  <c r="H890" i="1" s="1"/>
  <c r="H576" i="1"/>
  <c r="H577" i="1" s="1"/>
  <c r="H711" i="1"/>
  <c r="H712" i="1" s="1"/>
  <c r="G823" i="1"/>
  <c r="G825" i="1" s="1"/>
  <c r="M823" i="1"/>
  <c r="M835" i="1" s="1"/>
  <c r="J823" i="1"/>
  <c r="J828" i="1" s="1"/>
  <c r="M665" i="1"/>
  <c r="L662" i="1"/>
  <c r="L823" i="1"/>
  <c r="L825" i="1" s="1"/>
  <c r="I733" i="1"/>
  <c r="I735" i="1" s="1"/>
  <c r="K823" i="1"/>
  <c r="K835" i="1" s="1"/>
  <c r="H823" i="1"/>
  <c r="H825" i="1" s="1"/>
  <c r="F823" i="1"/>
  <c r="F828" i="1" s="1"/>
  <c r="J578" i="1"/>
  <c r="F578" i="1"/>
  <c r="G578" i="1"/>
  <c r="I578" i="1"/>
  <c r="H578" i="1"/>
  <c r="K578" i="1"/>
  <c r="L578" i="1"/>
  <c r="M578" i="1"/>
  <c r="J733" i="1"/>
  <c r="J735" i="1" s="1"/>
  <c r="K733" i="1"/>
  <c r="K735" i="1" s="1"/>
  <c r="L733" i="1"/>
  <c r="L735" i="1" s="1"/>
  <c r="H891" i="1"/>
  <c r="I891" i="1"/>
  <c r="F891" i="1"/>
  <c r="J891" i="1"/>
  <c r="K891" i="1"/>
  <c r="G891" i="1"/>
  <c r="L891" i="1"/>
  <c r="M891" i="1"/>
  <c r="M658" i="1"/>
  <c r="C882" i="1"/>
  <c r="C881" i="1"/>
  <c r="C880" i="1"/>
  <c r="C613" i="1"/>
  <c r="C879" i="1"/>
  <c r="C871" i="1"/>
  <c r="C706" i="1"/>
  <c r="C612" i="1"/>
  <c r="C878" i="1"/>
  <c r="C873" i="1"/>
  <c r="C758" i="1"/>
  <c r="C708" i="1"/>
  <c r="C707" i="1"/>
  <c r="C611" i="1"/>
  <c r="C877" i="1"/>
  <c r="C771" i="1"/>
  <c r="C610" i="1"/>
  <c r="C574" i="1"/>
  <c r="C573" i="1"/>
  <c r="C770" i="1"/>
  <c r="C769" i="1"/>
  <c r="C768" i="1"/>
  <c r="C609" i="1"/>
  <c r="C876" i="1"/>
  <c r="C767" i="1"/>
  <c r="C766" i="1"/>
  <c r="C765" i="1"/>
  <c r="C764" i="1"/>
  <c r="C763" i="1"/>
  <c r="C761" i="1"/>
  <c r="C703" i="1"/>
  <c r="C615" i="1"/>
  <c r="C883" i="1"/>
  <c r="C616" i="1"/>
  <c r="C614" i="1"/>
  <c r="C762" i="1"/>
  <c r="C568" i="1"/>
  <c r="C872" i="1"/>
  <c r="C760" i="1"/>
  <c r="F571" i="1"/>
  <c r="G571" i="1"/>
  <c r="H571" i="1"/>
  <c r="K571" i="1"/>
  <c r="J571" i="1"/>
  <c r="I571" i="1"/>
  <c r="L571" i="1"/>
  <c r="M571" i="1"/>
  <c r="I876" i="1"/>
  <c r="G876" i="1"/>
  <c r="F876" i="1"/>
  <c r="H876" i="1"/>
  <c r="J876" i="1"/>
  <c r="K876" i="1"/>
  <c r="L876" i="1"/>
  <c r="M876" i="1"/>
  <c r="F706" i="1"/>
  <c r="L706" i="1"/>
  <c r="K706" i="1"/>
  <c r="M706" i="1"/>
  <c r="I706" i="1"/>
  <c r="H706" i="1"/>
  <c r="J706" i="1"/>
  <c r="G706" i="1"/>
  <c r="I760" i="1"/>
  <c r="J760" i="1"/>
  <c r="K760" i="1"/>
  <c r="G760" i="1"/>
  <c r="H760" i="1"/>
  <c r="M760" i="1"/>
  <c r="L760" i="1"/>
  <c r="F760" i="1"/>
  <c r="H731" i="1"/>
  <c r="H732" i="1" s="1"/>
  <c r="H704" i="1"/>
  <c r="H705" i="1" s="1"/>
  <c r="H569" i="1"/>
  <c r="H570" i="1" s="1"/>
  <c r="H874" i="1"/>
  <c r="H875" i="1" s="1"/>
  <c r="G428" i="1"/>
  <c r="G194" i="7" s="1"/>
  <c r="C589" i="1"/>
  <c r="C833" i="1"/>
  <c r="C832" i="1"/>
  <c r="C831" i="1"/>
  <c r="C735" i="1"/>
  <c r="C834" i="1"/>
  <c r="C830" i="1"/>
  <c r="C829" i="1"/>
  <c r="C828" i="1"/>
  <c r="C824" i="1"/>
  <c r="C730" i="1"/>
  <c r="C734" i="1"/>
  <c r="C827" i="1"/>
  <c r="C825" i="1"/>
  <c r="C823" i="1"/>
  <c r="C821" i="1"/>
  <c r="C826" i="1"/>
  <c r="C733" i="1"/>
  <c r="C53" i="8"/>
  <c r="C177" i="8"/>
  <c r="C185" i="8"/>
  <c r="C934" i="8"/>
  <c r="G436" i="1"/>
  <c r="G1436" i="1" s="1"/>
  <c r="G292" i="8" s="1"/>
  <c r="G486" i="1"/>
  <c r="G1276" i="1" s="1"/>
  <c r="C935" i="8"/>
  <c r="C937" i="8"/>
  <c r="C680" i="8"/>
  <c r="G2035" i="1"/>
  <c r="C81" i="8"/>
  <c r="C62" i="8"/>
  <c r="C858" i="8"/>
  <c r="C82" i="8"/>
  <c r="G1226" i="1"/>
  <c r="G629" i="7" s="1"/>
  <c r="G1233" i="1"/>
  <c r="G636" i="7" s="1"/>
  <c r="G463" i="1"/>
  <c r="G229" i="7" s="1"/>
  <c r="G2034" i="1"/>
  <c r="G475" i="1"/>
  <c r="G1274" i="1" s="1"/>
  <c r="G78" i="8" s="1"/>
  <c r="G534" i="1"/>
  <c r="G2030" i="1"/>
  <c r="H88" i="1"/>
  <c r="H1227" i="1" s="1"/>
  <c r="G1227" i="1"/>
  <c r="G630" i="7" s="1"/>
  <c r="G2028" i="1"/>
  <c r="G2029" i="1"/>
  <c r="G1180" i="1"/>
  <c r="G1446" i="1" s="1"/>
  <c r="G310" i="8" s="1"/>
  <c r="C758" i="8"/>
  <c r="C97" i="8"/>
  <c r="C113" i="8"/>
  <c r="C125" i="8"/>
  <c r="C119" i="8"/>
  <c r="C449" i="8"/>
  <c r="C489" i="8"/>
  <c r="C124" i="8"/>
  <c r="C91" i="8"/>
  <c r="C76" i="8"/>
  <c r="C492" i="8"/>
  <c r="C448" i="8"/>
  <c r="C75" i="8"/>
  <c r="C441" i="8"/>
  <c r="C321" i="8"/>
  <c r="C438" i="8"/>
  <c r="C56" i="8"/>
  <c r="C320" i="8"/>
  <c r="C322" i="8"/>
  <c r="C331" i="8"/>
  <c r="C583" i="8"/>
  <c r="C94" i="8"/>
  <c r="C827" i="8"/>
  <c r="C150" i="8"/>
  <c r="C301" i="8"/>
  <c r="C480" i="8"/>
  <c r="C829" i="8"/>
  <c r="C148" i="8"/>
  <c r="C488" i="8"/>
  <c r="C302" i="8"/>
  <c r="C487" i="8"/>
  <c r="C157" i="8"/>
  <c r="C831" i="8"/>
  <c r="C166" i="8"/>
  <c r="C281" i="8"/>
  <c r="C87" i="8"/>
  <c r="C453" i="8"/>
  <c r="C848" i="8"/>
  <c r="C303" i="8"/>
  <c r="C149" i="8"/>
  <c r="C284" i="8"/>
  <c r="C476" i="8"/>
  <c r="C167" i="8"/>
  <c r="C280" i="8"/>
  <c r="C93" i="8"/>
  <c r="C450" i="8"/>
  <c r="C857" i="8"/>
  <c r="C133" i="8"/>
  <c r="C291" i="8"/>
  <c r="C700" i="8"/>
  <c r="C272" i="8"/>
  <c r="C45" i="8"/>
  <c r="C754" i="8"/>
  <c r="C473" i="8"/>
  <c r="A359" i="8"/>
  <c r="C911" i="8"/>
  <c r="C766" i="8"/>
  <c r="C57" i="8"/>
  <c r="C55" i="8"/>
  <c r="C475" i="8"/>
  <c r="C506" i="8"/>
  <c r="C466" i="8"/>
  <c r="C915" i="8"/>
  <c r="C767" i="8"/>
  <c r="C573" i="8"/>
  <c r="C168" i="8"/>
  <c r="C756" i="8"/>
  <c r="C136" i="8"/>
  <c r="C269" i="8"/>
  <c r="C137" i="8"/>
  <c r="C295" i="8"/>
  <c r="C710" i="8"/>
  <c r="C268" i="8"/>
  <c r="C503" i="8"/>
  <c r="C463" i="8"/>
  <c r="C920" i="8"/>
  <c r="C828" i="8"/>
  <c r="C101" i="8"/>
  <c r="C682" i="8"/>
  <c r="C902" i="8"/>
  <c r="C709" i="8"/>
  <c r="C138" i="8"/>
  <c r="C296" i="8"/>
  <c r="A239" i="8"/>
  <c r="C267" i="8"/>
  <c r="C502" i="8"/>
  <c r="C462" i="8"/>
  <c r="C921" i="8"/>
  <c r="C942" i="8"/>
  <c r="C103" i="8"/>
  <c r="C279" i="8"/>
  <c r="C437" i="8"/>
  <c r="C760" i="8"/>
  <c r="C294" i="8"/>
  <c r="C145" i="8"/>
  <c r="C317" i="8"/>
  <c r="C307" i="8"/>
  <c r="C159" i="8"/>
  <c r="C501" i="8"/>
  <c r="C461" i="8"/>
  <c r="C761" i="8"/>
  <c r="C929" i="8"/>
  <c r="C52" i="8"/>
  <c r="C948" i="8"/>
  <c r="C927" i="1"/>
  <c r="C926" i="1"/>
  <c r="C925" i="1"/>
  <c r="C637" i="1"/>
  <c r="C636" i="1"/>
  <c r="C924" i="1"/>
  <c r="C916" i="1"/>
  <c r="C727" i="1"/>
  <c r="C923" i="1"/>
  <c r="C918" i="1"/>
  <c r="C806" i="1"/>
  <c r="C729" i="1"/>
  <c r="C728" i="1"/>
  <c r="C635" i="1"/>
  <c r="C922" i="1"/>
  <c r="C819" i="1"/>
  <c r="C634" i="1"/>
  <c r="C595" i="1"/>
  <c r="C594" i="1"/>
  <c r="C633" i="1"/>
  <c r="C818" i="1"/>
  <c r="C817" i="1"/>
  <c r="C816" i="1"/>
  <c r="C921" i="1"/>
  <c r="C815" i="1"/>
  <c r="C814" i="1"/>
  <c r="C813" i="1"/>
  <c r="C811" i="1"/>
  <c r="C810" i="1"/>
  <c r="C812" i="1"/>
  <c r="C809" i="1"/>
  <c r="C808" i="1"/>
  <c r="C640" i="1"/>
  <c r="C639" i="1"/>
  <c r="C724" i="1"/>
  <c r="C638" i="1"/>
  <c r="C928" i="1"/>
  <c r="C917" i="1"/>
  <c r="C134" i="8"/>
  <c r="C146" i="8"/>
  <c r="C292" i="8"/>
  <c r="C318" i="8"/>
  <c r="C332" i="8"/>
  <c r="C306" i="8"/>
  <c r="C283" i="8"/>
  <c r="C271" i="8"/>
  <c r="C127" i="8"/>
  <c r="C78" i="8"/>
  <c r="C44" i="8"/>
  <c r="C89" i="8"/>
  <c r="C679" i="8"/>
  <c r="C505" i="8"/>
  <c r="C491" i="8"/>
  <c r="C479" i="8"/>
  <c r="C452" i="8"/>
  <c r="C440" i="8"/>
  <c r="C763" i="8"/>
  <c r="C855" i="8"/>
  <c r="C912" i="8"/>
  <c r="C931" i="8"/>
  <c r="C79" i="8"/>
  <c r="C186" i="8"/>
  <c r="C832" i="8"/>
  <c r="C834" i="8"/>
  <c r="C158" i="8"/>
  <c r="C707" i="8"/>
  <c r="C465" i="8"/>
  <c r="C135" i="8"/>
  <c r="C147" i="8"/>
  <c r="C165" i="8"/>
  <c r="C293" i="8"/>
  <c r="C319" i="8"/>
  <c r="A409" i="8"/>
  <c r="C708" i="8"/>
  <c r="C304" i="8"/>
  <c r="C282" i="8"/>
  <c r="C270" i="8"/>
  <c r="C126" i="8"/>
  <c r="C77" i="8"/>
  <c r="A214" i="8"/>
  <c r="C90" i="8"/>
  <c r="C687" i="8"/>
  <c r="C504" i="8"/>
  <c r="C490" i="8"/>
  <c r="C478" i="8"/>
  <c r="C464" i="8"/>
  <c r="C451" i="8"/>
  <c r="C439" i="8"/>
  <c r="C764" i="8"/>
  <c r="C856" i="8"/>
  <c r="C913" i="8"/>
  <c r="C933" i="8"/>
  <c r="C80" i="8"/>
  <c r="C187" i="8"/>
  <c r="C836" i="8"/>
  <c r="C762" i="8"/>
  <c r="C169" i="8"/>
  <c r="C324" i="8"/>
  <c r="C278" i="8"/>
  <c r="C98" i="8"/>
  <c r="C689" i="8"/>
  <c r="C500" i="8"/>
  <c r="C486" i="8"/>
  <c r="C460" i="8"/>
  <c r="C833" i="8"/>
  <c r="C922" i="8"/>
  <c r="C54" i="8"/>
  <c r="C178" i="8"/>
  <c r="C768" i="8"/>
  <c r="C104" i="8"/>
  <c r="G532" i="1"/>
  <c r="G921" i="1"/>
  <c r="C151" i="8"/>
  <c r="A189" i="8"/>
  <c r="C447" i="8"/>
  <c r="C59" i="8"/>
  <c r="C140" i="8"/>
  <c r="C298" i="8"/>
  <c r="C325" i="8"/>
  <c r="C686" i="8"/>
  <c r="C164" i="8"/>
  <c r="C685" i="8"/>
  <c r="C129" i="8"/>
  <c r="C141" i="8"/>
  <c r="C153" i="8"/>
  <c r="C173" i="8"/>
  <c r="C311" i="8"/>
  <c r="C327" i="8"/>
  <c r="C688" i="8"/>
  <c r="C314" i="8"/>
  <c r="C290" i="8"/>
  <c r="C276" i="8"/>
  <c r="C163" i="8"/>
  <c r="C115" i="8"/>
  <c r="C49" i="8"/>
  <c r="C69" i="8"/>
  <c r="C108" i="8"/>
  <c r="C681" i="8"/>
  <c r="C497" i="8"/>
  <c r="C484" i="8"/>
  <c r="C470" i="8"/>
  <c r="C458" i="8"/>
  <c r="C445" i="8"/>
  <c r="C837" i="8"/>
  <c r="C905" i="8"/>
  <c r="C924" i="8"/>
  <c r="C72" i="8"/>
  <c r="C181" i="8"/>
  <c r="C782" i="8"/>
  <c r="C106" i="8"/>
  <c r="C830" i="8"/>
  <c r="F921" i="1"/>
  <c r="H921" i="1"/>
  <c r="C139" i="8"/>
  <c r="C684" i="8"/>
  <c r="C118" i="8"/>
  <c r="C472" i="8"/>
  <c r="C50" i="8"/>
  <c r="C180" i="8"/>
  <c r="C105" i="8"/>
  <c r="C130" i="8"/>
  <c r="C142" i="8"/>
  <c r="C154" i="8"/>
  <c r="C174" i="8"/>
  <c r="C312" i="8"/>
  <c r="C328" i="8"/>
  <c r="C691" i="8"/>
  <c r="C313" i="8"/>
  <c r="C289" i="8"/>
  <c r="C275" i="8"/>
  <c r="C162" i="8"/>
  <c r="C96" i="8"/>
  <c r="C48" i="8"/>
  <c r="C83" i="8"/>
  <c r="C109" i="8"/>
  <c r="C510" i="8"/>
  <c r="C495" i="8"/>
  <c r="C483" i="8"/>
  <c r="C469" i="8"/>
  <c r="C456" i="8"/>
  <c r="C444" i="8"/>
  <c r="C683" i="8"/>
  <c r="C839" i="8"/>
  <c r="C906" i="8"/>
  <c r="C925" i="8"/>
  <c r="C73" i="8"/>
  <c r="C182" i="8"/>
  <c r="C783" i="8"/>
  <c r="F727" i="1"/>
  <c r="J727" i="1"/>
  <c r="M727" i="1"/>
  <c r="K727" i="1"/>
  <c r="L727" i="1"/>
  <c r="I727" i="1"/>
  <c r="H727" i="1"/>
  <c r="G727" i="1"/>
  <c r="G808" i="1"/>
  <c r="I808" i="1"/>
  <c r="J808" i="1"/>
  <c r="M808" i="1"/>
  <c r="K808" i="1"/>
  <c r="F808" i="1"/>
  <c r="L808" i="1"/>
  <c r="H808" i="1"/>
  <c r="A384" i="8"/>
  <c r="C938" i="8"/>
  <c r="C152" i="8"/>
  <c r="C299" i="8"/>
  <c r="C68" i="8"/>
  <c r="C471" i="8"/>
  <c r="C904" i="8"/>
  <c r="C775" i="8"/>
  <c r="C329" i="8"/>
  <c r="C494" i="8"/>
  <c r="C74" i="8"/>
  <c r="C784" i="8"/>
  <c r="F593" i="1"/>
  <c r="F594" i="1" s="1"/>
  <c r="H589" i="1"/>
  <c r="G592" i="1"/>
  <c r="M670" i="1"/>
  <c r="H697" i="1"/>
  <c r="H698" i="1" s="1"/>
  <c r="H725" i="1"/>
  <c r="H726" i="1" s="1"/>
  <c r="H590" i="1"/>
  <c r="H591" i="1" s="1"/>
  <c r="H919" i="1"/>
  <c r="H920" i="1" s="1"/>
  <c r="I917" i="1" s="1"/>
  <c r="C58" i="8"/>
  <c r="C297" i="8"/>
  <c r="C300" i="8"/>
  <c r="C51" i="8"/>
  <c r="C903" i="8"/>
  <c r="C170" i="8"/>
  <c r="A334" i="8"/>
  <c r="C277" i="8"/>
  <c r="C116" i="8"/>
  <c r="C107" i="8"/>
  <c r="C498" i="8"/>
  <c r="C485" i="8"/>
  <c r="C459" i="8"/>
  <c r="C446" i="8"/>
  <c r="C835" i="8"/>
  <c r="C923" i="8"/>
  <c r="C939" i="8"/>
  <c r="C71" i="8"/>
  <c r="C131" i="8"/>
  <c r="C143" i="8"/>
  <c r="C155" i="8"/>
  <c r="C175" i="8"/>
  <c r="C315" i="8"/>
  <c r="C692" i="8"/>
  <c r="C310" i="8"/>
  <c r="C287" i="8"/>
  <c r="C274" i="8"/>
  <c r="C161" i="8"/>
  <c r="C95" i="8"/>
  <c r="C47" i="8"/>
  <c r="C84" i="8"/>
  <c r="C110" i="8"/>
  <c r="C509" i="8"/>
  <c r="C482" i="8"/>
  <c r="C468" i="8"/>
  <c r="C455" i="8"/>
  <c r="C443" i="8"/>
  <c r="C755" i="8"/>
  <c r="C840" i="8"/>
  <c r="C907" i="8"/>
  <c r="C926" i="8"/>
  <c r="C183" i="8"/>
  <c r="C132" i="8"/>
  <c r="C144" i="8"/>
  <c r="C156" i="8"/>
  <c r="C176" i="8"/>
  <c r="C316" i="8"/>
  <c r="C330" i="8"/>
  <c r="C693" i="8"/>
  <c r="C309" i="8"/>
  <c r="C286" i="8"/>
  <c r="C273" i="8"/>
  <c r="C160" i="8"/>
  <c r="C92" i="8"/>
  <c r="C46" i="8"/>
  <c r="C86" i="8"/>
  <c r="C112" i="8"/>
  <c r="C507" i="8"/>
  <c r="C493" i="8"/>
  <c r="C481" i="8"/>
  <c r="C467" i="8"/>
  <c r="C454" i="8"/>
  <c r="C442" i="8"/>
  <c r="C759" i="8"/>
  <c r="C841" i="8"/>
  <c r="C909" i="8"/>
  <c r="C928" i="8"/>
  <c r="C61" i="8"/>
  <c r="C184" i="8"/>
  <c r="C785" i="8"/>
  <c r="C757" i="8"/>
  <c r="M1380" i="1"/>
  <c r="M118" i="1" s="1"/>
  <c r="I1382" i="1"/>
  <c r="I1431" i="1" s="1"/>
  <c r="I284" i="8" s="1"/>
  <c r="K1380" i="1"/>
  <c r="K118" i="1" s="1"/>
  <c r="F1380" i="1"/>
  <c r="F118" i="1" s="1"/>
  <c r="L1380" i="1"/>
  <c r="L118" i="1" s="1"/>
  <c r="G522" i="1"/>
  <c r="G527" i="1" s="1"/>
  <c r="I345" i="1"/>
  <c r="I96" i="7" s="1"/>
  <c r="H1204" i="1"/>
  <c r="H606" i="7" s="1"/>
  <c r="G378" i="1"/>
  <c r="G129" i="7" s="1"/>
  <c r="J1380" i="1"/>
  <c r="J118" i="1" s="1"/>
  <c r="M1382" i="1"/>
  <c r="M122" i="1" s="1"/>
  <c r="H1382" i="1"/>
  <c r="H122" i="1" s="1"/>
  <c r="H1380" i="1"/>
  <c r="H118" i="1" s="1"/>
  <c r="B72" i="1"/>
  <c r="L1382" i="1"/>
  <c r="L122" i="1" s="1"/>
  <c r="I1380" i="1"/>
  <c r="I118" i="1" s="1"/>
  <c r="J1382" i="1"/>
  <c r="J122" i="1" s="1"/>
  <c r="G1382" i="1"/>
  <c r="G122" i="1" s="1"/>
  <c r="F1272" i="1"/>
  <c r="F74" i="8" s="1"/>
  <c r="F73" i="8" s="1"/>
  <c r="K1382" i="1"/>
  <c r="K122" i="1" s="1"/>
  <c r="G1067" i="1"/>
  <c r="G475" i="7" s="1"/>
  <c r="G163" i="1"/>
  <c r="H167" i="1" s="1"/>
  <c r="H163" i="1"/>
  <c r="H162" i="1" s="1"/>
  <c r="H1006" i="1"/>
  <c r="H81" i="1"/>
  <c r="I82" i="1" s="1"/>
  <c r="F475" i="7"/>
  <c r="G1065" i="1"/>
  <c r="G1068" i="1" s="1"/>
  <c r="H561" i="1"/>
  <c r="H564" i="1" s="1"/>
  <c r="H565" i="1" s="1"/>
  <c r="H566" i="1" s="1"/>
  <c r="I80" i="1"/>
  <c r="I1042" i="1" s="1"/>
  <c r="I1043" i="1" s="1"/>
  <c r="F451" i="7"/>
  <c r="G1037" i="1"/>
  <c r="F464" i="7"/>
  <c r="G1054" i="1"/>
  <c r="G1057" i="1" s="1"/>
  <c r="G465" i="7" s="1"/>
  <c r="F1765" i="1"/>
  <c r="F998" i="7" s="1"/>
  <c r="G82" i="1"/>
  <c r="G1765" i="1"/>
  <c r="G998" i="7" s="1"/>
  <c r="H82" i="1"/>
  <c r="L1917" i="1"/>
  <c r="H1917" i="1"/>
  <c r="G685" i="7"/>
  <c r="G1056" i="1"/>
  <c r="G464" i="7" s="1"/>
  <c r="G519" i="1"/>
  <c r="G533" i="1" s="1"/>
  <c r="H802" i="7"/>
  <c r="M246" i="1"/>
  <c r="F1281" i="1"/>
  <c r="F90" i="8" s="1"/>
  <c r="F89" i="8" s="1"/>
  <c r="I255" i="1"/>
  <c r="E1232" i="1"/>
  <c r="E635" i="7" s="1"/>
  <c r="H699" i="1"/>
  <c r="H700" i="1" s="1"/>
  <c r="F1273" i="1"/>
  <c r="F76" i="8" s="1"/>
  <c r="F75" i="8" s="1"/>
  <c r="G521" i="1"/>
  <c r="G535" i="1" s="1"/>
  <c r="F229" i="7"/>
  <c r="F699" i="1"/>
  <c r="F700" i="1" s="1"/>
  <c r="J1917" i="1"/>
  <c r="F314" i="8"/>
  <c r="F313" i="8" s="1"/>
  <c r="G1083" i="1"/>
  <c r="G487" i="7" s="1"/>
  <c r="F243" i="1"/>
  <c r="F244" i="1" s="1"/>
  <c r="F240" i="1" s="1"/>
  <c r="G243" i="1" s="1"/>
  <c r="F1838" i="1"/>
  <c r="G1839" i="1" s="1"/>
  <c r="F1909" i="1"/>
  <c r="G1910" i="1" s="1"/>
  <c r="F1382" i="1"/>
  <c r="F1431" i="1" s="1"/>
  <c r="F785" i="7" s="1"/>
  <c r="F1057" i="1"/>
  <c r="F465" i="7" s="1"/>
  <c r="G345" i="1"/>
  <c r="G96" i="7" s="1"/>
  <c r="O96" i="7"/>
  <c r="P96" i="7"/>
  <c r="N96" i="7"/>
  <c r="K345" i="1"/>
  <c r="K96" i="7" s="1"/>
  <c r="H345" i="1"/>
  <c r="H96" i="7" s="1"/>
  <c r="M345" i="1"/>
  <c r="M96" i="7" s="1"/>
  <c r="L345" i="1"/>
  <c r="L96" i="7" s="1"/>
  <c r="J345" i="1"/>
  <c r="J96" i="7" s="1"/>
  <c r="F345" i="1"/>
  <c r="F96" i="7" s="1"/>
  <c r="I153" i="1"/>
  <c r="J153" i="1" s="1"/>
  <c r="K153" i="1" s="1"/>
  <c r="L153" i="1" s="1"/>
  <c r="M153" i="1" s="1"/>
  <c r="N153" i="1" s="1"/>
  <c r="O153" i="1" s="1"/>
  <c r="P153" i="1" s="1"/>
  <c r="Q153" i="1" s="1"/>
  <c r="F393" i="1"/>
  <c r="F159" i="7" s="1"/>
  <c r="F685" i="7"/>
  <c r="F312" i="8"/>
  <c r="F311" i="8" s="1"/>
  <c r="G1039" i="1"/>
  <c r="G451" i="7" s="1"/>
  <c r="M1917" i="1"/>
  <c r="H1764" i="1"/>
  <c r="H997" i="7" s="1"/>
  <c r="F290" i="8"/>
  <c r="F289" i="8" s="1"/>
  <c r="F789" i="7"/>
  <c r="G274" i="1"/>
  <c r="F194" i="7"/>
  <c r="M1846" i="1"/>
  <c r="G656" i="1"/>
  <c r="G372" i="7" s="1"/>
  <c r="G655" i="1"/>
  <c r="H656" i="1"/>
  <c r="H372" i="7" s="1"/>
  <c r="H655" i="1"/>
  <c r="H371" i="7" s="1"/>
  <c r="J656" i="1"/>
  <c r="J372" i="7" s="1"/>
  <c r="J655" i="1"/>
  <c r="J680" i="1" s="1"/>
  <c r="K656" i="1"/>
  <c r="K372" i="7" s="1"/>
  <c r="K655" i="1"/>
  <c r="P372" i="7"/>
  <c r="O372" i="7"/>
  <c r="N372" i="7"/>
  <c r="M280" i="7"/>
  <c r="M655" i="1"/>
  <c r="L656" i="1"/>
  <c r="L372" i="7" s="1"/>
  <c r="L655" i="1"/>
  <c r="L680" i="1" s="1"/>
  <c r="S1315" i="1"/>
  <c r="S685" i="7" s="1"/>
  <c r="I1917" i="1"/>
  <c r="M255" i="1"/>
  <c r="L802" i="7"/>
  <c r="F506" i="1"/>
  <c r="G505" i="1" s="1"/>
  <c r="G515" i="1" s="1"/>
  <c r="L280" i="7"/>
  <c r="I368" i="1"/>
  <c r="I119" i="7" s="1"/>
  <c r="K307" i="1"/>
  <c r="K305" i="1" s="1"/>
  <c r="K56" i="7" s="1"/>
  <c r="F505" i="1"/>
  <c r="F515" i="1" s="1"/>
  <c r="F516" i="1" s="1"/>
  <c r="F531" i="1" s="1"/>
  <c r="J264" i="1"/>
  <c r="M333" i="1"/>
  <c r="M84" i="7" s="1"/>
  <c r="F264" i="1"/>
  <c r="P280" i="7"/>
  <c r="F1917" i="1"/>
  <c r="I371" i="7"/>
  <c r="N280" i="7"/>
  <c r="F280" i="7"/>
  <c r="C456" i="1"/>
  <c r="C222" i="7" s="1"/>
  <c r="C1107" i="1"/>
  <c r="C511" i="7" s="1"/>
  <c r="J277" i="1"/>
  <c r="C1198" i="1"/>
  <c r="C59" i="1"/>
  <c r="C334" i="1"/>
  <c r="C85" i="7" s="1"/>
  <c r="C52" i="1"/>
  <c r="C126" i="1"/>
  <c r="C312" i="1"/>
  <c r="C63" i="7" s="1"/>
  <c r="J307" i="1"/>
  <c r="J58" i="7" s="1"/>
  <c r="H368" i="1"/>
  <c r="G393" i="1"/>
  <c r="G159" i="7" s="1"/>
  <c r="G699" i="1"/>
  <c r="G701" i="1" s="1"/>
  <c r="G1380" i="1"/>
  <c r="G118" i="1" s="1"/>
  <c r="G264" i="1"/>
  <c r="B105" i="7"/>
  <c r="L255" i="1"/>
  <c r="B96" i="7"/>
  <c r="F277" i="1"/>
  <c r="H319" i="1"/>
  <c r="H70" i="7" s="1"/>
  <c r="J246" i="1"/>
  <c r="F564" i="1"/>
  <c r="F565" i="1" s="1"/>
  <c r="F566" i="1" s="1"/>
  <c r="C268" i="1"/>
  <c r="C1146" i="1"/>
  <c r="C550" i="7" s="1"/>
  <c r="C245" i="1"/>
  <c r="C144" i="1"/>
  <c r="C1021" i="1"/>
  <c r="C434" i="1"/>
  <c r="C200" i="7" s="1"/>
  <c r="C362" i="1"/>
  <c r="C113" i="7" s="1"/>
  <c r="C70" i="1"/>
  <c r="C982" i="1"/>
  <c r="C561" i="1"/>
  <c r="S1447" i="1"/>
  <c r="S801" i="7" s="1"/>
  <c r="C218" i="1"/>
  <c r="C57" i="1"/>
  <c r="C291" i="1"/>
  <c r="C42" i="7" s="1"/>
  <c r="C1206" i="1"/>
  <c r="C608" i="7" s="1"/>
  <c r="C1093" i="1"/>
  <c r="C497" i="7" s="1"/>
  <c r="C469" i="1"/>
  <c r="C235" i="7" s="1"/>
  <c r="C476" i="1"/>
  <c r="C242" i="7" s="1"/>
  <c r="C1227" i="1"/>
  <c r="C630" i="7" s="1"/>
  <c r="C845" i="1"/>
  <c r="C414" i="1"/>
  <c r="C180" i="7" s="1"/>
  <c r="C183" i="1"/>
  <c r="C118" i="1"/>
  <c r="C356" i="1"/>
  <c r="C107" i="7" s="1"/>
  <c r="C236" i="1"/>
  <c r="C1174" i="1"/>
  <c r="C578" i="7" s="1"/>
  <c r="C1068" i="1"/>
  <c r="C476" i="7" s="1"/>
  <c r="C400" i="1"/>
  <c r="C166" i="7" s="1"/>
  <c r="C1062" i="1"/>
  <c r="C470" i="7" s="1"/>
  <c r="C263" i="1"/>
  <c r="B10" i="7"/>
  <c r="C277" i="1"/>
  <c r="C254" i="1"/>
  <c r="C228" i="1"/>
  <c r="C198" i="1"/>
  <c r="C157" i="1"/>
  <c r="C58" i="1"/>
  <c r="C42" i="1"/>
  <c r="C48" i="1"/>
  <c r="C56" i="1"/>
  <c r="C123" i="1"/>
  <c r="C131" i="1"/>
  <c r="C364" i="1"/>
  <c r="C115" i="7" s="1"/>
  <c r="C342" i="1"/>
  <c r="C93" i="7" s="1"/>
  <c r="C318" i="1"/>
  <c r="C69" i="7" s="1"/>
  <c r="C294" i="1"/>
  <c r="C45" i="7" s="1"/>
  <c r="C260" i="1"/>
  <c r="C162" i="1"/>
  <c r="C1207" i="1"/>
  <c r="C609" i="7" s="1"/>
  <c r="C1180" i="1"/>
  <c r="C584" i="7" s="1"/>
  <c r="C1147" i="1"/>
  <c r="C551" i="7" s="1"/>
  <c r="C1108" i="1"/>
  <c r="C512" i="7" s="1"/>
  <c r="C1095" i="1"/>
  <c r="C499" i="7" s="1"/>
  <c r="C1077" i="1"/>
  <c r="C481" i="7" s="1"/>
  <c r="C1023" i="1"/>
  <c r="C1011" i="1"/>
  <c r="C748" i="1"/>
  <c r="C474" i="1"/>
  <c r="C240" i="7" s="1"/>
  <c r="C408" i="1"/>
  <c r="C174" i="7" s="1"/>
  <c r="C607" i="1"/>
  <c r="C299" i="7" s="1"/>
  <c r="C483" i="1"/>
  <c r="C249" i="7" s="1"/>
  <c r="C337" i="1"/>
  <c r="C88" i="7" s="1"/>
  <c r="C441" i="1"/>
  <c r="C207" i="7" s="1"/>
  <c r="C375" i="1"/>
  <c r="C126" i="7" s="1"/>
  <c r="C530" i="1"/>
  <c r="C1226" i="1"/>
  <c r="C629" i="7" s="1"/>
  <c r="C1063" i="1"/>
  <c r="C471" i="7" s="1"/>
  <c r="C844" i="1"/>
  <c r="C253" i="1"/>
  <c r="C383" i="1"/>
  <c r="C134" i="7" s="1"/>
  <c r="C264" i="1"/>
  <c r="C242" i="1"/>
  <c r="C217" i="1"/>
  <c r="C181" i="1"/>
  <c r="C67" i="1"/>
  <c r="C51" i="1"/>
  <c r="C69" i="1"/>
  <c r="C62" i="1"/>
  <c r="C116" i="1"/>
  <c r="C119" i="1"/>
  <c r="C127" i="1"/>
  <c r="C354" i="1"/>
  <c r="C105" i="7" s="1"/>
  <c r="C333" i="1"/>
  <c r="C84" i="7" s="1"/>
  <c r="C311" i="1"/>
  <c r="C62" i="7" s="1"/>
  <c r="C290" i="1"/>
  <c r="C41" i="7" s="1"/>
  <c r="C207" i="1"/>
  <c r="C117" i="1"/>
  <c r="C1186" i="1"/>
  <c r="C590" i="7" s="1"/>
  <c r="C1170" i="1"/>
  <c r="C574" i="7" s="1"/>
  <c r="C1127" i="1"/>
  <c r="C531" i="7" s="1"/>
  <c r="C1100" i="1"/>
  <c r="C504" i="7" s="1"/>
  <c r="C1089" i="1"/>
  <c r="C493" i="7" s="1"/>
  <c r="C1050" i="1"/>
  <c r="C458" i="7" s="1"/>
  <c r="C1017" i="1"/>
  <c r="C866" i="1"/>
  <c r="C466" i="1"/>
  <c r="C232" i="7" s="1"/>
  <c r="C397" i="1"/>
  <c r="C163" i="7" s="1"/>
  <c r="C649" i="1"/>
  <c r="C365" i="7" s="1"/>
  <c r="C518" i="1"/>
  <c r="C424" i="1"/>
  <c r="C190" i="7" s="1"/>
  <c r="C452" i="1"/>
  <c r="C218" i="7" s="1"/>
  <c r="C430" i="1"/>
  <c r="C196" i="7" s="1"/>
  <c r="C350" i="1"/>
  <c r="C101" i="7" s="1"/>
  <c r="C865" i="1"/>
  <c r="C2049" i="1"/>
  <c r="C1225" i="1"/>
  <c r="C627" i="7" s="1"/>
  <c r="C1763" i="1"/>
  <c r="C1778" i="1" s="1"/>
  <c r="C1011" i="7" s="1"/>
  <c r="C286" i="1"/>
  <c r="C37" i="7" s="1"/>
  <c r="C255" i="1"/>
  <c r="C235" i="1"/>
  <c r="C201" i="1"/>
  <c r="C158" i="1"/>
  <c r="C61" i="1"/>
  <c r="C45" i="1"/>
  <c r="C41" i="1"/>
  <c r="C115" i="1"/>
  <c r="C122" i="1"/>
  <c r="C130" i="1"/>
  <c r="C365" i="1"/>
  <c r="C116" i="7" s="1"/>
  <c r="C343" i="1"/>
  <c r="C94" i="7" s="1"/>
  <c r="C323" i="1"/>
  <c r="C74" i="7" s="1"/>
  <c r="C295" i="1"/>
  <c r="C46" i="7" s="1"/>
  <c r="C270" i="1"/>
  <c r="C164" i="1"/>
  <c r="C1185" i="1"/>
  <c r="C589" i="7" s="1"/>
  <c r="C1165" i="1"/>
  <c r="C569" i="7" s="1"/>
  <c r="C1120" i="1"/>
  <c r="C524" i="7" s="1"/>
  <c r="C1099" i="1"/>
  <c r="C503" i="7" s="1"/>
  <c r="C1088" i="1"/>
  <c r="C492" i="7" s="1"/>
  <c r="C1015" i="1"/>
  <c r="C864" i="1"/>
  <c r="C517" i="1"/>
  <c r="C461" i="1"/>
  <c r="C227" i="7" s="1"/>
  <c r="C392" i="1"/>
  <c r="C158" i="7" s="1"/>
  <c r="C644" i="1"/>
  <c r="C360" i="7" s="1"/>
  <c r="C507" i="1"/>
  <c r="C445" i="1"/>
  <c r="C211" i="7" s="1"/>
  <c r="C411" i="1"/>
  <c r="C177" i="7" s="1"/>
  <c r="C384" i="1"/>
  <c r="C135" i="7" s="1"/>
  <c r="C520" i="1"/>
  <c r="C949" i="1"/>
  <c r="C2050" i="1"/>
  <c r="C1228" i="1"/>
  <c r="C631" i="7" s="1"/>
  <c r="C1836" i="1"/>
  <c r="C1863" i="1" s="1"/>
  <c r="C2083" i="1" s="1"/>
  <c r="C1122" i="7" s="1"/>
  <c r="C487" i="1"/>
  <c r="C253" i="7" s="1"/>
  <c r="C1208" i="1"/>
  <c r="C610" i="7" s="1"/>
  <c r="C515" i="1"/>
  <c r="C382" i="1"/>
  <c r="C133" i="7" s="1"/>
  <c r="C309" i="1"/>
  <c r="C60" i="7" s="1"/>
  <c r="C234" i="1"/>
  <c r="C1995" i="1"/>
  <c r="C1085" i="7" s="1"/>
  <c r="C1381" i="1"/>
  <c r="C849" i="1"/>
  <c r="C841" i="1"/>
  <c r="C1232" i="1"/>
  <c r="C635" i="7" s="1"/>
  <c r="C932" i="1"/>
  <c r="C940" i="1"/>
  <c r="C1149" i="1"/>
  <c r="C553" i="7" s="1"/>
  <c r="C1234" i="1"/>
  <c r="C637" i="7" s="1"/>
  <c r="C2032" i="1"/>
  <c r="C1988" i="1"/>
  <c r="C1078" i="7" s="1"/>
  <c r="C1188" i="1"/>
  <c r="C592" i="7" s="1"/>
  <c r="C1034" i="1"/>
  <c r="C446" i="7" s="1"/>
  <c r="C700" i="1"/>
  <c r="C535" i="1"/>
  <c r="C527" i="1"/>
  <c r="C315" i="1"/>
  <c r="C66" i="7" s="1"/>
  <c r="C359" i="1"/>
  <c r="C110" i="7" s="1"/>
  <c r="C367" i="1"/>
  <c r="C118" i="7" s="1"/>
  <c r="C377" i="1"/>
  <c r="C128" i="7" s="1"/>
  <c r="C415" i="1"/>
  <c r="C181" i="7" s="1"/>
  <c r="C432" i="1"/>
  <c r="C198" i="7" s="1"/>
  <c r="C437" i="1"/>
  <c r="C203" i="7" s="1"/>
  <c r="C442" i="1"/>
  <c r="C208" i="7" s="1"/>
  <c r="C448" i="1"/>
  <c r="C214" i="7" s="1"/>
  <c r="C453" i="1"/>
  <c r="C219" i="7" s="1"/>
  <c r="C458" i="1"/>
  <c r="C224" i="7" s="1"/>
  <c r="C339" i="1"/>
  <c r="C90" i="7" s="1"/>
  <c r="C417" i="1"/>
  <c r="C183" i="7" s="1"/>
  <c r="C425" i="1"/>
  <c r="C191" i="7" s="1"/>
  <c r="C479" i="1"/>
  <c r="C245" i="7" s="1"/>
  <c r="C484" i="1"/>
  <c r="C250" i="7" s="1"/>
  <c r="C513" i="1"/>
  <c r="C521" i="1"/>
  <c r="C601" i="1"/>
  <c r="C293" i="7" s="1"/>
  <c r="C642" i="1"/>
  <c r="C358" i="7" s="1"/>
  <c r="C646" i="1"/>
  <c r="C362" i="7" s="1"/>
  <c r="C701" i="1"/>
  <c r="C742" i="1"/>
  <c r="C394" i="1"/>
  <c r="C160" i="7" s="1"/>
  <c r="C398" i="1"/>
  <c r="C164" i="7" s="1"/>
  <c r="C403" i="1"/>
  <c r="C169" i="7" s="1"/>
  <c r="C459" i="1"/>
  <c r="C225" i="7" s="1"/>
  <c r="C463" i="1"/>
  <c r="C229" i="7" s="1"/>
  <c r="C467" i="1"/>
  <c r="C233" i="7" s="1"/>
  <c r="C471" i="1"/>
  <c r="C237" i="7" s="1"/>
  <c r="C508" i="1"/>
  <c r="C602" i="1"/>
  <c r="C294" i="7" s="1"/>
  <c r="C746" i="1"/>
  <c r="C754" i="1"/>
  <c r="C861" i="1"/>
  <c r="C868" i="1"/>
  <c r="C1006" i="1"/>
  <c r="C1014" i="1"/>
  <c r="C1019" i="1"/>
  <c r="C1037" i="1"/>
  <c r="C449" i="7" s="1"/>
  <c r="C1049" i="1"/>
  <c r="C457" i="7" s="1"/>
  <c r="C1054" i="1"/>
  <c r="C462" i="7" s="1"/>
  <c r="C1081" i="1"/>
  <c r="C485" i="7" s="1"/>
  <c r="C1090" i="1"/>
  <c r="C494" i="7" s="1"/>
  <c r="C1094" i="1"/>
  <c r="C498" i="7" s="1"/>
  <c r="C1098" i="1"/>
  <c r="C502" i="7" s="1"/>
  <c r="C1102" i="1"/>
  <c r="C506" i="7" s="1"/>
  <c r="C1109" i="1"/>
  <c r="C513" i="7" s="1"/>
  <c r="C1122" i="1"/>
  <c r="C526" i="7" s="1"/>
  <c r="C1139" i="1"/>
  <c r="C543" i="7" s="1"/>
  <c r="C1153" i="1"/>
  <c r="C557" i="7" s="1"/>
  <c r="C1171" i="1"/>
  <c r="C575" i="7" s="1"/>
  <c r="C1175" i="1"/>
  <c r="C579" i="7" s="1"/>
  <c r="C1184" i="1"/>
  <c r="C588" i="7" s="1"/>
  <c r="C1192" i="1"/>
  <c r="C596" i="7" s="1"/>
  <c r="C491" i="1"/>
  <c r="C257" i="7" s="1"/>
  <c r="C379" i="1"/>
  <c r="C130" i="7" s="1"/>
  <c r="C308" i="1"/>
  <c r="C59" i="7" s="1"/>
  <c r="C136" i="1"/>
  <c r="C1993" i="1"/>
  <c r="C1083" i="7" s="1"/>
  <c r="C1380" i="1"/>
  <c r="C848" i="1"/>
  <c r="C840" i="1"/>
  <c r="C1231" i="1"/>
  <c r="C634" i="7" s="1"/>
  <c r="C933" i="1"/>
  <c r="C1040" i="1"/>
  <c r="C452" i="7" s="1"/>
  <c r="C1150" i="1"/>
  <c r="C554" i="7" s="1"/>
  <c r="C1237" i="1"/>
  <c r="C640" i="7" s="1"/>
  <c r="C2027" i="1"/>
  <c r="C1987" i="1"/>
  <c r="C1077" i="7" s="1"/>
  <c r="C1138" i="1"/>
  <c r="C542" i="7" s="1"/>
  <c r="C1033" i="1"/>
  <c r="C445" i="7" s="1"/>
  <c r="C534" i="1"/>
  <c r="C526" i="1"/>
  <c r="C316" i="1"/>
  <c r="C67" i="7" s="1"/>
  <c r="C360" i="1"/>
  <c r="C111" i="7" s="1"/>
  <c r="C372" i="1"/>
  <c r="C123" i="7" s="1"/>
  <c r="C378" i="1"/>
  <c r="C129" i="7" s="1"/>
  <c r="C420" i="1"/>
  <c r="C186" i="7" s="1"/>
  <c r="C433" i="1"/>
  <c r="C199" i="7" s="1"/>
  <c r="C438" i="1"/>
  <c r="C204" i="7" s="1"/>
  <c r="C444" i="1"/>
  <c r="C210" i="7" s="1"/>
  <c r="C449" i="1"/>
  <c r="C215" i="7" s="1"/>
  <c r="C454" i="1"/>
  <c r="C220" i="7" s="1"/>
  <c r="C328" i="1"/>
  <c r="C79" i="7" s="1"/>
  <c r="C340" i="1"/>
  <c r="C91" i="7" s="1"/>
  <c r="C421" i="1"/>
  <c r="C187" i="7" s="1"/>
  <c r="C475" i="1"/>
  <c r="C241" i="7" s="1"/>
  <c r="C480" i="1"/>
  <c r="C246" i="7" s="1"/>
  <c r="C485" i="1"/>
  <c r="C251" i="7" s="1"/>
  <c r="C514" i="1"/>
  <c r="C522" i="1"/>
  <c r="C603" i="1"/>
  <c r="C295" i="7" s="1"/>
  <c r="C643" i="1"/>
  <c r="C359" i="7" s="1"/>
  <c r="C647" i="1"/>
  <c r="C363" i="7" s="1"/>
  <c r="C744" i="1"/>
  <c r="C395" i="1"/>
  <c r="C161" i="7" s="1"/>
  <c r="C399" i="1"/>
  <c r="C165" i="7" s="1"/>
  <c r="C406" i="1"/>
  <c r="C172" i="7" s="1"/>
  <c r="C460" i="1"/>
  <c r="C226" i="7" s="1"/>
  <c r="C464" i="1"/>
  <c r="C230" i="7" s="1"/>
  <c r="C468" i="1"/>
  <c r="C234" i="7" s="1"/>
  <c r="C472" i="1"/>
  <c r="C238" i="7" s="1"/>
  <c r="C509" i="1"/>
  <c r="C606" i="1"/>
  <c r="C298" i="7" s="1"/>
  <c r="C276" i="1"/>
  <c r="C262" i="1"/>
  <c r="C251" i="1"/>
  <c r="C240" i="1"/>
  <c r="C226" i="1"/>
  <c r="C215" i="1"/>
  <c r="C187" i="1"/>
  <c r="C163" i="1"/>
  <c r="C155" i="1"/>
  <c r="C65" i="1"/>
  <c r="C55" i="1"/>
  <c r="C49" i="1"/>
  <c r="C40" i="1"/>
  <c r="C64" i="1"/>
  <c r="C50" i="1"/>
  <c r="C66" i="1"/>
  <c r="C39" i="1"/>
  <c r="C120" i="1"/>
  <c r="C124" i="1"/>
  <c r="C128" i="1"/>
  <c r="C358" i="1"/>
  <c r="C109" i="7" s="1"/>
  <c r="C349" i="1"/>
  <c r="C100" i="7" s="1"/>
  <c r="C341" i="1"/>
  <c r="C92" i="7" s="1"/>
  <c r="C331" i="1"/>
  <c r="C82" i="7" s="1"/>
  <c r="C314" i="1"/>
  <c r="C65" i="7" s="1"/>
  <c r="C310" i="1"/>
  <c r="C61" i="7" s="1"/>
  <c r="C293" i="1"/>
  <c r="C44" i="7" s="1"/>
  <c r="C289" i="1"/>
  <c r="C40" i="7" s="1"/>
  <c r="C258" i="1"/>
  <c r="C204" i="1"/>
  <c r="C151" i="1"/>
  <c r="C1194" i="1"/>
  <c r="C598" i="7" s="1"/>
  <c r="C1183" i="1"/>
  <c r="C587" i="7" s="1"/>
  <c r="C1173" i="1"/>
  <c r="C577" i="7" s="1"/>
  <c r="C1161" i="1"/>
  <c r="C565" i="7" s="1"/>
  <c r="C1135" i="1"/>
  <c r="C539" i="7" s="1"/>
  <c r="C1119" i="1"/>
  <c r="C523" i="7" s="1"/>
  <c r="C1106" i="1"/>
  <c r="C510" i="7" s="1"/>
  <c r="C1097" i="1"/>
  <c r="C501" i="7" s="1"/>
  <c r="C1092" i="1"/>
  <c r="C496" i="7" s="1"/>
  <c r="C1087" i="1"/>
  <c r="C491" i="7" s="1"/>
  <c r="C1052" i="1"/>
  <c r="C460" i="7" s="1"/>
  <c r="C1020" i="1"/>
  <c r="C1013" i="1"/>
  <c r="C961" i="1"/>
  <c r="C862" i="1"/>
  <c r="C752" i="1"/>
  <c r="C473" i="1"/>
  <c r="C239" i="7" s="1"/>
  <c r="C465" i="1"/>
  <c r="C231" i="7" s="1"/>
  <c r="C407" i="1"/>
  <c r="C173" i="7" s="1"/>
  <c r="C396" i="1"/>
  <c r="C162" i="7" s="1"/>
  <c r="C648" i="1"/>
  <c r="C364" i="7" s="1"/>
  <c r="C605" i="1"/>
  <c r="C297" i="7" s="1"/>
  <c r="C516" i="1"/>
  <c r="C481" i="1"/>
  <c r="C247" i="7" s="1"/>
  <c r="C423" i="1"/>
  <c r="C189" i="7" s="1"/>
  <c r="C336" i="1"/>
  <c r="C87" i="7" s="1"/>
  <c r="C450" i="1"/>
  <c r="C216" i="7" s="1"/>
  <c r="C440" i="1"/>
  <c r="C206" i="7" s="1"/>
  <c r="C429" i="1"/>
  <c r="C195" i="7" s="1"/>
  <c r="C374" i="1"/>
  <c r="C125" i="7" s="1"/>
  <c r="C317" i="1"/>
  <c r="C68" i="7" s="1"/>
  <c r="C531" i="1"/>
  <c r="C755" i="1"/>
  <c r="C519" i="1"/>
  <c r="C1116" i="1"/>
  <c r="C520" i="7" s="1"/>
  <c r="C1991" i="1"/>
  <c r="C1081" i="7" s="1"/>
  <c r="C1157" i="1"/>
  <c r="C561" i="7" s="1"/>
  <c r="C937" i="1"/>
  <c r="C2035" i="1"/>
  <c r="C857" i="1"/>
  <c r="C1999" i="1"/>
  <c r="C1089" i="7" s="1"/>
  <c r="C175" i="1"/>
  <c r="C267" i="1"/>
  <c r="C1103" i="1"/>
  <c r="C507" i="7" s="1"/>
  <c r="C288" i="1"/>
  <c r="C39" i="7" s="1"/>
  <c r="C273" i="1"/>
  <c r="C259" i="1"/>
  <c r="C249" i="1"/>
  <c r="C237" i="1"/>
  <c r="C219" i="1"/>
  <c r="C203" i="1"/>
  <c r="C185" i="1"/>
  <c r="C159" i="1"/>
  <c r="C152" i="1"/>
  <c r="C63" i="1"/>
  <c r="C54" i="1"/>
  <c r="C47" i="1"/>
  <c r="C37" i="1"/>
  <c r="C43" i="1"/>
  <c r="C68" i="1"/>
  <c r="C53" i="1"/>
  <c r="C46" i="1"/>
  <c r="C121" i="1"/>
  <c r="C125" i="1"/>
  <c r="C129" i="1"/>
  <c r="C357" i="1"/>
  <c r="C108" i="7" s="1"/>
  <c r="C345" i="1"/>
  <c r="C96" i="7" s="1"/>
  <c r="C335" i="1"/>
  <c r="C86" i="7" s="1"/>
  <c r="C324" i="1"/>
  <c r="C75" i="7" s="1"/>
  <c r="C313" i="1"/>
  <c r="C64" i="7" s="1"/>
  <c r="C301" i="1"/>
  <c r="C52" i="7" s="1"/>
  <c r="C292" i="1"/>
  <c r="C43" i="7" s="1"/>
  <c r="C274" i="1"/>
  <c r="C241" i="1"/>
  <c r="C167" i="1"/>
  <c r="C147" i="1"/>
  <c r="C1214" i="1"/>
  <c r="C616" i="7" s="1"/>
  <c r="C1189" i="1"/>
  <c r="C593" i="7" s="1"/>
  <c r="C1182" i="1"/>
  <c r="C586" i="7" s="1"/>
  <c r="C1172" i="1"/>
  <c r="C576" i="7" s="1"/>
  <c r="C1151" i="1"/>
  <c r="C555" i="7" s="1"/>
  <c r="C1134" i="1"/>
  <c r="C538" i="7" s="1"/>
  <c r="C1110" i="1"/>
  <c r="C514" i="7" s="1"/>
  <c r="C1101" i="1"/>
  <c r="C505" i="7" s="1"/>
  <c r="C1096" i="1"/>
  <c r="C500" i="7" s="1"/>
  <c r="C1091" i="1"/>
  <c r="C495" i="7" s="1"/>
  <c r="C1078" i="1"/>
  <c r="C482" i="7" s="1"/>
  <c r="C1051" i="1"/>
  <c r="C459" i="7" s="1"/>
  <c r="C1018" i="1"/>
  <c r="C1012" i="1"/>
  <c r="C947" i="1"/>
  <c r="C750" i="1"/>
  <c r="C566" i="1"/>
  <c r="C470" i="1"/>
  <c r="C236" i="7" s="1"/>
  <c r="C462" i="1"/>
  <c r="C228" i="7" s="1"/>
  <c r="C401" i="1"/>
  <c r="C167" i="7" s="1"/>
  <c r="C393" i="1"/>
  <c r="C159" i="7" s="1"/>
  <c r="C645" i="1"/>
  <c r="C361" i="7" s="1"/>
  <c r="C567" i="1"/>
  <c r="C510" i="1"/>
  <c r="C477" i="1"/>
  <c r="C243" i="7" s="1"/>
  <c r="C416" i="1"/>
  <c r="C182" i="7" s="1"/>
  <c r="C457" i="1"/>
  <c r="C223" i="7" s="1"/>
  <c r="C446" i="1"/>
  <c r="C212" i="7" s="1"/>
  <c r="C436" i="1"/>
  <c r="C202" i="7" s="1"/>
  <c r="C413" i="1"/>
  <c r="C179" i="7" s="1"/>
  <c r="C363" i="1"/>
  <c r="C114" i="7" s="1"/>
  <c r="C296" i="1"/>
  <c r="C47" i="7" s="1"/>
  <c r="C1118" i="1"/>
  <c r="C522" i="7" s="1"/>
  <c r="C2019" i="1"/>
  <c r="C1156" i="1"/>
  <c r="C560" i="7" s="1"/>
  <c r="C936" i="1"/>
  <c r="C858" i="1"/>
  <c r="C2028" i="1"/>
  <c r="C177" i="1"/>
  <c r="C366" i="1"/>
  <c r="C117" i="7" s="1"/>
  <c r="C1124" i="1"/>
  <c r="C528" i="7" s="1"/>
  <c r="C495" i="1"/>
  <c r="C261" i="7" s="1"/>
  <c r="C222" i="1"/>
  <c r="C489" i="1"/>
  <c r="C255" i="7" s="1"/>
  <c r="C493" i="1"/>
  <c r="C259" i="7" s="1"/>
  <c r="C511" i="1"/>
  <c r="C1105" i="1"/>
  <c r="C509" i="7" s="1"/>
  <c r="C486" i="1"/>
  <c r="C252" i="7" s="1"/>
  <c r="C1219" i="1"/>
  <c r="C621" i="7" s="1"/>
  <c r="C1196" i="1"/>
  <c r="C600" i="7" s="1"/>
  <c r="C1084" i="1"/>
  <c r="C488" i="7" s="1"/>
  <c r="C380" i="1"/>
  <c r="C131" i="7" s="1"/>
  <c r="C275" i="1"/>
  <c r="C179" i="1"/>
  <c r="C143" i="1"/>
  <c r="C285" i="1"/>
  <c r="C36" i="7" s="1"/>
  <c r="C244" i="1"/>
  <c r="C2029" i="1"/>
  <c r="C1996" i="1"/>
  <c r="C1086" i="7" s="1"/>
  <c r="C1907" i="1"/>
  <c r="C1913" i="1" s="1"/>
  <c r="C1382" i="1"/>
  <c r="C863" i="1"/>
  <c r="C850" i="1"/>
  <c r="C846" i="1"/>
  <c r="C842" i="1"/>
  <c r="C2033" i="1"/>
  <c r="C1229" i="1"/>
  <c r="C632" i="7" s="1"/>
  <c r="C745" i="1"/>
  <c r="C931" i="1"/>
  <c r="C935" i="1"/>
  <c r="C939" i="1"/>
  <c r="C1057" i="1"/>
  <c r="C465" i="7" s="1"/>
  <c r="C1148" i="1"/>
  <c r="C552" i="7" s="1"/>
  <c r="C1155" i="1"/>
  <c r="C559" i="7" s="1"/>
  <c r="C1222" i="1"/>
  <c r="C624" i="7" s="1"/>
  <c r="C1239" i="1"/>
  <c r="C2039" i="1"/>
  <c r="C2021" i="1"/>
  <c r="C1989" i="1"/>
  <c r="C1079" i="7" s="1"/>
  <c r="C1233" i="1"/>
  <c r="C636" i="7" s="1"/>
  <c r="C1221" i="1"/>
  <c r="C623" i="7" s="1"/>
  <c r="C1136" i="1"/>
  <c r="C540" i="7" s="1"/>
  <c r="C1035" i="1"/>
  <c r="C447" i="7" s="1"/>
  <c r="C1004" i="1"/>
  <c r="C749" i="1"/>
  <c r="C751" i="1"/>
  <c r="C838" i="1"/>
  <c r="C696" i="1"/>
  <c r="C608" i="1"/>
  <c r="C300" i="7" s="1"/>
  <c r="C532" i="1"/>
  <c r="C528" i="1"/>
  <c r="C524" i="1"/>
  <c r="B15" i="1"/>
  <c r="C1597" i="1" s="1"/>
  <c r="C955" i="7" s="1"/>
  <c r="C490" i="1"/>
  <c r="C256" i="7" s="1"/>
  <c r="C494" i="1"/>
  <c r="C260" i="7" s="1"/>
  <c r="C963" i="1"/>
  <c r="C1205" i="1"/>
  <c r="C607" i="7" s="1"/>
  <c r="C1218" i="1"/>
  <c r="C620" i="7" s="1"/>
  <c r="C1126" i="1"/>
  <c r="C530" i="7" s="1"/>
  <c r="C980" i="1"/>
  <c r="C220" i="1"/>
  <c r="C246" i="1"/>
  <c r="C221" i="1"/>
  <c r="C488" i="1"/>
  <c r="C254" i="7" s="1"/>
  <c r="C492" i="1"/>
  <c r="C258" i="7" s="1"/>
  <c r="C506" i="1"/>
  <c r="C1104" i="1"/>
  <c r="C508" i="7" s="1"/>
  <c r="C1209" i="1"/>
  <c r="C611" i="7" s="1"/>
  <c r="C1191" i="1"/>
  <c r="C595" i="7" s="1"/>
  <c r="C1220" i="1"/>
  <c r="C622" i="7" s="1"/>
  <c r="C1197" i="1"/>
  <c r="C1123" i="1"/>
  <c r="C527" i="7" s="1"/>
  <c r="C512" i="1"/>
  <c r="C419" i="1"/>
  <c r="C185" i="7" s="1"/>
  <c r="C381" i="1"/>
  <c r="C132" i="7" s="1"/>
  <c r="C307" i="1"/>
  <c r="C58" i="7" s="1"/>
  <c r="C173" i="1"/>
  <c r="C305" i="1"/>
  <c r="C56" i="7" s="1"/>
  <c r="C250" i="1"/>
  <c r="C2030" i="1"/>
  <c r="C1997" i="1"/>
  <c r="C1087" i="7" s="1"/>
  <c r="C1978" i="1"/>
  <c r="C1068" i="7" s="1"/>
  <c r="C1384" i="1"/>
  <c r="C1379" i="1"/>
  <c r="C856" i="1"/>
  <c r="C847" i="1"/>
  <c r="C843" i="1"/>
  <c r="C839" i="1"/>
  <c r="C2034" i="1"/>
  <c r="C1230" i="1"/>
  <c r="C633" i="7" s="1"/>
  <c r="C753" i="1"/>
  <c r="C867" i="1"/>
  <c r="C934" i="1"/>
  <c r="C938" i="1"/>
  <c r="C1065" i="1"/>
  <c r="C473" i="7" s="1"/>
  <c r="C1154" i="1"/>
  <c r="C558" i="7" s="1"/>
  <c r="C1158" i="1"/>
  <c r="C562" i="7" s="1"/>
  <c r="C1238" i="1"/>
  <c r="C2040" i="1"/>
  <c r="C2022" i="1"/>
  <c r="C1990" i="1"/>
  <c r="C1080" i="7" s="1"/>
  <c r="C1986" i="1"/>
  <c r="C1076" i="7" s="1"/>
  <c r="C1224" i="1"/>
  <c r="C626" i="7" s="1"/>
  <c r="C1137" i="1"/>
  <c r="C541" i="7" s="1"/>
  <c r="C1080" i="1"/>
  <c r="C484" i="7" s="1"/>
  <c r="C1032" i="1"/>
  <c r="C444" i="7" s="1"/>
  <c r="C604" i="1"/>
  <c r="C296" i="7" s="1"/>
  <c r="C747" i="1"/>
  <c r="C837" i="1"/>
  <c r="C699" i="1"/>
  <c r="C533" i="1"/>
  <c r="C529" i="1"/>
  <c r="C525" i="1"/>
  <c r="C300" i="1"/>
  <c r="C51" i="7" s="1"/>
  <c r="C344" i="1"/>
  <c r="C95" i="7" s="1"/>
  <c r="C361" i="1"/>
  <c r="C112" i="7" s="1"/>
  <c r="C368" i="1"/>
  <c r="C119" i="7" s="1"/>
  <c r="C376" i="1"/>
  <c r="C127" i="7" s="1"/>
  <c r="C385" i="1"/>
  <c r="C136" i="7" s="1"/>
  <c r="C389" i="1"/>
  <c r="C155" i="7" s="1"/>
  <c r="C418" i="1"/>
  <c r="C184" i="7" s="1"/>
  <c r="C431" i="1"/>
  <c r="C197" i="7" s="1"/>
  <c r="C435" i="1"/>
  <c r="C201" i="7" s="1"/>
  <c r="C439" i="1"/>
  <c r="C205" i="7" s="1"/>
  <c r="C443" i="1"/>
  <c r="C209" i="7" s="1"/>
  <c r="C447" i="1"/>
  <c r="C213" i="7" s="1"/>
  <c r="C451" i="1"/>
  <c r="C217" i="7" s="1"/>
  <c r="C455" i="1"/>
  <c r="C221" i="7" s="1"/>
  <c r="C319" i="1"/>
  <c r="C70" i="7" s="1"/>
  <c r="C338" i="1"/>
  <c r="C89" i="7" s="1"/>
  <c r="C412" i="1"/>
  <c r="C178" i="7" s="1"/>
  <c r="C422" i="1"/>
  <c r="C188" i="7" s="1"/>
  <c r="C428" i="1"/>
  <c r="C194" i="7" s="1"/>
  <c r="C478" i="1"/>
  <c r="C244" i="7" s="1"/>
  <c r="C482" i="1"/>
  <c r="C248" i="7" s="1"/>
  <c r="C505" i="1"/>
  <c r="G564" i="1"/>
  <c r="G565" i="1" s="1"/>
  <c r="G567" i="1" s="1"/>
  <c r="P215" i="7"/>
  <c r="N215" i="7"/>
  <c r="K319" i="1"/>
  <c r="K70" i="7" s="1"/>
  <c r="G319" i="1"/>
  <c r="G70" i="7" s="1"/>
  <c r="G801" i="7"/>
  <c r="I246" i="1"/>
  <c r="H246" i="1"/>
  <c r="I680" i="1"/>
  <c r="S472" i="1"/>
  <c r="S238" i="7" s="1"/>
  <c r="F655" i="1"/>
  <c r="H280" i="7"/>
  <c r="F792" i="7"/>
  <c r="N203" i="7"/>
  <c r="J280" i="7"/>
  <c r="S395" i="7"/>
  <c r="G1846" i="1"/>
  <c r="S485" i="1"/>
  <c r="S251" i="7" s="1"/>
  <c r="S459" i="1"/>
  <c r="S225" i="7" s="1"/>
  <c r="O424" i="7"/>
  <c r="Q422" i="7"/>
  <c r="K422" i="7"/>
  <c r="I422" i="7"/>
  <c r="G424" i="7"/>
  <c r="S484" i="1"/>
  <c r="S250" i="7" s="1"/>
  <c r="K423" i="7"/>
  <c r="S388" i="7"/>
  <c r="K424" i="7"/>
  <c r="S380" i="7"/>
  <c r="C2079" i="1"/>
  <c r="C1118" i="7" s="1"/>
  <c r="F435" i="8"/>
  <c r="F122" i="8"/>
  <c r="G277" i="1"/>
  <c r="I277" i="1"/>
  <c r="K255" i="1"/>
  <c r="G255" i="1"/>
  <c r="M368" i="1"/>
  <c r="M119" i="7" s="1"/>
  <c r="B119" i="7"/>
  <c r="J393" i="1"/>
  <c r="J392" i="1" s="1"/>
  <c r="F522" i="1"/>
  <c r="F529" i="1" s="1"/>
  <c r="F124" i="1" s="1"/>
  <c r="F1040" i="1"/>
  <c r="F452" i="7" s="1"/>
  <c r="F1980" i="1"/>
  <c r="F1070" i="7" s="1"/>
  <c r="J368" i="1"/>
  <c r="J119" i="7" s="1"/>
  <c r="L1846" i="1"/>
  <c r="M416" i="7"/>
  <c r="K416" i="7"/>
  <c r="O414" i="7"/>
  <c r="I416" i="7"/>
  <c r="Q416" i="7"/>
  <c r="S473" i="1"/>
  <c r="S239" i="7" s="1"/>
  <c r="G151" i="1"/>
  <c r="H155" i="1" s="1"/>
  <c r="S460" i="1"/>
  <c r="S226" i="7" s="1"/>
  <c r="M319" i="1"/>
  <c r="M70" i="7" s="1"/>
  <c r="I319" i="1"/>
  <c r="B70" i="7"/>
  <c r="O119" i="7"/>
  <c r="K368" i="1"/>
  <c r="K119" i="7" s="1"/>
  <c r="G368" i="1"/>
  <c r="G119" i="7" s="1"/>
  <c r="P159" i="7"/>
  <c r="L393" i="1"/>
  <c r="L392" i="1" s="1"/>
  <c r="H393" i="1"/>
  <c r="H159" i="7" s="1"/>
  <c r="B158" i="7"/>
  <c r="S429" i="1"/>
  <c r="S195" i="7" s="1"/>
  <c r="S434" i="1"/>
  <c r="S200" i="7" s="1"/>
  <c r="G311" i="8"/>
  <c r="O801" i="7"/>
  <c r="J802" i="7"/>
  <c r="N802" i="7"/>
  <c r="K246" i="1"/>
  <c r="L319" i="1"/>
  <c r="L70" i="7" s="1"/>
  <c r="S446" i="1"/>
  <c r="S212" i="7" s="1"/>
  <c r="S483" i="1"/>
  <c r="S249" i="7" s="1"/>
  <c r="H144" i="1"/>
  <c r="I144" i="1" s="1"/>
  <c r="I143" i="1" s="1"/>
  <c r="J319" i="1"/>
  <c r="J70" i="7" s="1"/>
  <c r="L368" i="1"/>
  <c r="M393" i="1"/>
  <c r="M392" i="1" s="1"/>
  <c r="L246" i="1"/>
  <c r="L264" i="1"/>
  <c r="H264" i="1"/>
  <c r="K264" i="1"/>
  <c r="H277" i="1"/>
  <c r="L277" i="1"/>
  <c r="K393" i="1"/>
  <c r="F1068" i="1"/>
  <c r="F476" i="7" s="1"/>
  <c r="F368" i="1"/>
  <c r="M277" i="1"/>
  <c r="I393" i="1"/>
  <c r="S447" i="1"/>
  <c r="S213" i="7" s="1"/>
  <c r="S461" i="1"/>
  <c r="S227" i="7" s="1"/>
  <c r="F255" i="1"/>
  <c r="G307" i="1"/>
  <c r="G305" i="1" s="1"/>
  <c r="O56" i="7"/>
  <c r="I333" i="1"/>
  <c r="I84" i="7" s="1"/>
  <c r="H1846" i="1"/>
  <c r="H307" i="1"/>
  <c r="H58" i="7" s="1"/>
  <c r="J333" i="1"/>
  <c r="H418" i="7"/>
  <c r="O422" i="7"/>
  <c r="H333" i="1"/>
  <c r="L1318" i="1"/>
  <c r="L688" i="7" s="1"/>
  <c r="H562" i="1"/>
  <c r="H563" i="1" s="1"/>
  <c r="H859" i="1"/>
  <c r="H860" i="1" s="1"/>
  <c r="I857" i="1" s="1"/>
  <c r="I858" i="1" s="1"/>
  <c r="I861" i="1" s="1"/>
  <c r="I863" i="1" s="1"/>
  <c r="I864" i="1" s="1"/>
  <c r="H950" i="1"/>
  <c r="H951" i="1" s="1"/>
  <c r="H964" i="1"/>
  <c r="H965" i="1" s="1"/>
  <c r="I963" i="1" s="1"/>
  <c r="H983" i="1"/>
  <c r="H984" i="1" s="1"/>
  <c r="H1007" i="1"/>
  <c r="H1008" i="1" s="1"/>
  <c r="H1038" i="1"/>
  <c r="H1055" i="1"/>
  <c r="H1066" i="1"/>
  <c r="H1082" i="1"/>
  <c r="K277" i="1"/>
  <c r="M356" i="1"/>
  <c r="M354" i="1" s="1"/>
  <c r="M105" i="7" s="1"/>
  <c r="F1276" i="1"/>
  <c r="F82" i="8" s="1"/>
  <c r="F81" i="8" s="1"/>
  <c r="F1440" i="1"/>
  <c r="I1846" i="1"/>
  <c r="F817" i="8"/>
  <c r="F66" i="8"/>
  <c r="F564" i="8"/>
  <c r="F667" i="8"/>
  <c r="F742" i="8"/>
  <c r="F265" i="8"/>
  <c r="F39" i="8"/>
  <c r="F918" i="8"/>
  <c r="F330" i="8"/>
  <c r="I264" i="1"/>
  <c r="P688" i="7"/>
  <c r="M1318" i="1"/>
  <c r="M688" i="7" s="1"/>
  <c r="G1917" i="1"/>
  <c r="H420" i="7"/>
  <c r="S551" i="1"/>
  <c r="S280" i="7" s="1"/>
  <c r="F1846" i="1"/>
  <c r="J1846" i="1"/>
  <c r="F319" i="1"/>
  <c r="F70" i="7" s="1"/>
  <c r="I356" i="1"/>
  <c r="I354" i="1" s="1"/>
  <c r="I105" i="7" s="1"/>
  <c r="F1318" i="1"/>
  <c r="J1318" i="1"/>
  <c r="J688" i="7" s="1"/>
  <c r="N688" i="7"/>
  <c r="M264" i="1"/>
  <c r="I1318" i="1"/>
  <c r="I156" i="8" s="1"/>
  <c r="L356" i="1"/>
  <c r="M656" i="1"/>
  <c r="Q372" i="7"/>
  <c r="M414" i="7"/>
  <c r="F356" i="1"/>
  <c r="F358" i="1" s="1"/>
  <c r="N84" i="7"/>
  <c r="G1979" i="1"/>
  <c r="H1979" i="1" s="1"/>
  <c r="F1221" i="1"/>
  <c r="F623" i="7" s="1"/>
  <c r="J255" i="1"/>
  <c r="S435" i="1"/>
  <c r="S201" i="7" s="1"/>
  <c r="H255" i="1"/>
  <c r="I307" i="1"/>
  <c r="I305" i="1" s="1"/>
  <c r="M307" i="1"/>
  <c r="M305" i="1" s="1"/>
  <c r="M56" i="7" s="1"/>
  <c r="G333" i="1"/>
  <c r="G84" i="7" s="1"/>
  <c r="K333" i="1"/>
  <c r="K84" i="7" s="1"/>
  <c r="E8" i="7"/>
  <c r="L333" i="1"/>
  <c r="L307" i="1"/>
  <c r="B315" i="1"/>
  <c r="B341" i="1"/>
  <c r="B92" i="7" s="1"/>
  <c r="G356" i="1"/>
  <c r="K356" i="1"/>
  <c r="B364" i="1"/>
  <c r="B115" i="7" s="1"/>
  <c r="H356" i="1"/>
  <c r="J356" i="1"/>
  <c r="F241" i="7"/>
  <c r="F1274" i="1"/>
  <c r="F78" i="8" s="1"/>
  <c r="F77" i="8" s="1"/>
  <c r="F1439" i="1"/>
  <c r="J428" i="7"/>
  <c r="J426" i="7"/>
  <c r="N426" i="7"/>
  <c r="N428" i="7"/>
  <c r="G270" i="1"/>
  <c r="G267" i="1" s="1"/>
  <c r="H269" i="1" s="1"/>
  <c r="S287" i="7"/>
  <c r="G416" i="7"/>
  <c r="G1222" i="1"/>
  <c r="G624" i="7" s="1"/>
  <c r="F811" i="7"/>
  <c r="B423" i="1"/>
  <c r="B189" i="7" s="1"/>
  <c r="K1917" i="1"/>
  <c r="K1846" i="1"/>
  <c r="O239" i="7"/>
  <c r="O688" i="7"/>
  <c r="K239" i="7"/>
  <c r="K1318" i="1"/>
  <c r="K688" i="7" s="1"/>
  <c r="G239" i="7"/>
  <c r="K280" i="7"/>
  <c r="O280" i="7"/>
  <c r="G280" i="7"/>
  <c r="L418" i="7"/>
  <c r="L420" i="7"/>
  <c r="J418" i="7"/>
  <c r="J420" i="7"/>
  <c r="F395" i="7"/>
  <c r="J395" i="7"/>
  <c r="J430" i="7"/>
  <c r="J431" i="7"/>
  <c r="J432" i="7"/>
  <c r="N395" i="7"/>
  <c r="N430" i="7"/>
  <c r="N431" i="7"/>
  <c r="N432" i="7"/>
  <c r="F584" i="7"/>
  <c r="F1446" i="1"/>
  <c r="F1597" i="1"/>
  <c r="F630" i="7"/>
  <c r="F1450" i="1"/>
  <c r="K98" i="1"/>
  <c r="J98" i="1"/>
  <c r="G246" i="1"/>
  <c r="F246" i="1"/>
  <c r="F41" i="7"/>
  <c r="G290" i="1"/>
  <c r="N420" i="7"/>
  <c r="N418" i="7"/>
  <c r="H395" i="7"/>
  <c r="H430" i="7"/>
  <c r="L395" i="7"/>
  <c r="L430" i="7"/>
  <c r="L431" i="7"/>
  <c r="L432" i="7"/>
  <c r="P395" i="7"/>
  <c r="P430" i="7"/>
  <c r="P431" i="7"/>
  <c r="P432" i="7"/>
  <c r="F629" i="7"/>
  <c r="F1449" i="1"/>
  <c r="B82" i="7"/>
  <c r="F333" i="1"/>
  <c r="B56" i="7"/>
  <c r="O785" i="7"/>
  <c r="N785" i="7"/>
  <c r="P785" i="7"/>
  <c r="S1284" i="1"/>
  <c r="S374" i="1"/>
  <c r="S125" i="7" s="1"/>
  <c r="G125" i="7"/>
  <c r="S140" i="7"/>
  <c r="C504" i="1"/>
  <c r="H890" i="8"/>
  <c r="F1220" i="1"/>
  <c r="F622" i="7" s="1"/>
  <c r="F1225" i="1"/>
  <c r="F1231" i="1" s="1"/>
  <c r="G918" i="8"/>
  <c r="G435" i="8"/>
  <c r="G667" i="8"/>
  <c r="G122" i="8"/>
  <c r="H122" i="8"/>
  <c r="H817" i="8"/>
  <c r="H564" i="8"/>
  <c r="H435" i="8"/>
  <c r="G817" i="8"/>
  <c r="G564" i="8"/>
  <c r="G265" i="8"/>
  <c r="H265" i="8"/>
  <c r="H742" i="8"/>
  <c r="G890" i="8"/>
  <c r="G39" i="8"/>
  <c r="G66" i="8"/>
  <c r="I689" i="8"/>
  <c r="I764" i="8"/>
  <c r="J33" i="8"/>
  <c r="I34" i="8"/>
  <c r="H667" i="8"/>
  <c r="H66" i="8"/>
  <c r="H918" i="8"/>
  <c r="N119" i="7"/>
  <c r="H274" i="1"/>
  <c r="I273" i="1"/>
  <c r="N371" i="7"/>
  <c r="P371" i="7"/>
  <c r="I281" i="7"/>
  <c r="I376" i="7"/>
  <c r="Q281" i="7"/>
  <c r="Q376" i="7"/>
  <c r="I391" i="7"/>
  <c r="I426" i="7"/>
  <c r="I428" i="7"/>
  <c r="K391" i="7"/>
  <c r="K426" i="7"/>
  <c r="K428" i="7"/>
  <c r="K427" i="7"/>
  <c r="M391" i="7"/>
  <c r="M426" i="7"/>
  <c r="M428" i="7"/>
  <c r="M427" i="7"/>
  <c r="O391" i="7"/>
  <c r="O426" i="7"/>
  <c r="O428" i="7"/>
  <c r="O427" i="7"/>
  <c r="Q391" i="7"/>
  <c r="Q426" i="7"/>
  <c r="Q428" i="7"/>
  <c r="Q427" i="7"/>
  <c r="H427" i="7"/>
  <c r="G431" i="7"/>
  <c r="N281" i="7"/>
  <c r="N376" i="7"/>
  <c r="J281" i="7"/>
  <c r="J376" i="7"/>
  <c r="F281" i="7"/>
  <c r="S281" i="7"/>
  <c r="G375" i="7"/>
  <c r="K375" i="7"/>
  <c r="K410" i="7"/>
  <c r="K412" i="7"/>
  <c r="K411" i="7"/>
  <c r="O375" i="7"/>
  <c r="O410" i="7"/>
  <c r="O412" i="7"/>
  <c r="O411" i="7"/>
  <c r="F379" i="7"/>
  <c r="S379" i="7"/>
  <c r="H379" i="7"/>
  <c r="J379" i="7"/>
  <c r="J414" i="7"/>
  <c r="J416" i="7"/>
  <c r="J415" i="7"/>
  <c r="L379" i="7"/>
  <c r="L414" i="7"/>
  <c r="L416" i="7"/>
  <c r="L415" i="7"/>
  <c r="N379" i="7"/>
  <c r="N414" i="7"/>
  <c r="N416" i="7"/>
  <c r="N415" i="7"/>
  <c r="P379" i="7"/>
  <c r="P414" i="7"/>
  <c r="P416" i="7"/>
  <c r="P415" i="7"/>
  <c r="G383" i="7"/>
  <c r="S383" i="7"/>
  <c r="K287" i="7"/>
  <c r="K400" i="7"/>
  <c r="G287" i="7"/>
  <c r="G400" i="7"/>
  <c r="H485" i="7"/>
  <c r="E520" i="7"/>
  <c r="E1170" i="1"/>
  <c r="G609" i="7"/>
  <c r="H1207" i="1"/>
  <c r="G1208" i="1"/>
  <c r="G1209" i="1"/>
  <c r="F611" i="7"/>
  <c r="F636" i="7"/>
  <c r="F1591" i="1"/>
  <c r="H26" i="7"/>
  <c r="I29" i="1"/>
  <c r="H30" i="1"/>
  <c r="H27" i="7" s="1"/>
  <c r="H517" i="1"/>
  <c r="H518" i="1"/>
  <c r="H508" i="1"/>
  <c r="H1852" i="1"/>
  <c r="H1779" i="1"/>
  <c r="H1012" i="7" s="1"/>
  <c r="F261" i="1"/>
  <c r="F262" i="1" s="1"/>
  <c r="F258" i="1" s="1"/>
  <c r="G263" i="1" s="1"/>
  <c r="G1318" i="1" s="1"/>
  <c r="G156" i="8" s="1"/>
  <c r="G260" i="1"/>
  <c r="J35" i="8"/>
  <c r="I36" i="8"/>
  <c r="J91" i="1"/>
  <c r="I92" i="1"/>
  <c r="J93" i="1" s="1"/>
  <c r="H203" i="1"/>
  <c r="I197" i="1"/>
  <c r="F125" i="7"/>
  <c r="F481" i="1"/>
  <c r="F247" i="7" s="1"/>
  <c r="M281" i="7"/>
  <c r="M376" i="7"/>
  <c r="F387" i="7"/>
  <c r="S387" i="7"/>
  <c r="H387" i="7"/>
  <c r="H422" i="7"/>
  <c r="J387" i="7"/>
  <c r="J422" i="7"/>
  <c r="J424" i="7"/>
  <c r="J423" i="7"/>
  <c r="L387" i="7"/>
  <c r="L422" i="7"/>
  <c r="L424" i="7"/>
  <c r="L423" i="7"/>
  <c r="N387" i="7"/>
  <c r="N422" i="7"/>
  <c r="N424" i="7"/>
  <c r="N423" i="7"/>
  <c r="P387" i="7"/>
  <c r="P422" i="7"/>
  <c r="P424" i="7"/>
  <c r="P423" i="7"/>
  <c r="G391" i="7"/>
  <c r="S391" i="7"/>
  <c r="P281" i="7"/>
  <c r="P376" i="7"/>
  <c r="L281" i="7"/>
  <c r="L376" i="7"/>
  <c r="H281" i="7"/>
  <c r="H376" i="7"/>
  <c r="I383" i="7"/>
  <c r="I418" i="7"/>
  <c r="I420" i="7"/>
  <c r="I419" i="7"/>
  <c r="K383" i="7"/>
  <c r="K418" i="7"/>
  <c r="K420" i="7"/>
  <c r="K419" i="7"/>
  <c r="M383" i="7"/>
  <c r="M418" i="7"/>
  <c r="M420" i="7"/>
  <c r="M419" i="7"/>
  <c r="O383" i="7"/>
  <c r="O418" i="7"/>
  <c r="O420" i="7"/>
  <c r="O419" i="7"/>
  <c r="Q383" i="7"/>
  <c r="Q418" i="7"/>
  <c r="Q420" i="7"/>
  <c r="Q419" i="7"/>
  <c r="G396" i="7"/>
  <c r="S396" i="7"/>
  <c r="G415" i="7"/>
  <c r="F419" i="7"/>
  <c r="G423" i="7"/>
  <c r="F427" i="7"/>
  <c r="F397" i="7"/>
  <c r="F394" i="7"/>
  <c r="O287" i="7"/>
  <c r="O400" i="7"/>
  <c r="E550" i="7"/>
  <c r="E1171" i="1"/>
  <c r="E575" i="7" s="1"/>
  <c r="G617" i="7"/>
  <c r="H1215" i="1"/>
  <c r="E19" i="9"/>
  <c r="H19" i="9" s="1"/>
  <c r="H1223" i="1"/>
  <c r="H625" i="7" s="1"/>
  <c r="M287" i="7"/>
  <c r="M400" i="7"/>
  <c r="I287" i="7"/>
  <c r="I400" i="7"/>
  <c r="Q287" i="7"/>
  <c r="Q400" i="7"/>
  <c r="G481" i="1"/>
  <c r="G247" i="7" s="1"/>
  <c r="P119" i="7"/>
  <c r="P240" i="7"/>
  <c r="H287" i="7"/>
  <c r="H400" i="7"/>
  <c r="L287" i="7"/>
  <c r="L400" i="7"/>
  <c r="P287" i="7"/>
  <c r="P400" i="7"/>
  <c r="F287" i="7"/>
  <c r="J287" i="7"/>
  <c r="J400" i="7"/>
  <c r="N287" i="7"/>
  <c r="N400" i="7"/>
  <c r="O125" i="7"/>
  <c r="O247" i="7"/>
  <c r="S142" i="7"/>
  <c r="B143" i="7"/>
  <c r="M125" i="7"/>
  <c r="M481" i="1"/>
  <c r="M247" i="7" s="1"/>
  <c r="F302" i="7"/>
  <c r="F310" i="7"/>
  <c r="F326" i="7"/>
  <c r="K125" i="7"/>
  <c r="S127" i="7"/>
  <c r="B377" i="1"/>
  <c r="B128" i="7" s="1"/>
  <c r="I125" i="7"/>
  <c r="Q125" i="7"/>
  <c r="Q247" i="7"/>
  <c r="G819" i="8"/>
  <c r="G820" i="8" s="1"/>
  <c r="G744" i="8"/>
  <c r="G745" i="8" s="1"/>
  <c r="G892" i="8"/>
  <c r="G893" i="8" s="1"/>
  <c r="H669" i="8"/>
  <c r="G670" i="8"/>
  <c r="B788" i="8"/>
  <c r="B789" i="8"/>
  <c r="F749" i="8"/>
  <c r="G28" i="7"/>
  <c r="H31" i="1"/>
  <c r="G32" i="1"/>
  <c r="H125" i="7"/>
  <c r="H481" i="1"/>
  <c r="J125" i="7"/>
  <c r="J481" i="1"/>
  <c r="J247" i="7" s="1"/>
  <c r="L125" i="7"/>
  <c r="L481" i="1"/>
  <c r="L247" i="7" s="1"/>
  <c r="N125" i="7"/>
  <c r="N247" i="7"/>
  <c r="P125" i="7"/>
  <c r="P247" i="7"/>
  <c r="I144" i="7"/>
  <c r="F822" i="8"/>
  <c r="B861" i="8"/>
  <c r="B862" i="8"/>
  <c r="J164" i="1"/>
  <c r="I163" i="1"/>
  <c r="N159" i="7"/>
  <c r="F350" i="7"/>
  <c r="H929" i="7"/>
  <c r="I1571" i="1"/>
  <c r="I454" i="8" s="1"/>
  <c r="G895" i="8"/>
  <c r="F896" i="8"/>
  <c r="F675" i="8"/>
  <c r="G676" i="8" s="1"/>
  <c r="G674" i="8"/>
  <c r="F29" i="7"/>
  <c r="F75" i="1"/>
  <c r="S39" i="7"/>
  <c r="B289" i="1"/>
  <c r="B40" i="7" s="1"/>
  <c r="G253" i="1"/>
  <c r="O70" i="7"/>
  <c r="S79" i="7"/>
  <c r="F318" i="7"/>
  <c r="F334" i="7"/>
  <c r="I699" i="1"/>
  <c r="I700" i="1" s="1"/>
  <c r="F608" i="7"/>
  <c r="G950" i="7"/>
  <c r="G492" i="8"/>
  <c r="H1592" i="1"/>
  <c r="H493" i="8" s="1"/>
  <c r="G157" i="8"/>
  <c r="H1837" i="1"/>
  <c r="G1838" i="1"/>
  <c r="H1908" i="1"/>
  <c r="G1909" i="1"/>
  <c r="H2042" i="1"/>
  <c r="G2043" i="1"/>
  <c r="G2044" i="1" s="1"/>
  <c r="P1044" i="1" l="1"/>
  <c r="Q1041" i="1"/>
  <c r="I1070" i="1"/>
  <c r="I1071" i="1" s="1"/>
  <c r="G1107" i="1"/>
  <c r="P1072" i="1"/>
  <c r="Q1069" i="1"/>
  <c r="N117" i="1"/>
  <c r="O1442" i="1"/>
  <c r="Q119" i="7"/>
  <c r="P1442" i="1"/>
  <c r="N151" i="1"/>
  <c r="O155" i="1" s="1"/>
  <c r="Q70" i="7"/>
  <c r="Q1442" i="1"/>
  <c r="Q914" i="1"/>
  <c r="Q908" i="1"/>
  <c r="Q909" i="1" s="1"/>
  <c r="Q579" i="1"/>
  <c r="Q618" i="1" s="1"/>
  <c r="Q907" i="1"/>
  <c r="O661" i="1"/>
  <c r="N658" i="1"/>
  <c r="N586" i="1"/>
  <c r="N626" i="1" s="1"/>
  <c r="N1431" i="1"/>
  <c r="N122" i="1"/>
  <c r="O715" i="1"/>
  <c r="O714" i="1"/>
  <c r="N579" i="1"/>
  <c r="N580" i="1" s="1"/>
  <c r="Q700" i="1"/>
  <c r="Q701" i="1"/>
  <c r="Q893" i="1"/>
  <c r="Q894" i="1" s="1"/>
  <c r="Q899" i="1"/>
  <c r="Q892" i="1"/>
  <c r="Q835" i="1"/>
  <c r="Q825" i="1"/>
  <c r="Q824" i="1"/>
  <c r="Q828" i="1"/>
  <c r="P893" i="1"/>
  <c r="P894" i="1" s="1"/>
  <c r="P899" i="1"/>
  <c r="P892" i="1"/>
  <c r="P572" i="1"/>
  <c r="P574" i="1" s="1"/>
  <c r="Q224" i="1"/>
  <c r="Q149" i="1"/>
  <c r="N305" i="1"/>
  <c r="N444" i="1" s="1"/>
  <c r="N437" i="1"/>
  <c r="O572" i="1"/>
  <c r="O574" i="1" s="1"/>
  <c r="P722" i="1"/>
  <c r="P721" i="1"/>
  <c r="N899" i="1"/>
  <c r="N893" i="1"/>
  <c r="N894" i="1" s="1"/>
  <c r="N892" i="1"/>
  <c r="Q305" i="1"/>
  <c r="Q444" i="1" s="1"/>
  <c r="Q437" i="1"/>
  <c r="Q203" i="7" s="1"/>
  <c r="N734" i="1"/>
  <c r="N735" i="1"/>
  <c r="N572" i="1"/>
  <c r="N573" i="1" s="1"/>
  <c r="N331" i="1"/>
  <c r="N457" i="1" s="1"/>
  <c r="N451" i="1"/>
  <c r="P781" i="1"/>
  <c r="P778" i="1"/>
  <c r="P777" i="1"/>
  <c r="P788" i="1"/>
  <c r="Q721" i="1"/>
  <c r="Q722" i="1"/>
  <c r="N354" i="1"/>
  <c r="N470" i="1" s="1"/>
  <c r="N464" i="1"/>
  <c r="P729" i="1"/>
  <c r="P728" i="1"/>
  <c r="O708" i="1"/>
  <c r="O707" i="1"/>
  <c r="N701" i="1"/>
  <c r="N700" i="1"/>
  <c r="O579" i="1"/>
  <c r="O581" i="1" s="1"/>
  <c r="N728" i="1"/>
  <c r="N729" i="1"/>
  <c r="N828" i="1"/>
  <c r="N835" i="1"/>
  <c r="N825" i="1"/>
  <c r="N824" i="1"/>
  <c r="O701" i="1"/>
  <c r="O700" i="1"/>
  <c r="O1431" i="1"/>
  <c r="O122" i="1"/>
  <c r="O804" i="1"/>
  <c r="O794" i="1"/>
  <c r="O793" i="1"/>
  <c r="O797" i="1"/>
  <c r="P707" i="1"/>
  <c r="P708" i="1"/>
  <c r="Q729" i="1"/>
  <c r="Q728" i="1"/>
  <c r="Q205" i="1"/>
  <c r="N794" i="1"/>
  <c r="N804" i="1"/>
  <c r="N797" i="1"/>
  <c r="N793" i="1"/>
  <c r="Q878" i="1"/>
  <c r="Q879" i="1" s="1"/>
  <c r="Q884" i="1"/>
  <c r="Q572" i="1"/>
  <c r="Q574" i="1" s="1"/>
  <c r="P122" i="1"/>
  <c r="P1431" i="1"/>
  <c r="P242" i="1"/>
  <c r="O305" i="1"/>
  <c r="O444" i="1" s="1"/>
  <c r="O437" i="1"/>
  <c r="Q331" i="1"/>
  <c r="Q457" i="1" s="1"/>
  <c r="Q451" i="1"/>
  <c r="O331" i="1"/>
  <c r="O457" i="1" s="1"/>
  <c r="O451" i="1"/>
  <c r="P762" i="1"/>
  <c r="P761" i="1"/>
  <c r="P765" i="1"/>
  <c r="P772" i="1"/>
  <c r="O673" i="1"/>
  <c r="N670" i="1"/>
  <c r="O810" i="1"/>
  <c r="O809" i="1"/>
  <c r="O813" i="1"/>
  <c r="O820" i="1"/>
  <c r="O392" i="1"/>
  <c r="O493" i="1" s="1"/>
  <c r="O487" i="1"/>
  <c r="O734" i="1"/>
  <c r="O735" i="1"/>
  <c r="P746" i="1"/>
  <c r="P745" i="1"/>
  <c r="P749" i="1"/>
  <c r="P756" i="1"/>
  <c r="Q268" i="1"/>
  <c r="N778" i="1"/>
  <c r="N781" i="1"/>
  <c r="N777" i="1"/>
  <c r="N788" i="1"/>
  <c r="P878" i="1"/>
  <c r="P879" i="1" s="1"/>
  <c r="P884" i="1"/>
  <c r="N765" i="1"/>
  <c r="N761" i="1"/>
  <c r="N762" i="1"/>
  <c r="N772" i="1"/>
  <c r="O354" i="1"/>
  <c r="O470" i="1" s="1"/>
  <c r="O464" i="1"/>
  <c r="O914" i="1"/>
  <c r="O908" i="1"/>
  <c r="O909" i="1" s="1"/>
  <c r="O907" i="1"/>
  <c r="P809" i="1"/>
  <c r="P813" i="1"/>
  <c r="P810" i="1"/>
  <c r="P820" i="1"/>
  <c r="P586" i="1"/>
  <c r="P588" i="1" s="1"/>
  <c r="Q117" i="1"/>
  <c r="P701" i="1"/>
  <c r="P700" i="1"/>
  <c r="P354" i="1"/>
  <c r="P470" i="1" s="1"/>
  <c r="P464" i="1"/>
  <c r="N707" i="1"/>
  <c r="N708" i="1"/>
  <c r="N665" i="1"/>
  <c r="O825" i="1"/>
  <c r="O824" i="1"/>
  <c r="O835" i="1"/>
  <c r="O828" i="1"/>
  <c r="Q122" i="1"/>
  <c r="Q1431" i="1"/>
  <c r="Q785" i="7" s="1"/>
  <c r="P305" i="1"/>
  <c r="P444" i="1" s="1"/>
  <c r="P437" i="1"/>
  <c r="O722" i="1"/>
  <c r="O721" i="1"/>
  <c r="P735" i="1"/>
  <c r="P734" i="1"/>
  <c r="N722" i="1"/>
  <c r="N721" i="1"/>
  <c r="P824" i="1"/>
  <c r="P828" i="1"/>
  <c r="P835" i="1"/>
  <c r="P825" i="1"/>
  <c r="G82" i="8"/>
  <c r="G81" i="8" s="1"/>
  <c r="Q765" i="1"/>
  <c r="Q762" i="1"/>
  <c r="Q761" i="1"/>
  <c r="Q772" i="1"/>
  <c r="P117" i="1"/>
  <c r="Q810" i="1"/>
  <c r="Q809" i="1"/>
  <c r="Q820" i="1"/>
  <c r="Q813" i="1"/>
  <c r="P392" i="1"/>
  <c r="P493" i="1" s="1"/>
  <c r="P487" i="1"/>
  <c r="Q251" i="1"/>
  <c r="Q734" i="1"/>
  <c r="Q735" i="1"/>
  <c r="Q749" i="1"/>
  <c r="Q745" i="1"/>
  <c r="Q756" i="1"/>
  <c r="Q746" i="1"/>
  <c r="O778" i="1"/>
  <c r="O777" i="1"/>
  <c r="O788" i="1"/>
  <c r="O781" i="1"/>
  <c r="N392" i="1"/>
  <c r="N493" i="1" s="1"/>
  <c r="N487" i="1"/>
  <c r="O749" i="1"/>
  <c r="O756" i="1"/>
  <c r="O746" i="1"/>
  <c r="O745" i="1"/>
  <c r="N715" i="1"/>
  <c r="N714" i="1"/>
  <c r="Q707" i="1"/>
  <c r="Q708" i="1"/>
  <c r="O586" i="1"/>
  <c r="O587" i="1" s="1"/>
  <c r="Q715" i="1"/>
  <c r="Q714" i="1"/>
  <c r="Q793" i="1"/>
  <c r="Q804" i="1"/>
  <c r="Q797" i="1"/>
  <c r="Q794" i="1"/>
  <c r="P579" i="1"/>
  <c r="P581" i="1" s="1"/>
  <c r="O729" i="1"/>
  <c r="O728" i="1"/>
  <c r="P714" i="1"/>
  <c r="P715" i="1"/>
  <c r="P797" i="1"/>
  <c r="P794" i="1"/>
  <c r="P793" i="1"/>
  <c r="P804" i="1"/>
  <c r="J158" i="8"/>
  <c r="J51" i="8"/>
  <c r="J113" i="8"/>
  <c r="J112" i="8" s="1"/>
  <c r="J92" i="8"/>
  <c r="J91" i="8" s="1"/>
  <c r="J96" i="8"/>
  <c r="J95" i="8" s="1"/>
  <c r="J312" i="8"/>
  <c r="J314" i="8"/>
  <c r="J156" i="8"/>
  <c r="J164" i="8"/>
  <c r="J94" i="8"/>
  <c r="J93" i="8" s="1"/>
  <c r="Q354" i="1"/>
  <c r="Q470" i="1" s="1"/>
  <c r="Q464" i="1"/>
  <c r="P152" i="1"/>
  <c r="O151" i="1"/>
  <c r="P155" i="1" s="1"/>
  <c r="P331" i="1"/>
  <c r="P457" i="1" s="1"/>
  <c r="P451" i="1"/>
  <c r="O899" i="1"/>
  <c r="O893" i="1"/>
  <c r="O894" i="1" s="1"/>
  <c r="O892" i="1"/>
  <c r="O762" i="1"/>
  <c r="O772" i="1"/>
  <c r="O761" i="1"/>
  <c r="O765" i="1"/>
  <c r="O117" i="1"/>
  <c r="N820" i="1"/>
  <c r="N813" i="1"/>
  <c r="N810" i="1"/>
  <c r="N809" i="1"/>
  <c r="Q392" i="1"/>
  <c r="Q493" i="1" s="1"/>
  <c r="Q259" i="7" s="1"/>
  <c r="Q487" i="1"/>
  <c r="Q253" i="7" s="1"/>
  <c r="Q586" i="1"/>
  <c r="Q626" i="1" s="1"/>
  <c r="N1442" i="1"/>
  <c r="N746" i="1"/>
  <c r="N745" i="1"/>
  <c r="N756" i="1"/>
  <c r="N749" i="1"/>
  <c r="P908" i="1"/>
  <c r="P909" i="1" s="1"/>
  <c r="P914" i="1"/>
  <c r="Q778" i="1"/>
  <c r="Q777" i="1"/>
  <c r="Q781" i="1"/>
  <c r="Q788" i="1"/>
  <c r="G1435" i="1"/>
  <c r="G290" i="8" s="1"/>
  <c r="I993" i="1"/>
  <c r="I994" i="1" s="1"/>
  <c r="I998" i="1"/>
  <c r="I999" i="1" s="1"/>
  <c r="G1272" i="1"/>
  <c r="G74" i="8" s="1"/>
  <c r="K824" i="1"/>
  <c r="I734" i="1"/>
  <c r="I974" i="1"/>
  <c r="I975" i="1" s="1"/>
  <c r="I988" i="1"/>
  <c r="I989" i="1" s="1"/>
  <c r="L828" i="1"/>
  <c r="H834" i="1"/>
  <c r="I833" i="1" s="1"/>
  <c r="L824" i="1"/>
  <c r="H828" i="1"/>
  <c r="H835" i="1"/>
  <c r="F835" i="1"/>
  <c r="F824" i="1"/>
  <c r="F825" i="1"/>
  <c r="K825" i="1"/>
  <c r="K826" i="1" s="1"/>
  <c r="K830" i="1" s="1"/>
  <c r="K828" i="1"/>
  <c r="I955" i="1"/>
  <c r="I956" i="1" s="1"/>
  <c r="I969" i="1"/>
  <c r="I970" i="1" s="1"/>
  <c r="H833" i="1"/>
  <c r="G734" i="1"/>
  <c r="H824" i="1"/>
  <c r="I835" i="1"/>
  <c r="L835" i="1"/>
  <c r="G828" i="1"/>
  <c r="K734" i="1"/>
  <c r="M734" i="1"/>
  <c r="H770" i="1"/>
  <c r="H771" i="1"/>
  <c r="H786" i="1"/>
  <c r="H787" i="1"/>
  <c r="H802" i="1"/>
  <c r="H803" i="1"/>
  <c r="H722" i="1"/>
  <c r="H721" i="1"/>
  <c r="I586" i="1"/>
  <c r="I587" i="1" s="1"/>
  <c r="J914" i="1"/>
  <c r="J908" i="1"/>
  <c r="J909" i="1" s="1"/>
  <c r="J907" i="1"/>
  <c r="M722" i="1"/>
  <c r="M721" i="1"/>
  <c r="J824" i="1"/>
  <c r="G914" i="1"/>
  <c r="G908" i="1"/>
  <c r="G909" i="1" s="1"/>
  <c r="G907" i="1"/>
  <c r="K794" i="1"/>
  <c r="K793" i="1"/>
  <c r="K804" i="1"/>
  <c r="K797" i="1"/>
  <c r="M914" i="1"/>
  <c r="M908" i="1"/>
  <c r="M909" i="1" s="1"/>
  <c r="M907" i="1"/>
  <c r="F804" i="1"/>
  <c r="F797" i="1"/>
  <c r="F794" i="1"/>
  <c r="F793" i="1"/>
  <c r="S792" i="1"/>
  <c r="L914" i="1"/>
  <c r="L908" i="1"/>
  <c r="L909" i="1" s="1"/>
  <c r="L907" i="1"/>
  <c r="G722" i="1"/>
  <c r="G721" i="1"/>
  <c r="F735" i="1"/>
  <c r="H914" i="1"/>
  <c r="H908" i="1"/>
  <c r="H909" i="1" s="1"/>
  <c r="H907" i="1"/>
  <c r="I718" i="1"/>
  <c r="I719" i="1" s="1"/>
  <c r="I583" i="1"/>
  <c r="I584" i="1" s="1"/>
  <c r="I904" i="1"/>
  <c r="I905" i="1" s="1"/>
  <c r="M824" i="1"/>
  <c r="I914" i="1"/>
  <c r="I908" i="1"/>
  <c r="I909" i="1" s="1"/>
  <c r="I907" i="1"/>
  <c r="H797" i="1"/>
  <c r="H794" i="1"/>
  <c r="H793" i="1"/>
  <c r="H804" i="1"/>
  <c r="H586" i="1"/>
  <c r="H626" i="1" s="1"/>
  <c r="K914" i="1"/>
  <c r="K908" i="1"/>
  <c r="K909" i="1" s="1"/>
  <c r="K907" i="1"/>
  <c r="L721" i="1"/>
  <c r="L722" i="1"/>
  <c r="J586" i="1"/>
  <c r="J587" i="1" s="1"/>
  <c r="L734" i="1"/>
  <c r="M825" i="1"/>
  <c r="M826" i="1" s="1"/>
  <c r="M830" i="1" s="1"/>
  <c r="J794" i="1"/>
  <c r="J793" i="1"/>
  <c r="J804" i="1"/>
  <c r="J797" i="1"/>
  <c r="G586" i="1"/>
  <c r="G588" i="1" s="1"/>
  <c r="L794" i="1"/>
  <c r="L793" i="1"/>
  <c r="L804" i="1"/>
  <c r="L797" i="1"/>
  <c r="I797" i="1"/>
  <c r="I794" i="1"/>
  <c r="I793" i="1"/>
  <c r="I804" i="1"/>
  <c r="M828" i="1"/>
  <c r="M586" i="1"/>
  <c r="M588" i="1" s="1"/>
  <c r="J722" i="1"/>
  <c r="J721" i="1"/>
  <c r="M669" i="1"/>
  <c r="L666" i="1"/>
  <c r="I722" i="1"/>
  <c r="I721" i="1"/>
  <c r="K586" i="1"/>
  <c r="K587" i="1" s="1"/>
  <c r="M793" i="1"/>
  <c r="M804" i="1"/>
  <c r="M797" i="1"/>
  <c r="M794" i="1"/>
  <c r="F586" i="1"/>
  <c r="F626" i="1" s="1"/>
  <c r="G797" i="1"/>
  <c r="G794" i="1"/>
  <c r="G793" i="1"/>
  <c r="G804" i="1"/>
  <c r="F908" i="1"/>
  <c r="S906" i="1"/>
  <c r="F914" i="1"/>
  <c r="F913" i="1"/>
  <c r="G913" i="1"/>
  <c r="H912" i="1" s="1"/>
  <c r="H913" i="1" s="1"/>
  <c r="I912" i="1" s="1"/>
  <c r="F907" i="1"/>
  <c r="F722" i="1"/>
  <c r="F721" i="1"/>
  <c r="L586" i="1"/>
  <c r="L588" i="1" s="1"/>
  <c r="K721" i="1"/>
  <c r="K722" i="1"/>
  <c r="K899" i="1"/>
  <c r="K893" i="1"/>
  <c r="K894" i="1" s="1"/>
  <c r="K892" i="1"/>
  <c r="I579" i="1"/>
  <c r="I618" i="1" s="1"/>
  <c r="I899" i="1"/>
  <c r="I892" i="1"/>
  <c r="I893" i="1"/>
  <c r="I894" i="1" s="1"/>
  <c r="H735" i="1"/>
  <c r="H893" i="1"/>
  <c r="H894" i="1" s="1"/>
  <c r="H892" i="1"/>
  <c r="H899" i="1"/>
  <c r="J579" i="1"/>
  <c r="J581" i="1" s="1"/>
  <c r="L715" i="1"/>
  <c r="L714" i="1"/>
  <c r="I828" i="1"/>
  <c r="I824" i="1"/>
  <c r="F788" i="1"/>
  <c r="F781" i="1"/>
  <c r="S776" i="1"/>
  <c r="F777" i="1"/>
  <c r="F778" i="1"/>
  <c r="H715" i="1"/>
  <c r="H714" i="1"/>
  <c r="I576" i="1"/>
  <c r="I577" i="1" s="1"/>
  <c r="I711" i="1"/>
  <c r="I712" i="1" s="1"/>
  <c r="I889" i="1"/>
  <c r="I890" i="1" s="1"/>
  <c r="G781" i="1"/>
  <c r="G777" i="1"/>
  <c r="G788" i="1"/>
  <c r="G778" i="1"/>
  <c r="J899" i="1"/>
  <c r="J893" i="1"/>
  <c r="J894" i="1" s="1"/>
  <c r="J892" i="1"/>
  <c r="I781" i="1"/>
  <c r="I778" i="1"/>
  <c r="I777" i="1"/>
  <c r="I788" i="1"/>
  <c r="J734" i="1"/>
  <c r="J835" i="1"/>
  <c r="G824" i="1"/>
  <c r="K778" i="1"/>
  <c r="K777" i="1"/>
  <c r="K788" i="1"/>
  <c r="K781" i="1"/>
  <c r="J714" i="1"/>
  <c r="J715" i="1"/>
  <c r="G893" i="1"/>
  <c r="G894" i="1" s="1"/>
  <c r="G899" i="1"/>
  <c r="G892" i="1"/>
  <c r="H778" i="1"/>
  <c r="H781" i="1"/>
  <c r="H777" i="1"/>
  <c r="H788" i="1"/>
  <c r="H579" i="1"/>
  <c r="H618" i="1" s="1"/>
  <c r="G579" i="1"/>
  <c r="G581" i="1" s="1"/>
  <c r="K715" i="1"/>
  <c r="K714" i="1"/>
  <c r="S823" i="1"/>
  <c r="M777" i="1"/>
  <c r="M781" i="1"/>
  <c r="M778" i="1"/>
  <c r="M788" i="1"/>
  <c r="G715" i="1"/>
  <c r="G714" i="1"/>
  <c r="J825" i="1"/>
  <c r="G835" i="1"/>
  <c r="M899" i="1"/>
  <c r="M893" i="1"/>
  <c r="M894" i="1" s="1"/>
  <c r="M892" i="1"/>
  <c r="M579" i="1"/>
  <c r="M580" i="1" s="1"/>
  <c r="J777" i="1"/>
  <c r="J778" i="1"/>
  <c r="J788" i="1"/>
  <c r="J781" i="1"/>
  <c r="K579" i="1"/>
  <c r="K618" i="1" s="1"/>
  <c r="M662" i="1"/>
  <c r="F893" i="1"/>
  <c r="S891" i="1"/>
  <c r="G898" i="1"/>
  <c r="H897" i="1" s="1"/>
  <c r="H898" i="1" s="1"/>
  <c r="I897" i="1" s="1"/>
  <c r="F899" i="1"/>
  <c r="F898" i="1"/>
  <c r="F892" i="1"/>
  <c r="I714" i="1"/>
  <c r="I715" i="1"/>
  <c r="F579" i="1"/>
  <c r="M715" i="1"/>
  <c r="M714" i="1"/>
  <c r="L899" i="1"/>
  <c r="L893" i="1"/>
  <c r="L894" i="1" s="1"/>
  <c r="L892" i="1"/>
  <c r="L579" i="1"/>
  <c r="L581" i="1" s="1"/>
  <c r="L778" i="1"/>
  <c r="L777" i="1"/>
  <c r="L788" i="1"/>
  <c r="L781" i="1"/>
  <c r="F715" i="1"/>
  <c r="F714" i="1"/>
  <c r="G708" i="1"/>
  <c r="G707" i="1"/>
  <c r="K878" i="1"/>
  <c r="K879" i="1" s="1"/>
  <c r="K884" i="1"/>
  <c r="K877" i="1"/>
  <c r="H884" i="1"/>
  <c r="H878" i="1"/>
  <c r="H879" i="1" s="1"/>
  <c r="H877" i="1"/>
  <c r="F878" i="1"/>
  <c r="S876" i="1"/>
  <c r="F884" i="1"/>
  <c r="G883" i="1"/>
  <c r="H882" i="1" s="1"/>
  <c r="F883" i="1"/>
  <c r="F877" i="1"/>
  <c r="L707" i="1"/>
  <c r="L708" i="1"/>
  <c r="L884" i="1"/>
  <c r="L878" i="1"/>
  <c r="L879" i="1" s="1"/>
  <c r="L877" i="1"/>
  <c r="J884" i="1"/>
  <c r="J878" i="1"/>
  <c r="J879" i="1" s="1"/>
  <c r="J877" i="1"/>
  <c r="H707" i="1"/>
  <c r="H708" i="1"/>
  <c r="F572" i="1"/>
  <c r="F574" i="1" s="1"/>
  <c r="I708" i="1"/>
  <c r="I707" i="1"/>
  <c r="M708" i="1"/>
  <c r="M707" i="1"/>
  <c r="L762" i="1"/>
  <c r="L761" i="1"/>
  <c r="L772" i="1"/>
  <c r="L765" i="1"/>
  <c r="M761" i="1"/>
  <c r="M772" i="1"/>
  <c r="M762" i="1"/>
  <c r="M765" i="1"/>
  <c r="H765" i="1"/>
  <c r="H762" i="1"/>
  <c r="H761" i="1"/>
  <c r="H772" i="1"/>
  <c r="M572" i="1"/>
  <c r="M573" i="1" s="1"/>
  <c r="I765" i="1"/>
  <c r="I762" i="1"/>
  <c r="I761" i="1"/>
  <c r="I772" i="1"/>
  <c r="J707" i="1"/>
  <c r="J708" i="1"/>
  <c r="I884" i="1"/>
  <c r="I878" i="1"/>
  <c r="I879" i="1" s="1"/>
  <c r="I877" i="1"/>
  <c r="G765" i="1"/>
  <c r="G761" i="1"/>
  <c r="G762" i="1"/>
  <c r="G772" i="1"/>
  <c r="F708" i="1"/>
  <c r="F707" i="1"/>
  <c r="L572" i="1"/>
  <c r="L610" i="1" s="1"/>
  <c r="I731" i="1"/>
  <c r="I732" i="1" s="1"/>
  <c r="I704" i="1"/>
  <c r="I705" i="1" s="1"/>
  <c r="I569" i="1"/>
  <c r="I570" i="1" s="1"/>
  <c r="I874" i="1"/>
  <c r="I875" i="1" s="1"/>
  <c r="F772" i="1"/>
  <c r="F761" i="1"/>
  <c r="F765" i="1"/>
  <c r="F762" i="1"/>
  <c r="S760" i="1"/>
  <c r="K708" i="1"/>
  <c r="K707" i="1"/>
  <c r="K762" i="1"/>
  <c r="K761" i="1"/>
  <c r="K772" i="1"/>
  <c r="K765" i="1"/>
  <c r="I572" i="1"/>
  <c r="I574" i="1" s="1"/>
  <c r="K572" i="1"/>
  <c r="K573" i="1" s="1"/>
  <c r="H572" i="1"/>
  <c r="H574" i="1" s="1"/>
  <c r="G572" i="1"/>
  <c r="G574" i="1" s="1"/>
  <c r="G884" i="1"/>
  <c r="G878" i="1"/>
  <c r="G879" i="1" s="1"/>
  <c r="G877" i="1"/>
  <c r="J762" i="1"/>
  <c r="J761" i="1"/>
  <c r="J772" i="1"/>
  <c r="J765" i="1"/>
  <c r="M884" i="1"/>
  <c r="M878" i="1"/>
  <c r="M879" i="1" s="1"/>
  <c r="M877" i="1"/>
  <c r="J572" i="1"/>
  <c r="J573" i="1" s="1"/>
  <c r="G241" i="7"/>
  <c r="G202" i="7"/>
  <c r="G1271" i="1"/>
  <c r="G1439" i="1"/>
  <c r="G1440" i="1"/>
  <c r="H826" i="1"/>
  <c r="H830" i="1" s="1"/>
  <c r="H827" i="1"/>
  <c r="I827" i="1"/>
  <c r="I826" i="1"/>
  <c r="I830" i="1" s="1"/>
  <c r="G826" i="1"/>
  <c r="G830" i="1" s="1"/>
  <c r="G827" i="1"/>
  <c r="G1591" i="1"/>
  <c r="L827" i="1"/>
  <c r="L826" i="1"/>
  <c r="L830" i="1" s="1"/>
  <c r="G1273" i="1"/>
  <c r="G1438" i="1"/>
  <c r="G252" i="7"/>
  <c r="I122" i="1"/>
  <c r="H2033" i="1"/>
  <c r="H2035" i="1"/>
  <c r="H1226" i="1"/>
  <c r="H1285" i="1" s="1"/>
  <c r="H98" i="8" s="1"/>
  <c r="H2029" i="1"/>
  <c r="H1180" i="1"/>
  <c r="F595" i="1"/>
  <c r="L371" i="7"/>
  <c r="G1597" i="1"/>
  <c r="G1449" i="1"/>
  <c r="G1285" i="1"/>
  <c r="G1281" i="1"/>
  <c r="G584" i="7"/>
  <c r="H475" i="1"/>
  <c r="H241" i="7" s="1"/>
  <c r="H463" i="1"/>
  <c r="H1438" i="1" s="1"/>
  <c r="H296" i="8" s="1"/>
  <c r="G1450" i="1"/>
  <c r="H436" i="1"/>
  <c r="H202" i="7" s="1"/>
  <c r="G1292" i="1"/>
  <c r="H2028" i="1"/>
  <c r="H486" i="1"/>
  <c r="H252" i="7" s="1"/>
  <c r="H1233" i="1"/>
  <c r="H636" i="7" s="1"/>
  <c r="H428" i="1"/>
  <c r="H194" i="7" s="1"/>
  <c r="H2034" i="1"/>
  <c r="H532" i="1"/>
  <c r="H2030" i="1"/>
  <c r="I88" i="1"/>
  <c r="I1233" i="1" s="1"/>
  <c r="H818" i="1"/>
  <c r="H819" i="1"/>
  <c r="H858" i="1"/>
  <c r="H861" i="1" s="1"/>
  <c r="H862" i="1" s="1"/>
  <c r="L1431" i="1"/>
  <c r="L785" i="7" s="1"/>
  <c r="G529" i="1"/>
  <c r="G124" i="1" s="1"/>
  <c r="F635" i="1"/>
  <c r="H728" i="1"/>
  <c r="H729" i="1"/>
  <c r="F634" i="1"/>
  <c r="I729" i="1"/>
  <c r="I728" i="1"/>
  <c r="G929" i="1"/>
  <c r="G923" i="1"/>
  <c r="G924" i="1" s="1"/>
  <c r="I964" i="1"/>
  <c r="I965" i="1" s="1"/>
  <c r="J963" i="1" s="1"/>
  <c r="I725" i="1"/>
  <c r="I726" i="1" s="1"/>
  <c r="I590" i="1"/>
  <c r="I591" i="1" s="1"/>
  <c r="I919" i="1"/>
  <c r="I920" i="1" s="1"/>
  <c r="J917" i="1" s="1"/>
  <c r="L728" i="1"/>
  <c r="L729" i="1"/>
  <c r="G922" i="1"/>
  <c r="M809" i="1"/>
  <c r="M820" i="1"/>
  <c r="M813" i="1"/>
  <c r="M810" i="1"/>
  <c r="H929" i="1"/>
  <c r="H923" i="1"/>
  <c r="H924" i="1" s="1"/>
  <c r="H922" i="1"/>
  <c r="G593" i="1"/>
  <c r="G594" i="1" s="1"/>
  <c r="I813" i="1"/>
  <c r="I810" i="1"/>
  <c r="I809" i="1"/>
  <c r="I820" i="1"/>
  <c r="G162" i="1"/>
  <c r="I918" i="1"/>
  <c r="H813" i="1"/>
  <c r="H810" i="1"/>
  <c r="H809" i="1"/>
  <c r="H820" i="1"/>
  <c r="K728" i="1"/>
  <c r="K729" i="1"/>
  <c r="F729" i="1"/>
  <c r="F728" i="1"/>
  <c r="L810" i="1"/>
  <c r="L809" i="1"/>
  <c r="L820" i="1"/>
  <c r="L813" i="1"/>
  <c r="M729" i="1"/>
  <c r="M728" i="1"/>
  <c r="J810" i="1"/>
  <c r="J809" i="1"/>
  <c r="J820" i="1"/>
  <c r="J813" i="1"/>
  <c r="G813" i="1"/>
  <c r="G810" i="1"/>
  <c r="G809" i="1"/>
  <c r="G820" i="1"/>
  <c r="F820" i="1"/>
  <c r="F813" i="1"/>
  <c r="F809" i="1"/>
  <c r="F810" i="1"/>
  <c r="S808" i="1"/>
  <c r="F923" i="1"/>
  <c r="F929" i="1"/>
  <c r="G928" i="1"/>
  <c r="H927" i="1" s="1"/>
  <c r="H928" i="1" s="1"/>
  <c r="F928" i="1"/>
  <c r="F922" i="1"/>
  <c r="I589" i="1"/>
  <c r="H592" i="1"/>
  <c r="G729" i="1"/>
  <c r="G728" i="1"/>
  <c r="K820" i="1"/>
  <c r="K810" i="1"/>
  <c r="K809" i="1"/>
  <c r="K813" i="1"/>
  <c r="J729" i="1"/>
  <c r="J728" i="1"/>
  <c r="J1431" i="1"/>
  <c r="J785" i="7" s="1"/>
  <c r="F1279" i="1"/>
  <c r="F87" i="8" s="1"/>
  <c r="F86" i="8" s="1"/>
  <c r="I1006" i="1"/>
  <c r="I444" i="1"/>
  <c r="I210" i="7" s="1"/>
  <c r="K1431" i="1"/>
  <c r="K785" i="7" s="1"/>
  <c r="G1431" i="1"/>
  <c r="I1204" i="1"/>
  <c r="I606" i="7" s="1"/>
  <c r="F603" i="1"/>
  <c r="H1431" i="1"/>
  <c r="H378" i="1"/>
  <c r="H129" i="7" s="1"/>
  <c r="G700" i="1"/>
  <c r="S1382" i="1"/>
  <c r="K151" i="1"/>
  <c r="L155" i="1" s="1"/>
  <c r="M1431" i="1"/>
  <c r="M785" i="7" s="1"/>
  <c r="I1082" i="1"/>
  <c r="I486" i="7" s="1"/>
  <c r="K437" i="1"/>
  <c r="K203" i="7" s="1"/>
  <c r="I167" i="1"/>
  <c r="F602" i="1"/>
  <c r="F567" i="1"/>
  <c r="B422" i="1"/>
  <c r="B421" i="1"/>
  <c r="K449" i="1"/>
  <c r="K215" i="7" s="1"/>
  <c r="F284" i="8"/>
  <c r="F283" i="8" s="1"/>
  <c r="G244" i="1"/>
  <c r="G240" i="1" s="1"/>
  <c r="H243" i="1" s="1"/>
  <c r="G1980" i="1"/>
  <c r="G1070" i="7" s="1"/>
  <c r="G444" i="1"/>
  <c r="G210" i="7" s="1"/>
  <c r="H701" i="1"/>
  <c r="I449" i="1"/>
  <c r="I215" i="7" s="1"/>
  <c r="F527" i="1"/>
  <c r="H449" i="1"/>
  <c r="H215" i="7" s="1"/>
  <c r="I1066" i="1"/>
  <c r="I474" i="7" s="1"/>
  <c r="I1055" i="1"/>
  <c r="I463" i="7" s="1"/>
  <c r="I859" i="1"/>
  <c r="I860" i="1" s="1"/>
  <c r="J857" i="1" s="1"/>
  <c r="J80" i="1"/>
  <c r="J1042" i="1" s="1"/>
  <c r="J1043" i="1" s="1"/>
  <c r="I950" i="1"/>
  <c r="I951" i="1" s="1"/>
  <c r="I697" i="1"/>
  <c r="I698" i="1" s="1"/>
  <c r="I562" i="1"/>
  <c r="I563" i="1" s="1"/>
  <c r="I81" i="1"/>
  <c r="J82" i="1" s="1"/>
  <c r="G1766" i="1"/>
  <c r="G999" i="7" s="1"/>
  <c r="I1038" i="1"/>
  <c r="I450" i="7" s="1"/>
  <c r="I1007" i="1"/>
  <c r="I1008" i="1" s="1"/>
  <c r="I983" i="1"/>
  <c r="I984" i="1" s="1"/>
  <c r="G449" i="7"/>
  <c r="H1037" i="1"/>
  <c r="G1040" i="1"/>
  <c r="G452" i="7" s="1"/>
  <c r="I561" i="1"/>
  <c r="G473" i="7"/>
  <c r="G1105" i="1"/>
  <c r="G509" i="7" s="1"/>
  <c r="H1065" i="1"/>
  <c r="G462" i="7"/>
  <c r="H1054" i="1"/>
  <c r="H1910" i="1"/>
  <c r="G476" i="7"/>
  <c r="H1839" i="1"/>
  <c r="F831" i="8"/>
  <c r="G506" i="1"/>
  <c r="H505" i="1" s="1"/>
  <c r="H515" i="1" s="1"/>
  <c r="I506" i="1" s="1"/>
  <c r="H1765" i="1"/>
  <c r="H998" i="7" s="1"/>
  <c r="F701" i="1"/>
  <c r="F507" i="1"/>
  <c r="I1764" i="1"/>
  <c r="I997" i="7" s="1"/>
  <c r="J371" i="7"/>
  <c r="F392" i="1"/>
  <c r="F158" i="7" s="1"/>
  <c r="F395" i="1"/>
  <c r="G395" i="1" s="1"/>
  <c r="G392" i="1"/>
  <c r="G158" i="7" s="1"/>
  <c r="F758" i="8"/>
  <c r="L151" i="1"/>
  <c r="M155" i="1" s="1"/>
  <c r="I151" i="1"/>
  <c r="J155" i="1" s="1"/>
  <c r="M151" i="1"/>
  <c r="N155" i="1" s="1"/>
  <c r="J151" i="1"/>
  <c r="K155" i="1" s="1"/>
  <c r="S345" i="1"/>
  <c r="S96" i="7" s="1"/>
  <c r="F122" i="1"/>
  <c r="N240" i="7"/>
  <c r="K444" i="1"/>
  <c r="K210" i="7" s="1"/>
  <c r="N70" i="7"/>
  <c r="K58" i="7"/>
  <c r="I862" i="1"/>
  <c r="L487" i="1"/>
  <c r="L253" i="7" s="1"/>
  <c r="I869" i="1"/>
  <c r="M331" i="1"/>
  <c r="M82" i="7" s="1"/>
  <c r="M474" i="1"/>
  <c r="M240" i="7" s="1"/>
  <c r="P408" i="7"/>
  <c r="L408" i="7"/>
  <c r="N408" i="7"/>
  <c r="J408" i="7"/>
  <c r="I408" i="7"/>
  <c r="F487" i="1"/>
  <c r="F253" i="7" s="1"/>
  <c r="H487" i="1"/>
  <c r="H253" i="7" s="1"/>
  <c r="H392" i="1"/>
  <c r="H158" i="7" s="1"/>
  <c r="K474" i="1"/>
  <c r="K240" i="7" s="1"/>
  <c r="G449" i="1"/>
  <c r="G215" i="7" s="1"/>
  <c r="G1069" i="7"/>
  <c r="I474" i="1"/>
  <c r="I240" i="7" s="1"/>
  <c r="M449" i="1"/>
  <c r="M215" i="7" s="1"/>
  <c r="J305" i="1"/>
  <c r="J444" i="1" s="1"/>
  <c r="J210" i="7" s="1"/>
  <c r="F474" i="1"/>
  <c r="F240" i="7" s="1"/>
  <c r="N253" i="7"/>
  <c r="J437" i="1"/>
  <c r="J203" i="7" s="1"/>
  <c r="G487" i="1"/>
  <c r="G253" i="7" s="1"/>
  <c r="L474" i="1"/>
  <c r="L240" i="7" s="1"/>
  <c r="K487" i="1"/>
  <c r="K253" i="7" s="1"/>
  <c r="O240" i="7"/>
  <c r="Q240" i="7"/>
  <c r="H680" i="1"/>
  <c r="H742" i="1" s="1"/>
  <c r="H744" i="1" s="1"/>
  <c r="O210" i="7"/>
  <c r="M437" i="1"/>
  <c r="M203" i="7" s="1"/>
  <c r="F858" i="1"/>
  <c r="F861" i="1" s="1"/>
  <c r="J159" i="7"/>
  <c r="F680" i="1"/>
  <c r="F408" i="7" s="1"/>
  <c r="F657" i="1"/>
  <c r="G657" i="1" s="1"/>
  <c r="F371" i="7"/>
  <c r="P228" i="7"/>
  <c r="M462" i="1"/>
  <c r="M228" i="7" s="1"/>
  <c r="G474" i="1"/>
  <c r="G240" i="7" s="1"/>
  <c r="J487" i="1"/>
  <c r="J253" i="7" s="1"/>
  <c r="L449" i="1"/>
  <c r="L215" i="7" s="1"/>
  <c r="L159" i="7"/>
  <c r="G758" i="8"/>
  <c r="J451" i="1"/>
  <c r="J217" i="7" s="1"/>
  <c r="K462" i="1"/>
  <c r="K228" i="7" s="1"/>
  <c r="H758" i="8"/>
  <c r="S118" i="1"/>
  <c r="H462" i="1"/>
  <c r="H228" i="7" s="1"/>
  <c r="O228" i="7"/>
  <c r="P253" i="7"/>
  <c r="J144" i="1"/>
  <c r="J143" i="1" s="1"/>
  <c r="S1380" i="1"/>
  <c r="P70" i="7"/>
  <c r="K392" i="1"/>
  <c r="K158" i="7" s="1"/>
  <c r="L462" i="1"/>
  <c r="L228" i="7" s="1"/>
  <c r="M444" i="1"/>
  <c r="M210" i="7" s="1"/>
  <c r="G56" i="7"/>
  <c r="M58" i="7"/>
  <c r="F119" i="7"/>
  <c r="F462" i="1"/>
  <c r="F228" i="7" s="1"/>
  <c r="J462" i="1"/>
  <c r="J228" i="7" s="1"/>
  <c r="N58" i="7"/>
  <c r="N223" i="7"/>
  <c r="H831" i="8"/>
  <c r="I758" i="8"/>
  <c r="I831" i="8"/>
  <c r="N82" i="7"/>
  <c r="C174" i="1"/>
  <c r="G462" i="1"/>
  <c r="G228" i="7" s="1"/>
  <c r="N228" i="7"/>
  <c r="H474" i="1"/>
  <c r="H240" i="7" s="1"/>
  <c r="H119" i="7"/>
  <c r="G77" i="8"/>
  <c r="P217" i="7"/>
  <c r="Q236" i="7"/>
  <c r="Q96" i="7"/>
  <c r="G451" i="1"/>
  <c r="G217" i="7" s="1"/>
  <c r="O203" i="7"/>
  <c r="O58" i="7"/>
  <c r="Q159" i="7"/>
  <c r="C1854" i="1"/>
  <c r="C1848" i="1"/>
  <c r="C1871" i="1"/>
  <c r="C1843" i="1"/>
  <c r="C1846" i="1"/>
  <c r="C1872" i="1"/>
  <c r="C1851" i="1"/>
  <c r="C1852" i="1"/>
  <c r="C1856" i="1"/>
  <c r="C1847" i="1"/>
  <c r="C1850" i="1"/>
  <c r="C1842" i="1"/>
  <c r="C1849" i="1"/>
  <c r="C1844" i="1"/>
  <c r="C1798" i="1"/>
  <c r="C1031" i="7" s="1"/>
  <c r="C1790" i="1"/>
  <c r="C2077" i="1" s="1"/>
  <c r="C1116" i="7" s="1"/>
  <c r="C1769" i="1"/>
  <c r="C1002" i="7" s="1"/>
  <c r="C1777" i="1"/>
  <c r="C1010" i="7" s="1"/>
  <c r="C1774" i="1"/>
  <c r="C1007" i="7" s="1"/>
  <c r="C1770" i="1"/>
  <c r="C1003" i="7" s="1"/>
  <c r="C1782" i="1"/>
  <c r="C1015" i="7" s="1"/>
  <c r="C1779" i="1"/>
  <c r="C1012" i="7" s="1"/>
  <c r="C1800" i="1"/>
  <c r="C1033" i="7" s="1"/>
  <c r="C996" i="7"/>
  <c r="C1771" i="1"/>
  <c r="C1004" i="7" s="1"/>
  <c r="C1773" i="1"/>
  <c r="C1006" i="7" s="1"/>
  <c r="C1799" i="1"/>
  <c r="C1032" i="7" s="1"/>
  <c r="C1783" i="1"/>
  <c r="C1016" i="7" s="1"/>
  <c r="C1772" i="1"/>
  <c r="C1005" i="7" s="1"/>
  <c r="C1775" i="1"/>
  <c r="C1008" i="7" s="1"/>
  <c r="C1776" i="1"/>
  <c r="C1009" i="7" s="1"/>
  <c r="C1797" i="1"/>
  <c r="C1030" i="7" s="1"/>
  <c r="C1781" i="1"/>
  <c r="C1014" i="7" s="1"/>
  <c r="C1870" i="1"/>
  <c r="C1855" i="1"/>
  <c r="C1873" i="1"/>
  <c r="C1845" i="1"/>
  <c r="I742" i="1"/>
  <c r="I744" i="1" s="1"/>
  <c r="I745" i="1" s="1"/>
  <c r="C2056" i="1"/>
  <c r="C1095" i="7" s="1"/>
  <c r="A1510" i="1"/>
  <c r="C2070" i="1"/>
  <c r="C1109" i="7" s="1"/>
  <c r="C2068" i="1"/>
  <c r="C1107" i="7" s="1"/>
  <c r="C2072" i="1"/>
  <c r="C1111" i="7" s="1"/>
  <c r="C1944" i="1"/>
  <c r="C1428" i="1"/>
  <c r="C782" i="7" s="1"/>
  <c r="C1581" i="1"/>
  <c r="C939" i="7" s="1"/>
  <c r="C1602" i="1"/>
  <c r="C960" i="7" s="1"/>
  <c r="C1580" i="1"/>
  <c r="C938" i="7" s="1"/>
  <c r="C1916" i="1"/>
  <c r="C1449" i="1"/>
  <c r="C803" i="7" s="1"/>
  <c r="C1440" i="1"/>
  <c r="C794" i="7" s="1"/>
  <c r="C1437" i="1"/>
  <c r="C791" i="7" s="1"/>
  <c r="C202" i="1"/>
  <c r="C1458" i="1"/>
  <c r="C812" i="7" s="1"/>
  <c r="C1287" i="1"/>
  <c r="C1314" i="1"/>
  <c r="C684" i="7" s="1"/>
  <c r="C2073" i="1"/>
  <c r="C1112" i="7" s="1"/>
  <c r="C1941" i="1"/>
  <c r="C1934" i="1"/>
  <c r="C1926" i="1"/>
  <c r="C1914" i="1"/>
  <c r="C1301" i="1"/>
  <c r="C671" i="7" s="1"/>
  <c r="C1567" i="1"/>
  <c r="C925" i="7" s="1"/>
  <c r="A1395" i="1"/>
  <c r="C1274" i="1"/>
  <c r="C1295" i="1"/>
  <c r="C1598" i="1"/>
  <c r="C956" i="7" s="1"/>
  <c r="C1575" i="1"/>
  <c r="C933" i="7" s="1"/>
  <c r="C1324" i="1"/>
  <c r="C694" i="7" s="1"/>
  <c r="C1308" i="1"/>
  <c r="C678" i="7" s="1"/>
  <c r="C216" i="1"/>
  <c r="C1570" i="1"/>
  <c r="C928" i="7" s="1"/>
  <c r="C1275" i="1"/>
  <c r="C1593" i="1"/>
  <c r="C951" i="7" s="1"/>
  <c r="C1323" i="1"/>
  <c r="C693" i="7" s="1"/>
  <c r="A1326" i="1"/>
  <c r="C1289" i="1"/>
  <c r="C1321" i="1"/>
  <c r="C691" i="7" s="1"/>
  <c r="C1920" i="1"/>
  <c r="C1675" i="1"/>
  <c r="C983" i="7" s="1"/>
  <c r="C1917" i="1"/>
  <c r="C1586" i="1"/>
  <c r="C944" i="7" s="1"/>
  <c r="C1927" i="1"/>
  <c r="C1943" i="1"/>
  <c r="C1921" i="1"/>
  <c r="C1457" i="1"/>
  <c r="C811" i="7" s="1"/>
  <c r="C1456" i="1"/>
  <c r="C810" i="7" s="1"/>
  <c r="C1565" i="1"/>
  <c r="C923" i="7" s="1"/>
  <c r="C1392" i="1"/>
  <c r="C1276" i="1"/>
  <c r="C2066" i="1"/>
  <c r="C1105" i="7" s="1"/>
  <c r="C1591" i="1"/>
  <c r="C949" i="7" s="1"/>
  <c r="C1572" i="1"/>
  <c r="C930" i="7" s="1"/>
  <c r="C1322" i="1"/>
  <c r="C692" i="7" s="1"/>
  <c r="C1306" i="1"/>
  <c r="C676" i="7" s="1"/>
  <c r="C1429" i="1"/>
  <c r="C783" i="7" s="1"/>
  <c r="C1291" i="1"/>
  <c r="C1578" i="1"/>
  <c r="C936" i="7" s="1"/>
  <c r="C1311" i="1"/>
  <c r="C681" i="7" s="1"/>
  <c r="C1568" i="1"/>
  <c r="C926" i="7" s="1"/>
  <c r="C2064" i="1"/>
  <c r="C1103" i="7" s="1"/>
  <c r="C1313" i="1"/>
  <c r="C683" i="7" s="1"/>
  <c r="C1925" i="1"/>
  <c r="C1915" i="1"/>
  <c r="C2059" i="1"/>
  <c r="C1098" i="7" s="1"/>
  <c r="A841" i="7"/>
  <c r="C1923" i="1"/>
  <c r="C1918" i="1"/>
  <c r="A1460" i="1"/>
  <c r="C2074" i="1"/>
  <c r="C1113" i="7" s="1"/>
  <c r="C1430" i="1"/>
  <c r="C784" i="7" s="1"/>
  <c r="C1592" i="1"/>
  <c r="C950" i="7" s="1"/>
  <c r="C1284" i="1"/>
  <c r="C2058" i="1"/>
  <c r="C1097" i="7" s="1"/>
  <c r="C1585" i="1"/>
  <c r="C943" i="7" s="1"/>
  <c r="C1442" i="1"/>
  <c r="C796" i="7" s="1"/>
  <c r="C1316" i="1"/>
  <c r="C686" i="7" s="1"/>
  <c r="C1168" i="1"/>
  <c r="C572" i="7" s="1"/>
  <c r="C1425" i="1"/>
  <c r="C779" i="7" s="1"/>
  <c r="C2069" i="1"/>
  <c r="C1108" i="7" s="1"/>
  <c r="C1574" i="1"/>
  <c r="C932" i="7" s="1"/>
  <c r="C1307" i="1"/>
  <c r="C677" i="7" s="1"/>
  <c r="C1385" i="1"/>
  <c r="C1590" i="1"/>
  <c r="C948" i="7" s="1"/>
  <c r="C1309" i="1"/>
  <c r="C679" i="7" s="1"/>
  <c r="C1444" i="1"/>
  <c r="C798" i="7" s="1"/>
  <c r="A867" i="7"/>
  <c r="A1950" i="1"/>
  <c r="C1427" i="1"/>
  <c r="C781" i="7" s="1"/>
  <c r="C1599" i="1"/>
  <c r="C957" i="7" s="1"/>
  <c r="C426" i="1"/>
  <c r="C192" i="7" s="1"/>
  <c r="A643" i="7"/>
  <c r="A1040" i="7"/>
  <c r="C1269" i="1"/>
  <c r="A893" i="7"/>
  <c r="A723" i="7"/>
  <c r="C184" i="1"/>
  <c r="C1451" i="1"/>
  <c r="C805" i="7" s="1"/>
  <c r="C1454" i="1"/>
  <c r="C808" i="7" s="1"/>
  <c r="C1296" i="1"/>
  <c r="C1571" i="1"/>
  <c r="C929" i="7" s="1"/>
  <c r="C1563" i="1"/>
  <c r="C921" i="7" s="1"/>
  <c r="C1426" i="1"/>
  <c r="C780" i="7" s="1"/>
  <c r="C1389" i="1"/>
  <c r="C1447" i="1"/>
  <c r="C801" i="7" s="1"/>
  <c r="C1279" i="1"/>
  <c r="C1290" i="1"/>
  <c r="C2063" i="1"/>
  <c r="C1102" i="7" s="1"/>
  <c r="A1605" i="1"/>
  <c r="C1589" i="1"/>
  <c r="C947" i="7" s="1"/>
  <c r="C1579" i="1"/>
  <c r="C937" i="7" s="1"/>
  <c r="A1485" i="1"/>
  <c r="C1438" i="1"/>
  <c r="C792" i="7" s="1"/>
  <c r="C1320" i="1"/>
  <c r="C690" i="7" s="1"/>
  <c r="C1312" i="1"/>
  <c r="C682" i="7" s="1"/>
  <c r="C1304" i="1"/>
  <c r="C674" i="7" s="1"/>
  <c r="C182" i="1"/>
  <c r="C1566" i="1"/>
  <c r="C924" i="7" s="1"/>
  <c r="C1393" i="1"/>
  <c r="C1281" i="1"/>
  <c r="C2061" i="1"/>
  <c r="C1100" i="7" s="1"/>
  <c r="C1588" i="1"/>
  <c r="C946" i="7" s="1"/>
  <c r="C1450" i="1"/>
  <c r="C804" i="7" s="1"/>
  <c r="C1319" i="1"/>
  <c r="C689" i="7" s="1"/>
  <c r="C1272" i="1"/>
  <c r="C1431" i="1"/>
  <c r="C785" i="7" s="1"/>
  <c r="A1630" i="1"/>
  <c r="C2055" i="1"/>
  <c r="C1094" i="7" s="1"/>
  <c r="A1535" i="1"/>
  <c r="C1305" i="1"/>
  <c r="C675" i="7" s="1"/>
  <c r="C1919" i="1"/>
  <c r="C1922" i="1"/>
  <c r="A1879" i="1"/>
  <c r="C1448" i="1"/>
  <c r="C802" i="7" s="1"/>
  <c r="C1576" i="1"/>
  <c r="C934" i="7" s="1"/>
  <c r="C180" i="1"/>
  <c r="A815" i="7"/>
  <c r="C1564" i="1"/>
  <c r="C922" i="7" s="1"/>
  <c r="C1391" i="1"/>
  <c r="A749" i="7"/>
  <c r="C178" i="1"/>
  <c r="C1302" i="1"/>
  <c r="C672" i="7" s="1"/>
  <c r="C1452" i="1"/>
  <c r="C806" i="7" s="1"/>
  <c r="C1594" i="1"/>
  <c r="C952" i="7" s="1"/>
  <c r="C1569" i="1"/>
  <c r="C927" i="7" s="1"/>
  <c r="C1433" i="1"/>
  <c r="C787" i="7" s="1"/>
  <c r="C1424" i="1"/>
  <c r="C778" i="7" s="1"/>
  <c r="C1387" i="1"/>
  <c r="A1241" i="1"/>
  <c r="C1282" i="1"/>
  <c r="C1292" i="1"/>
  <c r="C2060" i="1"/>
  <c r="C1099" i="7" s="1"/>
  <c r="C1600" i="1"/>
  <c r="C958" i="7" s="1"/>
  <c r="C1587" i="1"/>
  <c r="C945" i="7" s="1"/>
  <c r="C1577" i="1"/>
  <c r="C935" i="7" s="1"/>
  <c r="C1446" i="1"/>
  <c r="C800" i="7" s="1"/>
  <c r="C1436" i="1"/>
  <c r="C790" i="7" s="1"/>
  <c r="C1318" i="1"/>
  <c r="C688" i="7" s="1"/>
  <c r="C1310" i="1"/>
  <c r="C680" i="7" s="1"/>
  <c r="C1271" i="1"/>
  <c r="C188" i="1"/>
  <c r="C1595" i="1"/>
  <c r="C953" i="7" s="1"/>
  <c r="C1435" i="1"/>
  <c r="C789" i="7" s="1"/>
  <c r="C1388" i="1"/>
  <c r="C1285" i="1"/>
  <c r="C2057" i="1"/>
  <c r="C1096" i="7" s="1"/>
  <c r="C1583" i="1"/>
  <c r="C941" i="7" s="1"/>
  <c r="C1441" i="1"/>
  <c r="C795" i="7" s="1"/>
  <c r="C1315" i="1"/>
  <c r="C685" i="7" s="1"/>
  <c r="C1423" i="1"/>
  <c r="C777" i="7" s="1"/>
  <c r="C1277" i="1"/>
  <c r="C1665" i="1"/>
  <c r="C973" i="7" s="1"/>
  <c r="C1439" i="1"/>
  <c r="C793" i="7" s="1"/>
  <c r="C186" i="1"/>
  <c r="C1942" i="1"/>
  <c r="A1806" i="1"/>
  <c r="C1283" i="1"/>
  <c r="A1351" i="1"/>
  <c r="A697" i="7"/>
  <c r="C1273" i="1"/>
  <c r="C1317" i="1"/>
  <c r="C687" i="7" s="1"/>
  <c r="B12" i="7"/>
  <c r="C1294" i="1"/>
  <c r="C176" i="1"/>
  <c r="F451" i="1"/>
  <c r="F217" i="7" s="1"/>
  <c r="F627" i="7"/>
  <c r="J449" i="1"/>
  <c r="J215" i="7" s="1"/>
  <c r="I470" i="1"/>
  <c r="I236" i="7" s="1"/>
  <c r="G437" i="1"/>
  <c r="G203" i="7" s="1"/>
  <c r="M107" i="7"/>
  <c r="M470" i="1"/>
  <c r="M236" i="7" s="1"/>
  <c r="L119" i="7"/>
  <c r="S255" i="1"/>
  <c r="I462" i="1"/>
  <c r="I228" i="7" s="1"/>
  <c r="F1981" i="1"/>
  <c r="L451" i="1"/>
  <c r="L217" i="7" s="1"/>
  <c r="J474" i="1"/>
  <c r="J240" i="7" s="1"/>
  <c r="F1982" i="1"/>
  <c r="F1072" i="7" s="1"/>
  <c r="M451" i="1"/>
  <c r="M217" i="7" s="1"/>
  <c r="I70" i="7"/>
  <c r="H451" i="1"/>
  <c r="H217" i="7" s="1"/>
  <c r="K159" i="7"/>
  <c r="I464" i="1"/>
  <c r="I230" i="7" s="1"/>
  <c r="S393" i="1"/>
  <c r="B394" i="1" s="1"/>
  <c r="B160" i="7" s="1"/>
  <c r="S1846" i="1"/>
  <c r="F449" i="1"/>
  <c r="F215" i="7" s="1"/>
  <c r="H143" i="1"/>
  <c r="S431" i="7"/>
  <c r="G1221" i="1"/>
  <c r="G1232" i="1" s="1"/>
  <c r="F1230" i="1"/>
  <c r="F633" i="7" s="1"/>
  <c r="M158" i="7"/>
  <c r="M493" i="1"/>
  <c r="M259" i="7" s="1"/>
  <c r="I56" i="7"/>
  <c r="Q58" i="7"/>
  <c r="I331" i="1"/>
  <c r="Q107" i="7"/>
  <c r="F1228" i="1"/>
  <c r="F1429" i="1" s="1"/>
  <c r="S277" i="1"/>
  <c r="F1232" i="1"/>
  <c r="F635" i="7" s="1"/>
  <c r="S368" i="1"/>
  <c r="S119" i="7" s="1"/>
  <c r="K451" i="1"/>
  <c r="K217" i="7" s="1"/>
  <c r="S319" i="1"/>
  <c r="S70" i="7" s="1"/>
  <c r="I451" i="1"/>
  <c r="F1107" i="1"/>
  <c r="F511" i="7" s="1"/>
  <c r="I58" i="7"/>
  <c r="G58" i="7"/>
  <c r="Q230" i="7"/>
  <c r="M464" i="1"/>
  <c r="M230" i="7" s="1"/>
  <c r="S264" i="1"/>
  <c r="F301" i="7"/>
  <c r="G831" i="8"/>
  <c r="G1220" i="1"/>
  <c r="G622" i="7" s="1"/>
  <c r="G1225" i="1"/>
  <c r="G1230" i="1" s="1"/>
  <c r="S333" i="1"/>
  <c r="S84" i="7" s="1"/>
  <c r="I487" i="1"/>
  <c r="I253" i="7" s="1"/>
  <c r="I392" i="1"/>
  <c r="I159" i="7"/>
  <c r="M487" i="1"/>
  <c r="M253" i="7" s="1"/>
  <c r="M159" i="7"/>
  <c r="P84" i="7"/>
  <c r="H437" i="1"/>
  <c r="H203" i="7" s="1"/>
  <c r="H305" i="1"/>
  <c r="J84" i="7"/>
  <c r="J331" i="1"/>
  <c r="G422" i="7"/>
  <c r="H84" i="7"/>
  <c r="H331" i="1"/>
  <c r="P203" i="7"/>
  <c r="P58" i="7"/>
  <c r="H486" i="7"/>
  <c r="H1083" i="1"/>
  <c r="H487" i="7" s="1"/>
  <c r="H463" i="7"/>
  <c r="H1056" i="1"/>
  <c r="H464" i="7" s="1"/>
  <c r="H450" i="7"/>
  <c r="H1039" i="1"/>
  <c r="H451" i="7" s="1"/>
  <c r="H474" i="7"/>
  <c r="H1067" i="1"/>
  <c r="H475" i="7" s="1"/>
  <c r="F300" i="8"/>
  <c r="F299" i="8" s="1"/>
  <c r="F794" i="7"/>
  <c r="S655" i="1"/>
  <c r="S371" i="7" s="1"/>
  <c r="M371" i="7"/>
  <c r="M680" i="1"/>
  <c r="O253" i="7"/>
  <c r="O159" i="7"/>
  <c r="G331" i="1"/>
  <c r="G393" i="7"/>
  <c r="G390" i="7"/>
  <c r="I437" i="1"/>
  <c r="I203" i="7" s="1"/>
  <c r="I107" i="7"/>
  <c r="S1917" i="1"/>
  <c r="K331" i="1"/>
  <c r="F464" i="1"/>
  <c r="F230" i="7" s="1"/>
  <c r="F107" i="7"/>
  <c r="F354" i="1"/>
  <c r="M372" i="7"/>
  <c r="S656" i="1"/>
  <c r="S372" i="7" s="1"/>
  <c r="Q371" i="7"/>
  <c r="Q408" i="7"/>
  <c r="L464" i="1"/>
  <c r="L230" i="7" s="1"/>
  <c r="L354" i="1"/>
  <c r="L107" i="7"/>
  <c r="I155" i="8"/>
  <c r="I688" i="7"/>
  <c r="F156" i="8"/>
  <c r="F155" i="8" s="1"/>
  <c r="F1392" i="1"/>
  <c r="F185" i="8" s="1"/>
  <c r="F688" i="7"/>
  <c r="N230" i="7"/>
  <c r="N107" i="7"/>
  <c r="J464" i="1"/>
  <c r="J230" i="7" s="1"/>
  <c r="J107" i="7"/>
  <c r="J354" i="1"/>
  <c r="H464" i="1"/>
  <c r="H230" i="7" s="1"/>
  <c r="H354" i="1"/>
  <c r="H107" i="7"/>
  <c r="O230" i="7"/>
  <c r="O107" i="7"/>
  <c r="G464" i="1"/>
  <c r="G230" i="7" s="1"/>
  <c r="G107" i="7"/>
  <c r="G354" i="1"/>
  <c r="B66" i="7"/>
  <c r="L84" i="7"/>
  <c r="L331" i="1"/>
  <c r="S356" i="1"/>
  <c r="F109" i="7"/>
  <c r="G358" i="1"/>
  <c r="P230" i="7"/>
  <c r="P107" i="7"/>
  <c r="K464" i="1"/>
  <c r="K230" i="7" s="1"/>
  <c r="K354" i="1"/>
  <c r="K107" i="7"/>
  <c r="L437" i="1"/>
  <c r="L203" i="7" s="1"/>
  <c r="L305" i="1"/>
  <c r="L58" i="7"/>
  <c r="O84" i="7"/>
  <c r="F428" i="7"/>
  <c r="F390" i="7"/>
  <c r="F393" i="7"/>
  <c r="F426" i="7"/>
  <c r="F298" i="8"/>
  <c r="F297" i="8" s="1"/>
  <c r="F793" i="7"/>
  <c r="H1222" i="1"/>
  <c r="H624" i="7" s="1"/>
  <c r="S246" i="1"/>
  <c r="G680" i="1"/>
  <c r="G858" i="1"/>
  <c r="G371" i="7"/>
  <c r="O371" i="7"/>
  <c r="K371" i="7"/>
  <c r="K680" i="1"/>
  <c r="G688" i="7"/>
  <c r="G155" i="8"/>
  <c r="G790" i="7"/>
  <c r="G291" i="8"/>
  <c r="S419" i="7"/>
  <c r="F335" i="1"/>
  <c r="F84" i="7"/>
  <c r="F331" i="1"/>
  <c r="F1847" i="1"/>
  <c r="F1991" i="1"/>
  <c r="F1081" i="7" s="1"/>
  <c r="F2068" i="1"/>
  <c r="F1107" i="7" s="1"/>
  <c r="F316" i="8"/>
  <c r="F315" i="8" s="1"/>
  <c r="F803" i="7"/>
  <c r="H432" i="7"/>
  <c r="F382" i="7"/>
  <c r="F385" i="7"/>
  <c r="F1916" i="1"/>
  <c r="F2066" i="1"/>
  <c r="F1105" i="7" s="1"/>
  <c r="F310" i="8"/>
  <c r="F309" i="8" s="1"/>
  <c r="F800" i="7"/>
  <c r="F432" i="7"/>
  <c r="S432" i="7"/>
  <c r="F430" i="7"/>
  <c r="S430" i="7"/>
  <c r="H431" i="7"/>
  <c r="F418" i="7"/>
  <c r="F420" i="7"/>
  <c r="G41" i="7"/>
  <c r="H290" i="1"/>
  <c r="F1848" i="1"/>
  <c r="F2069" i="1"/>
  <c r="F1108" i="7" s="1"/>
  <c r="F804" i="7"/>
  <c r="F318" i="8"/>
  <c r="F317" i="8" s="1"/>
  <c r="F955" i="7"/>
  <c r="F501" i="8"/>
  <c r="F500" i="8" s="1"/>
  <c r="F431" i="7"/>
  <c r="I701" i="1"/>
  <c r="I785" i="7"/>
  <c r="I283" i="8"/>
  <c r="P796" i="7"/>
  <c r="I1223" i="1"/>
  <c r="I625" i="7" s="1"/>
  <c r="I95" i="8"/>
  <c r="L375" i="7"/>
  <c r="L411" i="7"/>
  <c r="L410" i="7"/>
  <c r="L412" i="7"/>
  <c r="G427" i="7"/>
  <c r="G426" i="7"/>
  <c r="S426" i="7"/>
  <c r="H424" i="7"/>
  <c r="F424" i="7"/>
  <c r="S424" i="7"/>
  <c r="F389" i="7"/>
  <c r="F386" i="7"/>
  <c r="M375" i="7"/>
  <c r="M410" i="7"/>
  <c r="M412" i="7"/>
  <c r="M411" i="7"/>
  <c r="J197" i="1"/>
  <c r="I203" i="1"/>
  <c r="K35" i="8"/>
  <c r="J36" i="8"/>
  <c r="G261" i="1"/>
  <c r="G262" i="1" s="1"/>
  <c r="G258" i="1" s="1"/>
  <c r="H263" i="1" s="1"/>
  <c r="H1318" i="1" s="1"/>
  <c r="H522" i="1"/>
  <c r="H521" i="1"/>
  <c r="H535" i="1" s="1"/>
  <c r="H519" i="1"/>
  <c r="H533" i="1" s="1"/>
  <c r="H520" i="1"/>
  <c r="H534" i="1" s="1"/>
  <c r="G611" i="7"/>
  <c r="G1206" i="1"/>
  <c r="H609" i="7"/>
  <c r="I1207" i="1"/>
  <c r="H1208" i="1"/>
  <c r="H610" i="7" s="1"/>
  <c r="H1209" i="1"/>
  <c r="E574" i="7"/>
  <c r="E1172" i="1"/>
  <c r="E576" i="7" s="1"/>
  <c r="I485" i="7"/>
  <c r="G399" i="7"/>
  <c r="K399" i="7"/>
  <c r="K434" i="7"/>
  <c r="K435" i="7"/>
  <c r="K436" i="7"/>
  <c r="I93" i="8"/>
  <c r="G419" i="7"/>
  <c r="G420" i="7"/>
  <c r="S420" i="7"/>
  <c r="H415" i="7"/>
  <c r="H414" i="7"/>
  <c r="F415" i="7"/>
  <c r="S415" i="7"/>
  <c r="F414" i="7"/>
  <c r="S414" i="7"/>
  <c r="G412" i="7"/>
  <c r="F376" i="7"/>
  <c r="S376" i="7"/>
  <c r="N375" i="7"/>
  <c r="N411" i="7"/>
  <c r="N412" i="7"/>
  <c r="N410" i="7"/>
  <c r="Q375" i="7"/>
  <c r="Q410" i="7"/>
  <c r="Q412" i="7"/>
  <c r="Q411" i="7"/>
  <c r="J273" i="1"/>
  <c r="I274" i="1"/>
  <c r="G350" i="7"/>
  <c r="G333" i="7"/>
  <c r="G318" i="7"/>
  <c r="G325" i="7"/>
  <c r="G309" i="7"/>
  <c r="G602" i="1"/>
  <c r="H617" i="7"/>
  <c r="I1215" i="1"/>
  <c r="G2066" i="1"/>
  <c r="G1105" i="7" s="1"/>
  <c r="G1916" i="1"/>
  <c r="G800" i="7"/>
  <c r="G309" i="8"/>
  <c r="O399" i="7"/>
  <c r="O435" i="7"/>
  <c r="O436" i="7"/>
  <c r="O434" i="7"/>
  <c r="I91" i="8"/>
  <c r="G397" i="7"/>
  <c r="G394" i="7"/>
  <c r="S427" i="7"/>
  <c r="H375" i="7"/>
  <c r="P375" i="7"/>
  <c r="P411" i="7"/>
  <c r="P410" i="7"/>
  <c r="P412" i="7"/>
  <c r="G428" i="7"/>
  <c r="S428" i="7"/>
  <c r="H423" i="7"/>
  <c r="F423" i="7"/>
  <c r="S423" i="7"/>
  <c r="F422" i="7"/>
  <c r="S422" i="7"/>
  <c r="K91" i="1"/>
  <c r="J92" i="1"/>
  <c r="K93" i="1" s="1"/>
  <c r="I742" i="8"/>
  <c r="I66" i="8"/>
  <c r="I39" i="8"/>
  <c r="I265" i="8"/>
  <c r="I564" i="8"/>
  <c r="I817" i="8"/>
  <c r="I890" i="8"/>
  <c r="I122" i="8"/>
  <c r="I435" i="8"/>
  <c r="I667" i="8"/>
  <c r="I918" i="8"/>
  <c r="H260" i="1"/>
  <c r="I26" i="7"/>
  <c r="J29" i="1"/>
  <c r="I30" i="1"/>
  <c r="I27" i="7" s="1"/>
  <c r="I508" i="1"/>
  <c r="I518" i="1"/>
  <c r="I1779" i="1"/>
  <c r="I1012" i="7" s="1"/>
  <c r="I1852" i="1"/>
  <c r="F949" i="7"/>
  <c r="F491" i="8"/>
  <c r="F490" i="8" s="1"/>
  <c r="G610" i="7"/>
  <c r="G418" i="7"/>
  <c r="S418" i="7"/>
  <c r="H416" i="7"/>
  <c r="F416" i="7"/>
  <c r="S416" i="7"/>
  <c r="F381" i="7"/>
  <c r="F378" i="7"/>
  <c r="G411" i="7"/>
  <c r="G410" i="7"/>
  <c r="F375" i="7"/>
  <c r="S375" i="7"/>
  <c r="J375" i="7"/>
  <c r="J411" i="7"/>
  <c r="J412" i="7"/>
  <c r="J410" i="7"/>
  <c r="I427" i="7"/>
  <c r="I375" i="7"/>
  <c r="K33" i="8"/>
  <c r="J34" i="8"/>
  <c r="J689" i="8"/>
  <c r="J764" i="8"/>
  <c r="I399" i="7"/>
  <c r="Q399" i="7"/>
  <c r="Q435" i="7"/>
  <c r="Q436" i="7"/>
  <c r="Q434" i="7"/>
  <c r="M399" i="7"/>
  <c r="M435" i="7"/>
  <c r="M436" i="7"/>
  <c r="M434" i="7"/>
  <c r="G351" i="7"/>
  <c r="G335" i="7"/>
  <c r="G319" i="7"/>
  <c r="H326" i="7"/>
  <c r="H310" i="7"/>
  <c r="H602" i="1"/>
  <c r="G327" i="7"/>
  <c r="G311" i="7"/>
  <c r="G566" i="1"/>
  <c r="G603" i="1" s="1"/>
  <c r="J399" i="7"/>
  <c r="J434" i="7"/>
  <c r="J435" i="7"/>
  <c r="J436" i="7"/>
  <c r="F400" i="7"/>
  <c r="S400" i="7"/>
  <c r="L399" i="7"/>
  <c r="L434" i="7"/>
  <c r="L436" i="7"/>
  <c r="L435" i="7"/>
  <c r="N399" i="7"/>
  <c r="N434" i="7"/>
  <c r="N435" i="7"/>
  <c r="N436" i="7"/>
  <c r="F399" i="7"/>
  <c r="S399" i="7"/>
  <c r="P399" i="7"/>
  <c r="P434" i="7"/>
  <c r="P436" i="7"/>
  <c r="P435" i="7"/>
  <c r="H399" i="7"/>
  <c r="H567" i="1"/>
  <c r="F349" i="7"/>
  <c r="F351" i="7"/>
  <c r="H950" i="7"/>
  <c r="H492" i="8"/>
  <c r="I1592" i="1"/>
  <c r="I493" i="8" s="1"/>
  <c r="F634" i="7"/>
  <c r="F337" i="7"/>
  <c r="F339" i="7"/>
  <c r="F329" i="7"/>
  <c r="F331" i="7"/>
  <c r="F321" i="7"/>
  <c r="F323" i="7"/>
  <c r="F313" i="7"/>
  <c r="F315" i="7"/>
  <c r="F305" i="7"/>
  <c r="F307" i="7"/>
  <c r="G511" i="7"/>
  <c r="G507" i="1"/>
  <c r="G516" i="1"/>
  <c r="G531" i="1" s="1"/>
  <c r="H506" i="1"/>
  <c r="L158" i="7"/>
  <c r="L493" i="1"/>
  <c r="L259" i="7" s="1"/>
  <c r="G249" i="1"/>
  <c r="H252" i="1" s="1"/>
  <c r="H253" i="1" s="1"/>
  <c r="F231" i="1"/>
  <c r="F281" i="1"/>
  <c r="F32" i="7" s="1"/>
  <c r="F498" i="1"/>
  <c r="F102" i="1"/>
  <c r="F538" i="1"/>
  <c r="F264" i="7" s="1"/>
  <c r="F549" i="1"/>
  <c r="F278" i="7" s="1"/>
  <c r="F559" i="1"/>
  <c r="F599" i="1"/>
  <c r="F291" i="7" s="1"/>
  <c r="F652" i="1"/>
  <c r="F368" i="7" s="1"/>
  <c r="F677" i="1"/>
  <c r="F405" i="7" s="1"/>
  <c r="F693" i="1"/>
  <c r="F853" i="1"/>
  <c r="F943" i="1"/>
  <c r="F1028" i="1"/>
  <c r="F440" i="7" s="1"/>
  <c r="F739" i="1"/>
  <c r="F1113" i="1"/>
  <c r="F517" i="7" s="1"/>
  <c r="F1201" i="1"/>
  <c r="F603" i="7" s="1"/>
  <c r="F1267" i="1"/>
  <c r="F1299" i="1"/>
  <c r="F669" i="7" s="1"/>
  <c r="F1421" i="1"/>
  <c r="F775" i="7" s="1"/>
  <c r="F1561" i="1"/>
  <c r="F919" i="7" s="1"/>
  <c r="F1656" i="1"/>
  <c r="F964" i="7" s="1"/>
  <c r="F1976" i="1"/>
  <c r="F1066" i="7" s="1"/>
  <c r="F2053" i="1"/>
  <c r="F1092" i="7" s="1"/>
  <c r="F1178" i="1"/>
  <c r="F582" i="7" s="1"/>
  <c r="F1377" i="1"/>
  <c r="F1759" i="1"/>
  <c r="F992" i="7" s="1"/>
  <c r="F1832" i="1"/>
  <c r="F1905" i="1"/>
  <c r="F2002" i="1"/>
  <c r="H674" i="8"/>
  <c r="G675" i="8"/>
  <c r="H676" i="8" s="1"/>
  <c r="F898" i="8"/>
  <c r="F897" i="8"/>
  <c r="H1069" i="7"/>
  <c r="I1979" i="1"/>
  <c r="H1980" i="1"/>
  <c r="H1070" i="7" s="1"/>
  <c r="I929" i="7"/>
  <c r="I453" i="8"/>
  <c r="J1571" i="1"/>
  <c r="J454" i="8" s="1"/>
  <c r="H334" i="7"/>
  <c r="H318" i="7"/>
  <c r="H302" i="7"/>
  <c r="F353" i="7"/>
  <c r="J158" i="7"/>
  <c r="J493" i="1"/>
  <c r="J259" i="7" s="1"/>
  <c r="Q215" i="7"/>
  <c r="J163" i="1"/>
  <c r="K164" i="1"/>
  <c r="J144" i="7"/>
  <c r="H247" i="7"/>
  <c r="G29" i="7"/>
  <c r="G75" i="1"/>
  <c r="I2042" i="1"/>
  <c r="H2043" i="1"/>
  <c r="H2044" i="1" s="1"/>
  <c r="I1908" i="1"/>
  <c r="H1909" i="1"/>
  <c r="I1837" i="1"/>
  <c r="H1838" i="1"/>
  <c r="J699" i="1"/>
  <c r="J700" i="1" s="1"/>
  <c r="J742" i="1"/>
  <c r="J744" i="1" s="1"/>
  <c r="F335" i="7"/>
  <c r="F333" i="7"/>
  <c r="F327" i="7"/>
  <c r="F325" i="7"/>
  <c r="F319" i="7"/>
  <c r="F317" i="7"/>
  <c r="F311" i="7"/>
  <c r="F309" i="7"/>
  <c r="F303" i="7"/>
  <c r="H351" i="7"/>
  <c r="H270" i="1"/>
  <c r="P158" i="7"/>
  <c r="P259" i="7"/>
  <c r="O215" i="7"/>
  <c r="H630" i="7"/>
  <c r="H1292" i="1"/>
  <c r="H110" i="8" s="1"/>
  <c r="H1450" i="1"/>
  <c r="H318" i="8" s="1"/>
  <c r="H895" i="8"/>
  <c r="G896" i="8"/>
  <c r="H333" i="7"/>
  <c r="H335" i="7"/>
  <c r="H327" i="7"/>
  <c r="H317" i="7"/>
  <c r="H319" i="7"/>
  <c r="H311" i="7"/>
  <c r="H603" i="1"/>
  <c r="G310" i="7"/>
  <c r="N158" i="7"/>
  <c r="N259" i="7"/>
  <c r="O217" i="7"/>
  <c r="I162" i="1"/>
  <c r="J167" i="1"/>
  <c r="G822" i="8"/>
  <c r="F823" i="8"/>
  <c r="G824" i="8" s="1"/>
  <c r="G789" i="7"/>
  <c r="H28" i="7"/>
  <c r="I31" i="1"/>
  <c r="H32" i="1"/>
  <c r="G749" i="8"/>
  <c r="F750" i="8"/>
  <c r="G751" i="8" s="1"/>
  <c r="I669" i="8"/>
  <c r="H670" i="8"/>
  <c r="H744" i="8"/>
  <c r="H745" i="8" s="1"/>
  <c r="H892" i="8"/>
  <c r="H893" i="8" s="1"/>
  <c r="H819" i="8"/>
  <c r="H820" i="8" s="1"/>
  <c r="Q1044" i="1" l="1"/>
  <c r="S1041" i="1"/>
  <c r="S1044" i="1"/>
  <c r="Q573" i="1"/>
  <c r="Q610" i="1"/>
  <c r="O626" i="1"/>
  <c r="Q1072" i="1"/>
  <c r="S1072" i="1" s="1"/>
  <c r="S1069" i="1"/>
  <c r="J1070" i="1"/>
  <c r="J1071" i="1" s="1"/>
  <c r="P610" i="1"/>
  <c r="P613" i="1" s="1"/>
  <c r="P614" i="1" s="1"/>
  <c r="N618" i="1"/>
  <c r="N621" i="1" s="1"/>
  <c r="N622" i="1" s="1"/>
  <c r="O618" i="1"/>
  <c r="O621" i="1" s="1"/>
  <c r="O622" i="1" s="1"/>
  <c r="Q105" i="7"/>
  <c r="P626" i="1"/>
  <c r="P625" i="1" s="1"/>
  <c r="N574" i="1"/>
  <c r="N588" i="1"/>
  <c r="N625" i="1" s="1"/>
  <c r="N125" i="1"/>
  <c r="N629" i="1"/>
  <c r="N630" i="1" s="1"/>
  <c r="Q621" i="1"/>
  <c r="Q622" i="1" s="1"/>
  <c r="O629" i="1"/>
  <c r="O630" i="1" s="1"/>
  <c r="Q125" i="1"/>
  <c r="H1281" i="1"/>
  <c r="H90" i="8" s="1"/>
  <c r="F826" i="1"/>
  <c r="F830" i="1" s="1"/>
  <c r="O573" i="1"/>
  <c r="O611" i="1" s="1"/>
  <c r="O627" i="1"/>
  <c r="N450" i="1"/>
  <c r="N1275" i="1" s="1"/>
  <c r="O610" i="1"/>
  <c r="P573" i="1"/>
  <c r="G318" i="8"/>
  <c r="G317" i="8" s="1"/>
  <c r="P450" i="1"/>
  <c r="P1275" i="1" s="1"/>
  <c r="P580" i="1"/>
  <c r="P619" i="1" s="1"/>
  <c r="O588" i="1"/>
  <c r="O625" i="1" s="1"/>
  <c r="O811" i="1"/>
  <c r="O815" i="1" s="1"/>
  <c r="O812" i="1"/>
  <c r="O450" i="1"/>
  <c r="O1275" i="1" s="1"/>
  <c r="Q611" i="1"/>
  <c r="N826" i="1"/>
  <c r="N830" i="1" s="1"/>
  <c r="N827" i="1"/>
  <c r="G72" i="8"/>
  <c r="G71" i="8" s="1"/>
  <c r="N780" i="1"/>
  <c r="N779" i="1"/>
  <c r="N783" i="1" s="1"/>
  <c r="P779" i="1"/>
  <c r="P783" i="1" s="1"/>
  <c r="P780" i="1"/>
  <c r="O658" i="1"/>
  <c r="P661" i="1"/>
  <c r="G110" i="8"/>
  <c r="G109" i="8" s="1"/>
  <c r="G491" i="8"/>
  <c r="G490" i="8" s="1"/>
  <c r="Q764" i="1"/>
  <c r="Q763" i="1"/>
  <c r="Q767" i="1" s="1"/>
  <c r="P611" i="1"/>
  <c r="N811" i="1"/>
  <c r="N815" i="1" s="1"/>
  <c r="N812" i="1"/>
  <c r="P618" i="1"/>
  <c r="P763" i="1"/>
  <c r="P767" i="1" s="1"/>
  <c r="P764" i="1"/>
  <c r="H284" i="8"/>
  <c r="H283" i="8" s="1"/>
  <c r="N610" i="1"/>
  <c r="Q796" i="1"/>
  <c r="Q795" i="1"/>
  <c r="Q799" i="1" s="1"/>
  <c r="O779" i="1"/>
  <c r="O783" i="1" s="1"/>
  <c r="O780" i="1"/>
  <c r="G98" i="8"/>
  <c r="G97" i="8" s="1"/>
  <c r="G794" i="7"/>
  <c r="G300" i="8"/>
  <c r="G299" i="8" s="1"/>
  <c r="N662" i="1"/>
  <c r="O665" i="1"/>
  <c r="P587" i="1"/>
  <c r="O125" i="1"/>
  <c r="O796" i="1"/>
  <c r="O795" i="1"/>
  <c r="O799" i="1" s="1"/>
  <c r="O617" i="1"/>
  <c r="N581" i="1"/>
  <c r="N587" i="1"/>
  <c r="H156" i="8"/>
  <c r="H155" i="8" s="1"/>
  <c r="J284" i="8"/>
  <c r="J283" i="8" s="1"/>
  <c r="G284" i="8"/>
  <c r="G283" i="8" s="1"/>
  <c r="P795" i="1"/>
  <c r="P799" i="1" s="1"/>
  <c r="P796" i="1"/>
  <c r="Q747" i="1"/>
  <c r="Q751" i="1" s="1"/>
  <c r="Q748" i="1"/>
  <c r="Q581" i="1"/>
  <c r="Q617" i="1" s="1"/>
  <c r="G296" i="8"/>
  <c r="G295" i="8" s="1"/>
  <c r="N669" i="1"/>
  <c r="Q779" i="1"/>
  <c r="Q783" i="1" s="1"/>
  <c r="Q780" i="1"/>
  <c r="P673" i="1"/>
  <c r="O670" i="1"/>
  <c r="G316" i="8"/>
  <c r="G315" i="8" s="1"/>
  <c r="G933" i="8" s="1"/>
  <c r="F829" i="1"/>
  <c r="G829" i="1" s="1"/>
  <c r="H829" i="1" s="1"/>
  <c r="I829" i="1" s="1"/>
  <c r="J829" i="1" s="1"/>
  <c r="K829" i="1" s="1"/>
  <c r="L829" i="1" s="1"/>
  <c r="M829" i="1" s="1"/>
  <c r="N829" i="1" s="1"/>
  <c r="O829" i="1" s="1"/>
  <c r="P829" i="1" s="1"/>
  <c r="Q829" i="1" s="1"/>
  <c r="M827" i="1"/>
  <c r="Q587" i="1"/>
  <c r="Q627" i="1" s="1"/>
  <c r="O764" i="1"/>
  <c r="O763" i="1"/>
  <c r="O767" i="1" s="1"/>
  <c r="O748" i="1"/>
  <c r="O747" i="1"/>
  <c r="O751" i="1" s="1"/>
  <c r="Q811" i="1"/>
  <c r="Q815" i="1" s="1"/>
  <c r="Q812" i="1"/>
  <c r="N748" i="1"/>
  <c r="N747" i="1"/>
  <c r="N751" i="1" s="1"/>
  <c r="Q609" i="1"/>
  <c r="Q613" i="1"/>
  <c r="Q614" i="1" s="1"/>
  <c r="O827" i="1"/>
  <c r="O826" i="1"/>
  <c r="O830" i="1" s="1"/>
  <c r="G90" i="8"/>
  <c r="G89" i="8" s="1"/>
  <c r="P627" i="1"/>
  <c r="P747" i="1"/>
  <c r="P751" i="1" s="1"/>
  <c r="P748" i="1"/>
  <c r="N627" i="1"/>
  <c r="H584" i="7"/>
  <c r="Q158" i="7"/>
  <c r="G501" i="8"/>
  <c r="G500" i="8" s="1"/>
  <c r="N764" i="1"/>
  <c r="N763" i="1"/>
  <c r="N767" i="1" s="1"/>
  <c r="Q242" i="1"/>
  <c r="O619" i="1"/>
  <c r="Q450" i="1"/>
  <c r="Q1275" i="1" s="1"/>
  <c r="P151" i="1"/>
  <c r="Q155" i="1" s="1"/>
  <c r="Q152" i="1"/>
  <c r="Q151" i="1" s="1"/>
  <c r="N611" i="1"/>
  <c r="Q580" i="1"/>
  <c r="Q619" i="1" s="1"/>
  <c r="Q56" i="7"/>
  <c r="Q629" i="1"/>
  <c r="Q630" i="1" s="1"/>
  <c r="N619" i="1"/>
  <c r="G76" i="8"/>
  <c r="G75" i="8" s="1"/>
  <c r="Q588" i="1"/>
  <c r="Q625" i="1" s="1"/>
  <c r="K158" i="8"/>
  <c r="K157" i="8" s="1"/>
  <c r="K113" i="8"/>
  <c r="K112" i="8" s="1"/>
  <c r="K92" i="8"/>
  <c r="K91" i="8" s="1"/>
  <c r="K96" i="8"/>
  <c r="K312" i="8"/>
  <c r="K311" i="8" s="1"/>
  <c r="K284" i="8"/>
  <c r="K283" i="8" s="1"/>
  <c r="K94" i="8"/>
  <c r="K93" i="8" s="1"/>
  <c r="K314" i="8"/>
  <c r="K313" i="8" s="1"/>
  <c r="K51" i="8"/>
  <c r="K50" i="8" s="1"/>
  <c r="K156" i="8"/>
  <c r="K155" i="8" s="1"/>
  <c r="K164" i="8"/>
  <c r="K163" i="8" s="1"/>
  <c r="G298" i="8"/>
  <c r="G297" i="8" s="1"/>
  <c r="P827" i="1"/>
  <c r="P826" i="1"/>
  <c r="P830" i="1" s="1"/>
  <c r="P125" i="1"/>
  <c r="P811" i="1"/>
  <c r="P815" i="1" s="1"/>
  <c r="P812" i="1"/>
  <c r="N796" i="1"/>
  <c r="N795" i="1"/>
  <c r="N799" i="1" s="1"/>
  <c r="O580" i="1"/>
  <c r="Q827" i="1"/>
  <c r="Q826" i="1"/>
  <c r="Q830" i="1" s="1"/>
  <c r="I834" i="1"/>
  <c r="J833" i="1" s="1"/>
  <c r="J993" i="1"/>
  <c r="J994" i="1" s="1"/>
  <c r="J998" i="1"/>
  <c r="J999" i="1" s="1"/>
  <c r="J974" i="1"/>
  <c r="J975" i="1" s="1"/>
  <c r="J988" i="1"/>
  <c r="J989" i="1" s="1"/>
  <c r="J574" i="1"/>
  <c r="J588" i="1"/>
  <c r="F827" i="1"/>
  <c r="I580" i="1"/>
  <c r="I619" i="1" s="1"/>
  <c r="J955" i="1"/>
  <c r="J956" i="1" s="1"/>
  <c r="J969" i="1"/>
  <c r="J970" i="1" s="1"/>
  <c r="K827" i="1"/>
  <c r="S825" i="1"/>
  <c r="M618" i="1"/>
  <c r="M621" i="1" s="1"/>
  <c r="M622" i="1" s="1"/>
  <c r="S824" i="1"/>
  <c r="K626" i="1"/>
  <c r="K629" i="1" s="1"/>
  <c r="K630" i="1" s="1"/>
  <c r="H610" i="1"/>
  <c r="H609" i="1" s="1"/>
  <c r="I573" i="1"/>
  <c r="I611" i="1" s="1"/>
  <c r="I610" i="1"/>
  <c r="I613" i="1" s="1"/>
  <c r="I614" i="1" s="1"/>
  <c r="F573" i="1"/>
  <c r="F611" i="1" s="1"/>
  <c r="F610" i="1"/>
  <c r="M574" i="1"/>
  <c r="M581" i="1"/>
  <c r="F587" i="1"/>
  <c r="F627" i="1" s="1"/>
  <c r="F588" i="1"/>
  <c r="F625" i="1" s="1"/>
  <c r="K588" i="1"/>
  <c r="H883" i="1"/>
  <c r="I882" i="1" s="1"/>
  <c r="I770" i="1"/>
  <c r="I771" i="1"/>
  <c r="I898" i="1"/>
  <c r="J897" i="1" s="1"/>
  <c r="I786" i="1"/>
  <c r="I787" i="1"/>
  <c r="I913" i="1"/>
  <c r="J912" i="1" s="1"/>
  <c r="S793" i="1"/>
  <c r="I802" i="1"/>
  <c r="I803" i="1"/>
  <c r="S907" i="1"/>
  <c r="J718" i="1"/>
  <c r="J719" i="1" s="1"/>
  <c r="J583" i="1"/>
  <c r="J584" i="1" s="1"/>
  <c r="J904" i="1"/>
  <c r="J905" i="1" s="1"/>
  <c r="J796" i="1"/>
  <c r="J795" i="1"/>
  <c r="J799" i="1" s="1"/>
  <c r="L618" i="1"/>
  <c r="L617" i="1" s="1"/>
  <c r="I588" i="1"/>
  <c r="H796" i="1"/>
  <c r="H795" i="1"/>
  <c r="H799" i="1" s="1"/>
  <c r="F629" i="1"/>
  <c r="F798" i="1"/>
  <c r="G798" i="1" s="1"/>
  <c r="H798" i="1" s="1"/>
  <c r="I798" i="1" s="1"/>
  <c r="J798" i="1" s="1"/>
  <c r="K798" i="1" s="1"/>
  <c r="L798" i="1" s="1"/>
  <c r="M798" i="1" s="1"/>
  <c r="N798" i="1" s="1"/>
  <c r="O798" i="1" s="1"/>
  <c r="P798" i="1" s="1"/>
  <c r="Q798" i="1" s="1"/>
  <c r="F796" i="1"/>
  <c r="F795" i="1"/>
  <c r="S794" i="1"/>
  <c r="J627" i="1"/>
  <c r="L580" i="1"/>
  <c r="L619" i="1" s="1"/>
  <c r="H629" i="1"/>
  <c r="H630" i="1" s="1"/>
  <c r="S908" i="1"/>
  <c r="F909" i="1"/>
  <c r="F910" i="1" s="1"/>
  <c r="H587" i="1"/>
  <c r="H627" i="1" s="1"/>
  <c r="I626" i="1"/>
  <c r="M666" i="1"/>
  <c r="J827" i="1"/>
  <c r="H588" i="1"/>
  <c r="H625" i="1" s="1"/>
  <c r="G626" i="1"/>
  <c r="L626" i="1"/>
  <c r="M626" i="1"/>
  <c r="L796" i="1"/>
  <c r="L795" i="1"/>
  <c r="L799" i="1" s="1"/>
  <c r="K795" i="1"/>
  <c r="K799" i="1" s="1"/>
  <c r="K796" i="1"/>
  <c r="M796" i="1"/>
  <c r="M795" i="1"/>
  <c r="M799" i="1" s="1"/>
  <c r="I796" i="1"/>
  <c r="I795" i="1"/>
  <c r="I799" i="1" s="1"/>
  <c r="J626" i="1"/>
  <c r="I627" i="1"/>
  <c r="L587" i="1"/>
  <c r="L627" i="1" s="1"/>
  <c r="G796" i="1"/>
  <c r="G795" i="1"/>
  <c r="G799" i="1" s="1"/>
  <c r="K627" i="1"/>
  <c r="M587" i="1"/>
  <c r="M627" i="1" s="1"/>
  <c r="G587" i="1"/>
  <c r="G627" i="1" s="1"/>
  <c r="I621" i="1"/>
  <c r="I622" i="1" s="1"/>
  <c r="H621" i="1"/>
  <c r="H622" i="1" s="1"/>
  <c r="F618" i="1"/>
  <c r="M780" i="1"/>
  <c r="M779" i="1"/>
  <c r="M783" i="1" s="1"/>
  <c r="H580" i="1"/>
  <c r="H619" i="1" s="1"/>
  <c r="J618" i="1"/>
  <c r="G573" i="1"/>
  <c r="G611" i="1" s="1"/>
  <c r="K580" i="1"/>
  <c r="K619" i="1" s="1"/>
  <c r="M619" i="1"/>
  <c r="H581" i="1"/>
  <c r="H617" i="1" s="1"/>
  <c r="F782" i="1"/>
  <c r="G782" i="1" s="1"/>
  <c r="H782" i="1" s="1"/>
  <c r="I782" i="1" s="1"/>
  <c r="J782" i="1" s="1"/>
  <c r="K782" i="1" s="1"/>
  <c r="L782" i="1" s="1"/>
  <c r="M782" i="1" s="1"/>
  <c r="N782" i="1" s="1"/>
  <c r="O782" i="1" s="1"/>
  <c r="P782" i="1" s="1"/>
  <c r="Q782" i="1" s="1"/>
  <c r="F780" i="1"/>
  <c r="F779" i="1"/>
  <c r="S778" i="1"/>
  <c r="J580" i="1"/>
  <c r="J619" i="1" s="1"/>
  <c r="I581" i="1"/>
  <c r="I617" i="1" s="1"/>
  <c r="S892" i="1"/>
  <c r="K581" i="1"/>
  <c r="K617" i="1" s="1"/>
  <c r="S777" i="1"/>
  <c r="J711" i="1"/>
  <c r="J712" i="1" s="1"/>
  <c r="J576" i="1"/>
  <c r="J577" i="1" s="1"/>
  <c r="J889" i="1"/>
  <c r="J890" i="1" s="1"/>
  <c r="K621" i="1"/>
  <c r="K622" i="1" s="1"/>
  <c r="K779" i="1"/>
  <c r="K783" i="1" s="1"/>
  <c r="K780" i="1"/>
  <c r="G780" i="1"/>
  <c r="G779" i="1"/>
  <c r="G783" i="1" s="1"/>
  <c r="H779" i="1"/>
  <c r="H783" i="1" s="1"/>
  <c r="H780" i="1"/>
  <c r="K574" i="1"/>
  <c r="S893" i="1"/>
  <c r="F894" i="1"/>
  <c r="I896" i="1" s="1"/>
  <c r="G580" i="1"/>
  <c r="G619" i="1" s="1"/>
  <c r="J826" i="1"/>
  <c r="J830" i="1" s="1"/>
  <c r="K610" i="1"/>
  <c r="K613" i="1" s="1"/>
  <c r="K614" i="1" s="1"/>
  <c r="L780" i="1"/>
  <c r="L779" i="1"/>
  <c r="L783" i="1" s="1"/>
  <c r="F580" i="1"/>
  <c r="F619" i="1" s="1"/>
  <c r="J780" i="1"/>
  <c r="J779" i="1"/>
  <c r="J783" i="1" s="1"/>
  <c r="F581" i="1"/>
  <c r="G618" i="1"/>
  <c r="I780" i="1"/>
  <c r="I779" i="1"/>
  <c r="I783" i="1" s="1"/>
  <c r="L613" i="1"/>
  <c r="L614" i="1" s="1"/>
  <c r="M611" i="1"/>
  <c r="H573" i="1"/>
  <c r="H611" i="1" s="1"/>
  <c r="F766" i="1"/>
  <c r="G766" i="1" s="1"/>
  <c r="H766" i="1" s="1"/>
  <c r="I766" i="1" s="1"/>
  <c r="J766" i="1" s="1"/>
  <c r="K766" i="1" s="1"/>
  <c r="L766" i="1" s="1"/>
  <c r="M766" i="1" s="1"/>
  <c r="N766" i="1" s="1"/>
  <c r="O766" i="1" s="1"/>
  <c r="P766" i="1" s="1"/>
  <c r="Q766" i="1" s="1"/>
  <c r="F764" i="1"/>
  <c r="F763" i="1"/>
  <c r="S762" i="1"/>
  <c r="J610" i="1"/>
  <c r="H764" i="1"/>
  <c r="H763" i="1"/>
  <c r="H767" i="1" s="1"/>
  <c r="S877" i="1"/>
  <c r="G793" i="7"/>
  <c r="J764" i="1"/>
  <c r="J763" i="1"/>
  <c r="J767" i="1" s="1"/>
  <c r="J731" i="1"/>
  <c r="J732" i="1" s="1"/>
  <c r="J704" i="1"/>
  <c r="J705" i="1" s="1"/>
  <c r="J569" i="1"/>
  <c r="J570" i="1" s="1"/>
  <c r="J874" i="1"/>
  <c r="J875" i="1" s="1"/>
  <c r="S761" i="1"/>
  <c r="L763" i="1"/>
  <c r="L767" i="1" s="1"/>
  <c r="L764" i="1"/>
  <c r="L574" i="1"/>
  <c r="L609" i="1" s="1"/>
  <c r="J611" i="1"/>
  <c r="G764" i="1"/>
  <c r="G763" i="1"/>
  <c r="G767" i="1" s="1"/>
  <c r="I764" i="1"/>
  <c r="I763" i="1"/>
  <c r="I767" i="1" s="1"/>
  <c r="M763" i="1"/>
  <c r="M767" i="1" s="1"/>
  <c r="M764" i="1"/>
  <c r="K763" i="1"/>
  <c r="K767" i="1" s="1"/>
  <c r="K764" i="1"/>
  <c r="G610" i="1"/>
  <c r="L573" i="1"/>
  <c r="L611" i="1" s="1"/>
  <c r="K611" i="1"/>
  <c r="M610" i="1"/>
  <c r="S878" i="1"/>
  <c r="F879" i="1"/>
  <c r="L881" i="1" s="1"/>
  <c r="G792" i="7"/>
  <c r="G949" i="7"/>
  <c r="H688" i="7"/>
  <c r="S263" i="1"/>
  <c r="S1318" i="1"/>
  <c r="S688" i="7" s="1"/>
  <c r="F295" i="7"/>
  <c r="F605" i="1"/>
  <c r="H1449" i="1"/>
  <c r="H316" i="8" s="1"/>
  <c r="H629" i="7"/>
  <c r="H1446" i="1"/>
  <c r="H310" i="8" s="1"/>
  <c r="H1597" i="1"/>
  <c r="G955" i="7"/>
  <c r="G2068" i="1"/>
  <c r="G1107" i="7" s="1"/>
  <c r="G1847" i="1"/>
  <c r="G803" i="7"/>
  <c r="I2033" i="1"/>
  <c r="I2029" i="1"/>
  <c r="I486" i="1"/>
  <c r="I1276" i="1" s="1"/>
  <c r="I82" i="8" s="1"/>
  <c r="I1227" i="1"/>
  <c r="I1292" i="1" s="1"/>
  <c r="I110" i="8" s="1"/>
  <c r="I463" i="1"/>
  <c r="I229" i="7" s="1"/>
  <c r="G1279" i="1"/>
  <c r="I428" i="1"/>
  <c r="I194" i="7" s="1"/>
  <c r="J88" i="1"/>
  <c r="J2029" i="1" s="1"/>
  <c r="I436" i="1"/>
  <c r="I1271" i="1" s="1"/>
  <c r="I72" i="8" s="1"/>
  <c r="I2035" i="1"/>
  <c r="H1273" i="1"/>
  <c r="H76" i="8" s="1"/>
  <c r="H1439" i="1"/>
  <c r="H298" i="8" s="1"/>
  <c r="I1180" i="1"/>
  <c r="I1281" i="1" s="1"/>
  <c r="I90" i="8" s="1"/>
  <c r="H229" i="7"/>
  <c r="H1274" i="1"/>
  <c r="H78" i="8" s="1"/>
  <c r="I1226" i="1"/>
  <c r="I629" i="7" s="1"/>
  <c r="I2034" i="1"/>
  <c r="G804" i="7"/>
  <c r="G595" i="1"/>
  <c r="I2030" i="1"/>
  <c r="G2069" i="1"/>
  <c r="G1108" i="7" s="1"/>
  <c r="I2028" i="1"/>
  <c r="H863" i="1"/>
  <c r="H864" i="1" s="1"/>
  <c r="H869" i="1"/>
  <c r="G1848" i="1"/>
  <c r="H1591" i="1"/>
  <c r="H1440" i="1"/>
  <c r="H300" i="8" s="1"/>
  <c r="H1435" i="1"/>
  <c r="H1436" i="1"/>
  <c r="H292" i="8" s="1"/>
  <c r="G1991" i="1"/>
  <c r="G1081" i="7" s="1"/>
  <c r="H1276" i="1"/>
  <c r="H82" i="8" s="1"/>
  <c r="H1272" i="1"/>
  <c r="H1271" i="1"/>
  <c r="H72" i="8" s="1"/>
  <c r="I819" i="1"/>
  <c r="I818" i="1"/>
  <c r="F633" i="1"/>
  <c r="F637" i="1"/>
  <c r="F640" i="1" s="1"/>
  <c r="F636" i="1" s="1"/>
  <c r="K811" i="1"/>
  <c r="K815" i="1" s="1"/>
  <c r="K812" i="1"/>
  <c r="J812" i="1"/>
  <c r="J811" i="1"/>
  <c r="J815" i="1" s="1"/>
  <c r="F814" i="1"/>
  <c r="G814" i="1" s="1"/>
  <c r="H814" i="1" s="1"/>
  <c r="I814" i="1" s="1"/>
  <c r="J814" i="1" s="1"/>
  <c r="K814" i="1" s="1"/>
  <c r="L814" i="1" s="1"/>
  <c r="M814" i="1" s="1"/>
  <c r="N814" i="1" s="1"/>
  <c r="O814" i="1" s="1"/>
  <c r="P814" i="1" s="1"/>
  <c r="Q814" i="1" s="1"/>
  <c r="F812" i="1"/>
  <c r="F811" i="1"/>
  <c r="S810" i="1"/>
  <c r="H812" i="1"/>
  <c r="H811" i="1"/>
  <c r="H815" i="1" s="1"/>
  <c r="G635" i="1"/>
  <c r="H593" i="1"/>
  <c r="H595" i="1" s="1"/>
  <c r="J918" i="1"/>
  <c r="I1067" i="1"/>
  <c r="I475" i="7" s="1"/>
  <c r="L812" i="1"/>
  <c r="L811" i="1"/>
  <c r="L815" i="1" s="1"/>
  <c r="G812" i="1"/>
  <c r="G811" i="1"/>
  <c r="G815" i="1" s="1"/>
  <c r="M812" i="1"/>
  <c r="M811" i="1"/>
  <c r="M815" i="1" s="1"/>
  <c r="J81" i="1"/>
  <c r="K82" i="1" s="1"/>
  <c r="J725" i="1"/>
  <c r="J726" i="1" s="1"/>
  <c r="J590" i="1"/>
  <c r="J591" i="1" s="1"/>
  <c r="J919" i="1"/>
  <c r="J920" i="1" s="1"/>
  <c r="K917" i="1" s="1"/>
  <c r="I812" i="1"/>
  <c r="I811" i="1"/>
  <c r="I815" i="1" s="1"/>
  <c r="I921" i="1"/>
  <c r="F924" i="1"/>
  <c r="H926" i="1" s="1"/>
  <c r="S809" i="1"/>
  <c r="J589" i="1"/>
  <c r="I592" i="1"/>
  <c r="G634" i="1"/>
  <c r="I378" i="1"/>
  <c r="J378" i="1" s="1"/>
  <c r="G785" i="7"/>
  <c r="J1006" i="1"/>
  <c r="Q228" i="7"/>
  <c r="K80" i="1"/>
  <c r="K1042" i="1" s="1"/>
  <c r="K1043" i="1" s="1"/>
  <c r="J1204" i="1"/>
  <c r="J606" i="7" s="1"/>
  <c r="F161" i="7"/>
  <c r="J950" i="1"/>
  <c r="J951" i="1" s="1"/>
  <c r="Q796" i="7"/>
  <c r="F601" i="1"/>
  <c r="H785" i="7"/>
  <c r="I1056" i="1"/>
  <c r="I464" i="7" s="1"/>
  <c r="H507" i="1"/>
  <c r="I1839" i="1"/>
  <c r="F294" i="7"/>
  <c r="Q217" i="7"/>
  <c r="H516" i="1"/>
  <c r="H531" i="1" s="1"/>
  <c r="H244" i="1"/>
  <c r="H240" i="1" s="1"/>
  <c r="I243" i="1" s="1"/>
  <c r="I244" i="1" s="1"/>
  <c r="I240" i="1" s="1"/>
  <c r="J243" i="1" s="1"/>
  <c r="J244" i="1" s="1"/>
  <c r="S1431" i="1"/>
  <c r="S785" i="7" s="1"/>
  <c r="J1764" i="1"/>
  <c r="J997" i="7" s="1"/>
  <c r="I1083" i="1"/>
  <c r="I487" i="7" s="1"/>
  <c r="J1055" i="1"/>
  <c r="J463" i="7" s="1"/>
  <c r="I1765" i="1"/>
  <c r="I998" i="7" s="1"/>
  <c r="J1038" i="1"/>
  <c r="J1039" i="1" s="1"/>
  <c r="J451" i="7" s="1"/>
  <c r="B187" i="7"/>
  <c r="B417" i="1"/>
  <c r="H493" i="1"/>
  <c r="H259" i="7" s="1"/>
  <c r="G1982" i="1"/>
  <c r="G1072" i="7" s="1"/>
  <c r="J1082" i="1"/>
  <c r="J486" i="7" s="1"/>
  <c r="J1066" i="1"/>
  <c r="J474" i="7" s="1"/>
  <c r="J983" i="1"/>
  <c r="J984" i="1" s="1"/>
  <c r="I756" i="1"/>
  <c r="J964" i="1"/>
  <c r="J965" i="1" s="1"/>
  <c r="K963" i="1" s="1"/>
  <c r="I749" i="1"/>
  <c r="J859" i="1"/>
  <c r="J860" i="1" s="1"/>
  <c r="K857" i="1" s="1"/>
  <c r="K858" i="1" s="1"/>
  <c r="G1981" i="1"/>
  <c r="G1071" i="7" s="1"/>
  <c r="J562" i="1"/>
  <c r="J563" i="1" s="1"/>
  <c r="J1007" i="1"/>
  <c r="J1008" i="1" s="1"/>
  <c r="J697" i="1"/>
  <c r="J698" i="1" s="1"/>
  <c r="I1039" i="1"/>
  <c r="I451" i="7" s="1"/>
  <c r="H1766" i="1"/>
  <c r="J858" i="1"/>
  <c r="J861" i="1" s="1"/>
  <c r="J863" i="1" s="1"/>
  <c r="J864" i="1" s="1"/>
  <c r="I1910" i="1"/>
  <c r="H462" i="7"/>
  <c r="H1057" i="1"/>
  <c r="H465" i="7" s="1"/>
  <c r="I1054" i="1"/>
  <c r="G1106" i="1"/>
  <c r="G510" i="7" s="1"/>
  <c r="J561" i="1"/>
  <c r="I564" i="1"/>
  <c r="I565" i="1" s="1"/>
  <c r="I567" i="1" s="1"/>
  <c r="H473" i="7"/>
  <c r="I1065" i="1"/>
  <c r="H1105" i="1"/>
  <c r="H509" i="7" s="1"/>
  <c r="H1068" i="1"/>
  <c r="H449" i="7"/>
  <c r="I1037" i="1"/>
  <c r="H1040" i="1"/>
  <c r="H452" i="7" s="1"/>
  <c r="M457" i="1"/>
  <c r="M223" i="7" s="1"/>
  <c r="I505" i="1"/>
  <c r="I515" i="1" s="1"/>
  <c r="J518" i="1" s="1"/>
  <c r="F654" i="1"/>
  <c r="F370" i="7" s="1"/>
  <c r="G1442" i="1"/>
  <c r="G117" i="1"/>
  <c r="F373" i="7"/>
  <c r="K117" i="1"/>
  <c r="S159" i="7"/>
  <c r="F742" i="1"/>
  <c r="F744" i="1" s="1"/>
  <c r="F745" i="1" s="1"/>
  <c r="G493" i="1"/>
  <c r="G259" i="7" s="1"/>
  <c r="I522" i="1"/>
  <c r="I529" i="1" s="1"/>
  <c r="I124" i="1" s="1"/>
  <c r="L1442" i="1"/>
  <c r="L796" i="7" s="1"/>
  <c r="K144" i="1"/>
  <c r="K143" i="1" s="1"/>
  <c r="S449" i="1"/>
  <c r="S215" i="7" s="1"/>
  <c r="F1071" i="7"/>
  <c r="I746" i="1"/>
  <c r="I747" i="1" s="1"/>
  <c r="H408" i="7"/>
  <c r="J56" i="7"/>
  <c r="L117" i="1"/>
  <c r="N216" i="7"/>
  <c r="M408" i="7"/>
  <c r="K408" i="7"/>
  <c r="O408" i="7"/>
  <c r="F493" i="1"/>
  <c r="F259" i="7" s="1"/>
  <c r="M1442" i="1"/>
  <c r="M796" i="7" s="1"/>
  <c r="H1442" i="1"/>
  <c r="H304" i="8" s="1"/>
  <c r="M117" i="1"/>
  <c r="H117" i="1"/>
  <c r="N796" i="7"/>
  <c r="Q82" i="7"/>
  <c r="N210" i="7"/>
  <c r="N56" i="7"/>
  <c r="K493" i="1"/>
  <c r="K259" i="7" s="1"/>
  <c r="K1442" i="1"/>
  <c r="K304" i="8" s="1"/>
  <c r="J1442" i="1"/>
  <c r="J304" i="8" s="1"/>
  <c r="S474" i="1"/>
  <c r="S240" i="7" s="1"/>
  <c r="S392" i="1"/>
  <c r="S158" i="7" s="1"/>
  <c r="J117" i="1"/>
  <c r="F117" i="1"/>
  <c r="F1442" i="1"/>
  <c r="F796" i="7" s="1"/>
  <c r="I1442" i="1"/>
  <c r="I304" i="8" s="1"/>
  <c r="N217" i="7"/>
  <c r="I117" i="1"/>
  <c r="S451" i="1"/>
  <c r="S217" i="7" s="1"/>
  <c r="S462" i="1"/>
  <c r="S228" i="7" s="1"/>
  <c r="I217" i="7"/>
  <c r="Q210" i="7"/>
  <c r="C1023" i="7"/>
  <c r="H294" i="7"/>
  <c r="H601" i="1"/>
  <c r="G605" i="1"/>
  <c r="G601" i="1"/>
  <c r="F1106" i="1"/>
  <c r="F510" i="7" s="1"/>
  <c r="G294" i="7"/>
  <c r="H605" i="1"/>
  <c r="F1289" i="1"/>
  <c r="F104" i="8" s="1"/>
  <c r="G1231" i="1"/>
  <c r="G634" i="7" s="1"/>
  <c r="G623" i="7"/>
  <c r="F631" i="7"/>
  <c r="F1234" i="1"/>
  <c r="F637" i="7" s="1"/>
  <c r="F1384" i="1"/>
  <c r="F1319" i="1" s="1"/>
  <c r="G627" i="7"/>
  <c r="H1221" i="1"/>
  <c r="H623" i="7" s="1"/>
  <c r="G1228" i="1"/>
  <c r="G1429" i="1" s="1"/>
  <c r="G280" i="8" s="1"/>
  <c r="F754" i="1"/>
  <c r="F755" i="1"/>
  <c r="F862" i="1"/>
  <c r="F867" i="1"/>
  <c r="F868" i="1" s="1"/>
  <c r="G302" i="7"/>
  <c r="H303" i="7"/>
  <c r="G303" i="7"/>
  <c r="I82" i="7"/>
  <c r="I457" i="1"/>
  <c r="H1225" i="1"/>
  <c r="H1231" i="1" s="1"/>
  <c r="H634" i="7" s="1"/>
  <c r="G326" i="7"/>
  <c r="H325" i="7"/>
  <c r="J1223" i="1"/>
  <c r="J625" i="7" s="1"/>
  <c r="G312" i="7"/>
  <c r="S487" i="1"/>
  <c r="S253" i="7" s="1"/>
  <c r="B334" i="1"/>
  <c r="B85" i="7" s="1"/>
  <c r="I931" i="1"/>
  <c r="I1033" i="1" s="1"/>
  <c r="I445" i="7" s="1"/>
  <c r="G334" i="7"/>
  <c r="H350" i="7"/>
  <c r="H313" i="7"/>
  <c r="H349" i="7"/>
  <c r="G330" i="7"/>
  <c r="F457" i="1"/>
  <c r="F450" i="1" s="1"/>
  <c r="G317" i="7"/>
  <c r="G349" i="7"/>
  <c r="H390" i="7"/>
  <c r="H393" i="7"/>
  <c r="G342" i="7"/>
  <c r="G343" i="7"/>
  <c r="I1222" i="1"/>
  <c r="I1220" i="1" s="1"/>
  <c r="H1220" i="1"/>
  <c r="H622" i="7" s="1"/>
  <c r="I158" i="7"/>
  <c r="I493" i="1"/>
  <c r="J505" i="1"/>
  <c r="J515" i="1" s="1"/>
  <c r="H56" i="7"/>
  <c r="H444" i="1"/>
  <c r="H210" i="7" s="1"/>
  <c r="P82" i="7"/>
  <c r="J82" i="7"/>
  <c r="J457" i="1"/>
  <c r="H457" i="1"/>
  <c r="H82" i="7"/>
  <c r="P56" i="7"/>
  <c r="P210" i="7"/>
  <c r="S464" i="1"/>
  <c r="S230" i="7" s="1"/>
  <c r="S680" i="1"/>
  <c r="S408" i="7" s="1"/>
  <c r="O158" i="7"/>
  <c r="O259" i="7"/>
  <c r="G82" i="7"/>
  <c r="G457" i="1"/>
  <c r="K82" i="7"/>
  <c r="K457" i="1"/>
  <c r="L105" i="7"/>
  <c r="L470" i="1"/>
  <c r="L236" i="7" s="1"/>
  <c r="F105" i="7"/>
  <c r="F470" i="1"/>
  <c r="F236" i="7" s="1"/>
  <c r="L56" i="7"/>
  <c r="L444" i="1"/>
  <c r="P105" i="7"/>
  <c r="P236" i="7"/>
  <c r="G109" i="7"/>
  <c r="H358" i="1"/>
  <c r="B357" i="1"/>
  <c r="B108" i="7" s="1"/>
  <c r="S107" i="7"/>
  <c r="O105" i="7"/>
  <c r="H105" i="7"/>
  <c r="H470" i="1"/>
  <c r="H236" i="7" s="1"/>
  <c r="J105" i="7"/>
  <c r="J470" i="1"/>
  <c r="J236" i="7" s="1"/>
  <c r="O82" i="7"/>
  <c r="K470" i="1"/>
  <c r="K105" i="7"/>
  <c r="L82" i="7"/>
  <c r="L457" i="1"/>
  <c r="B188" i="7"/>
  <c r="B424" i="1"/>
  <c r="P957" i="7" s="1"/>
  <c r="G470" i="1"/>
  <c r="S354" i="1"/>
  <c r="S105" i="7" s="1"/>
  <c r="G105" i="7"/>
  <c r="N105" i="7"/>
  <c r="N236" i="7"/>
  <c r="G408" i="7"/>
  <c r="G742" i="1"/>
  <c r="G744" i="1" s="1"/>
  <c r="G861" i="1"/>
  <c r="G862" i="1" s="1"/>
  <c r="I290" i="1"/>
  <c r="H41" i="7"/>
  <c r="G385" i="7"/>
  <c r="G382" i="7"/>
  <c r="F933" i="8"/>
  <c r="F759" i="8"/>
  <c r="F907" i="8"/>
  <c r="F82" i="7"/>
  <c r="S331" i="1"/>
  <c r="S82" i="7" s="1"/>
  <c r="G335" i="1"/>
  <c r="F86" i="7"/>
  <c r="F760" i="8"/>
  <c r="F934" i="8"/>
  <c r="F830" i="8"/>
  <c r="F931" i="8"/>
  <c r="I317" i="7"/>
  <c r="I310" i="7"/>
  <c r="I326" i="7"/>
  <c r="I334" i="7"/>
  <c r="H309" i="7"/>
  <c r="I349" i="7"/>
  <c r="H356" i="7"/>
  <c r="H261" i="1"/>
  <c r="H262" i="1" s="1"/>
  <c r="H258" i="1" s="1"/>
  <c r="J311" i="8"/>
  <c r="J163" i="8"/>
  <c r="J313" i="8"/>
  <c r="J50" i="8"/>
  <c r="I411" i="7"/>
  <c r="I410" i="7"/>
  <c r="F412" i="7"/>
  <c r="S412" i="7"/>
  <c r="F411" i="7"/>
  <c r="S411" i="7"/>
  <c r="I260" i="1"/>
  <c r="H410" i="7"/>
  <c r="H397" i="7"/>
  <c r="H394" i="7"/>
  <c r="G830" i="8"/>
  <c r="G931" i="8"/>
  <c r="I617" i="7"/>
  <c r="J1215" i="1"/>
  <c r="J274" i="1"/>
  <c r="K273" i="1"/>
  <c r="F863" i="1"/>
  <c r="F869" i="1"/>
  <c r="G434" i="7"/>
  <c r="G435" i="7"/>
  <c r="I519" i="1"/>
  <c r="I533" i="1" s="1"/>
  <c r="I521" i="1"/>
  <c r="I535" i="1" s="1"/>
  <c r="H529" i="1"/>
  <c r="H124" i="1" s="1"/>
  <c r="H527" i="1"/>
  <c r="L35" i="8"/>
  <c r="K36" i="8"/>
  <c r="I393" i="7"/>
  <c r="I390" i="7"/>
  <c r="J155" i="8"/>
  <c r="J157" i="8"/>
  <c r="K689" i="8"/>
  <c r="K764" i="8"/>
  <c r="L33" i="8"/>
  <c r="K34" i="8"/>
  <c r="G373" i="7"/>
  <c r="H657" i="1"/>
  <c r="G654" i="1"/>
  <c r="G370" i="7" s="1"/>
  <c r="H745" i="1"/>
  <c r="H749" i="1"/>
  <c r="H746" i="1"/>
  <c r="H756" i="1"/>
  <c r="I412" i="7"/>
  <c r="F410" i="7"/>
  <c r="S410" i="7"/>
  <c r="F377" i="7"/>
  <c r="F374" i="7"/>
  <c r="G381" i="7"/>
  <c r="G378" i="7"/>
  <c r="J26" i="7"/>
  <c r="K29" i="1"/>
  <c r="J30" i="1"/>
  <c r="J27" i="7" s="1"/>
  <c r="J507" i="1"/>
  <c r="J508" i="1"/>
  <c r="J516" i="1"/>
  <c r="J1852" i="1"/>
  <c r="J1779" i="1"/>
  <c r="J1012" i="7" s="1"/>
  <c r="L91" i="1"/>
  <c r="K92" i="1"/>
  <c r="L93" i="1" s="1"/>
  <c r="H412" i="7"/>
  <c r="H411" i="7"/>
  <c r="G436" i="7"/>
  <c r="J485" i="7"/>
  <c r="H611" i="7"/>
  <c r="H1206" i="1"/>
  <c r="H608" i="7" s="1"/>
  <c r="I609" i="7"/>
  <c r="J1207" i="1"/>
  <c r="I1208" i="1"/>
  <c r="I1209" i="1"/>
  <c r="G608" i="7"/>
  <c r="I520" i="1"/>
  <c r="J817" i="8"/>
  <c r="J66" i="8"/>
  <c r="J918" i="8"/>
  <c r="J122" i="8"/>
  <c r="J742" i="8"/>
  <c r="J435" i="8"/>
  <c r="J890" i="8"/>
  <c r="J39" i="8"/>
  <c r="J265" i="8"/>
  <c r="J667" i="8"/>
  <c r="J564" i="8"/>
  <c r="J203" i="1"/>
  <c r="K197" i="1"/>
  <c r="G389" i="7"/>
  <c r="G386" i="7"/>
  <c r="G931" i="1"/>
  <c r="G1033" i="1" s="1"/>
  <c r="G445" i="7" s="1"/>
  <c r="I351" i="7"/>
  <c r="I434" i="7"/>
  <c r="I436" i="7"/>
  <c r="I435" i="7"/>
  <c r="H435" i="7"/>
  <c r="H434" i="7"/>
  <c r="F436" i="7"/>
  <c r="S436" i="7"/>
  <c r="F434" i="7"/>
  <c r="S434" i="7"/>
  <c r="H931" i="1"/>
  <c r="H1033" i="1" s="1"/>
  <c r="H445" i="7" s="1"/>
  <c r="H436" i="7"/>
  <c r="F401" i="7"/>
  <c r="F398" i="7"/>
  <c r="F931" i="1"/>
  <c r="F1033" i="1" s="1"/>
  <c r="F445" i="7" s="1"/>
  <c r="F435" i="7"/>
  <c r="S435" i="7"/>
  <c r="I311" i="7"/>
  <c r="I319" i="7"/>
  <c r="I327" i="7"/>
  <c r="I335" i="7"/>
  <c r="H342" i="7"/>
  <c r="H249" i="1"/>
  <c r="I252" i="1" s="1"/>
  <c r="I253" i="1" s="1"/>
  <c r="G316" i="7"/>
  <c r="F343" i="7"/>
  <c r="H301" i="7"/>
  <c r="I819" i="8"/>
  <c r="I820" i="8" s="1"/>
  <c r="J669" i="8"/>
  <c r="I670" i="8"/>
  <c r="I744" i="8"/>
  <c r="I745" i="8" s="1"/>
  <c r="I892" i="8"/>
  <c r="I893" i="8" s="1"/>
  <c r="H749" i="8"/>
  <c r="G750" i="8"/>
  <c r="H751" i="8" s="1"/>
  <c r="I28" i="7"/>
  <c r="J31" i="1"/>
  <c r="I32" i="1"/>
  <c r="G295" i="7"/>
  <c r="G329" i="7"/>
  <c r="H332" i="7"/>
  <c r="F342" i="7"/>
  <c r="H295" i="7"/>
  <c r="H314" i="7"/>
  <c r="I895" i="8"/>
  <c r="H896" i="8"/>
  <c r="H792" i="7"/>
  <c r="H267" i="1"/>
  <c r="I269" i="1" s="1"/>
  <c r="I270" i="1" s="1"/>
  <c r="G337" i="7"/>
  <c r="G338" i="7"/>
  <c r="H340" i="7"/>
  <c r="I324" i="7"/>
  <c r="I325" i="7"/>
  <c r="J745" i="1"/>
  <c r="J746" i="1"/>
  <c r="J749" i="1"/>
  <c r="J756" i="1"/>
  <c r="J701" i="1"/>
  <c r="G102" i="1"/>
  <c r="G231" i="1"/>
  <c r="G281" i="1"/>
  <c r="G32" i="7" s="1"/>
  <c r="G498" i="1"/>
  <c r="G538" i="1"/>
  <c r="G264" i="7" s="1"/>
  <c r="G549" i="1"/>
  <c r="G278" i="7" s="1"/>
  <c r="G559" i="1"/>
  <c r="G599" i="1"/>
  <c r="G291" i="7" s="1"/>
  <c r="G652" i="1"/>
  <c r="G368" i="7" s="1"/>
  <c r="G677" i="1"/>
  <c r="G405" i="7" s="1"/>
  <c r="G693" i="1"/>
  <c r="G739" i="1"/>
  <c r="G1113" i="1"/>
  <c r="G517" i="7" s="1"/>
  <c r="G853" i="1"/>
  <c r="G943" i="1"/>
  <c r="G1028" i="1"/>
  <c r="G440" i="7" s="1"/>
  <c r="G1178" i="1"/>
  <c r="G582" i="7" s="1"/>
  <c r="G1377" i="1"/>
  <c r="G1759" i="1"/>
  <c r="G992" i="7" s="1"/>
  <c r="G1832" i="1"/>
  <c r="G1905" i="1"/>
  <c r="G2002" i="1"/>
  <c r="G1201" i="1"/>
  <c r="G603" i="7" s="1"/>
  <c r="G1267" i="1"/>
  <c r="G1299" i="1"/>
  <c r="G669" i="7" s="1"/>
  <c r="G1421" i="1"/>
  <c r="G775" i="7" s="1"/>
  <c r="G1561" i="1"/>
  <c r="G919" i="7" s="1"/>
  <c r="G1656" i="1"/>
  <c r="G964" i="7" s="1"/>
  <c r="G1976" i="1"/>
  <c r="G1066" i="7" s="1"/>
  <c r="G2053" i="1"/>
  <c r="G1092" i="7" s="1"/>
  <c r="K144" i="7"/>
  <c r="L164" i="1"/>
  <c r="K163" i="1"/>
  <c r="G161" i="7"/>
  <c r="H395" i="1"/>
  <c r="F354" i="7"/>
  <c r="H305" i="7"/>
  <c r="H337" i="7"/>
  <c r="H338" i="7"/>
  <c r="G345" i="7"/>
  <c r="J929" i="7"/>
  <c r="J453" i="8"/>
  <c r="K1571" i="1"/>
  <c r="K454" i="8" s="1"/>
  <c r="I1069" i="7"/>
  <c r="J1979" i="1"/>
  <c r="I1980" i="1"/>
  <c r="I1070" i="7" s="1"/>
  <c r="G897" i="8"/>
  <c r="F314" i="7"/>
  <c r="F330" i="7"/>
  <c r="I950" i="7"/>
  <c r="I492" i="8"/>
  <c r="J1592" i="1"/>
  <c r="J493" i="8" s="1"/>
  <c r="F355" i="7"/>
  <c r="H29" i="7"/>
  <c r="H75" i="1"/>
  <c r="G289" i="8"/>
  <c r="H822" i="8"/>
  <c r="G823" i="8"/>
  <c r="H824" i="8" s="1"/>
  <c r="G314" i="7"/>
  <c r="F356" i="7"/>
  <c r="H329" i="7"/>
  <c r="H330" i="7"/>
  <c r="G633" i="7"/>
  <c r="I636" i="7"/>
  <c r="I1591" i="1"/>
  <c r="I491" i="8" s="1"/>
  <c r="H804" i="7"/>
  <c r="H1848" i="1"/>
  <c r="H2069" i="1"/>
  <c r="O796" i="7"/>
  <c r="H324" i="7"/>
  <c r="H353" i="7"/>
  <c r="H354" i="7"/>
  <c r="F308" i="7"/>
  <c r="F316" i="7"/>
  <c r="F324" i="7"/>
  <c r="F332" i="7"/>
  <c r="F340" i="7"/>
  <c r="K699" i="1"/>
  <c r="K700" i="1" s="1"/>
  <c r="K742" i="1"/>
  <c r="F783" i="7"/>
  <c r="F280" i="8"/>
  <c r="F1770" i="1"/>
  <c r="F1914" i="1"/>
  <c r="F2070" i="1"/>
  <c r="G635" i="7"/>
  <c r="G1234" i="1"/>
  <c r="J1837" i="1"/>
  <c r="I1838" i="1"/>
  <c r="J1908" i="1"/>
  <c r="I1909" i="1"/>
  <c r="J2042" i="1"/>
  <c r="I2043" i="1"/>
  <c r="I2044" i="1" s="1"/>
  <c r="G73" i="8"/>
  <c r="J162" i="1"/>
  <c r="K167" i="1"/>
  <c r="H321" i="7"/>
  <c r="H322" i="7"/>
  <c r="G898" i="8"/>
  <c r="I674" i="8"/>
  <c r="H675" i="8"/>
  <c r="I676" i="8" s="1"/>
  <c r="F306" i="7"/>
  <c r="F322" i="7"/>
  <c r="F338" i="7"/>
  <c r="F643" i="1" l="1"/>
  <c r="P609" i="1"/>
  <c r="F644" i="1"/>
  <c r="G643" i="1"/>
  <c r="O896" i="1"/>
  <c r="K1070" i="1"/>
  <c r="K1071" i="1" s="1"/>
  <c r="N617" i="1"/>
  <c r="G644" i="1"/>
  <c r="G360" i="7" s="1"/>
  <c r="Q880" i="1"/>
  <c r="H1279" i="1"/>
  <c r="H87" i="8" s="1"/>
  <c r="F606" i="1"/>
  <c r="F607" i="1" s="1"/>
  <c r="Q896" i="1"/>
  <c r="P629" i="1"/>
  <c r="P630" i="1" s="1"/>
  <c r="P896" i="1"/>
  <c r="N896" i="1"/>
  <c r="P911" i="1"/>
  <c r="M617" i="1"/>
  <c r="N832" i="1"/>
  <c r="N831" i="1"/>
  <c r="Q831" i="1"/>
  <c r="P831" i="1"/>
  <c r="G760" i="8"/>
  <c r="G934" i="8"/>
  <c r="P621" i="1"/>
  <c r="P622" i="1" s="1"/>
  <c r="P617" i="1"/>
  <c r="H501" i="8"/>
  <c r="H500" i="8" s="1"/>
  <c r="F609" i="1"/>
  <c r="Q881" i="1"/>
  <c r="P910" i="1"/>
  <c r="Q661" i="1"/>
  <c r="Q658" i="1" s="1"/>
  <c r="P658" i="1"/>
  <c r="N910" i="1"/>
  <c r="O831" i="1"/>
  <c r="G87" i="8"/>
  <c r="G86" i="8" s="1"/>
  <c r="N911" i="1"/>
  <c r="N613" i="1"/>
  <c r="N614" i="1" s="1"/>
  <c r="N609" i="1"/>
  <c r="G759" i="8"/>
  <c r="O880" i="1"/>
  <c r="G304" i="8"/>
  <c r="G303" i="8" s="1"/>
  <c r="L92" i="8"/>
  <c r="L304" i="8"/>
  <c r="L303" i="8" s="1"/>
  <c r="L314" i="8"/>
  <c r="L313" i="8" s="1"/>
  <c r="L51" i="8"/>
  <c r="L50" i="8" s="1"/>
  <c r="L158" i="8"/>
  <c r="L157" i="8" s="1"/>
  <c r="L113" i="8"/>
  <c r="L112" i="8" s="1"/>
  <c r="L312" i="8"/>
  <c r="L311" i="8" s="1"/>
  <c r="L284" i="8"/>
  <c r="L283" i="8" s="1"/>
  <c r="L156" i="8"/>
  <c r="L155" i="8" s="1"/>
  <c r="L94" i="8"/>
  <c r="L93" i="8" s="1"/>
  <c r="L164" i="8"/>
  <c r="L163" i="8" s="1"/>
  <c r="L96" i="8"/>
  <c r="L95" i="8" s="1"/>
  <c r="P880" i="1"/>
  <c r="J898" i="1"/>
  <c r="K897" i="1" s="1"/>
  <c r="K898" i="1" s="1"/>
  <c r="L897" i="1" s="1"/>
  <c r="L898" i="1" s="1"/>
  <c r="M897" i="1" s="1"/>
  <c r="N880" i="1"/>
  <c r="Q895" i="1"/>
  <c r="Q911" i="1"/>
  <c r="G907" i="8"/>
  <c r="H491" i="8"/>
  <c r="H490" i="8" s="1"/>
  <c r="J834" i="1"/>
  <c r="K833" i="1" s="1"/>
  <c r="P832" i="1"/>
  <c r="H74" i="8"/>
  <c r="H73" i="8" s="1"/>
  <c r="N666" i="1"/>
  <c r="O669" i="1"/>
  <c r="Q832" i="1"/>
  <c r="O881" i="1"/>
  <c r="P665" i="1"/>
  <c r="O662" i="1"/>
  <c r="P895" i="1"/>
  <c r="Q910" i="1"/>
  <c r="N895" i="1"/>
  <c r="B183" i="7"/>
  <c r="P1599" i="1"/>
  <c r="Q1599" i="1"/>
  <c r="O1599" i="1"/>
  <c r="N1599" i="1"/>
  <c r="P881" i="1"/>
  <c r="O911" i="1"/>
  <c r="O832" i="1"/>
  <c r="O910" i="1"/>
  <c r="Q673" i="1"/>
  <c r="Q670" i="1" s="1"/>
  <c r="P670" i="1"/>
  <c r="I927" i="1"/>
  <c r="I928" i="1" s="1"/>
  <c r="H290" i="8"/>
  <c r="H289" i="8" s="1"/>
  <c r="N881" i="1"/>
  <c r="O609" i="1"/>
  <c r="O613" i="1"/>
  <c r="O614" i="1" s="1"/>
  <c r="O895" i="1"/>
  <c r="K993" i="1"/>
  <c r="K994" i="1" s="1"/>
  <c r="K998" i="1"/>
  <c r="K999" i="1" s="1"/>
  <c r="K974" i="1"/>
  <c r="K975" i="1" s="1"/>
  <c r="K988" i="1"/>
  <c r="K989" i="1" s="1"/>
  <c r="H613" i="1"/>
  <c r="H614" i="1" s="1"/>
  <c r="S827" i="1"/>
  <c r="K955" i="1"/>
  <c r="K956" i="1" s="1"/>
  <c r="K969" i="1"/>
  <c r="K970" i="1" s="1"/>
  <c r="K625" i="1"/>
  <c r="I609" i="1"/>
  <c r="F613" i="1"/>
  <c r="F616" i="1" s="1"/>
  <c r="F612" i="1" s="1"/>
  <c r="J895" i="1"/>
  <c r="F148" i="1"/>
  <c r="K911" i="1"/>
  <c r="J881" i="1"/>
  <c r="L910" i="1"/>
  <c r="F880" i="1"/>
  <c r="M880" i="1"/>
  <c r="S826" i="1"/>
  <c r="L621" i="1"/>
  <c r="L622" i="1" s="1"/>
  <c r="I883" i="1"/>
  <c r="J882" i="1" s="1"/>
  <c r="J770" i="1"/>
  <c r="J771" i="1"/>
  <c r="J787" i="1"/>
  <c r="J786" i="1"/>
  <c r="J802" i="1"/>
  <c r="J803" i="1"/>
  <c r="J913" i="1"/>
  <c r="K912" i="1" s="1"/>
  <c r="K913" i="1" s="1"/>
  <c r="L912" i="1" s="1"/>
  <c r="G625" i="1"/>
  <c r="G629" i="1"/>
  <c r="G630" i="1" s="1"/>
  <c r="I625" i="1"/>
  <c r="I629" i="1"/>
  <c r="I630" i="1" s="1"/>
  <c r="K718" i="1"/>
  <c r="K719" i="1" s="1"/>
  <c r="K583" i="1"/>
  <c r="K584" i="1" s="1"/>
  <c r="K904" i="1"/>
  <c r="K905" i="1" s="1"/>
  <c r="L895" i="1"/>
  <c r="I911" i="1"/>
  <c r="M910" i="1"/>
  <c r="M911" i="1"/>
  <c r="S627" i="1"/>
  <c r="F630" i="1"/>
  <c r="F631" i="1" s="1"/>
  <c r="L896" i="1"/>
  <c r="F799" i="1"/>
  <c r="G800" i="1" s="1"/>
  <c r="S795" i="1"/>
  <c r="F632" i="1"/>
  <c r="F628" i="1" s="1"/>
  <c r="H895" i="1"/>
  <c r="M895" i="1"/>
  <c r="S796" i="1"/>
  <c r="S909" i="1"/>
  <c r="G911" i="1"/>
  <c r="I910" i="1"/>
  <c r="F911" i="1"/>
  <c r="G910" i="1"/>
  <c r="L911" i="1"/>
  <c r="J625" i="1"/>
  <c r="J629" i="1"/>
  <c r="J630" i="1" s="1"/>
  <c r="M629" i="1"/>
  <c r="M630" i="1" s="1"/>
  <c r="M625" i="1"/>
  <c r="L629" i="1"/>
  <c r="L630" i="1" s="1"/>
  <c r="L625" i="1"/>
  <c r="H911" i="1"/>
  <c r="S626" i="1"/>
  <c r="J911" i="1"/>
  <c r="H910" i="1"/>
  <c r="J910" i="1"/>
  <c r="K910" i="1"/>
  <c r="F783" i="1"/>
  <c r="Q784" i="1" s="1"/>
  <c r="S779" i="1"/>
  <c r="S619" i="1"/>
  <c r="S894" i="1"/>
  <c r="F896" i="1"/>
  <c r="F895" i="1"/>
  <c r="K896" i="1"/>
  <c r="G895" i="1"/>
  <c r="H896" i="1"/>
  <c r="G896" i="1"/>
  <c r="F617" i="1"/>
  <c r="S618" i="1"/>
  <c r="F621" i="1"/>
  <c r="F646" i="1" s="1"/>
  <c r="J896" i="1"/>
  <c r="M896" i="1"/>
  <c r="I895" i="1"/>
  <c r="S780" i="1"/>
  <c r="F107" i="1"/>
  <c r="K576" i="1"/>
  <c r="K577" i="1" s="1"/>
  <c r="K711" i="1"/>
  <c r="K712" i="1" s="1"/>
  <c r="K889" i="1"/>
  <c r="K890" i="1" s="1"/>
  <c r="K609" i="1"/>
  <c r="G617" i="1"/>
  <c r="G621" i="1"/>
  <c r="G622" i="1" s="1"/>
  <c r="J617" i="1"/>
  <c r="J621" i="1"/>
  <c r="J622" i="1" s="1"/>
  <c r="K895" i="1"/>
  <c r="I1450" i="1"/>
  <c r="S879" i="1"/>
  <c r="G881" i="1"/>
  <c r="F881" i="1"/>
  <c r="H949" i="7"/>
  <c r="F767" i="1"/>
  <c r="M768" i="1" s="1"/>
  <c r="S763" i="1"/>
  <c r="F608" i="1"/>
  <c r="M613" i="1"/>
  <c r="M614" i="1" s="1"/>
  <c r="M609" i="1"/>
  <c r="S764" i="1"/>
  <c r="L880" i="1"/>
  <c r="G880" i="1"/>
  <c r="I881" i="1"/>
  <c r="G609" i="1"/>
  <c r="G613" i="1"/>
  <c r="K881" i="1"/>
  <c r="J613" i="1"/>
  <c r="J614" i="1" s="1"/>
  <c r="J609" i="1"/>
  <c r="K704" i="1"/>
  <c r="K705" i="1" s="1"/>
  <c r="K569" i="1"/>
  <c r="K570" i="1" s="1"/>
  <c r="K874" i="1"/>
  <c r="K875" i="1" s="1"/>
  <c r="S611" i="1"/>
  <c r="K880" i="1"/>
  <c r="G148" i="1"/>
  <c r="G147" i="1" s="1"/>
  <c r="G1052" i="1" s="1"/>
  <c r="M881" i="1"/>
  <c r="H881" i="1"/>
  <c r="I880" i="1"/>
  <c r="S610" i="1"/>
  <c r="J880" i="1"/>
  <c r="H880" i="1"/>
  <c r="H793" i="7"/>
  <c r="I1272" i="1"/>
  <c r="I1435" i="1"/>
  <c r="I290" i="8" s="1"/>
  <c r="H831" i="1"/>
  <c r="F831" i="1"/>
  <c r="I831" i="1"/>
  <c r="K831" i="1"/>
  <c r="M832" i="1"/>
  <c r="F832" i="1"/>
  <c r="I832" i="1"/>
  <c r="L80" i="1"/>
  <c r="K731" i="1"/>
  <c r="K732" i="1" s="1"/>
  <c r="S830" i="1"/>
  <c r="J831" i="1"/>
  <c r="M831" i="1"/>
  <c r="H2066" i="1"/>
  <c r="H1105" i="7" s="1"/>
  <c r="H955" i="7"/>
  <c r="G832" i="1"/>
  <c r="J832" i="1"/>
  <c r="H1991" i="1"/>
  <c r="H1081" i="7" s="1"/>
  <c r="F297" i="7"/>
  <c r="K832" i="1"/>
  <c r="L831" i="1"/>
  <c r="L832" i="1"/>
  <c r="H1916" i="1"/>
  <c r="H800" i="7"/>
  <c r="J1226" i="1"/>
  <c r="J629" i="7" s="1"/>
  <c r="G831" i="1"/>
  <c r="H832" i="1"/>
  <c r="H2068" i="1"/>
  <c r="H1107" i="7" s="1"/>
  <c r="H1847" i="1"/>
  <c r="H803" i="7"/>
  <c r="G606" i="1"/>
  <c r="I1440" i="1"/>
  <c r="F293" i="7"/>
  <c r="I252" i="7"/>
  <c r="I630" i="7"/>
  <c r="I1597" i="1"/>
  <c r="I1438" i="1"/>
  <c r="I1446" i="1"/>
  <c r="H790" i="7"/>
  <c r="I1273" i="1"/>
  <c r="I584" i="7"/>
  <c r="J463" i="1"/>
  <c r="J1273" i="1" s="1"/>
  <c r="J76" i="8" s="1"/>
  <c r="I202" i="7"/>
  <c r="J531" i="1"/>
  <c r="J1180" i="1"/>
  <c r="J475" i="1"/>
  <c r="J1439" i="1" s="1"/>
  <c r="J298" i="8" s="1"/>
  <c r="J2034" i="1"/>
  <c r="J2030" i="1"/>
  <c r="J428" i="1"/>
  <c r="J194" i="7" s="1"/>
  <c r="J436" i="1"/>
  <c r="J1271" i="1" s="1"/>
  <c r="J72" i="8" s="1"/>
  <c r="K88" i="1"/>
  <c r="K486" i="1" s="1"/>
  <c r="J486" i="1"/>
  <c r="J252" i="7" s="1"/>
  <c r="J1233" i="1"/>
  <c r="J1591" i="1" s="1"/>
  <c r="J491" i="8" s="1"/>
  <c r="J1227" i="1"/>
  <c r="J630" i="7" s="1"/>
  <c r="J2035" i="1"/>
  <c r="J2028" i="1"/>
  <c r="J2033" i="1"/>
  <c r="K697" i="1"/>
  <c r="K698" i="1" s="1"/>
  <c r="K562" i="1"/>
  <c r="K563" i="1" s="1"/>
  <c r="H794" i="7"/>
  <c r="K1082" i="1"/>
  <c r="K486" i="7" s="1"/>
  <c r="K81" i="1"/>
  <c r="L82" i="1" s="1"/>
  <c r="I1436" i="1"/>
  <c r="I922" i="1"/>
  <c r="I933" i="1" s="1"/>
  <c r="I1285" i="1"/>
  <c r="I1449" i="1"/>
  <c r="H789" i="7"/>
  <c r="K1006" i="1"/>
  <c r="J819" i="1"/>
  <c r="J818" i="1"/>
  <c r="I932" i="1"/>
  <c r="K918" i="1"/>
  <c r="G926" i="1"/>
  <c r="F926" i="1"/>
  <c r="H594" i="1"/>
  <c r="H635" i="1" s="1"/>
  <c r="I929" i="1"/>
  <c r="I940" i="1" s="1"/>
  <c r="I923" i="1"/>
  <c r="S811" i="1"/>
  <c r="F815" i="1"/>
  <c r="F817" i="1" s="1"/>
  <c r="H925" i="1"/>
  <c r="K950" i="1"/>
  <c r="K951" i="1" s="1"/>
  <c r="K919" i="1"/>
  <c r="K920" i="1" s="1"/>
  <c r="L917" i="1" s="1"/>
  <c r="K590" i="1"/>
  <c r="K591" i="1" s="1"/>
  <c r="K725" i="1"/>
  <c r="K726" i="1" s="1"/>
  <c r="I593" i="1"/>
  <c r="I634" i="1" s="1"/>
  <c r="S812" i="1"/>
  <c r="K589" i="1"/>
  <c r="J592" i="1"/>
  <c r="F925" i="1"/>
  <c r="G633" i="1"/>
  <c r="G637" i="1"/>
  <c r="J921" i="1"/>
  <c r="J932" i="1" s="1"/>
  <c r="I129" i="7"/>
  <c r="H634" i="1"/>
  <c r="H643" i="1" s="1"/>
  <c r="F638" i="1"/>
  <c r="G925" i="1"/>
  <c r="K1066" i="1"/>
  <c r="K474" i="7" s="1"/>
  <c r="K1055" i="1"/>
  <c r="K463" i="7" s="1"/>
  <c r="K1038" i="1"/>
  <c r="K450" i="7" s="1"/>
  <c r="K1204" i="1"/>
  <c r="L1204" i="1" s="1"/>
  <c r="K983" i="1"/>
  <c r="K984" i="1" s="1"/>
  <c r="K1007" i="1"/>
  <c r="K1008" i="1" s="1"/>
  <c r="K964" i="1"/>
  <c r="K965" i="1" s="1"/>
  <c r="L963" i="1" s="1"/>
  <c r="K859" i="1"/>
  <c r="K860" i="1" s="1"/>
  <c r="L857" i="1" s="1"/>
  <c r="L858" i="1" s="1"/>
  <c r="J1056" i="1"/>
  <c r="J464" i="7" s="1"/>
  <c r="J1765" i="1"/>
  <c r="J998" i="7" s="1"/>
  <c r="J1839" i="1"/>
  <c r="F1096" i="1"/>
  <c r="F500" i="7" s="1"/>
  <c r="H1982" i="1"/>
  <c r="H1072" i="7" s="1"/>
  <c r="J450" i="7"/>
  <c r="J931" i="1"/>
  <c r="J1033" i="1" s="1"/>
  <c r="J445" i="7" s="1"/>
  <c r="K1764" i="1"/>
  <c r="K997" i="7" s="1"/>
  <c r="F756" i="1"/>
  <c r="F749" i="1"/>
  <c r="F746" i="1"/>
  <c r="J1910" i="1"/>
  <c r="J869" i="1"/>
  <c r="J862" i="1"/>
  <c r="G1096" i="1"/>
  <c r="G500" i="7" s="1"/>
  <c r="J1083" i="1"/>
  <c r="J487" i="7" s="1"/>
  <c r="H1981" i="1"/>
  <c r="H1071" i="7" s="1"/>
  <c r="J1067" i="1"/>
  <c r="J475" i="7" s="1"/>
  <c r="K861" i="1"/>
  <c r="M450" i="1"/>
  <c r="M216" i="7" s="1"/>
  <c r="J506" i="1"/>
  <c r="K505" i="1" s="1"/>
  <c r="K515" i="1" s="1"/>
  <c r="I527" i="1"/>
  <c r="I1437" i="1" s="1"/>
  <c r="I294" i="8" s="1"/>
  <c r="H999" i="7"/>
  <c r="I1766" i="1"/>
  <c r="I602" i="1"/>
  <c r="K561" i="1"/>
  <c r="J564" i="1"/>
  <c r="J565" i="1" s="1"/>
  <c r="J566" i="1" s="1"/>
  <c r="I462" i="7"/>
  <c r="I1057" i="1"/>
  <c r="I465" i="7" s="1"/>
  <c r="J1054" i="1"/>
  <c r="H476" i="7"/>
  <c r="H1107" i="1"/>
  <c r="H511" i="7" s="1"/>
  <c r="I566" i="1"/>
  <c r="I603" i="1" s="1"/>
  <c r="J1037" i="1"/>
  <c r="I449" i="7"/>
  <c r="I1040" i="1"/>
  <c r="I452" i="7" s="1"/>
  <c r="I1105" i="1"/>
  <c r="I1068" i="1"/>
  <c r="I473" i="7"/>
  <c r="J1065" i="1"/>
  <c r="M125" i="1"/>
  <c r="G608" i="1"/>
  <c r="G297" i="7"/>
  <c r="H303" i="8"/>
  <c r="G796" i="7"/>
  <c r="L144" i="1"/>
  <c r="L143" i="1" s="1"/>
  <c r="I748" i="1"/>
  <c r="I507" i="1"/>
  <c r="I516" i="1"/>
  <c r="I531" i="1" s="1"/>
  <c r="I796" i="7"/>
  <c r="I303" i="8"/>
  <c r="Q957" i="7"/>
  <c r="J303" i="8"/>
  <c r="K303" i="8"/>
  <c r="H796" i="7"/>
  <c r="K796" i="7"/>
  <c r="J796" i="7"/>
  <c r="G1289" i="1"/>
  <c r="G104" i="8" s="1"/>
  <c r="F1595" i="1"/>
  <c r="F953" i="7" s="1"/>
  <c r="G1384" i="1"/>
  <c r="G1319" i="1" s="1"/>
  <c r="G160" i="8" s="1"/>
  <c r="S117" i="1"/>
  <c r="F304" i="8"/>
  <c r="F303" i="8" s="1"/>
  <c r="G754" i="1"/>
  <c r="S1442" i="1"/>
  <c r="S796" i="7" s="1"/>
  <c r="H125" i="1"/>
  <c r="F223" i="7"/>
  <c r="H297" i="7"/>
  <c r="H293" i="7"/>
  <c r="I71" i="8"/>
  <c r="I109" i="8"/>
  <c r="I81" i="8"/>
  <c r="H608" i="1"/>
  <c r="H606" i="1"/>
  <c r="G631" i="7"/>
  <c r="Q223" i="7"/>
  <c r="F1437" i="1"/>
  <c r="F294" i="8" s="1"/>
  <c r="I350" i="7"/>
  <c r="I333" i="7"/>
  <c r="I1221" i="1"/>
  <c r="H1232" i="1"/>
  <c r="H1234" i="1" s="1"/>
  <c r="H627" i="7"/>
  <c r="G321" i="7"/>
  <c r="H1230" i="1"/>
  <c r="H633" i="7" s="1"/>
  <c r="J1222" i="1"/>
  <c r="J624" i="7" s="1"/>
  <c r="K1223" i="1"/>
  <c r="K625" i="7" s="1"/>
  <c r="F933" i="1"/>
  <c r="F938" i="1"/>
  <c r="H306" i="7"/>
  <c r="H308" i="7"/>
  <c r="I303" i="7"/>
  <c r="I301" i="7"/>
  <c r="G301" i="7"/>
  <c r="I223" i="7"/>
  <c r="I450" i="1"/>
  <c r="I302" i="7"/>
  <c r="I624" i="7"/>
  <c r="I1225" i="1"/>
  <c r="I627" i="7" s="1"/>
  <c r="G353" i="7"/>
  <c r="I340" i="7"/>
  <c r="I309" i="7"/>
  <c r="S493" i="1"/>
  <c r="S259" i="7" s="1"/>
  <c r="G755" i="1"/>
  <c r="H754" i="1" s="1"/>
  <c r="J125" i="1"/>
  <c r="G322" i="7"/>
  <c r="I837" i="1"/>
  <c r="I1032" i="1" s="1"/>
  <c r="I444" i="7" s="1"/>
  <c r="H316" i="7"/>
  <c r="G313" i="7"/>
  <c r="I318" i="7"/>
  <c r="G305" i="7"/>
  <c r="H1437" i="1"/>
  <c r="H294" i="8" s="1"/>
  <c r="G308" i="7"/>
  <c r="H343" i="7"/>
  <c r="G341" i="7"/>
  <c r="I259" i="7"/>
  <c r="H898" i="8"/>
  <c r="G331" i="7"/>
  <c r="G354" i="7"/>
  <c r="I356" i="7"/>
  <c r="P223" i="7"/>
  <c r="J223" i="7"/>
  <c r="J450" i="1"/>
  <c r="H223" i="7"/>
  <c r="H450" i="1"/>
  <c r="G867" i="1"/>
  <c r="H1228" i="1"/>
  <c r="H631" i="7" s="1"/>
  <c r="I316" i="7"/>
  <c r="K701" i="1"/>
  <c r="S457" i="1"/>
  <c r="S223" i="7" s="1"/>
  <c r="G223" i="7"/>
  <c r="G450" i="1"/>
  <c r="G1437" i="1"/>
  <c r="G294" i="8" s="1"/>
  <c r="K450" i="1"/>
  <c r="K223" i="7"/>
  <c r="G236" i="7"/>
  <c r="S470" i="1"/>
  <c r="S236" i="7" s="1"/>
  <c r="G125" i="1"/>
  <c r="B190" i="7"/>
  <c r="K1599" i="1"/>
  <c r="K505" i="8" s="1"/>
  <c r="N957" i="7"/>
  <c r="F1599" i="1"/>
  <c r="O957" i="7"/>
  <c r="G1599" i="1"/>
  <c r="G505" i="8" s="1"/>
  <c r="J1599" i="1"/>
  <c r="J505" i="8" s="1"/>
  <c r="I1599" i="1"/>
  <c r="I505" i="8" s="1"/>
  <c r="B425" i="1"/>
  <c r="L223" i="7"/>
  <c r="L450" i="1"/>
  <c r="O223" i="7"/>
  <c r="H109" i="7"/>
  <c r="I358" i="1"/>
  <c r="L210" i="7"/>
  <c r="L125" i="1"/>
  <c r="M1599" i="1"/>
  <c r="M957" i="7" s="1"/>
  <c r="H1599" i="1"/>
  <c r="H505" i="8" s="1"/>
  <c r="L1599" i="1"/>
  <c r="L957" i="7" s="1"/>
  <c r="K236" i="7"/>
  <c r="O236" i="7"/>
  <c r="G933" i="1"/>
  <c r="G323" i="7"/>
  <c r="G745" i="1"/>
  <c r="G749" i="1"/>
  <c r="G746" i="1"/>
  <c r="G756" i="1"/>
  <c r="G869" i="1"/>
  <c r="G863" i="1"/>
  <c r="G864" i="1" s="1"/>
  <c r="G86" i="7"/>
  <c r="H335" i="1"/>
  <c r="H385" i="7"/>
  <c r="H382" i="7"/>
  <c r="J290" i="1"/>
  <c r="I41" i="7"/>
  <c r="G339" i="7"/>
  <c r="I328" i="7"/>
  <c r="G293" i="7"/>
  <c r="G932" i="1"/>
  <c r="J129" i="7"/>
  <c r="K378" i="1"/>
  <c r="H389" i="7"/>
  <c r="H386" i="7"/>
  <c r="L197" i="1"/>
  <c r="K203" i="1"/>
  <c r="I517" i="1"/>
  <c r="I532" i="1" s="1"/>
  <c r="I534" i="1"/>
  <c r="I610" i="7"/>
  <c r="K485" i="7"/>
  <c r="K26" i="7"/>
  <c r="L29" i="1"/>
  <c r="K30" i="1"/>
  <c r="K27" i="7" s="1"/>
  <c r="K507" i="1"/>
  <c r="K508" i="1"/>
  <c r="K516" i="1"/>
  <c r="K518" i="1"/>
  <c r="K1779" i="1"/>
  <c r="K1012" i="7" s="1"/>
  <c r="K1852" i="1"/>
  <c r="M33" i="8"/>
  <c r="L34" i="8"/>
  <c r="L689" i="8"/>
  <c r="L764" i="8"/>
  <c r="K39" i="8"/>
  <c r="K66" i="8"/>
  <c r="K742" i="8"/>
  <c r="K265" i="8"/>
  <c r="K564" i="8"/>
  <c r="K817" i="8"/>
  <c r="K890" i="8"/>
  <c r="K122" i="8"/>
  <c r="K435" i="8"/>
  <c r="K667" i="8"/>
  <c r="K918" i="8"/>
  <c r="G837" i="1"/>
  <c r="G1032" i="1" s="1"/>
  <c r="G444" i="7" s="1"/>
  <c r="F864" i="1"/>
  <c r="F865" i="1" s="1"/>
  <c r="J617" i="7"/>
  <c r="K1215" i="1"/>
  <c r="I261" i="1"/>
  <c r="I262" i="1" s="1"/>
  <c r="I258" i="1" s="1"/>
  <c r="J831" i="8"/>
  <c r="J758" i="8"/>
  <c r="I611" i="7"/>
  <c r="I1206" i="1"/>
  <c r="I1228" i="1" s="1"/>
  <c r="J609" i="7"/>
  <c r="K1207" i="1"/>
  <c r="J1208" i="1"/>
  <c r="J610" i="7" s="1"/>
  <c r="J1209" i="1"/>
  <c r="M91" i="1"/>
  <c r="N91" i="1" s="1"/>
  <c r="L92" i="1"/>
  <c r="M93" i="1" s="1"/>
  <c r="H381" i="7"/>
  <c r="H378" i="7"/>
  <c r="G377" i="7"/>
  <c r="G374" i="7"/>
  <c r="H747" i="1"/>
  <c r="H751" i="1" s="1"/>
  <c r="H748" i="1"/>
  <c r="H373" i="7"/>
  <c r="H654" i="1"/>
  <c r="H370" i="7" s="1"/>
  <c r="I657" i="1"/>
  <c r="K758" i="8"/>
  <c r="K831" i="8"/>
  <c r="K95" i="8"/>
  <c r="J393" i="7"/>
  <c r="J390" i="7"/>
  <c r="M35" i="8"/>
  <c r="N35" i="8" s="1"/>
  <c r="L36" i="8"/>
  <c r="L273" i="1"/>
  <c r="K274" i="1"/>
  <c r="I397" i="7"/>
  <c r="I394" i="7"/>
  <c r="J260" i="1"/>
  <c r="K506" i="1"/>
  <c r="J324" i="7"/>
  <c r="J310" i="7"/>
  <c r="H897" i="8"/>
  <c r="G401" i="7"/>
  <c r="G398" i="7"/>
  <c r="F932" i="1"/>
  <c r="H940" i="1"/>
  <c r="H932" i="1"/>
  <c r="F837" i="1"/>
  <c r="F1032" i="1" s="1"/>
  <c r="F444" i="7" s="1"/>
  <c r="H837" i="1"/>
  <c r="H1032" i="1" s="1"/>
  <c r="H444" i="7" s="1"/>
  <c r="I332" i="7"/>
  <c r="G315" i="7"/>
  <c r="I336" i="7"/>
  <c r="H341" i="7"/>
  <c r="J240" i="1"/>
  <c r="K243" i="1" s="1"/>
  <c r="K244" i="1" s="1"/>
  <c r="I249" i="1"/>
  <c r="J252" i="1" s="1"/>
  <c r="J253" i="1" s="1"/>
  <c r="F689" i="7"/>
  <c r="F160" i="8"/>
  <c r="J319" i="7"/>
  <c r="H315" i="8"/>
  <c r="H291" i="8"/>
  <c r="K2042" i="1"/>
  <c r="J2043" i="1"/>
  <c r="J2044" i="1" s="1"/>
  <c r="K1908" i="1"/>
  <c r="J1909" i="1"/>
  <c r="K1837" i="1"/>
  <c r="J1838" i="1"/>
  <c r="F1109" i="7"/>
  <c r="F1003" i="7"/>
  <c r="K744" i="1"/>
  <c r="L699" i="1"/>
  <c r="L700" i="1" s="1"/>
  <c r="L742" i="1"/>
  <c r="L744" i="1" s="1"/>
  <c r="F336" i="7"/>
  <c r="F320" i="7"/>
  <c r="F304" i="7"/>
  <c r="H75" i="8"/>
  <c r="I949" i="7"/>
  <c r="I490" i="8"/>
  <c r="I89" i="8"/>
  <c r="G783" i="7"/>
  <c r="G279" i="8"/>
  <c r="G1770" i="1"/>
  <c r="G1003" i="7" s="1"/>
  <c r="G1914" i="1"/>
  <c r="G2070" i="1"/>
  <c r="G1109" i="7" s="1"/>
  <c r="F352" i="7"/>
  <c r="H823" i="8"/>
  <c r="I824" i="8" s="1"/>
  <c r="I822" i="8"/>
  <c r="J950" i="7"/>
  <c r="J492" i="8"/>
  <c r="K1592" i="1"/>
  <c r="K493" i="8" s="1"/>
  <c r="J326" i="7"/>
  <c r="J332" i="7"/>
  <c r="H97" i="8"/>
  <c r="H297" i="8"/>
  <c r="H299" i="8"/>
  <c r="J1069" i="7"/>
  <c r="K1979" i="1"/>
  <c r="J1980" i="1"/>
  <c r="J1070" i="7" s="1"/>
  <c r="K929" i="7"/>
  <c r="K453" i="8"/>
  <c r="L1571" i="1"/>
  <c r="L454" i="8" s="1"/>
  <c r="J350" i="7"/>
  <c r="J356" i="7"/>
  <c r="H161" i="7"/>
  <c r="I395" i="1"/>
  <c r="K162" i="1"/>
  <c r="L167" i="1"/>
  <c r="L144" i="7"/>
  <c r="F103" i="8"/>
  <c r="J747" i="1"/>
  <c r="J748" i="1"/>
  <c r="G340" i="7"/>
  <c r="H336" i="7"/>
  <c r="G336" i="7"/>
  <c r="H339" i="7"/>
  <c r="G332" i="7"/>
  <c r="G328" i="7"/>
  <c r="H328" i="7"/>
  <c r="H331" i="7"/>
  <c r="G324" i="7"/>
  <c r="H320" i="7"/>
  <c r="G320" i="7"/>
  <c r="H323" i="7"/>
  <c r="I320" i="7"/>
  <c r="I314" i="7"/>
  <c r="I267" i="1"/>
  <c r="J269" i="1" s="1"/>
  <c r="J270" i="1" s="1"/>
  <c r="I353" i="7"/>
  <c r="F341" i="7"/>
  <c r="J28" i="7"/>
  <c r="K31" i="1"/>
  <c r="J32" i="1"/>
  <c r="H312" i="7"/>
  <c r="J335" i="7"/>
  <c r="F216" i="7"/>
  <c r="F1275" i="1"/>
  <c r="H77" i="8"/>
  <c r="H81" i="8"/>
  <c r="J674" i="8"/>
  <c r="I675" i="8"/>
  <c r="J676" i="8" s="1"/>
  <c r="G637" i="7"/>
  <c r="G1595" i="1"/>
  <c r="G498" i="8" s="1"/>
  <c r="F279" i="8"/>
  <c r="F328" i="7"/>
  <c r="F312" i="7"/>
  <c r="H1108" i="7"/>
  <c r="H317" i="8"/>
  <c r="H89" i="8"/>
  <c r="H309" i="8"/>
  <c r="H102" i="1"/>
  <c r="H231" i="1"/>
  <c r="H281" i="1"/>
  <c r="H32" i="7" s="1"/>
  <c r="H498" i="1"/>
  <c r="H538" i="1"/>
  <c r="H264" i="7" s="1"/>
  <c r="H549" i="1"/>
  <c r="H278" i="7" s="1"/>
  <c r="H559" i="1"/>
  <c r="H599" i="1"/>
  <c r="H291" i="7" s="1"/>
  <c r="H652" i="1"/>
  <c r="H368" i="7" s="1"/>
  <c r="H677" i="1"/>
  <c r="H405" i="7" s="1"/>
  <c r="H693" i="1"/>
  <c r="H739" i="1"/>
  <c r="H853" i="1"/>
  <c r="H943" i="1"/>
  <c r="H1028" i="1"/>
  <c r="H440" i="7" s="1"/>
  <c r="H1113" i="1"/>
  <c r="H517" i="7" s="1"/>
  <c r="H1201" i="1"/>
  <c r="H603" i="7" s="1"/>
  <c r="H1267" i="1"/>
  <c r="H1299" i="1"/>
  <c r="H669" i="7" s="1"/>
  <c r="H1421" i="1"/>
  <c r="H775" i="7" s="1"/>
  <c r="H1561" i="1"/>
  <c r="H919" i="7" s="1"/>
  <c r="H1656" i="1"/>
  <c r="H964" i="7" s="1"/>
  <c r="H1976" i="1"/>
  <c r="H1066" i="7" s="1"/>
  <c r="H2053" i="1"/>
  <c r="H1092" i="7" s="1"/>
  <c r="H1178" i="1"/>
  <c r="H582" i="7" s="1"/>
  <c r="H1377" i="1"/>
  <c r="H1759" i="1"/>
  <c r="H992" i="7" s="1"/>
  <c r="H1832" i="1"/>
  <c r="H1905" i="1"/>
  <c r="H2002" i="1"/>
  <c r="H71" i="8"/>
  <c r="I622" i="7"/>
  <c r="L163" i="1"/>
  <c r="M164" i="1"/>
  <c r="N164" i="1" s="1"/>
  <c r="I751" i="1"/>
  <c r="I337" i="7"/>
  <c r="I330" i="7"/>
  <c r="I321" i="7"/>
  <c r="H315" i="7"/>
  <c r="G306" i="7"/>
  <c r="H109" i="8"/>
  <c r="H295" i="8"/>
  <c r="J837" i="1"/>
  <c r="J895" i="8"/>
  <c r="I896" i="8"/>
  <c r="I352" i="7"/>
  <c r="F345" i="7"/>
  <c r="J522" i="1"/>
  <c r="J527" i="1" s="1"/>
  <c r="J519" i="1"/>
  <c r="J533" i="1" s="1"/>
  <c r="J521" i="1"/>
  <c r="J520" i="1"/>
  <c r="I29" i="7"/>
  <c r="I75" i="1"/>
  <c r="I749" i="8"/>
  <c r="H750" i="8"/>
  <c r="I751" i="8" s="1"/>
  <c r="K669" i="8"/>
  <c r="J670" i="8"/>
  <c r="J744" i="8"/>
  <c r="J745" i="8" s="1"/>
  <c r="J892" i="8"/>
  <c r="J893" i="8" s="1"/>
  <c r="J819" i="8"/>
  <c r="J820" i="8" s="1"/>
  <c r="H345" i="7"/>
  <c r="I838" i="1"/>
  <c r="L1070" i="1" l="1"/>
  <c r="L1071" i="1" s="1"/>
  <c r="L1042" i="1"/>
  <c r="L1043" i="1" s="1"/>
  <c r="F298" i="7"/>
  <c r="G646" i="1"/>
  <c r="G642" i="1"/>
  <c r="F642" i="1"/>
  <c r="L998" i="1"/>
  <c r="L999" i="1" s="1"/>
  <c r="P631" i="1"/>
  <c r="I643" i="1"/>
  <c r="O624" i="1"/>
  <c r="O631" i="1"/>
  <c r="G607" i="1"/>
  <c r="G299" i="7" s="1"/>
  <c r="F300" i="7"/>
  <c r="Q631" i="1"/>
  <c r="P616" i="1"/>
  <c r="K834" i="1"/>
  <c r="L833" i="1" s="1"/>
  <c r="Q624" i="1"/>
  <c r="O816" i="1"/>
  <c r="O817" i="1"/>
  <c r="P624" i="1"/>
  <c r="I98" i="8"/>
  <c r="I97" i="8" s="1"/>
  <c r="P801" i="1"/>
  <c r="O91" i="1"/>
  <c r="N92" i="1"/>
  <c r="I292" i="8"/>
  <c r="I291" i="8" s="1"/>
  <c r="I76" i="8"/>
  <c r="I75" i="8" s="1"/>
  <c r="O800" i="1"/>
  <c r="L505" i="8"/>
  <c r="L504" i="8" s="1"/>
  <c r="O768" i="1"/>
  <c r="P632" i="1"/>
  <c r="N817" i="1"/>
  <c r="O632" i="1"/>
  <c r="N800" i="1"/>
  <c r="J1597" i="1"/>
  <c r="J955" i="7" s="1"/>
  <c r="I74" i="8"/>
  <c r="I73" i="8" s="1"/>
  <c r="L785" i="1"/>
  <c r="N785" i="1"/>
  <c r="N801" i="1"/>
  <c r="O616" i="1"/>
  <c r="P612" i="1" s="1"/>
  <c r="I300" i="8"/>
  <c r="I299" i="8" s="1"/>
  <c r="N784" i="1"/>
  <c r="Q800" i="1"/>
  <c r="Q665" i="1"/>
  <c r="Q662" i="1" s="1"/>
  <c r="P662" i="1"/>
  <c r="N631" i="1"/>
  <c r="Q816" i="1"/>
  <c r="I316" i="8"/>
  <c r="I315" i="8" s="1"/>
  <c r="Q785" i="1"/>
  <c r="N769" i="1"/>
  <c r="P816" i="1"/>
  <c r="N816" i="1"/>
  <c r="I310" i="8"/>
  <c r="I309" i="8" s="1"/>
  <c r="P768" i="1"/>
  <c r="O666" i="1"/>
  <c r="P669" i="1"/>
  <c r="O785" i="1"/>
  <c r="Q632" i="1"/>
  <c r="O784" i="1"/>
  <c r="N163" i="1"/>
  <c r="O164" i="1"/>
  <c r="I296" i="8"/>
  <c r="I295" i="8" s="1"/>
  <c r="O801" i="1"/>
  <c r="P785" i="1"/>
  <c r="P769" i="1"/>
  <c r="K522" i="1"/>
  <c r="K527" i="1" s="1"/>
  <c r="K1437" i="1" s="1"/>
  <c r="K294" i="8" s="1"/>
  <c r="F747" i="1"/>
  <c r="F751" i="1" s="1"/>
  <c r="Q616" i="1"/>
  <c r="N768" i="1"/>
  <c r="M92" i="8"/>
  <c r="M91" i="8" s="1"/>
  <c r="M164" i="8"/>
  <c r="M314" i="8"/>
  <c r="M51" i="8"/>
  <c r="N33" i="8"/>
  <c r="M312" i="8"/>
  <c r="M304" i="8"/>
  <c r="M284" i="8"/>
  <c r="M283" i="8" s="1"/>
  <c r="M113" i="8"/>
  <c r="M112" i="8" s="1"/>
  <c r="M156" i="8"/>
  <c r="M94" i="8"/>
  <c r="M96" i="8"/>
  <c r="M158" i="8"/>
  <c r="M505" i="8"/>
  <c r="M504" i="8" s="1"/>
  <c r="I501" i="8"/>
  <c r="I500" i="8" s="1"/>
  <c r="I318" i="8"/>
  <c r="I317" i="8" s="1"/>
  <c r="Q769" i="1"/>
  <c r="N632" i="1"/>
  <c r="Q768" i="1"/>
  <c r="N624" i="1"/>
  <c r="O35" i="8"/>
  <c r="N36" i="8"/>
  <c r="Q801" i="1"/>
  <c r="P817" i="1"/>
  <c r="Q817" i="1"/>
  <c r="P784" i="1"/>
  <c r="O769" i="1"/>
  <c r="N616" i="1"/>
  <c r="P800" i="1"/>
  <c r="K800" i="1"/>
  <c r="L988" i="1"/>
  <c r="L989" i="1" s="1"/>
  <c r="L993" i="1"/>
  <c r="L994" i="1" s="1"/>
  <c r="F801" i="1"/>
  <c r="L969" i="1"/>
  <c r="L970" i="1" s="1"/>
  <c r="L974" i="1"/>
  <c r="L975" i="1" s="1"/>
  <c r="L1082" i="1"/>
  <c r="L486" i="7" s="1"/>
  <c r="F359" i="7"/>
  <c r="L800" i="1"/>
  <c r="L1038" i="1"/>
  <c r="L1039" i="1" s="1"/>
  <c r="L451" i="7" s="1"/>
  <c r="L1066" i="1"/>
  <c r="L474" i="7" s="1"/>
  <c r="J800" i="1"/>
  <c r="L801" i="1"/>
  <c r="L983" i="1"/>
  <c r="L984" i="1" s="1"/>
  <c r="L919" i="1"/>
  <c r="L920" i="1" s="1"/>
  <c r="F614" i="1"/>
  <c r="F615" i="1" s="1"/>
  <c r="I800" i="1"/>
  <c r="F604" i="1"/>
  <c r="L964" i="1"/>
  <c r="L965" i="1" s="1"/>
  <c r="L955" i="1"/>
  <c r="L956" i="1" s="1"/>
  <c r="I2069" i="1"/>
  <c r="I1108" i="7" s="1"/>
  <c r="F800" i="1"/>
  <c r="I1848" i="1"/>
  <c r="I632" i="1"/>
  <c r="K771" i="1"/>
  <c r="K770" i="1"/>
  <c r="J883" i="1"/>
  <c r="K882" i="1" s="1"/>
  <c r="H624" i="1"/>
  <c r="M785" i="1"/>
  <c r="F362" i="7"/>
  <c r="J785" i="1"/>
  <c r="M898" i="1"/>
  <c r="K786" i="1"/>
  <c r="K787" i="1"/>
  <c r="M631" i="1"/>
  <c r="S629" i="1"/>
  <c r="M632" i="1"/>
  <c r="J632" i="1"/>
  <c r="H632" i="1"/>
  <c r="G632" i="1"/>
  <c r="G628" i="1" s="1"/>
  <c r="L913" i="1"/>
  <c r="M912" i="1" s="1"/>
  <c r="K631" i="1"/>
  <c r="K802" i="1"/>
  <c r="K803" i="1"/>
  <c r="J631" i="1"/>
  <c r="F784" i="1"/>
  <c r="H631" i="1"/>
  <c r="L631" i="1"/>
  <c r="H785" i="1"/>
  <c r="I794" i="7"/>
  <c r="K616" i="1"/>
  <c r="L784" i="1"/>
  <c r="I624" i="1"/>
  <c r="L632" i="1"/>
  <c r="S625" i="1"/>
  <c r="I804" i="7"/>
  <c r="L718" i="1"/>
  <c r="L719" i="1" s="1"/>
  <c r="L583" i="1"/>
  <c r="L584" i="1" s="1"/>
  <c r="L904" i="1"/>
  <c r="L905" i="1" s="1"/>
  <c r="K632" i="1"/>
  <c r="G631" i="1"/>
  <c r="I789" i="7"/>
  <c r="S609" i="1"/>
  <c r="F624" i="1"/>
  <c r="F620" i="1" s="1"/>
  <c r="I784" i="1"/>
  <c r="I631" i="1"/>
  <c r="S799" i="1"/>
  <c r="G801" i="1"/>
  <c r="I801" i="1"/>
  <c r="M801" i="1"/>
  <c r="H801" i="1"/>
  <c r="J801" i="1"/>
  <c r="H800" i="1"/>
  <c r="H784" i="1"/>
  <c r="G624" i="1"/>
  <c r="M800" i="1"/>
  <c r="K784" i="1"/>
  <c r="I785" i="1"/>
  <c r="J784" i="1"/>
  <c r="M784" i="1"/>
  <c r="K785" i="1"/>
  <c r="S630" i="1"/>
  <c r="K801" i="1"/>
  <c r="K768" i="1"/>
  <c r="S617" i="1"/>
  <c r="S613" i="1"/>
  <c r="J624" i="1"/>
  <c r="L624" i="1"/>
  <c r="F769" i="1"/>
  <c r="M624" i="1"/>
  <c r="L769" i="1"/>
  <c r="K624" i="1"/>
  <c r="S621" i="1"/>
  <c r="F622" i="1"/>
  <c r="S622" i="1" s="1"/>
  <c r="S783" i="1"/>
  <c r="G785" i="1"/>
  <c r="G784" i="1"/>
  <c r="F785" i="1"/>
  <c r="L1055" i="1"/>
  <c r="L1056" i="1" s="1"/>
  <c r="L464" i="7" s="1"/>
  <c r="L711" i="1"/>
  <c r="L712" i="1" s="1"/>
  <c r="L576" i="1"/>
  <c r="L577" i="1" s="1"/>
  <c r="L889" i="1"/>
  <c r="L890" i="1" s="1"/>
  <c r="M769" i="1"/>
  <c r="G614" i="1"/>
  <c r="J616" i="1"/>
  <c r="G616" i="1"/>
  <c r="H616" i="1"/>
  <c r="L731" i="1"/>
  <c r="L732" i="1" s="1"/>
  <c r="L874" i="1"/>
  <c r="L875" i="1" s="1"/>
  <c r="L704" i="1"/>
  <c r="L705" i="1" s="1"/>
  <c r="L569" i="1"/>
  <c r="L570" i="1" s="1"/>
  <c r="L1007" i="1"/>
  <c r="L1008" i="1" s="1"/>
  <c r="I768" i="1"/>
  <c r="F768" i="1"/>
  <c r="L859" i="1"/>
  <c r="L860" i="1" s="1"/>
  <c r="L590" i="1"/>
  <c r="L591" i="1" s="1"/>
  <c r="M616" i="1"/>
  <c r="K769" i="1"/>
  <c r="J769" i="1"/>
  <c r="H769" i="1"/>
  <c r="L562" i="1"/>
  <c r="L563" i="1" s="1"/>
  <c r="L725" i="1"/>
  <c r="L726" i="1" s="1"/>
  <c r="S767" i="1"/>
  <c r="L768" i="1"/>
  <c r="G769" i="1"/>
  <c r="G768" i="1"/>
  <c r="J768" i="1"/>
  <c r="G107" i="1"/>
  <c r="G1155" i="1" s="1"/>
  <c r="G559" i="7" s="1"/>
  <c r="L697" i="1"/>
  <c r="L698" i="1" s="1"/>
  <c r="G362" i="7"/>
  <c r="I616" i="1"/>
  <c r="L81" i="1"/>
  <c r="M82" i="1" s="1"/>
  <c r="G1138" i="1"/>
  <c r="G542" i="7" s="1"/>
  <c r="I769" i="1"/>
  <c r="L950" i="1"/>
  <c r="L951" i="1" s="1"/>
  <c r="M80" i="1"/>
  <c r="M1042" i="1" s="1"/>
  <c r="M1043" i="1" s="1"/>
  <c r="H768" i="1"/>
  <c r="L616" i="1"/>
  <c r="J1449" i="1"/>
  <c r="J1285" i="1"/>
  <c r="J98" i="8" s="1"/>
  <c r="K1227" i="1"/>
  <c r="K1292" i="1" s="1"/>
  <c r="K110" i="8" s="1"/>
  <c r="K463" i="1"/>
  <c r="K1273" i="1" s="1"/>
  <c r="K76" i="8" s="1"/>
  <c r="K436" i="1"/>
  <c r="K1271" i="1" s="1"/>
  <c r="K72" i="8" s="1"/>
  <c r="K428" i="1"/>
  <c r="K1272" i="1" s="1"/>
  <c r="K74" i="8" s="1"/>
  <c r="K2035" i="1"/>
  <c r="L88" i="1"/>
  <c r="L2033" i="1" s="1"/>
  <c r="K2033" i="1"/>
  <c r="K1226" i="1"/>
  <c r="K1285" i="1" s="1"/>
  <c r="K98" i="8" s="1"/>
  <c r="K1180" i="1"/>
  <c r="K584" i="7" s="1"/>
  <c r="K2034" i="1"/>
  <c r="K531" i="1"/>
  <c r="K2029" i="1"/>
  <c r="K2030" i="1"/>
  <c r="G298" i="7"/>
  <c r="K1233" i="1"/>
  <c r="K1591" i="1" s="1"/>
  <c r="K491" i="8" s="1"/>
  <c r="I2066" i="1"/>
  <c r="I1105" i="7" s="1"/>
  <c r="K1083" i="1"/>
  <c r="K487" i="7" s="1"/>
  <c r="J202" i="7"/>
  <c r="I1916" i="1"/>
  <c r="I800" i="7"/>
  <c r="I955" i="7"/>
  <c r="I792" i="7"/>
  <c r="J1438" i="1"/>
  <c r="J296" i="8" s="1"/>
  <c r="J229" i="7"/>
  <c r="I359" i="7"/>
  <c r="I1279" i="1"/>
  <c r="G300" i="7"/>
  <c r="F299" i="7"/>
  <c r="J1274" i="1"/>
  <c r="J78" i="8" s="1"/>
  <c r="J1281" i="1"/>
  <c r="J90" i="8" s="1"/>
  <c r="J584" i="7"/>
  <c r="J1446" i="1"/>
  <c r="K2028" i="1"/>
  <c r="J241" i="7"/>
  <c r="K931" i="1"/>
  <c r="K1033" i="1" s="1"/>
  <c r="K606" i="7"/>
  <c r="J495" i="1"/>
  <c r="J261" i="7" s="1"/>
  <c r="I790" i="7"/>
  <c r="J1440" i="1"/>
  <c r="J636" i="7"/>
  <c r="J1435" i="1"/>
  <c r="J1276" i="1"/>
  <c r="J82" i="8" s="1"/>
  <c r="J1272" i="1"/>
  <c r="J1436" i="1"/>
  <c r="K1056" i="1"/>
  <c r="K464" i="7" s="1"/>
  <c r="J1450" i="1"/>
  <c r="J1292" i="1"/>
  <c r="L817" i="1"/>
  <c r="I1991" i="1"/>
  <c r="I1081" i="7" s="1"/>
  <c r="I1847" i="1"/>
  <c r="I2068" i="1"/>
  <c r="I1107" i="7" s="1"/>
  <c r="I803" i="7"/>
  <c r="K1839" i="1"/>
  <c r="K1039" i="1"/>
  <c r="K451" i="7" s="1"/>
  <c r="L1006" i="1"/>
  <c r="M1006" i="1" s="1"/>
  <c r="N1006" i="1" s="1"/>
  <c r="I1126" i="1"/>
  <c r="I530" i="7" s="1"/>
  <c r="F1312" i="1"/>
  <c r="F146" i="8" s="1"/>
  <c r="F145" i="8" s="1"/>
  <c r="J927" i="1"/>
  <c r="J928" i="1" s="1"/>
  <c r="J922" i="1"/>
  <c r="J933" i="1" s="1"/>
  <c r="K819" i="1"/>
  <c r="K818" i="1"/>
  <c r="M917" i="1"/>
  <c r="N917" i="1" s="1"/>
  <c r="L918" i="1"/>
  <c r="H817" i="1"/>
  <c r="I817" i="1"/>
  <c r="I924" i="1"/>
  <c r="I926" i="1" s="1"/>
  <c r="I934" i="1"/>
  <c r="I594" i="1"/>
  <c r="I635" i="1" s="1"/>
  <c r="I644" i="1" s="1"/>
  <c r="M816" i="1"/>
  <c r="I816" i="1"/>
  <c r="K1067" i="1"/>
  <c r="K475" i="7" s="1"/>
  <c r="F816" i="1"/>
  <c r="I595" i="1"/>
  <c r="I633" i="1" s="1"/>
  <c r="K817" i="1"/>
  <c r="J817" i="1"/>
  <c r="K921" i="1"/>
  <c r="J593" i="1"/>
  <c r="J595" i="1" s="1"/>
  <c r="I637" i="1"/>
  <c r="I638" i="1" s="1"/>
  <c r="F639" i="1"/>
  <c r="S815" i="1"/>
  <c r="L816" i="1"/>
  <c r="M817" i="1"/>
  <c r="H816" i="1"/>
  <c r="G638" i="1"/>
  <c r="G640" i="1"/>
  <c r="G636" i="1" s="1"/>
  <c r="G816" i="1"/>
  <c r="G817" i="1"/>
  <c r="L589" i="1"/>
  <c r="K592" i="1"/>
  <c r="H633" i="1"/>
  <c r="H642" i="1" s="1"/>
  <c r="H637" i="1"/>
  <c r="H646" i="1" s="1"/>
  <c r="J929" i="1"/>
  <c r="J940" i="1" s="1"/>
  <c r="J923" i="1"/>
  <c r="K816" i="1"/>
  <c r="J816" i="1"/>
  <c r="I1982" i="1"/>
  <c r="I1072" i="7" s="1"/>
  <c r="I1981" i="1"/>
  <c r="I1071" i="7" s="1"/>
  <c r="G1312" i="1"/>
  <c r="G146" i="8" s="1"/>
  <c r="K1910" i="1"/>
  <c r="M857" i="1"/>
  <c r="M963" i="1"/>
  <c r="N963" i="1" s="1"/>
  <c r="K1765" i="1"/>
  <c r="K998" i="7" s="1"/>
  <c r="F750" i="1"/>
  <c r="G750" i="1" s="1"/>
  <c r="H750" i="1" s="1"/>
  <c r="I750" i="1" s="1"/>
  <c r="J750" i="1" s="1"/>
  <c r="L1764" i="1"/>
  <c r="L997" i="7" s="1"/>
  <c r="F748" i="1"/>
  <c r="F753" i="1" s="1"/>
  <c r="K862" i="1"/>
  <c r="M1275" i="1"/>
  <c r="F360" i="7"/>
  <c r="I605" i="1"/>
  <c r="I646" i="1" s="1"/>
  <c r="I294" i="7"/>
  <c r="K869" i="1"/>
  <c r="K863" i="1"/>
  <c r="K864" i="1" s="1"/>
  <c r="J602" i="1"/>
  <c r="J567" i="1"/>
  <c r="I999" i="7"/>
  <c r="J1766" i="1"/>
  <c r="I601" i="1"/>
  <c r="G604" i="1"/>
  <c r="J449" i="7"/>
  <c r="K1037" i="1"/>
  <c r="J1040" i="1"/>
  <c r="J452" i="7" s="1"/>
  <c r="I295" i="7"/>
  <c r="K1065" i="1"/>
  <c r="J473" i="7"/>
  <c r="J1105" i="1"/>
  <c r="J509" i="7" s="1"/>
  <c r="J1068" i="1"/>
  <c r="J603" i="1"/>
  <c r="I509" i="7"/>
  <c r="L561" i="1"/>
  <c r="K564" i="1"/>
  <c r="K565" i="1" s="1"/>
  <c r="K567" i="1" s="1"/>
  <c r="J462" i="7"/>
  <c r="J1057" i="1"/>
  <c r="J465" i="7" s="1"/>
  <c r="K1054" i="1"/>
  <c r="H1106" i="1"/>
  <c r="I1107" i="1"/>
  <c r="I511" i="7" s="1"/>
  <c r="I476" i="7"/>
  <c r="L861" i="1"/>
  <c r="G689" i="7"/>
  <c r="G159" i="8"/>
  <c r="M144" i="1"/>
  <c r="N144" i="1" s="1"/>
  <c r="G868" i="1"/>
  <c r="H867" i="1" s="1"/>
  <c r="H868" i="1" s="1"/>
  <c r="I867" i="1" s="1"/>
  <c r="I868" i="1" s="1"/>
  <c r="J867" i="1" s="1"/>
  <c r="J868" i="1" s="1"/>
  <c r="I898" i="8"/>
  <c r="K519" i="1"/>
  <c r="K533" i="1" s="1"/>
  <c r="F498" i="8"/>
  <c r="F497" i="8" s="1"/>
  <c r="G1091" i="1"/>
  <c r="G495" i="7" s="1"/>
  <c r="G359" i="7"/>
  <c r="G1301" i="1"/>
  <c r="G125" i="8" s="1"/>
  <c r="F1301" i="1"/>
  <c r="F671" i="7" s="1"/>
  <c r="F791" i="7"/>
  <c r="G103" i="8"/>
  <c r="F1102" i="1"/>
  <c r="F1104" i="1"/>
  <c r="F508" i="7" s="1"/>
  <c r="F850" i="1"/>
  <c r="F848" i="1"/>
  <c r="H298" i="7"/>
  <c r="H607" i="1"/>
  <c r="K520" i="1"/>
  <c r="K517" i="1" s="1"/>
  <c r="K532" i="1" s="1"/>
  <c r="H300" i="7"/>
  <c r="H604" i="1"/>
  <c r="K521" i="1"/>
  <c r="K535" i="1" s="1"/>
  <c r="H2063" i="1"/>
  <c r="H1102" i="7" s="1"/>
  <c r="H293" i="8"/>
  <c r="H928" i="8" s="1"/>
  <c r="I293" i="8"/>
  <c r="J1221" i="1"/>
  <c r="I1232" i="1"/>
  <c r="I635" i="7" s="1"/>
  <c r="I623" i="7"/>
  <c r="Q216" i="7"/>
  <c r="G940" i="1"/>
  <c r="I791" i="7"/>
  <c r="H635" i="7"/>
  <c r="I1230" i="1"/>
  <c r="I633" i="7" s="1"/>
  <c r="L1223" i="1"/>
  <c r="L625" i="7" s="1"/>
  <c r="G304" i="7"/>
  <c r="K1222" i="1"/>
  <c r="K1220" i="1" s="1"/>
  <c r="J1225" i="1"/>
  <c r="J1231" i="1" s="1"/>
  <c r="J1220" i="1"/>
  <c r="J622" i="7" s="1"/>
  <c r="F1305" i="1"/>
  <c r="F1089" i="1"/>
  <c r="F493" i="7" s="1"/>
  <c r="H755" i="1"/>
  <c r="I754" i="1" s="1"/>
  <c r="G307" i="7"/>
  <c r="H307" i="7"/>
  <c r="H304" i="7"/>
  <c r="J302" i="7"/>
  <c r="I216" i="7"/>
  <c r="I1275" i="1"/>
  <c r="I80" i="8" s="1"/>
  <c r="I1231" i="1"/>
  <c r="I634" i="7" s="1"/>
  <c r="I312" i="7"/>
  <c r="I842" i="1"/>
  <c r="I1118" i="1" s="1"/>
  <c r="I522" i="7" s="1"/>
  <c r="G355" i="7"/>
  <c r="I313" i="7"/>
  <c r="H344" i="7"/>
  <c r="J334" i="7"/>
  <c r="H1990" i="1"/>
  <c r="H1080" i="7" s="1"/>
  <c r="H791" i="7"/>
  <c r="I305" i="7"/>
  <c r="H355" i="7"/>
  <c r="G938" i="1"/>
  <c r="G1305" i="1" s="1"/>
  <c r="G132" i="8" s="1"/>
  <c r="S450" i="1"/>
  <c r="S216" i="7" s="1"/>
  <c r="H348" i="7"/>
  <c r="I343" i="7"/>
  <c r="H346" i="7"/>
  <c r="G348" i="7"/>
  <c r="G346" i="7"/>
  <c r="H980" i="1"/>
  <c r="H1014" i="1" s="1"/>
  <c r="H1062" i="1" s="1"/>
  <c r="H470" i="7" s="1"/>
  <c r="H1429" i="1"/>
  <c r="H280" i="8" s="1"/>
  <c r="I329" i="7"/>
  <c r="H1384" i="1"/>
  <c r="H1319" i="1" s="1"/>
  <c r="H160" i="8" s="1"/>
  <c r="H1289" i="1"/>
  <c r="H104" i="8" s="1"/>
  <c r="I839" i="1"/>
  <c r="I108" i="1" s="1"/>
  <c r="I1156" i="1" s="1"/>
  <c r="I560" i="7" s="1"/>
  <c r="I840" i="1"/>
  <c r="I342" i="7"/>
  <c r="J333" i="7"/>
  <c r="I850" i="1"/>
  <c r="I1122" i="1" s="1"/>
  <c r="I1120" i="1" s="1"/>
  <c r="J866" i="1"/>
  <c r="J316" i="7"/>
  <c r="J318" i="7"/>
  <c r="H866" i="1"/>
  <c r="I866" i="1"/>
  <c r="I865" i="1"/>
  <c r="G866" i="1"/>
  <c r="P216" i="7"/>
  <c r="J1275" i="1"/>
  <c r="J80" i="8" s="1"/>
  <c r="J216" i="7"/>
  <c r="H495" i="1"/>
  <c r="H261" i="7" s="1"/>
  <c r="H1275" i="1"/>
  <c r="H80" i="8" s="1"/>
  <c r="H216" i="7"/>
  <c r="G1990" i="1"/>
  <c r="G1080" i="7" s="1"/>
  <c r="G791" i="7"/>
  <c r="G2063" i="1"/>
  <c r="G1102" i="7" s="1"/>
  <c r="G293" i="8"/>
  <c r="G1275" i="1"/>
  <c r="G80" i="8" s="1"/>
  <c r="G216" i="7"/>
  <c r="G495" i="1"/>
  <c r="G261" i="7" s="1"/>
  <c r="K216" i="7"/>
  <c r="K1275" i="1"/>
  <c r="K80" i="8" s="1"/>
  <c r="H504" i="8"/>
  <c r="H957" i="7"/>
  <c r="I109" i="7"/>
  <c r="J358" i="1"/>
  <c r="O216" i="7"/>
  <c r="L1275" i="1"/>
  <c r="L80" i="8" s="1"/>
  <c r="L216" i="7"/>
  <c r="F426" i="1"/>
  <c r="B191" i="7"/>
  <c r="F1851" i="1"/>
  <c r="S1851" i="1" s="1"/>
  <c r="J957" i="7"/>
  <c r="J504" i="8"/>
  <c r="I504" i="8"/>
  <c r="I957" i="7"/>
  <c r="G504" i="8"/>
  <c r="G957" i="7"/>
  <c r="F957" i="7"/>
  <c r="F505" i="8"/>
  <c r="F504" i="8" s="1"/>
  <c r="K504" i="8"/>
  <c r="K957" i="7"/>
  <c r="G747" i="1"/>
  <c r="G748" i="1"/>
  <c r="K290" i="1"/>
  <c r="J41" i="7"/>
  <c r="H86" i="7"/>
  <c r="I335" i="1"/>
  <c r="I385" i="7"/>
  <c r="I382" i="7"/>
  <c r="K129" i="7"/>
  <c r="L378" i="1"/>
  <c r="G356" i="7"/>
  <c r="G352" i="7"/>
  <c r="H352" i="7"/>
  <c r="J261" i="1"/>
  <c r="J262" i="1" s="1"/>
  <c r="J258" i="1" s="1"/>
  <c r="F940" i="1"/>
  <c r="K260" i="1"/>
  <c r="L260" i="1" s="1"/>
  <c r="M260" i="1" s="1"/>
  <c r="N260" i="1" s="1"/>
  <c r="J397" i="7"/>
  <c r="J394" i="7"/>
  <c r="L890" i="8"/>
  <c r="L66" i="8"/>
  <c r="L265" i="8"/>
  <c r="L435" i="8"/>
  <c r="L918" i="8"/>
  <c r="L39" i="8"/>
  <c r="L564" i="8"/>
  <c r="L122" i="8"/>
  <c r="L667" i="8"/>
  <c r="L817" i="8"/>
  <c r="L742" i="8"/>
  <c r="K393" i="7"/>
  <c r="K390" i="7"/>
  <c r="I381" i="7"/>
  <c r="I378" i="7"/>
  <c r="M92" i="1"/>
  <c r="G934" i="1"/>
  <c r="L606" i="7"/>
  <c r="M1204" i="1"/>
  <c r="N1204" i="1" s="1"/>
  <c r="O1204" i="1" s="1"/>
  <c r="P1204" i="1" s="1"/>
  <c r="Q1204" i="1" s="1"/>
  <c r="K617" i="7"/>
  <c r="L1215" i="1"/>
  <c r="F866" i="1"/>
  <c r="G865" i="1"/>
  <c r="H865" i="1"/>
  <c r="J865" i="1"/>
  <c r="G850" i="1"/>
  <c r="G839" i="1"/>
  <c r="G108" i="1" s="1"/>
  <c r="G842" i="1"/>
  <c r="G1118" i="1" s="1"/>
  <c r="G522" i="7" s="1"/>
  <c r="G838" i="1"/>
  <c r="G1126" i="1" s="1"/>
  <c r="G530" i="7" s="1"/>
  <c r="L831" i="8"/>
  <c r="L758" i="8"/>
  <c r="L485" i="7"/>
  <c r="L203" i="1"/>
  <c r="M197" i="1"/>
  <c r="N197" i="1" s="1"/>
  <c r="I389" i="7"/>
  <c r="I386" i="7"/>
  <c r="L274" i="1"/>
  <c r="M273" i="1"/>
  <c r="N273" i="1" s="1"/>
  <c r="M36" i="8"/>
  <c r="I373" i="7"/>
  <c r="J657" i="1"/>
  <c r="I654" i="1"/>
  <c r="I370" i="7" s="1"/>
  <c r="H377" i="7"/>
  <c r="H374" i="7"/>
  <c r="J611" i="7"/>
  <c r="J1206" i="1"/>
  <c r="J608" i="7" s="1"/>
  <c r="K609" i="7"/>
  <c r="L1207" i="1"/>
  <c r="K1208" i="1"/>
  <c r="K610" i="7" s="1"/>
  <c r="K1209" i="1"/>
  <c r="I608" i="7"/>
  <c r="G935" i="1"/>
  <c r="L91" i="8"/>
  <c r="M689" i="8"/>
  <c r="M764" i="8"/>
  <c r="M34" i="8"/>
  <c r="L26" i="7"/>
  <c r="M29" i="1"/>
  <c r="N29" i="1" s="1"/>
  <c r="L30" i="1"/>
  <c r="L27" i="7" s="1"/>
  <c r="L508" i="1"/>
  <c r="L518" i="1"/>
  <c r="L1852" i="1"/>
  <c r="L1779" i="1"/>
  <c r="L1012" i="7" s="1"/>
  <c r="L505" i="1"/>
  <c r="L515" i="1" s="1"/>
  <c r="L516" i="1" s="1"/>
  <c r="L506" i="1"/>
  <c r="K837" i="1"/>
  <c r="K1032" i="1" s="1"/>
  <c r="K444" i="7" s="1"/>
  <c r="K350" i="7"/>
  <c r="K334" i="7"/>
  <c r="K326" i="7"/>
  <c r="H838" i="1"/>
  <c r="H1126" i="1" s="1"/>
  <c r="H530" i="7" s="1"/>
  <c r="F838" i="1"/>
  <c r="F1126" i="1" s="1"/>
  <c r="H933" i="1"/>
  <c r="H934" i="1"/>
  <c r="F934" i="1"/>
  <c r="F939" i="1"/>
  <c r="H401" i="7"/>
  <c r="H398" i="7"/>
  <c r="K318" i="7"/>
  <c r="J351" i="7"/>
  <c r="J249" i="1"/>
  <c r="K252" i="1" s="1"/>
  <c r="K253" i="1" s="1"/>
  <c r="J349" i="7"/>
  <c r="J327" i="7"/>
  <c r="J267" i="1"/>
  <c r="K269" i="1" s="1"/>
  <c r="K270" i="1" s="1"/>
  <c r="J342" i="7"/>
  <c r="K240" i="1"/>
  <c r="L243" i="1" s="1"/>
  <c r="L244" i="1" s="1"/>
  <c r="K895" i="8"/>
  <c r="J896" i="8"/>
  <c r="I102" i="1"/>
  <c r="I231" i="1"/>
  <c r="I281" i="1"/>
  <c r="I32" i="7" s="1"/>
  <c r="I498" i="1"/>
  <c r="I538" i="1"/>
  <c r="I264" i="7" s="1"/>
  <c r="I549" i="1"/>
  <c r="I278" i="7" s="1"/>
  <c r="I559" i="1"/>
  <c r="I599" i="1"/>
  <c r="I291" i="7" s="1"/>
  <c r="I652" i="1"/>
  <c r="I368" i="7" s="1"/>
  <c r="I677" i="1"/>
  <c r="I405" i="7" s="1"/>
  <c r="I693" i="1"/>
  <c r="I739" i="1"/>
  <c r="I1113" i="1"/>
  <c r="I517" i="7" s="1"/>
  <c r="I853" i="1"/>
  <c r="I943" i="1"/>
  <c r="I1028" i="1"/>
  <c r="I440" i="7" s="1"/>
  <c r="I1178" i="1"/>
  <c r="I582" i="7" s="1"/>
  <c r="I1377" i="1"/>
  <c r="I1759" i="1"/>
  <c r="I992" i="7" s="1"/>
  <c r="I1832" i="1"/>
  <c r="I1905" i="1"/>
  <c r="I2002" i="1"/>
  <c r="I1201" i="1"/>
  <c r="I603" i="7" s="1"/>
  <c r="I1267" i="1"/>
  <c r="I1299" i="1"/>
  <c r="I669" i="7" s="1"/>
  <c r="I1421" i="1"/>
  <c r="I775" i="7" s="1"/>
  <c r="I1561" i="1"/>
  <c r="I919" i="7" s="1"/>
  <c r="I1656" i="1"/>
  <c r="I964" i="7" s="1"/>
  <c r="I1976" i="1"/>
  <c r="I1066" i="7" s="1"/>
  <c r="I2053" i="1"/>
  <c r="I1092" i="7" s="1"/>
  <c r="J517" i="1"/>
  <c r="J532" i="1" s="1"/>
  <c r="J534" i="1"/>
  <c r="J1437" i="1"/>
  <c r="J294" i="8" s="1"/>
  <c r="J535" i="1"/>
  <c r="J529" i="1"/>
  <c r="J124" i="1" s="1"/>
  <c r="H637" i="7"/>
  <c r="H1595" i="1"/>
  <c r="H498" i="8" s="1"/>
  <c r="M163" i="1"/>
  <c r="N167" i="1" s="1"/>
  <c r="I631" i="7"/>
  <c r="I1289" i="1"/>
  <c r="I104" i="8" s="1"/>
  <c r="I1429" i="1"/>
  <c r="I280" i="8" s="1"/>
  <c r="H760" i="8"/>
  <c r="H934" i="8"/>
  <c r="G953" i="7"/>
  <c r="G497" i="8"/>
  <c r="K351" i="7"/>
  <c r="J675" i="8"/>
  <c r="K676" i="8" s="1"/>
  <c r="K674" i="8"/>
  <c r="F80" i="8"/>
  <c r="J303" i="7"/>
  <c r="K327" i="7"/>
  <c r="J337" i="7"/>
  <c r="J338" i="7"/>
  <c r="K28" i="7"/>
  <c r="L31" i="1"/>
  <c r="K32" i="1"/>
  <c r="F348" i="7"/>
  <c r="I354" i="7"/>
  <c r="I355" i="7"/>
  <c r="I306" i="7"/>
  <c r="I315" i="7"/>
  <c r="M144" i="7"/>
  <c r="I161" i="7"/>
  <c r="J395" i="1"/>
  <c r="J352" i="7"/>
  <c r="K303" i="7"/>
  <c r="J313" i="7"/>
  <c r="J309" i="7"/>
  <c r="I345" i="7"/>
  <c r="K950" i="7"/>
  <c r="K492" i="8"/>
  <c r="L1592" i="1"/>
  <c r="L493" i="8" s="1"/>
  <c r="G460" i="7"/>
  <c r="G1101" i="1"/>
  <c r="G505" i="7" s="1"/>
  <c r="G828" i="8"/>
  <c r="G680" i="8"/>
  <c r="G935" i="8"/>
  <c r="I289" i="8"/>
  <c r="H86" i="8"/>
  <c r="L745" i="1"/>
  <c r="L746" i="1"/>
  <c r="L749" i="1"/>
  <c r="L756" i="1"/>
  <c r="L701" i="1"/>
  <c r="L1837" i="1"/>
  <c r="K1838" i="1"/>
  <c r="L1908" i="1"/>
  <c r="K1909" i="1"/>
  <c r="L2042" i="1"/>
  <c r="K2043" i="1"/>
  <c r="K2044" i="1" s="1"/>
  <c r="K310" i="7"/>
  <c r="K311" i="7"/>
  <c r="J320" i="7"/>
  <c r="K819" i="8"/>
  <c r="K820" i="8" s="1"/>
  <c r="K744" i="8"/>
  <c r="K745" i="8" s="1"/>
  <c r="K892" i="8"/>
  <c r="K893" i="8" s="1"/>
  <c r="L669" i="8"/>
  <c r="K670" i="8"/>
  <c r="J749" i="8"/>
  <c r="I750" i="8"/>
  <c r="J751" i="8" s="1"/>
  <c r="F346" i="7"/>
  <c r="K252" i="7"/>
  <c r="K1440" i="1"/>
  <c r="K300" i="8" s="1"/>
  <c r="K1276" i="1"/>
  <c r="K82" i="8" s="1"/>
  <c r="J1032" i="1"/>
  <c r="I322" i="7"/>
  <c r="I323" i="7"/>
  <c r="I331" i="7"/>
  <c r="I338" i="7"/>
  <c r="I339" i="7"/>
  <c r="L162" i="1"/>
  <c r="M167" i="1"/>
  <c r="J839" i="1"/>
  <c r="J108" i="1" s="1"/>
  <c r="J1156" i="1" s="1"/>
  <c r="J560" i="7" s="1"/>
  <c r="H931" i="8"/>
  <c r="H830" i="8"/>
  <c r="F828" i="8"/>
  <c r="F680" i="8"/>
  <c r="F935" i="8"/>
  <c r="K349" i="7"/>
  <c r="J305" i="7"/>
  <c r="F1155" i="1"/>
  <c r="F559" i="7" s="1"/>
  <c r="J29" i="7"/>
  <c r="J75" i="1"/>
  <c r="F980" i="1"/>
  <c r="F1014" i="1" s="1"/>
  <c r="F1004" i="1"/>
  <c r="F1015" i="1" s="1"/>
  <c r="H1004" i="1"/>
  <c r="H1015" i="1" s="1"/>
  <c r="F961" i="1"/>
  <c r="G980" i="1"/>
  <c r="G1014" i="1" s="1"/>
  <c r="G1004" i="1"/>
  <c r="G1015" i="1" s="1"/>
  <c r="F147" i="1"/>
  <c r="J793" i="7"/>
  <c r="J297" i="8"/>
  <c r="J949" i="7"/>
  <c r="J490" i="8"/>
  <c r="J751" i="1"/>
  <c r="J353" i="7"/>
  <c r="L929" i="7"/>
  <c r="L453" i="8"/>
  <c r="M1571" i="1"/>
  <c r="N1571" i="1" s="1"/>
  <c r="O1571" i="1" s="1"/>
  <c r="P1571" i="1" s="1"/>
  <c r="Q1571" i="1" s="1"/>
  <c r="K1069" i="7"/>
  <c r="L1979" i="1"/>
  <c r="K1980" i="1"/>
  <c r="K1070" i="7" s="1"/>
  <c r="I897" i="8"/>
  <c r="J311" i="7"/>
  <c r="J329" i="7"/>
  <c r="J330" i="7"/>
  <c r="J325" i="7"/>
  <c r="J822" i="8"/>
  <c r="I823" i="8"/>
  <c r="J824" i="8" s="1"/>
  <c r="M699" i="1"/>
  <c r="M700" i="1" s="1"/>
  <c r="M742" i="1"/>
  <c r="M744" i="1" s="1"/>
  <c r="K745" i="1"/>
  <c r="K746" i="1"/>
  <c r="K749" i="1"/>
  <c r="K756" i="1"/>
  <c r="H933" i="8"/>
  <c r="H907" i="8"/>
  <c r="H759" i="8"/>
  <c r="F293" i="8"/>
  <c r="J321" i="7"/>
  <c r="J322" i="7"/>
  <c r="J317" i="7"/>
  <c r="F159" i="8"/>
  <c r="J838" i="1"/>
  <c r="J1126" i="1" s="1"/>
  <c r="P628" i="1" l="1"/>
  <c r="Q620" i="1"/>
  <c r="O620" i="1"/>
  <c r="Q615" i="1"/>
  <c r="M1070" i="1"/>
  <c r="M1071" i="1" s="1"/>
  <c r="F649" i="1"/>
  <c r="O612" i="1"/>
  <c r="L834" i="1"/>
  <c r="M833" i="1" s="1"/>
  <c r="O615" i="1"/>
  <c r="G647" i="1"/>
  <c r="G1423" i="1" s="1"/>
  <c r="G268" i="8" s="1"/>
  <c r="F296" i="7"/>
  <c r="F645" i="1"/>
  <c r="P615" i="1"/>
  <c r="F647" i="1"/>
  <c r="F363" i="7" s="1"/>
  <c r="L1083" i="1"/>
  <c r="L487" i="7" s="1"/>
  <c r="Q612" i="1"/>
  <c r="I642" i="1"/>
  <c r="I967" i="1" s="1"/>
  <c r="N615" i="1"/>
  <c r="G649" i="1"/>
  <c r="N620" i="1"/>
  <c r="O628" i="1"/>
  <c r="N628" i="1"/>
  <c r="I830" i="8"/>
  <c r="I931" i="8"/>
  <c r="I760" i="8"/>
  <c r="I934" i="8"/>
  <c r="I907" i="8"/>
  <c r="I759" i="8"/>
  <c r="I933" i="8"/>
  <c r="J110" i="8"/>
  <c r="J109" i="8" s="1"/>
  <c r="N623" i="1"/>
  <c r="J292" i="8"/>
  <c r="J291" i="8" s="1"/>
  <c r="O623" i="1"/>
  <c r="O963" i="1"/>
  <c r="P623" i="1"/>
  <c r="J501" i="8"/>
  <c r="J500" i="8" s="1"/>
  <c r="J318" i="8"/>
  <c r="J317" i="8" s="1"/>
  <c r="O1006" i="1"/>
  <c r="N1004" i="1"/>
  <c r="J316" i="8"/>
  <c r="J315" i="8" s="1"/>
  <c r="N897" i="1"/>
  <c r="M858" i="1"/>
  <c r="M861" i="1" s="1"/>
  <c r="N857" i="1"/>
  <c r="J290" i="8"/>
  <c r="J289" i="8" s="1"/>
  <c r="N66" i="8"/>
  <c r="N435" i="8"/>
  <c r="N564" i="8"/>
  <c r="N122" i="8"/>
  <c r="N890" i="8"/>
  <c r="N39" i="8"/>
  <c r="N918" i="8"/>
  <c r="N265" i="8"/>
  <c r="N817" i="8"/>
  <c r="N667" i="8"/>
  <c r="N742" i="8"/>
  <c r="O163" i="1"/>
  <c r="P164" i="1"/>
  <c r="J310" i="8"/>
  <c r="J309" i="8" s="1"/>
  <c r="M998" i="1"/>
  <c r="M999" i="1" s="1"/>
  <c r="N80" i="1"/>
  <c r="N1042" i="1" s="1"/>
  <c r="N1043" i="1" s="1"/>
  <c r="O36" i="8"/>
  <c r="P35" i="8"/>
  <c r="N162" i="1"/>
  <c r="O167" i="1"/>
  <c r="P666" i="1"/>
  <c r="Q669" i="1"/>
  <c r="Q666" i="1" s="1"/>
  <c r="J74" i="8"/>
  <c r="J73" i="8" s="1"/>
  <c r="O29" i="1"/>
  <c r="N516" i="1"/>
  <c r="N1852" i="1"/>
  <c r="N1779" i="1"/>
  <c r="N508" i="1"/>
  <c r="N507" i="1"/>
  <c r="N30" i="1"/>
  <c r="N518" i="1"/>
  <c r="N203" i="1"/>
  <c r="O197" i="1"/>
  <c r="O260" i="1"/>
  <c r="J300" i="8"/>
  <c r="J299" i="8" s="1"/>
  <c r="M454" i="8"/>
  <c r="M453" i="8" s="1"/>
  <c r="M80" i="8"/>
  <c r="M79" i="8" s="1"/>
  <c r="K529" i="1"/>
  <c r="K124" i="1" s="1"/>
  <c r="N612" i="1"/>
  <c r="Q623" i="1"/>
  <c r="O917" i="1"/>
  <c r="N918" i="1"/>
  <c r="P91" i="1"/>
  <c r="O92" i="1"/>
  <c r="N274" i="1"/>
  <c r="O273" i="1"/>
  <c r="N143" i="1"/>
  <c r="O144" i="1"/>
  <c r="I87" i="8"/>
  <c r="I86" i="8" s="1"/>
  <c r="N164" i="8"/>
  <c r="N163" i="8" s="1"/>
  <c r="N94" i="8"/>
  <c r="N93" i="8" s="1"/>
  <c r="N80" i="8"/>
  <c r="N79" i="8" s="1"/>
  <c r="O33" i="8"/>
  <c r="N304" i="8"/>
  <c r="N303" i="8" s="1"/>
  <c r="N158" i="8"/>
  <c r="N157" i="8" s="1"/>
  <c r="N156" i="8"/>
  <c r="N155" i="8" s="1"/>
  <c r="N34" i="8"/>
  <c r="N764" i="8"/>
  <c r="N314" i="8"/>
  <c r="N313" i="8" s="1"/>
  <c r="N51" i="8"/>
  <c r="N50" i="8" s="1"/>
  <c r="N312" i="8"/>
  <c r="N311" i="8" s="1"/>
  <c r="N505" i="8"/>
  <c r="N504" i="8" s="1"/>
  <c r="N689" i="8"/>
  <c r="N113" i="8"/>
  <c r="N112" i="8" s="1"/>
  <c r="N92" i="8"/>
  <c r="N91" i="8" s="1"/>
  <c r="N284" i="8"/>
  <c r="N283" i="8" s="1"/>
  <c r="N96" i="8"/>
  <c r="N95" i="8" s="1"/>
  <c r="N454" i="8"/>
  <c r="N453" i="8" s="1"/>
  <c r="Q628" i="1"/>
  <c r="P620" i="1"/>
  <c r="L507" i="1"/>
  <c r="G967" i="1"/>
  <c r="G966" i="1" s="1"/>
  <c r="H967" i="1"/>
  <c r="H966" i="1" s="1"/>
  <c r="M988" i="1"/>
  <c r="M989" i="1" s="1"/>
  <c r="M993" i="1"/>
  <c r="M994" i="1" s="1"/>
  <c r="L450" i="7"/>
  <c r="H972" i="1"/>
  <c r="H971" i="1" s="1"/>
  <c r="G972" i="1"/>
  <c r="G971" i="1" s="1"/>
  <c r="L1067" i="1"/>
  <c r="L475" i="7" s="1"/>
  <c r="M969" i="1"/>
  <c r="M970" i="1" s="1"/>
  <c r="M974" i="1"/>
  <c r="M975" i="1" s="1"/>
  <c r="F1138" i="1"/>
  <c r="F542" i="7" s="1"/>
  <c r="M615" i="1"/>
  <c r="M562" i="1"/>
  <c r="M563" i="1" s="1"/>
  <c r="M955" i="1"/>
  <c r="M956" i="1" s="1"/>
  <c r="K1436" i="1"/>
  <c r="K630" i="7"/>
  <c r="H620" i="1"/>
  <c r="M628" i="1"/>
  <c r="K202" i="7"/>
  <c r="K636" i="7"/>
  <c r="H628" i="1"/>
  <c r="I620" i="1"/>
  <c r="M950" i="1"/>
  <c r="M951" i="1" s="1"/>
  <c r="L475" i="1"/>
  <c r="L1439" i="1" s="1"/>
  <c r="L298" i="8" s="1"/>
  <c r="G615" i="1"/>
  <c r="G648" i="1" s="1"/>
  <c r="I628" i="1"/>
  <c r="J628" i="1"/>
  <c r="J612" i="1"/>
  <c r="L770" i="1"/>
  <c r="L771" i="1"/>
  <c r="K883" i="1"/>
  <c r="L882" i="1" s="1"/>
  <c r="L620" i="1"/>
  <c r="L786" i="1"/>
  <c r="L787" i="1"/>
  <c r="M913" i="1"/>
  <c r="N912" i="1" s="1"/>
  <c r="L802" i="1"/>
  <c r="L803" i="1"/>
  <c r="G620" i="1"/>
  <c r="M620" i="1"/>
  <c r="L628" i="1"/>
  <c r="F365" i="7"/>
  <c r="K628" i="1"/>
  <c r="K612" i="1"/>
  <c r="G623" i="1"/>
  <c r="L1226" i="1"/>
  <c r="L1449" i="1" s="1"/>
  <c r="L316" i="8" s="1"/>
  <c r="M718" i="1"/>
  <c r="M719" i="1" s="1"/>
  <c r="M583" i="1"/>
  <c r="M584" i="1" s="1"/>
  <c r="M904" i="1"/>
  <c r="M905" i="1" s="1"/>
  <c r="K615" i="1"/>
  <c r="H623" i="1"/>
  <c r="I623" i="1"/>
  <c r="F358" i="7"/>
  <c r="K1438" i="1"/>
  <c r="L531" i="1"/>
  <c r="L623" i="1"/>
  <c r="F623" i="1"/>
  <c r="F648" i="1" s="1"/>
  <c r="K623" i="1"/>
  <c r="K229" i="7"/>
  <c r="S614" i="1"/>
  <c r="M623" i="1"/>
  <c r="F1135" i="1"/>
  <c r="F539" i="7" s="1"/>
  <c r="L463" i="7"/>
  <c r="I615" i="1"/>
  <c r="M576" i="1"/>
  <c r="M577" i="1" s="1"/>
  <c r="M711" i="1"/>
  <c r="M712" i="1" s="1"/>
  <c r="M889" i="1"/>
  <c r="M890" i="1" s="1"/>
  <c r="K620" i="1"/>
  <c r="J620" i="1"/>
  <c r="K1450" i="1"/>
  <c r="K318" i="8" s="1"/>
  <c r="M983" i="1"/>
  <c r="M984" i="1" s="1"/>
  <c r="F1080" i="1"/>
  <c r="G1080" i="1" s="1"/>
  <c r="L615" i="1"/>
  <c r="J615" i="1"/>
  <c r="J623" i="1"/>
  <c r="L1233" i="1"/>
  <c r="L636" i="7" s="1"/>
  <c r="L2035" i="1"/>
  <c r="M964" i="1"/>
  <c r="M965" i="1" s="1"/>
  <c r="M919" i="1"/>
  <c r="M920" i="1" s="1"/>
  <c r="L2029" i="1"/>
  <c r="M859" i="1"/>
  <c r="M860" i="1" s="1"/>
  <c r="L931" i="1"/>
  <c r="L1033" i="1" s="1"/>
  <c r="L445" i="7" s="1"/>
  <c r="M612" i="1"/>
  <c r="L1180" i="1"/>
  <c r="M697" i="1"/>
  <c r="M698" i="1" s="1"/>
  <c r="J2068" i="1"/>
  <c r="J1107" i="7" s="1"/>
  <c r="L463" i="1"/>
  <c r="L229" i="7" s="1"/>
  <c r="M81" i="1"/>
  <c r="M590" i="1"/>
  <c r="M591" i="1" s="1"/>
  <c r="I612" i="1"/>
  <c r="L436" i="1"/>
  <c r="L1271" i="1" s="1"/>
  <c r="L72" i="8" s="1"/>
  <c r="M1082" i="1"/>
  <c r="M486" i="7" s="1"/>
  <c r="M725" i="1"/>
  <c r="M726" i="1" s="1"/>
  <c r="L612" i="1"/>
  <c r="M88" i="1"/>
  <c r="N88" i="1" s="1"/>
  <c r="H612" i="1"/>
  <c r="G612" i="1"/>
  <c r="M731" i="1"/>
  <c r="M732" i="1" s="1"/>
  <c r="M704" i="1"/>
  <c r="M705" i="1" s="1"/>
  <c r="M569" i="1"/>
  <c r="M570" i="1" s="1"/>
  <c r="M874" i="1"/>
  <c r="M875" i="1" s="1"/>
  <c r="J803" i="7"/>
  <c r="M1055" i="1"/>
  <c r="M1056" i="1" s="1"/>
  <c r="M464" i="7" s="1"/>
  <c r="M1066" i="1"/>
  <c r="M474" i="7" s="1"/>
  <c r="L2034" i="1"/>
  <c r="L486" i="1"/>
  <c r="L1276" i="1" s="1"/>
  <c r="L82" i="8" s="1"/>
  <c r="L2030" i="1"/>
  <c r="L428" i="1"/>
  <c r="L1435" i="1" s="1"/>
  <c r="L290" i="8" s="1"/>
  <c r="M1038" i="1"/>
  <c r="M450" i="7" s="1"/>
  <c r="J1847" i="1"/>
  <c r="L2028" i="1"/>
  <c r="M1007" i="1"/>
  <c r="M1008" i="1" s="1"/>
  <c r="H615" i="1"/>
  <c r="K1449" i="1"/>
  <c r="K316" i="8" s="1"/>
  <c r="K629" i="7"/>
  <c r="K1435" i="1"/>
  <c r="K194" i="7"/>
  <c r="L1839" i="1"/>
  <c r="J804" i="7"/>
  <c r="J792" i="7"/>
  <c r="K1597" i="1"/>
  <c r="K1281" i="1"/>
  <c r="L1227" i="1"/>
  <c r="L1450" i="1" s="1"/>
  <c r="L318" i="8" s="1"/>
  <c r="J2066" i="1"/>
  <c r="J1105" i="7" s="1"/>
  <c r="J1916" i="1"/>
  <c r="J789" i="7"/>
  <c r="J1279" i="1"/>
  <c r="K1446" i="1"/>
  <c r="J1991" i="1"/>
  <c r="J1081" i="7" s="1"/>
  <c r="J800" i="7"/>
  <c r="H296" i="7"/>
  <c r="H299" i="7"/>
  <c r="G365" i="7"/>
  <c r="J790" i="7"/>
  <c r="I608" i="1"/>
  <c r="I362" i="7"/>
  <c r="G296" i="7"/>
  <c r="J2069" i="1"/>
  <c r="J1108" i="7" s="1"/>
  <c r="J1848" i="1"/>
  <c r="J794" i="7"/>
  <c r="F752" i="1"/>
  <c r="F682" i="7"/>
  <c r="J1982" i="1"/>
  <c r="K1982" i="1" s="1"/>
  <c r="J634" i="1"/>
  <c r="J643" i="1" s="1"/>
  <c r="I640" i="1"/>
  <c r="H640" i="1"/>
  <c r="H644" i="1" s="1"/>
  <c r="L818" i="1"/>
  <c r="L819" i="1"/>
  <c r="K927" i="1"/>
  <c r="K928" i="1" s="1"/>
  <c r="I360" i="7"/>
  <c r="J924" i="1"/>
  <c r="J935" i="1" s="1"/>
  <c r="J934" i="1"/>
  <c r="G639" i="1"/>
  <c r="I935" i="1"/>
  <c r="I1099" i="1" s="1"/>
  <c r="I503" i="7" s="1"/>
  <c r="H638" i="1"/>
  <c r="H647" i="1" s="1"/>
  <c r="H362" i="7"/>
  <c r="K922" i="1"/>
  <c r="I148" i="1"/>
  <c r="I147" i="1" s="1"/>
  <c r="I1052" i="1" s="1"/>
  <c r="H962" i="1"/>
  <c r="H961" i="1" s="1"/>
  <c r="K593" i="1"/>
  <c r="K595" i="1" s="1"/>
  <c r="K932" i="1"/>
  <c r="L921" i="1"/>
  <c r="J1981" i="1"/>
  <c r="K1981" i="1" s="1"/>
  <c r="I925" i="1"/>
  <c r="M589" i="1"/>
  <c r="N589" i="1" s="1"/>
  <c r="L592" i="1"/>
  <c r="J594" i="1"/>
  <c r="J635" i="1" s="1"/>
  <c r="J644" i="1" s="1"/>
  <c r="M918" i="1"/>
  <c r="K929" i="1"/>
  <c r="K940" i="1" s="1"/>
  <c r="K923" i="1"/>
  <c r="K924" i="1" s="1"/>
  <c r="K935" i="1" s="1"/>
  <c r="H359" i="7"/>
  <c r="H148" i="1"/>
  <c r="H147" i="1" s="1"/>
  <c r="G682" i="7"/>
  <c r="L1910" i="1"/>
  <c r="I293" i="7"/>
  <c r="L1765" i="1"/>
  <c r="L998" i="7" s="1"/>
  <c r="M1764" i="1"/>
  <c r="N1764" i="1" s="1"/>
  <c r="J601" i="1"/>
  <c r="K865" i="1"/>
  <c r="K866" i="1"/>
  <c r="J294" i="7"/>
  <c r="J605" i="1"/>
  <c r="J295" i="7"/>
  <c r="I297" i="7"/>
  <c r="I606" i="1"/>
  <c r="I647" i="1" s="1"/>
  <c r="K566" i="1"/>
  <c r="K603" i="1" s="1"/>
  <c r="K602" i="1"/>
  <c r="J999" i="7"/>
  <c r="K1766" i="1"/>
  <c r="L869" i="1"/>
  <c r="L863" i="1"/>
  <c r="L864" i="1" s="1"/>
  <c r="J476" i="7"/>
  <c r="J1107" i="1"/>
  <c r="H510" i="7"/>
  <c r="H1096" i="1"/>
  <c r="M561" i="1"/>
  <c r="N561" i="1" s="1"/>
  <c r="L564" i="1"/>
  <c r="L565" i="1" s="1"/>
  <c r="L566" i="1" s="1"/>
  <c r="K473" i="7"/>
  <c r="L1065" i="1"/>
  <c r="K1105" i="1"/>
  <c r="K1068" i="1"/>
  <c r="K462" i="7"/>
  <c r="L1054" i="1"/>
  <c r="K1057" i="1"/>
  <c r="K465" i="7" s="1"/>
  <c r="I1106" i="1"/>
  <c r="K1040" i="1"/>
  <c r="K452" i="7" s="1"/>
  <c r="L1037" i="1"/>
  <c r="K449" i="7"/>
  <c r="L862" i="1"/>
  <c r="K534" i="1"/>
  <c r="G1135" i="1"/>
  <c r="G539" i="7" s="1"/>
  <c r="J898" i="8"/>
  <c r="G124" i="8"/>
  <c r="G920" i="8" s="1"/>
  <c r="M143" i="1"/>
  <c r="K791" i="7"/>
  <c r="K293" i="8"/>
  <c r="M506" i="1"/>
  <c r="N505" i="1" s="1"/>
  <c r="N515" i="1" s="1"/>
  <c r="F125" i="8"/>
  <c r="F124" i="8" s="1"/>
  <c r="F2055" i="1"/>
  <c r="F1094" i="7" s="1"/>
  <c r="G2055" i="1"/>
  <c r="G1094" i="7" s="1"/>
  <c r="G671" i="7"/>
  <c r="G1122" i="1"/>
  <c r="G1120" i="1" s="1"/>
  <c r="G939" i="1"/>
  <c r="G962" i="1"/>
  <c r="G358" i="7"/>
  <c r="K1221" i="1"/>
  <c r="K623" i="7" s="1"/>
  <c r="I755" i="1"/>
  <c r="J754" i="1" s="1"/>
  <c r="F506" i="7"/>
  <c r="F1103" i="1"/>
  <c r="M1223" i="1"/>
  <c r="N1223" i="1" s="1"/>
  <c r="O1223" i="1" s="1"/>
  <c r="P1223" i="1" s="1"/>
  <c r="Q1223" i="1" s="1"/>
  <c r="G848" i="1"/>
  <c r="J623" i="7"/>
  <c r="K624" i="7"/>
  <c r="J1232" i="1"/>
  <c r="J635" i="7" s="1"/>
  <c r="K81" i="8"/>
  <c r="I79" i="8"/>
  <c r="K97" i="8"/>
  <c r="J1990" i="1"/>
  <c r="J1080" i="7" s="1"/>
  <c r="J79" i="8"/>
  <c r="K75" i="8"/>
  <c r="K71" i="8"/>
  <c r="K79" i="8"/>
  <c r="G79" i="8"/>
  <c r="H79" i="8"/>
  <c r="K73" i="8"/>
  <c r="L79" i="8"/>
  <c r="H103" i="8"/>
  <c r="J1230" i="1"/>
  <c r="J633" i="7" s="1"/>
  <c r="I1384" i="1"/>
  <c r="I1319" i="1" s="1"/>
  <c r="I160" i="8" s="1"/>
  <c r="I1234" i="1"/>
  <c r="I1595" i="1" s="1"/>
  <c r="I498" i="8" s="1"/>
  <c r="J627" i="7"/>
  <c r="M701" i="1"/>
  <c r="K333" i="7"/>
  <c r="S1275" i="1"/>
  <c r="J315" i="7"/>
  <c r="J339" i="7"/>
  <c r="J323" i="7"/>
  <c r="L1222" i="1"/>
  <c r="L624" i="7" s="1"/>
  <c r="K1225" i="1"/>
  <c r="K627" i="7" s="1"/>
  <c r="G1089" i="1"/>
  <c r="G493" i="7" s="1"/>
  <c r="J1228" i="1"/>
  <c r="J1429" i="1" s="1"/>
  <c r="J280" i="8" s="1"/>
  <c r="H783" i="7"/>
  <c r="F132" i="8"/>
  <c r="F131" i="8" s="1"/>
  <c r="F675" i="7"/>
  <c r="F1088" i="1"/>
  <c r="F492" i="7" s="1"/>
  <c r="F1304" i="1"/>
  <c r="I304" i="7"/>
  <c r="I308" i="7"/>
  <c r="J301" i="7"/>
  <c r="H906" i="8"/>
  <c r="H938" i="1"/>
  <c r="H939" i="1" s="1"/>
  <c r="F842" i="1"/>
  <c r="F1118" i="1" s="1"/>
  <c r="F522" i="7" s="1"/>
  <c r="F839" i="1"/>
  <c r="F108" i="1" s="1"/>
  <c r="F1156" i="1" s="1"/>
  <c r="F560" i="7" s="1"/>
  <c r="I526" i="7"/>
  <c r="I344" i="7"/>
  <c r="G347" i="7"/>
  <c r="I346" i="7"/>
  <c r="G344" i="7"/>
  <c r="H347" i="7"/>
  <c r="I341" i="7"/>
  <c r="I348" i="7"/>
  <c r="H2070" i="1"/>
  <c r="H1109" i="7" s="1"/>
  <c r="H1770" i="1"/>
  <c r="H1003" i="7" s="1"/>
  <c r="H1020" i="1"/>
  <c r="H1063" i="1" s="1"/>
  <c r="H471" i="7" s="1"/>
  <c r="H1914" i="1"/>
  <c r="K306" i="7"/>
  <c r="K325" i="7"/>
  <c r="F1122" i="1"/>
  <c r="F1120" i="1" s="1"/>
  <c r="G928" i="8"/>
  <c r="G906" i="8"/>
  <c r="F192" i="7"/>
  <c r="F113" i="8"/>
  <c r="F112" i="8" s="1"/>
  <c r="J109" i="7"/>
  <c r="K358" i="1"/>
  <c r="G751" i="1"/>
  <c r="J753" i="1" s="1"/>
  <c r="L290" i="1"/>
  <c r="K41" i="7"/>
  <c r="J385" i="7"/>
  <c r="J382" i="7"/>
  <c r="I86" i="7"/>
  <c r="J335" i="1"/>
  <c r="K302" i="7"/>
  <c r="K317" i="7"/>
  <c r="J2063" i="1"/>
  <c r="J1102" i="7" s="1"/>
  <c r="G131" i="8"/>
  <c r="G675" i="7"/>
  <c r="K332" i="7"/>
  <c r="K322" i="7"/>
  <c r="J897" i="8"/>
  <c r="K356" i="7"/>
  <c r="K337" i="7"/>
  <c r="L350" i="7"/>
  <c r="M378" i="1"/>
  <c r="N378" i="1" s="1"/>
  <c r="O378" i="1" s="1"/>
  <c r="P378" i="1" s="1"/>
  <c r="Q378" i="1" s="1"/>
  <c r="L129" i="7"/>
  <c r="K867" i="1"/>
  <c r="K868" i="1" s="1"/>
  <c r="L326" i="7"/>
  <c r="L522" i="1"/>
  <c r="L520" i="1"/>
  <c r="L519" i="1"/>
  <c r="L533" i="1" s="1"/>
  <c r="L521" i="1"/>
  <c r="M163" i="8"/>
  <c r="M157" i="8"/>
  <c r="M50" i="8"/>
  <c r="M313" i="8"/>
  <c r="M95" i="8"/>
  <c r="K611" i="7"/>
  <c r="K1206" i="1"/>
  <c r="K1228" i="1" s="1"/>
  <c r="L609" i="7"/>
  <c r="M1207" i="1"/>
  <c r="N1207" i="1" s="1"/>
  <c r="L1208" i="1"/>
  <c r="L610" i="7" s="1"/>
  <c r="L1209" i="1"/>
  <c r="L617" i="7"/>
  <c r="M1215" i="1"/>
  <c r="N1215" i="1" s="1"/>
  <c r="O1215" i="1" s="1"/>
  <c r="P1215" i="1" s="1"/>
  <c r="Q1215" i="1" s="1"/>
  <c r="M606" i="7"/>
  <c r="M26" i="7"/>
  <c r="M30" i="1"/>
  <c r="M27" i="7" s="1"/>
  <c r="M508" i="1"/>
  <c r="M518" i="1"/>
  <c r="M522" i="1" s="1"/>
  <c r="M1779" i="1"/>
  <c r="M1012" i="7" s="1"/>
  <c r="M1852" i="1"/>
  <c r="M505" i="1"/>
  <c r="M515" i="1" s="1"/>
  <c r="M516" i="1" s="1"/>
  <c r="M303" i="8"/>
  <c r="M155" i="8"/>
  <c r="M311" i="8"/>
  <c r="M93" i="8"/>
  <c r="I377" i="7"/>
  <c r="I374" i="7"/>
  <c r="J373" i="7"/>
  <c r="J654" i="1"/>
  <c r="J370" i="7" s="1"/>
  <c r="K657" i="1"/>
  <c r="M742" i="8"/>
  <c r="M890" i="8"/>
  <c r="M66" i="8"/>
  <c r="M122" i="8"/>
  <c r="M435" i="8"/>
  <c r="M667" i="8"/>
  <c r="M918" i="8"/>
  <c r="M39" i="8"/>
  <c r="M265" i="8"/>
  <c r="M564" i="8"/>
  <c r="M817" i="8"/>
  <c r="M274" i="1"/>
  <c r="J389" i="7"/>
  <c r="J386" i="7"/>
  <c r="M203" i="1"/>
  <c r="M485" i="7"/>
  <c r="G841" i="1"/>
  <c r="G120" i="1" s="1"/>
  <c r="G840" i="1"/>
  <c r="G1099" i="1"/>
  <c r="G503" i="7" s="1"/>
  <c r="G1425" i="1"/>
  <c r="G272" i="8" s="1"/>
  <c r="J381" i="7"/>
  <c r="J378" i="7"/>
  <c r="L393" i="7"/>
  <c r="L390" i="7"/>
  <c r="K397" i="7"/>
  <c r="K394" i="7"/>
  <c r="K261" i="1"/>
  <c r="K262" i="1" s="1"/>
  <c r="K258" i="1" s="1"/>
  <c r="L261" i="1" s="1"/>
  <c r="L262" i="1" s="1"/>
  <c r="L258" i="1" s="1"/>
  <c r="M261" i="1" s="1"/>
  <c r="M262" i="1" s="1"/>
  <c r="L310" i="7"/>
  <c r="H840" i="1"/>
  <c r="H841" i="1"/>
  <c r="H120" i="1" s="1"/>
  <c r="L302" i="7"/>
  <c r="I938" i="1"/>
  <c r="I401" i="7"/>
  <c r="I398" i="7"/>
  <c r="F935" i="1"/>
  <c r="F1099" i="1" s="1"/>
  <c r="F503" i="7" s="1"/>
  <c r="H935" i="1"/>
  <c r="F530" i="7"/>
  <c r="F840" i="1"/>
  <c r="L334" i="7"/>
  <c r="J341" i="7"/>
  <c r="J348" i="7"/>
  <c r="K249" i="1"/>
  <c r="L252" i="1" s="1"/>
  <c r="L253" i="1" s="1"/>
  <c r="J530" i="7"/>
  <c r="J343" i="7"/>
  <c r="L327" i="7"/>
  <c r="K747" i="1"/>
  <c r="K748" i="1"/>
  <c r="M745" i="1"/>
  <c r="M746" i="1"/>
  <c r="M749" i="1"/>
  <c r="M756" i="1"/>
  <c r="J331" i="7"/>
  <c r="K839" i="1"/>
  <c r="K108" i="1" s="1"/>
  <c r="K1156" i="1" s="1"/>
  <c r="K560" i="7" s="1"/>
  <c r="K842" i="1"/>
  <c r="K1118" i="1" s="1"/>
  <c r="K850" i="1"/>
  <c r="K838" i="1"/>
  <c r="L1069" i="7"/>
  <c r="M1979" i="1"/>
  <c r="N1979" i="1" s="1"/>
  <c r="L1980" i="1"/>
  <c r="L1070" i="7" s="1"/>
  <c r="M929" i="7"/>
  <c r="F1052" i="1"/>
  <c r="F1091" i="1"/>
  <c r="G1020" i="1"/>
  <c r="G1063" i="1" s="1"/>
  <c r="G471" i="7" s="1"/>
  <c r="G1062" i="1"/>
  <c r="G470" i="7" s="1"/>
  <c r="F1013" i="1"/>
  <c r="G947" i="1"/>
  <c r="G1012" i="1" s="1"/>
  <c r="H947" i="1"/>
  <c r="H1012" i="1" s="1"/>
  <c r="K353" i="7"/>
  <c r="K319" i="7"/>
  <c r="J97" i="8"/>
  <c r="K313" i="7"/>
  <c r="K314" i="7"/>
  <c r="K309" i="7"/>
  <c r="L351" i="7"/>
  <c r="M2042" i="1"/>
  <c r="N2042" i="1" s="1"/>
  <c r="L2043" i="1"/>
  <c r="L2044" i="1" s="1"/>
  <c r="M1908" i="1"/>
  <c r="N1908" i="1" s="1"/>
  <c r="L1909" i="1"/>
  <c r="M1837" i="1"/>
  <c r="N1837" i="1" s="1"/>
  <c r="L1838" i="1"/>
  <c r="L747" i="1"/>
  <c r="L748" i="1"/>
  <c r="L950" i="7"/>
  <c r="L492" i="8"/>
  <c r="M1592" i="1"/>
  <c r="G145" i="8"/>
  <c r="J634" i="7"/>
  <c r="I841" i="1"/>
  <c r="J89" i="8"/>
  <c r="F344" i="7"/>
  <c r="K29" i="7"/>
  <c r="K75" i="1"/>
  <c r="L674" i="8"/>
  <c r="K675" i="8"/>
  <c r="L676" i="8" s="1"/>
  <c r="L303" i="7"/>
  <c r="N449" i="7"/>
  <c r="L837" i="1"/>
  <c r="J791" i="7"/>
  <c r="K949" i="7"/>
  <c r="K490" i="8"/>
  <c r="I524" i="7"/>
  <c r="I1567" i="1"/>
  <c r="I446" i="8" s="1"/>
  <c r="K822" i="8"/>
  <c r="J823" i="8"/>
  <c r="K824" i="8" s="1"/>
  <c r="L335" i="7"/>
  <c r="J312" i="7"/>
  <c r="K301" i="7"/>
  <c r="K622" i="7"/>
  <c r="J354" i="7"/>
  <c r="J81" i="8"/>
  <c r="I844" i="1"/>
  <c r="F347" i="7"/>
  <c r="G1021" i="1"/>
  <c r="G1078" i="1" s="1"/>
  <c r="G482" i="7" s="1"/>
  <c r="G1077" i="1"/>
  <c r="G481" i="7" s="1"/>
  <c r="H1021" i="1"/>
  <c r="H1078" i="1" s="1"/>
  <c r="H482" i="7" s="1"/>
  <c r="H1077" i="1"/>
  <c r="H481" i="7" s="1"/>
  <c r="F947" i="1"/>
  <c r="F1025" i="1"/>
  <c r="J231" i="1"/>
  <c r="J281" i="1"/>
  <c r="J32" i="7" s="1"/>
  <c r="J102" i="1"/>
  <c r="J498" i="1"/>
  <c r="J538" i="1"/>
  <c r="J264" i="7" s="1"/>
  <c r="J549" i="1"/>
  <c r="J278" i="7" s="1"/>
  <c r="J559" i="1"/>
  <c r="J599" i="1"/>
  <c r="J291" i="7" s="1"/>
  <c r="J652" i="1"/>
  <c r="J368" i="7" s="1"/>
  <c r="J677" i="1"/>
  <c r="J405" i="7" s="1"/>
  <c r="J693" i="1"/>
  <c r="J853" i="1"/>
  <c r="J943" i="1"/>
  <c r="J1028" i="1"/>
  <c r="J440" i="7" s="1"/>
  <c r="J739" i="1"/>
  <c r="J1113" i="1"/>
  <c r="J517" i="7" s="1"/>
  <c r="J1201" i="1"/>
  <c r="J603" i="7" s="1"/>
  <c r="J1267" i="1"/>
  <c r="J1299" i="1"/>
  <c r="J669" i="7" s="1"/>
  <c r="J1421" i="1"/>
  <c r="J775" i="7" s="1"/>
  <c r="J1561" i="1"/>
  <c r="J919" i="7" s="1"/>
  <c r="J1656" i="1"/>
  <c r="J964" i="7" s="1"/>
  <c r="J1976" i="1"/>
  <c r="J1066" i="7" s="1"/>
  <c r="J2053" i="1"/>
  <c r="J1092" i="7" s="1"/>
  <c r="J1178" i="1"/>
  <c r="J582" i="7" s="1"/>
  <c r="J1377" i="1"/>
  <c r="J1759" i="1"/>
  <c r="J992" i="7" s="1"/>
  <c r="J1832" i="1"/>
  <c r="J1905" i="1"/>
  <c r="J2002" i="1"/>
  <c r="J306" i="7"/>
  <c r="K335" i="7"/>
  <c r="K321" i="7"/>
  <c r="H279" i="8"/>
  <c r="J841" i="1"/>
  <c r="J840" i="1"/>
  <c r="H689" i="7"/>
  <c r="J444" i="7"/>
  <c r="J75" i="8"/>
  <c r="K794" i="7"/>
  <c r="K109" i="8"/>
  <c r="K749" i="8"/>
  <c r="J750" i="8"/>
  <c r="K751" i="8" s="1"/>
  <c r="M669" i="8"/>
  <c r="N669" i="8" s="1"/>
  <c r="L670" i="8"/>
  <c r="L744" i="8"/>
  <c r="L745" i="8" s="1"/>
  <c r="L892" i="8"/>
  <c r="L893" i="8" s="1"/>
  <c r="L819" i="8"/>
  <c r="L820" i="8" s="1"/>
  <c r="J328" i="7"/>
  <c r="L319" i="7"/>
  <c r="J314" i="7"/>
  <c r="J161" i="7"/>
  <c r="K395" i="1"/>
  <c r="N144" i="7"/>
  <c r="K750" i="1"/>
  <c r="J340" i="7"/>
  <c r="J77" i="8"/>
  <c r="J71" i="8"/>
  <c r="L28" i="7"/>
  <c r="M31" i="1"/>
  <c r="N31" i="1" s="1"/>
  <c r="L32" i="1"/>
  <c r="F79" i="8"/>
  <c r="N462" i="7"/>
  <c r="I783" i="7"/>
  <c r="I279" i="8"/>
  <c r="I1770" i="1"/>
  <c r="I1914" i="1"/>
  <c r="I2070" i="1"/>
  <c r="M162" i="1"/>
  <c r="H953" i="7"/>
  <c r="H497" i="8"/>
  <c r="J295" i="8"/>
  <c r="K445" i="7"/>
  <c r="L895" i="8"/>
  <c r="K896" i="8"/>
  <c r="G1156" i="1"/>
  <c r="G560" i="7" s="1"/>
  <c r="L240" i="1"/>
  <c r="M243" i="1" s="1"/>
  <c r="M244" i="1" s="1"/>
  <c r="J345" i="7"/>
  <c r="K267" i="1"/>
  <c r="L269" i="1" s="1"/>
  <c r="L270" i="1" s="1"/>
  <c r="J355" i="7"/>
  <c r="N1070" i="1" l="1"/>
  <c r="N1071" i="1" s="1"/>
  <c r="G645" i="1"/>
  <c r="M834" i="1"/>
  <c r="N833" i="1" s="1"/>
  <c r="I300" i="7"/>
  <c r="I649" i="1"/>
  <c r="I365" i="7" s="1"/>
  <c r="H360" i="7"/>
  <c r="H107" i="1"/>
  <c r="H1155" i="1" s="1"/>
  <c r="H559" i="7" s="1"/>
  <c r="H1301" i="1"/>
  <c r="G1108" i="1"/>
  <c r="G512" i="7" s="1"/>
  <c r="H649" i="1"/>
  <c r="H365" i="7" s="1"/>
  <c r="J933" i="8"/>
  <c r="J759" i="8"/>
  <c r="J931" i="8"/>
  <c r="J830" i="8"/>
  <c r="J760" i="8"/>
  <c r="J934" i="8"/>
  <c r="K501" i="8"/>
  <c r="K500" i="8" s="1"/>
  <c r="O2042" i="1"/>
  <c r="Q164" i="1"/>
  <c r="Q163" i="1" s="1"/>
  <c r="Q162" i="1" s="1"/>
  <c r="P163" i="1"/>
  <c r="O507" i="1"/>
  <c r="O1779" i="1"/>
  <c r="O508" i="1"/>
  <c r="O506" i="1"/>
  <c r="O516" i="1"/>
  <c r="O1852" i="1"/>
  <c r="P29" i="1"/>
  <c r="O518" i="1"/>
  <c r="O30" i="1"/>
  <c r="P917" i="1"/>
  <c r="O918" i="1"/>
  <c r="P260" i="1"/>
  <c r="O274" i="1"/>
  <c r="P273" i="1"/>
  <c r="O203" i="1"/>
  <c r="P197" i="1"/>
  <c r="P963" i="1"/>
  <c r="N592" i="1"/>
  <c r="O589" i="1"/>
  <c r="O689" i="8"/>
  <c r="O312" i="8"/>
  <c r="O311" i="8" s="1"/>
  <c r="O284" i="8"/>
  <c r="O283" i="8" s="1"/>
  <c r="O505" i="8"/>
  <c r="O504" i="8" s="1"/>
  <c r="O156" i="8"/>
  <c r="O155" i="8" s="1"/>
  <c r="O113" i="8"/>
  <c r="O112" i="8" s="1"/>
  <c r="O764" i="8"/>
  <c r="O454" i="8"/>
  <c r="O453" i="8" s="1"/>
  <c r="O158" i="8"/>
  <c r="O157" i="8" s="1"/>
  <c r="O34" i="8"/>
  <c r="O304" i="8"/>
  <c r="O303" i="8" s="1"/>
  <c r="O92" i="8"/>
  <c r="O91" i="8" s="1"/>
  <c r="O80" i="8"/>
  <c r="O79" i="8" s="1"/>
  <c r="O51" i="8"/>
  <c r="O50" i="8" s="1"/>
  <c r="O96" i="8"/>
  <c r="O95" i="8" s="1"/>
  <c r="O94" i="8"/>
  <c r="O93" i="8" s="1"/>
  <c r="O164" i="8"/>
  <c r="O163" i="8" s="1"/>
  <c r="O314" i="8"/>
  <c r="O313" i="8" s="1"/>
  <c r="P33" i="8"/>
  <c r="O162" i="1"/>
  <c r="P167" i="1"/>
  <c r="K310" i="8"/>
  <c r="K309" i="8" s="1"/>
  <c r="K290" i="8"/>
  <c r="K289" i="8" s="1"/>
  <c r="Q35" i="8"/>
  <c r="Q36" i="8" s="1"/>
  <c r="P36" i="8"/>
  <c r="N858" i="1"/>
  <c r="N931" i="1" s="1"/>
  <c r="N1033" i="1" s="1"/>
  <c r="O857" i="1"/>
  <c r="N32" i="1"/>
  <c r="O31" i="1"/>
  <c r="J637" i="1"/>
  <c r="J638" i="1" s="1"/>
  <c r="O1908" i="1"/>
  <c r="K90" i="8"/>
  <c r="K89" i="8" s="1"/>
  <c r="K292" i="8"/>
  <c r="K291" i="8" s="1"/>
  <c r="N564" i="1"/>
  <c r="O561" i="1"/>
  <c r="J87" i="8"/>
  <c r="J86" i="8" s="1"/>
  <c r="N506" i="1"/>
  <c r="O505" i="1" s="1"/>
  <c r="O515" i="1" s="1"/>
  <c r="O742" i="8"/>
  <c r="O435" i="8"/>
  <c r="O817" i="8"/>
  <c r="O122" i="8"/>
  <c r="O66" i="8"/>
  <c r="O564" i="8"/>
  <c r="O890" i="8"/>
  <c r="O918" i="8"/>
  <c r="O265" i="8"/>
  <c r="O39" i="8"/>
  <c r="O667" i="8"/>
  <c r="O1004" i="1"/>
  <c r="P1006" i="1"/>
  <c r="L584" i="7"/>
  <c r="P144" i="1"/>
  <c r="O143" i="1"/>
  <c r="L883" i="1"/>
  <c r="M882" i="1" s="1"/>
  <c r="M883" i="1" s="1"/>
  <c r="N522" i="1"/>
  <c r="N529" i="1" s="1"/>
  <c r="N124" i="1" s="1"/>
  <c r="N521" i="1"/>
  <c r="N535" i="1" s="1"/>
  <c r="N520" i="1"/>
  <c r="N517" i="1" s="1"/>
  <c r="N532" i="1" s="1"/>
  <c r="N519" i="1"/>
  <c r="N898" i="1"/>
  <c r="O897" i="1" s="1"/>
  <c r="N1012" i="1"/>
  <c r="N436" i="1"/>
  <c r="N2035" i="1"/>
  <c r="N2034" i="1"/>
  <c r="N844" i="1"/>
  <c r="N2033" i="1"/>
  <c r="N1233" i="1"/>
  <c r="N1591" i="1" s="1"/>
  <c r="N491" i="8" s="1"/>
  <c r="N490" i="8" s="1"/>
  <c r="N845" i="1"/>
  <c r="N486" i="1"/>
  <c r="N2030" i="1"/>
  <c r="N1015" i="1"/>
  <c r="N428" i="1"/>
  <c r="N2028" i="1"/>
  <c r="N2029" i="1"/>
  <c r="N1014" i="1"/>
  <c r="N842" i="1"/>
  <c r="N1118" i="1" s="1"/>
  <c r="N841" i="1"/>
  <c r="N120" i="1" s="1"/>
  <c r="N1226" i="1"/>
  <c r="N850" i="1"/>
  <c r="N463" i="1"/>
  <c r="N1180" i="1"/>
  <c r="N533" i="1"/>
  <c r="O88" i="1"/>
  <c r="N1227" i="1"/>
  <c r="N531" i="1"/>
  <c r="N838" i="1"/>
  <c r="N837" i="1"/>
  <c r="N840" i="1"/>
  <c r="N839" i="1"/>
  <c r="N108" i="1" s="1"/>
  <c r="N1156" i="1" s="1"/>
  <c r="N475" i="1"/>
  <c r="N921" i="1"/>
  <c r="N922" i="1" s="1"/>
  <c r="L1272" i="1"/>
  <c r="L74" i="8" s="1"/>
  <c r="J907" i="8"/>
  <c r="L1274" i="1"/>
  <c r="L78" i="8" s="1"/>
  <c r="O1979" i="1"/>
  <c r="M862" i="1"/>
  <c r="N758" i="8"/>
  <c r="N831" i="8"/>
  <c r="N913" i="1"/>
  <c r="O912" i="1" s="1"/>
  <c r="O913" i="1" s="1"/>
  <c r="P912" i="1" s="1"/>
  <c r="Q91" i="1"/>
  <c r="Q92" i="1" s="1"/>
  <c r="P92" i="1"/>
  <c r="O1764" i="1"/>
  <c r="N819" i="8"/>
  <c r="N820" i="8" s="1"/>
  <c r="O669" i="8"/>
  <c r="N892" i="8"/>
  <c r="N893" i="8" s="1"/>
  <c r="N744" i="8"/>
  <c r="N745" i="8" s="1"/>
  <c r="N670" i="8"/>
  <c r="N1592" i="1"/>
  <c r="M493" i="8"/>
  <c r="M492" i="8" s="1"/>
  <c r="N1209" i="1"/>
  <c r="N1206" i="1" s="1"/>
  <c r="N1208" i="1"/>
  <c r="O1207" i="1"/>
  <c r="L241" i="7"/>
  <c r="O1837" i="1"/>
  <c r="K296" i="8"/>
  <c r="K295" i="8" s="1"/>
  <c r="N969" i="1"/>
  <c r="N970" i="1" s="1"/>
  <c r="N919" i="1"/>
  <c r="N920" i="1" s="1"/>
  <c r="N988" i="1"/>
  <c r="N989" i="1" s="1"/>
  <c r="N950" i="1"/>
  <c r="N951" i="1" s="1"/>
  <c r="N904" i="1"/>
  <c r="N905" i="1" s="1"/>
  <c r="N889" i="1"/>
  <c r="N890" i="1" s="1"/>
  <c r="N1082" i="1"/>
  <c r="N1083" i="1" s="1"/>
  <c r="N964" i="1"/>
  <c r="N965" i="1" s="1"/>
  <c r="N704" i="1"/>
  <c r="N705" i="1" s="1"/>
  <c r="O80" i="1"/>
  <c r="O1042" i="1" s="1"/>
  <c r="O1043" i="1" s="1"/>
  <c r="N1066" i="1"/>
  <c r="N1067" i="1" s="1"/>
  <c r="N1038" i="1"/>
  <c r="N1039" i="1" s="1"/>
  <c r="N983" i="1"/>
  <c r="N984" i="1" s="1"/>
  <c r="N725" i="1"/>
  <c r="N726" i="1" s="1"/>
  <c r="N859" i="1"/>
  <c r="N860" i="1" s="1"/>
  <c r="N569" i="1"/>
  <c r="N570" i="1" s="1"/>
  <c r="N1055" i="1"/>
  <c r="N1056" i="1" s="1"/>
  <c r="N874" i="1"/>
  <c r="N875" i="1" s="1"/>
  <c r="N974" i="1"/>
  <c r="N975" i="1" s="1"/>
  <c r="N731" i="1"/>
  <c r="N732" i="1" s="1"/>
  <c r="N590" i="1"/>
  <c r="N591" i="1" s="1"/>
  <c r="N1007" i="1"/>
  <c r="N1008" i="1" s="1"/>
  <c r="N562" i="1"/>
  <c r="N563" i="1" s="1"/>
  <c r="N697" i="1"/>
  <c r="N698" i="1" s="1"/>
  <c r="N711" i="1"/>
  <c r="N712" i="1" s="1"/>
  <c r="N955" i="1"/>
  <c r="N956" i="1" s="1"/>
  <c r="N576" i="1"/>
  <c r="N577" i="1" s="1"/>
  <c r="N718" i="1"/>
  <c r="N719" i="1" s="1"/>
  <c r="N998" i="1"/>
  <c r="N999" i="1" s="1"/>
  <c r="N81" i="1"/>
  <c r="N1980" i="1" s="1"/>
  <c r="N993" i="1"/>
  <c r="N994" i="1" s="1"/>
  <c r="N583" i="1"/>
  <c r="N584" i="1" s="1"/>
  <c r="M507" i="1"/>
  <c r="M1083" i="1"/>
  <c r="M487" i="7" s="1"/>
  <c r="G1025" i="1"/>
  <c r="H1013" i="1"/>
  <c r="H1049" i="1" s="1"/>
  <c r="H457" i="7" s="1"/>
  <c r="K790" i="7"/>
  <c r="I972" i="1"/>
  <c r="I971" i="1" s="1"/>
  <c r="I966" i="1"/>
  <c r="K1847" i="1"/>
  <c r="M463" i="7"/>
  <c r="K2068" i="1"/>
  <c r="K1107" i="7" s="1"/>
  <c r="L202" i="7"/>
  <c r="M2033" i="1"/>
  <c r="L1440" i="1"/>
  <c r="L252" i="7"/>
  <c r="L1597" i="1"/>
  <c r="M1226" i="1"/>
  <c r="M1285" i="1" s="1"/>
  <c r="M98" i="8" s="1"/>
  <c r="M486" i="1"/>
  <c r="M252" i="7" s="1"/>
  <c r="M1839" i="1"/>
  <c r="M436" i="1"/>
  <c r="M202" i="7" s="1"/>
  <c r="M2029" i="1"/>
  <c r="M428" i="1"/>
  <c r="M1272" i="1" s="1"/>
  <c r="M74" i="8" s="1"/>
  <c r="K792" i="7"/>
  <c r="S628" i="1"/>
  <c r="F1108" i="1"/>
  <c r="F512" i="7" s="1"/>
  <c r="M770" i="1"/>
  <c r="M771" i="1"/>
  <c r="F1084" i="1"/>
  <c r="F488" i="7" s="1"/>
  <c r="F484" i="7"/>
  <c r="S620" i="1"/>
  <c r="H1080" i="1"/>
  <c r="H1084" i="1" s="1"/>
  <c r="G1136" i="1"/>
  <c r="M786" i="1"/>
  <c r="M787" i="1"/>
  <c r="G484" i="7"/>
  <c r="F1139" i="1"/>
  <c r="F1137" i="1" s="1"/>
  <c r="F541" i="7" s="1"/>
  <c r="M803" i="1"/>
  <c r="M802" i="1"/>
  <c r="L1285" i="1"/>
  <c r="L98" i="8" s="1"/>
  <c r="L1438" i="1"/>
  <c r="L296" i="8" s="1"/>
  <c r="L1273" i="1"/>
  <c r="L76" i="8" s="1"/>
  <c r="L629" i="7"/>
  <c r="K804" i="7"/>
  <c r="L1591" i="1"/>
  <c r="S612" i="1"/>
  <c r="L1436" i="1"/>
  <c r="K1848" i="1"/>
  <c r="G1084" i="1"/>
  <c r="G488" i="7" s="1"/>
  <c r="K1916" i="1"/>
  <c r="K789" i="7"/>
  <c r="K800" i="7"/>
  <c r="K2069" i="1"/>
  <c r="K1108" i="7" s="1"/>
  <c r="K1279" i="1"/>
  <c r="K87" i="8" s="1"/>
  <c r="M1067" i="1"/>
  <c r="M475" i="7" s="1"/>
  <c r="G363" i="7"/>
  <c r="K1991" i="1"/>
  <c r="K1081" i="7" s="1"/>
  <c r="F1423" i="1"/>
  <c r="F268" i="8" s="1"/>
  <c r="K803" i="7"/>
  <c r="K2066" i="1"/>
  <c r="K1105" i="7" s="1"/>
  <c r="I604" i="1"/>
  <c r="M475" i="1"/>
  <c r="M1274" i="1" s="1"/>
  <c r="M78" i="8" s="1"/>
  <c r="L194" i="7"/>
  <c r="M2035" i="1"/>
  <c r="M463" i="1"/>
  <c r="M1273" i="1" s="1"/>
  <c r="M76" i="8" s="1"/>
  <c r="M2034" i="1"/>
  <c r="M529" i="1"/>
  <c r="M124" i="1" s="1"/>
  <c r="G116" i="1"/>
  <c r="G115" i="1" s="1"/>
  <c r="M2030" i="1"/>
  <c r="L1446" i="1"/>
  <c r="L310" i="8" s="1"/>
  <c r="M531" i="1"/>
  <c r="M2028" i="1"/>
  <c r="L1281" i="1"/>
  <c r="M931" i="1"/>
  <c r="M1033" i="1" s="1"/>
  <c r="M445" i="7" s="1"/>
  <c r="M1180" i="1"/>
  <c r="M1281" i="1" s="1"/>
  <c r="M90" i="8" s="1"/>
  <c r="M1233" i="1"/>
  <c r="M636" i="7" s="1"/>
  <c r="L495" i="1"/>
  <c r="L261" i="7" s="1"/>
  <c r="M1039" i="1"/>
  <c r="M451" i="7" s="1"/>
  <c r="M1227" i="1"/>
  <c r="M1450" i="1" s="1"/>
  <c r="M318" i="8" s="1"/>
  <c r="L630" i="7"/>
  <c r="L1292" i="1"/>
  <c r="L110" i="8" s="1"/>
  <c r="J1072" i="7"/>
  <c r="K955" i="7"/>
  <c r="J148" i="1"/>
  <c r="J147" i="1" s="1"/>
  <c r="J1091" i="1" s="1"/>
  <c r="J495" i="7" s="1"/>
  <c r="H1423" i="1"/>
  <c r="H636" i="1"/>
  <c r="K634" i="1"/>
  <c r="K633" i="1" s="1"/>
  <c r="J633" i="1"/>
  <c r="J642" i="1" s="1"/>
  <c r="J1099" i="1"/>
  <c r="J503" i="7" s="1"/>
  <c r="K594" i="1"/>
  <c r="K635" i="1" s="1"/>
  <c r="K644" i="1" s="1"/>
  <c r="L567" i="1"/>
  <c r="J1071" i="7"/>
  <c r="L602" i="1"/>
  <c r="K934" i="1"/>
  <c r="K1425" i="1" s="1"/>
  <c r="I1301" i="1"/>
  <c r="I125" i="8" s="1"/>
  <c r="I636" i="1"/>
  <c r="K925" i="1"/>
  <c r="L927" i="1"/>
  <c r="L928" i="1" s="1"/>
  <c r="I107" i="1"/>
  <c r="I1155" i="1" s="1"/>
  <c r="I559" i="7" s="1"/>
  <c r="K926" i="1"/>
  <c r="J925" i="1"/>
  <c r="J926" i="1"/>
  <c r="H639" i="1"/>
  <c r="H648" i="1" s="1"/>
  <c r="M818" i="1"/>
  <c r="M819" i="1"/>
  <c r="I962" i="1"/>
  <c r="I961" i="1" s="1"/>
  <c r="I639" i="1"/>
  <c r="L929" i="1"/>
  <c r="L940" i="1" s="1"/>
  <c r="L923" i="1"/>
  <c r="L934" i="1" s="1"/>
  <c r="L932" i="1"/>
  <c r="I1425" i="1"/>
  <c r="I272" i="8" s="1"/>
  <c r="L922" i="1"/>
  <c r="L933" i="1" s="1"/>
  <c r="M592" i="1"/>
  <c r="K1122" i="1"/>
  <c r="K526" i="7" s="1"/>
  <c r="K933" i="1"/>
  <c r="J1425" i="1"/>
  <c r="J272" i="8" s="1"/>
  <c r="K1126" i="1"/>
  <c r="K530" i="7" s="1"/>
  <c r="H1091" i="1"/>
  <c r="H495" i="7" s="1"/>
  <c r="H1052" i="1"/>
  <c r="M921" i="1"/>
  <c r="I1091" i="1"/>
  <c r="I495" i="7" s="1"/>
  <c r="H358" i="7"/>
  <c r="H1135" i="1"/>
  <c r="H539" i="7" s="1"/>
  <c r="H1138" i="1"/>
  <c r="H542" i="7" s="1"/>
  <c r="L593" i="1"/>
  <c r="M1765" i="1"/>
  <c r="M998" i="7" s="1"/>
  <c r="M997" i="7"/>
  <c r="I607" i="1"/>
  <c r="I298" i="7"/>
  <c r="J293" i="7"/>
  <c r="M1910" i="1"/>
  <c r="L603" i="1"/>
  <c r="J297" i="7"/>
  <c r="J606" i="1"/>
  <c r="J608" i="1"/>
  <c r="K295" i="7"/>
  <c r="K294" i="7"/>
  <c r="K1232" i="1"/>
  <c r="K1234" i="1" s="1"/>
  <c r="K605" i="1"/>
  <c r="K601" i="1"/>
  <c r="G1139" i="1"/>
  <c r="G543" i="7" s="1"/>
  <c r="K999" i="7"/>
  <c r="L1766" i="1"/>
  <c r="L866" i="1"/>
  <c r="L1105" i="1"/>
  <c r="L509" i="7" s="1"/>
  <c r="L473" i="7"/>
  <c r="M1065" i="1"/>
  <c r="N1065" i="1" s="1"/>
  <c r="N1105" i="1" s="1"/>
  <c r="L1068" i="1"/>
  <c r="M863" i="1"/>
  <c r="M864" i="1" s="1"/>
  <c r="M869" i="1"/>
  <c r="I510" i="7"/>
  <c r="I1096" i="1"/>
  <c r="K1107" i="1"/>
  <c r="K511" i="7" s="1"/>
  <c r="K476" i="7"/>
  <c r="M564" i="1"/>
  <c r="M565" i="1" s="1"/>
  <c r="M567" i="1" s="1"/>
  <c r="M1054" i="1"/>
  <c r="N1054" i="1" s="1"/>
  <c r="L462" i="7"/>
  <c r="L1057" i="1"/>
  <c r="L465" i="7" s="1"/>
  <c r="L865" i="1"/>
  <c r="K509" i="7"/>
  <c r="H1312" i="1"/>
  <c r="H146" i="8" s="1"/>
  <c r="H500" i="7"/>
  <c r="J1106" i="1"/>
  <c r="J511" i="7"/>
  <c r="L449" i="7"/>
  <c r="M1037" i="1"/>
  <c r="N1037" i="1" s="1"/>
  <c r="L1040" i="1"/>
  <c r="L452" i="7" s="1"/>
  <c r="G526" i="7"/>
  <c r="G777" i="7"/>
  <c r="H1025" i="1"/>
  <c r="J755" i="1"/>
  <c r="K754" i="1" s="1"/>
  <c r="G961" i="1"/>
  <c r="G1013" i="1" s="1"/>
  <c r="G1011" i="1" s="1"/>
  <c r="M625" i="7"/>
  <c r="L1221" i="1"/>
  <c r="K897" i="8"/>
  <c r="J1234" i="1"/>
  <c r="J1595" i="1" s="1"/>
  <c r="J498" i="8" s="1"/>
  <c r="H1089" i="1"/>
  <c r="H493" i="7" s="1"/>
  <c r="J1104" i="1"/>
  <c r="J508" i="7" s="1"/>
  <c r="G267" i="8"/>
  <c r="I637" i="7"/>
  <c r="I1104" i="1"/>
  <c r="I508" i="7" s="1"/>
  <c r="I1102" i="1"/>
  <c r="F507" i="7"/>
  <c r="F1092" i="1"/>
  <c r="H1102" i="1"/>
  <c r="H1104" i="1"/>
  <c r="H508" i="7" s="1"/>
  <c r="H848" i="1"/>
  <c r="I689" i="7"/>
  <c r="I159" i="8"/>
  <c r="J752" i="1"/>
  <c r="K342" i="7"/>
  <c r="L1220" i="1"/>
  <c r="L622" i="7" s="1"/>
  <c r="M1222" i="1"/>
  <c r="N1222" i="1" s="1"/>
  <c r="J631" i="7"/>
  <c r="J1384" i="1"/>
  <c r="J1319" i="1" s="1"/>
  <c r="J160" i="8" s="1"/>
  <c r="J1289" i="1"/>
  <c r="J104" i="8" s="1"/>
  <c r="K1230" i="1"/>
  <c r="K633" i="7" s="1"/>
  <c r="K1231" i="1"/>
  <c r="K634" i="7" s="1"/>
  <c r="L1225" i="1"/>
  <c r="L1231" i="1" s="1"/>
  <c r="L634" i="7" s="1"/>
  <c r="F130" i="8"/>
  <c r="F129" i="8" s="1"/>
  <c r="F674" i="7"/>
  <c r="G1304" i="1"/>
  <c r="G130" i="8" s="1"/>
  <c r="G1088" i="1"/>
  <c r="G492" i="7" s="1"/>
  <c r="J307" i="7"/>
  <c r="I307" i="7"/>
  <c r="J308" i="7"/>
  <c r="L332" i="7"/>
  <c r="M527" i="1"/>
  <c r="M1437" i="1" s="1"/>
  <c r="M294" i="8" s="1"/>
  <c r="K305" i="7"/>
  <c r="L324" i="7"/>
  <c r="F526" i="7"/>
  <c r="F841" i="1"/>
  <c r="F120" i="1" s="1"/>
  <c r="L316" i="7"/>
  <c r="L349" i="7"/>
  <c r="K339" i="7"/>
  <c r="L301" i="7"/>
  <c r="H1305" i="1"/>
  <c r="H132" i="8" s="1"/>
  <c r="K343" i="7"/>
  <c r="I347" i="7"/>
  <c r="J344" i="7"/>
  <c r="I947" i="1"/>
  <c r="I1012" i="1" s="1"/>
  <c r="I1018" i="1" s="1"/>
  <c r="H1311" i="1"/>
  <c r="H144" i="8" s="1"/>
  <c r="L318" i="7"/>
  <c r="K109" i="7"/>
  <c r="L358" i="1"/>
  <c r="G753" i="1"/>
  <c r="I358" i="7"/>
  <c r="I1135" i="1"/>
  <c r="I539" i="7" s="1"/>
  <c r="I1004" i="1"/>
  <c r="I1015" i="1" s="1"/>
  <c r="I1138" i="1"/>
  <c r="I542" i="7" s="1"/>
  <c r="I753" i="1"/>
  <c r="H753" i="1"/>
  <c r="H752" i="1"/>
  <c r="I752" i="1"/>
  <c r="G752" i="1"/>
  <c r="K335" i="1"/>
  <c r="J86" i="7"/>
  <c r="I845" i="1"/>
  <c r="I1424" i="1" s="1"/>
  <c r="I270" i="8" s="1"/>
  <c r="L333" i="7"/>
  <c r="K382" i="7"/>
  <c r="K385" i="7"/>
  <c r="M290" i="1"/>
  <c r="N290" i="1" s="1"/>
  <c r="O290" i="1" s="1"/>
  <c r="P290" i="1" s="1"/>
  <c r="Q290" i="1" s="1"/>
  <c r="L41" i="7"/>
  <c r="K315" i="7"/>
  <c r="L308" i="7"/>
  <c r="L309" i="7"/>
  <c r="K328" i="7"/>
  <c r="K329" i="7"/>
  <c r="K755" i="1"/>
  <c r="L754" i="1" s="1"/>
  <c r="M837" i="1"/>
  <c r="M1032" i="1" s="1"/>
  <c r="M444" i="7" s="1"/>
  <c r="M129" i="7"/>
  <c r="M838" i="1"/>
  <c r="K381" i="7"/>
  <c r="K378" i="7"/>
  <c r="N485" i="7"/>
  <c r="N474" i="7"/>
  <c r="N475" i="7"/>
  <c r="K389" i="7"/>
  <c r="K386" i="7"/>
  <c r="K373" i="7"/>
  <c r="L657" i="1"/>
  <c r="K654" i="1"/>
  <c r="K370" i="7" s="1"/>
  <c r="L867" i="1"/>
  <c r="M758" i="8"/>
  <c r="M831" i="8"/>
  <c r="N26" i="7"/>
  <c r="N27" i="7"/>
  <c r="N1012" i="7"/>
  <c r="N606" i="7"/>
  <c r="M617" i="7"/>
  <c r="L534" i="1"/>
  <c r="L517" i="1"/>
  <c r="L532" i="1" s="1"/>
  <c r="L529" i="1"/>
  <c r="L124" i="1" s="1"/>
  <c r="L527" i="1"/>
  <c r="L1437" i="1" s="1"/>
  <c r="L294" i="8" s="1"/>
  <c r="L397" i="7"/>
  <c r="L394" i="7"/>
  <c r="M393" i="7"/>
  <c r="M390" i="7"/>
  <c r="G271" i="8"/>
  <c r="G779" i="7"/>
  <c r="G844" i="1"/>
  <c r="G845" i="1"/>
  <c r="N486" i="7"/>
  <c r="N487" i="7"/>
  <c r="N463" i="7"/>
  <c r="N464" i="7"/>
  <c r="N450" i="7"/>
  <c r="N451" i="7"/>
  <c r="N997" i="7"/>
  <c r="N998" i="7"/>
  <c r="J377" i="7"/>
  <c r="J374" i="7"/>
  <c r="G1567" i="1"/>
  <c r="G446" i="8" s="1"/>
  <c r="G524" i="7"/>
  <c r="L611" i="7"/>
  <c r="L1206" i="1"/>
  <c r="L608" i="7" s="1"/>
  <c r="M609" i="7"/>
  <c r="M1208" i="1"/>
  <c r="M1209" i="1"/>
  <c r="K608" i="7"/>
  <c r="L535" i="1"/>
  <c r="M520" i="1"/>
  <c r="M519" i="1"/>
  <c r="M533" i="1" s="1"/>
  <c r="M521" i="1"/>
  <c r="M535" i="1" s="1"/>
  <c r="N625" i="7"/>
  <c r="M350" i="7"/>
  <c r="M302" i="7"/>
  <c r="M303" i="7"/>
  <c r="F843" i="1"/>
  <c r="H1099" i="1"/>
  <c r="H503" i="7" s="1"/>
  <c r="H1425" i="1"/>
  <c r="H272" i="8" s="1"/>
  <c r="F936" i="1"/>
  <c r="H845" i="1"/>
  <c r="H844" i="1"/>
  <c r="F937" i="1"/>
  <c r="F524" i="7"/>
  <c r="F1567" i="1"/>
  <c r="F844" i="1"/>
  <c r="H936" i="1"/>
  <c r="I937" i="1"/>
  <c r="H937" i="1"/>
  <c r="I936" i="1"/>
  <c r="J937" i="1"/>
  <c r="J936" i="1"/>
  <c r="G936" i="1"/>
  <c r="J938" i="1"/>
  <c r="J401" i="7"/>
  <c r="J398" i="7"/>
  <c r="I1089" i="1"/>
  <c r="I493" i="7" s="1"/>
  <c r="I939" i="1"/>
  <c r="I1305" i="1"/>
  <c r="I132" i="8" s="1"/>
  <c r="G937" i="1"/>
  <c r="F1425" i="1"/>
  <c r="M311" i="7"/>
  <c r="K307" i="7"/>
  <c r="J120" i="1"/>
  <c r="L267" i="1"/>
  <c r="M269" i="1" s="1"/>
  <c r="M270" i="1" s="1"/>
  <c r="M895" i="8"/>
  <c r="N895" i="8" s="1"/>
  <c r="L896" i="8"/>
  <c r="K1071" i="7"/>
  <c r="L1981" i="1"/>
  <c r="I680" i="8"/>
  <c r="I935" i="8"/>
  <c r="I828" i="8"/>
  <c r="N465" i="7"/>
  <c r="K345" i="7"/>
  <c r="M28" i="7"/>
  <c r="M32" i="1"/>
  <c r="K324" i="7"/>
  <c r="I953" i="7"/>
  <c r="I497" i="8"/>
  <c r="O144" i="7"/>
  <c r="K161" i="7"/>
  <c r="L395" i="1"/>
  <c r="L320" i="7"/>
  <c r="M819" i="8"/>
  <c r="M820" i="8" s="1"/>
  <c r="M670" i="8"/>
  <c r="M744" i="8"/>
  <c r="M745" i="8" s="1"/>
  <c r="M892" i="8"/>
  <c r="M893" i="8" s="1"/>
  <c r="L749" i="8"/>
  <c r="K750" i="8"/>
  <c r="L751" i="8" s="1"/>
  <c r="K299" i="8"/>
  <c r="J845" i="1"/>
  <c r="J844" i="1"/>
  <c r="L312" i="7"/>
  <c r="L342" i="7"/>
  <c r="F364" i="7"/>
  <c r="F1136" i="1"/>
  <c r="J783" i="7"/>
  <c r="J279" i="8"/>
  <c r="J1770" i="1"/>
  <c r="J1003" i="7" s="1"/>
  <c r="J1914" i="1"/>
  <c r="J2070" i="1"/>
  <c r="J1109" i="7" s="1"/>
  <c r="K631" i="7"/>
  <c r="K1289" i="1"/>
  <c r="K104" i="8" s="1"/>
  <c r="K1429" i="1"/>
  <c r="K280" i="8" s="1"/>
  <c r="M318" i="7"/>
  <c r="M324" i="7"/>
  <c r="K522" i="7"/>
  <c r="I925" i="7"/>
  <c r="I445" i="8"/>
  <c r="K315" i="8"/>
  <c r="L1032" i="1"/>
  <c r="L803" i="7"/>
  <c r="L315" i="8"/>
  <c r="L2068" i="1"/>
  <c r="L1107" i="7" s="1"/>
  <c r="L1847" i="1"/>
  <c r="L1991" i="1"/>
  <c r="L1081" i="7" s="1"/>
  <c r="N452" i="7"/>
  <c r="N473" i="7"/>
  <c r="N476" i="7"/>
  <c r="I363" i="7"/>
  <c r="I1423" i="1"/>
  <c r="I268" i="8" s="1"/>
  <c r="I120" i="1"/>
  <c r="M950" i="7"/>
  <c r="M1838" i="1"/>
  <c r="M1909" i="1"/>
  <c r="M2043" i="1"/>
  <c r="M2044" i="1" s="1"/>
  <c r="M326" i="7"/>
  <c r="K317" i="8"/>
  <c r="F1021" i="1"/>
  <c r="F1077" i="1"/>
  <c r="F495" i="7"/>
  <c r="K844" i="1"/>
  <c r="K841" i="1"/>
  <c r="K120" i="1" s="1"/>
  <c r="I460" i="7"/>
  <c r="I1101" i="1"/>
  <c r="I505" i="7" s="1"/>
  <c r="M747" i="1"/>
  <c r="M748" i="1"/>
  <c r="K840" i="1"/>
  <c r="K323" i="7"/>
  <c r="L329" i="7"/>
  <c r="L331" i="7"/>
  <c r="L325" i="7"/>
  <c r="K898" i="8"/>
  <c r="L249" i="1"/>
  <c r="M252" i="1" s="1"/>
  <c r="M253" i="1" s="1"/>
  <c r="M258" i="1"/>
  <c r="N261" i="1" s="1"/>
  <c r="N262" i="1" s="1"/>
  <c r="J980" i="1"/>
  <c r="J1004" i="1"/>
  <c r="J346" i="7"/>
  <c r="M240" i="1"/>
  <c r="N243" i="1" s="1"/>
  <c r="N244" i="1" s="1"/>
  <c r="K340" i="7"/>
  <c r="K336" i="7"/>
  <c r="L789" i="7"/>
  <c r="M1438" i="1"/>
  <c r="M296" i="8" s="1"/>
  <c r="L804" i="7"/>
  <c r="L317" i="8"/>
  <c r="L1848" i="1"/>
  <c r="L2069" i="1"/>
  <c r="I1109" i="7"/>
  <c r="I1003" i="7"/>
  <c r="O462" i="7"/>
  <c r="O465" i="7"/>
  <c r="M310" i="7"/>
  <c r="M309" i="7"/>
  <c r="L29" i="7"/>
  <c r="L75" i="1"/>
  <c r="J336" i="7"/>
  <c r="L750" i="1"/>
  <c r="L321" i="7"/>
  <c r="L322" i="7"/>
  <c r="L317" i="7"/>
  <c r="M334" i="7"/>
  <c r="J360" i="7"/>
  <c r="J107" i="1"/>
  <c r="J1155" i="1" s="1"/>
  <c r="J559" i="7" s="1"/>
  <c r="H159" i="8"/>
  <c r="H828" i="8"/>
  <c r="H680" i="8"/>
  <c r="H935" i="8"/>
  <c r="K352" i="7"/>
  <c r="L311" i="7"/>
  <c r="L313" i="7"/>
  <c r="F1012" i="1"/>
  <c r="F920" i="8"/>
  <c r="K308" i="7"/>
  <c r="M319" i="7"/>
  <c r="L337" i="7"/>
  <c r="L338" i="7"/>
  <c r="L822" i="8"/>
  <c r="K823" i="8"/>
  <c r="L824" i="8" s="1"/>
  <c r="K1072" i="7"/>
  <c r="L1982" i="1"/>
  <c r="J293" i="8"/>
  <c r="L793" i="7"/>
  <c r="O449" i="7"/>
  <c r="O452" i="7"/>
  <c r="I103" i="8"/>
  <c r="L305" i="7"/>
  <c r="M674" i="8"/>
  <c r="N674" i="8" s="1"/>
  <c r="L675" i="8"/>
  <c r="M676" i="8" s="1"/>
  <c r="K102" i="1"/>
  <c r="K231" i="1"/>
  <c r="K281" i="1"/>
  <c r="K32" i="7" s="1"/>
  <c r="K498" i="1"/>
  <c r="K538" i="1"/>
  <c r="K264" i="7" s="1"/>
  <c r="K549" i="1"/>
  <c r="K278" i="7" s="1"/>
  <c r="K559" i="1"/>
  <c r="K599" i="1"/>
  <c r="K291" i="7" s="1"/>
  <c r="K652" i="1"/>
  <c r="K368" i="7" s="1"/>
  <c r="K677" i="1"/>
  <c r="K405" i="7" s="1"/>
  <c r="K693" i="1"/>
  <c r="K739" i="1"/>
  <c r="K1113" i="1"/>
  <c r="K517" i="7" s="1"/>
  <c r="K853" i="1"/>
  <c r="K943" i="1"/>
  <c r="K1028" i="1"/>
  <c r="K440" i="7" s="1"/>
  <c r="K1178" i="1"/>
  <c r="K582" i="7" s="1"/>
  <c r="K1377" i="1"/>
  <c r="K1759" i="1"/>
  <c r="K992" i="7" s="1"/>
  <c r="K1832" i="1"/>
  <c r="K1905" i="1"/>
  <c r="K2002" i="1"/>
  <c r="K1201" i="1"/>
  <c r="K603" i="7" s="1"/>
  <c r="K1267" i="1"/>
  <c r="K1299" i="1"/>
  <c r="K669" i="7" s="1"/>
  <c r="K1421" i="1"/>
  <c r="K775" i="7" s="1"/>
  <c r="K1561" i="1"/>
  <c r="K919" i="7" s="1"/>
  <c r="K1656" i="1"/>
  <c r="K964" i="7" s="1"/>
  <c r="K1976" i="1"/>
  <c r="K1066" i="7" s="1"/>
  <c r="K2053" i="1"/>
  <c r="K1092" i="7" s="1"/>
  <c r="F361" i="7"/>
  <c r="F116" i="1"/>
  <c r="L751" i="1"/>
  <c r="L353" i="7"/>
  <c r="J842" i="1"/>
  <c r="J1118" i="1" s="1"/>
  <c r="J850" i="1"/>
  <c r="J1122" i="1" s="1"/>
  <c r="H839" i="1"/>
  <c r="H850" i="1"/>
  <c r="H1122" i="1" s="1"/>
  <c r="H842" i="1"/>
  <c r="H1118" i="1" s="1"/>
  <c r="K316" i="7"/>
  <c r="M327" i="7"/>
  <c r="K338" i="7"/>
  <c r="L839" i="1"/>
  <c r="L108" i="1" s="1"/>
  <c r="L1156" i="1" s="1"/>
  <c r="L560" i="7" s="1"/>
  <c r="L842" i="1"/>
  <c r="L1118" i="1" s="1"/>
  <c r="L850" i="1"/>
  <c r="L838" i="1"/>
  <c r="K330" i="7"/>
  <c r="K331" i="7"/>
  <c r="H1018" i="1"/>
  <c r="H1034" i="1"/>
  <c r="H446" i="7" s="1"/>
  <c r="F1020" i="1"/>
  <c r="F1062" i="1"/>
  <c r="G1018" i="1"/>
  <c r="G1034" i="1"/>
  <c r="G446" i="7" s="1"/>
  <c r="F1049" i="1"/>
  <c r="F1019" i="1"/>
  <c r="G1311" i="1"/>
  <c r="G144" i="8" s="1"/>
  <c r="F460" i="7"/>
  <c r="F1101" i="1"/>
  <c r="N929" i="7"/>
  <c r="M1069" i="7"/>
  <c r="M1980" i="1"/>
  <c r="M1070" i="7" s="1"/>
  <c r="K751" i="1"/>
  <c r="N1102" i="1" l="1"/>
  <c r="N527" i="1"/>
  <c r="N1437" i="1" s="1"/>
  <c r="N294" i="8" s="1"/>
  <c r="N293" i="8" s="1"/>
  <c r="K642" i="1"/>
  <c r="I648" i="1"/>
  <c r="N534" i="1"/>
  <c r="O1070" i="1"/>
  <c r="O1071" i="1" s="1"/>
  <c r="K643" i="1"/>
  <c r="N1838" i="1"/>
  <c r="N2043" i="1"/>
  <c r="N2044" i="1" s="1"/>
  <c r="J647" i="1"/>
  <c r="J363" i="7" s="1"/>
  <c r="H1110" i="1"/>
  <c r="H125" i="8"/>
  <c r="H124" i="8" s="1"/>
  <c r="H920" i="8" s="1"/>
  <c r="H2055" i="1"/>
  <c r="H1094" i="7" s="1"/>
  <c r="H671" i="7"/>
  <c r="M1435" i="1"/>
  <c r="M290" i="8" s="1"/>
  <c r="M289" i="8" s="1"/>
  <c r="M194" i="7"/>
  <c r="N834" i="1"/>
  <c r="O833" i="1" s="1"/>
  <c r="J646" i="1"/>
  <c r="N1910" i="1"/>
  <c r="I296" i="7"/>
  <c r="I645" i="1"/>
  <c r="I361" i="7" s="1"/>
  <c r="H645" i="1"/>
  <c r="F1110" i="1"/>
  <c r="F121" i="1" s="1"/>
  <c r="M1221" i="1"/>
  <c r="N1221" i="1" s="1"/>
  <c r="K931" i="8"/>
  <c r="K830" i="8"/>
  <c r="N258" i="1"/>
  <c r="O261" i="1" s="1"/>
  <c r="O262" i="1" s="1"/>
  <c r="L501" i="8"/>
  <c r="L500" i="8" s="1"/>
  <c r="O32" i="1"/>
  <c r="P31" i="1"/>
  <c r="H268" i="8"/>
  <c r="H267" i="8" s="1"/>
  <c r="N1281" i="1"/>
  <c r="N1446" i="1"/>
  <c r="N1439" i="1"/>
  <c r="N298" i="8" s="1"/>
  <c r="N297" i="8" s="1"/>
  <c r="N1274" i="1"/>
  <c r="N78" i="8" s="1"/>
  <c r="N77" i="8" s="1"/>
  <c r="P1837" i="1"/>
  <c r="P1764" i="1"/>
  <c r="Q273" i="1"/>
  <c r="Q274" i="1" s="1"/>
  <c r="P274" i="1"/>
  <c r="Q260" i="1"/>
  <c r="L292" i="8"/>
  <c r="L291" i="8" s="1"/>
  <c r="N1765" i="1"/>
  <c r="N1276" i="1"/>
  <c r="N82" i="8" s="1"/>
  <c r="N81" i="8" s="1"/>
  <c r="N1440" i="1"/>
  <c r="N300" i="8" s="1"/>
  <c r="N299" i="8" s="1"/>
  <c r="N1436" i="1"/>
  <c r="N292" i="8" s="1"/>
  <c r="N291" i="8" s="1"/>
  <c r="N495" i="1"/>
  <c r="N1271" i="1"/>
  <c r="Q144" i="1"/>
  <c r="Q143" i="1" s="1"/>
  <c r="P143" i="1"/>
  <c r="P1908" i="1"/>
  <c r="O758" i="8"/>
  <c r="O831" i="8"/>
  <c r="Q1006" i="1"/>
  <c r="Q1004" i="1" s="1"/>
  <c r="P1004" i="1"/>
  <c r="Q963" i="1"/>
  <c r="N1032" i="1"/>
  <c r="N882" i="1"/>
  <c r="Q197" i="1"/>
  <c r="Q203" i="1" s="1"/>
  <c r="P203" i="1"/>
  <c r="N802" i="1"/>
  <c r="N803" i="1"/>
  <c r="L300" i="8"/>
  <c r="L299" i="8" s="1"/>
  <c r="P669" i="8"/>
  <c r="O819" i="8"/>
  <c r="O820" i="8" s="1"/>
  <c r="O670" i="8"/>
  <c r="O744" i="8"/>
  <c r="O745" i="8" s="1"/>
  <c r="O892" i="8"/>
  <c r="O893" i="8" s="1"/>
  <c r="N818" i="1"/>
  <c r="N819" i="1"/>
  <c r="N1438" i="1"/>
  <c r="N296" i="8" s="1"/>
  <c r="N295" i="8" s="1"/>
  <c r="N1273" i="1"/>
  <c r="N76" i="8" s="1"/>
  <c r="N75" i="8" s="1"/>
  <c r="J640" i="1"/>
  <c r="J636" i="1" s="1"/>
  <c r="N896" i="8"/>
  <c r="O895" i="8"/>
  <c r="N787" i="1"/>
  <c r="N786" i="1"/>
  <c r="O1209" i="1"/>
  <c r="O1206" i="1" s="1"/>
  <c r="O1208" i="1"/>
  <c r="P1207" i="1"/>
  <c r="N1449" i="1"/>
  <c r="N1285" i="1"/>
  <c r="N98" i="8" s="1"/>
  <c r="N97" i="8" s="1"/>
  <c r="N1909" i="1"/>
  <c r="O921" i="1"/>
  <c r="O674" i="8"/>
  <c r="N675" i="8"/>
  <c r="N1040" i="1"/>
  <c r="O1037" i="1"/>
  <c r="M922" i="1"/>
  <c r="M933" i="1" s="1"/>
  <c r="N1077" i="1"/>
  <c r="N1021" i="1"/>
  <c r="N1078" i="1" s="1"/>
  <c r="L90" i="8"/>
  <c r="L89" i="8" s="1"/>
  <c r="N1020" i="1"/>
  <c r="N1063" i="1" s="1"/>
  <c r="N1062" i="1"/>
  <c r="L955" i="7"/>
  <c r="N1068" i="1"/>
  <c r="N1107" i="1" s="1"/>
  <c r="N1106" i="1" s="1"/>
  <c r="N1096" i="1" s="1"/>
  <c r="N1312" i="1" s="1"/>
  <c r="N146" i="8" s="1"/>
  <c r="N145" i="8" s="1"/>
  <c r="O1065" i="1"/>
  <c r="O1105" i="1" s="1"/>
  <c r="L491" i="8"/>
  <c r="L490" i="8" s="1"/>
  <c r="P857" i="1"/>
  <c r="O858" i="1"/>
  <c r="Q917" i="1"/>
  <c r="Q918" i="1" s="1"/>
  <c r="P918" i="1"/>
  <c r="O2034" i="1"/>
  <c r="O844" i="1"/>
  <c r="P88" i="1"/>
  <c r="O2033" i="1"/>
  <c r="O1233" i="1"/>
  <c r="O1591" i="1" s="1"/>
  <c r="O491" i="8" s="1"/>
  <c r="O490" i="8" s="1"/>
  <c r="O2030" i="1"/>
  <c r="O842" i="1"/>
  <c r="O1118" i="1" s="1"/>
  <c r="O2029" i="1"/>
  <c r="O840" i="1"/>
  <c r="O2028" i="1"/>
  <c r="O845" i="1"/>
  <c r="O486" i="1"/>
  <c r="O1015" i="1"/>
  <c r="O436" i="1"/>
  <c r="O841" i="1"/>
  <c r="O120" i="1" s="1"/>
  <c r="O1012" i="1"/>
  <c r="O428" i="1"/>
  <c r="O531" i="1"/>
  <c r="O838" i="1"/>
  <c r="O2035" i="1"/>
  <c r="O931" i="1"/>
  <c r="O1033" i="1" s="1"/>
  <c r="O475" i="1"/>
  <c r="O839" i="1"/>
  <c r="O108" i="1" s="1"/>
  <c r="O1156" i="1" s="1"/>
  <c r="O837" i="1"/>
  <c r="O463" i="1"/>
  <c r="O850" i="1"/>
  <c r="O1180" i="1"/>
  <c r="O1014" i="1"/>
  <c r="O1227" i="1"/>
  <c r="O1226" i="1"/>
  <c r="N1424" i="1"/>
  <c r="N270" i="8" s="1"/>
  <c r="N269" i="8" s="1"/>
  <c r="N1098" i="1"/>
  <c r="O522" i="1"/>
  <c r="O527" i="1" s="1"/>
  <c r="O1437" i="1" s="1"/>
  <c r="O294" i="8" s="1"/>
  <c r="O293" i="8" s="1"/>
  <c r="O519" i="1"/>
  <c r="O533" i="1" s="1"/>
  <c r="O521" i="1"/>
  <c r="O535" i="1" s="1"/>
  <c r="O520" i="1"/>
  <c r="O517" i="1" s="1"/>
  <c r="O532" i="1" s="1"/>
  <c r="O889" i="1"/>
  <c r="O890" i="1" s="1"/>
  <c r="O1007" i="1"/>
  <c r="O1008" i="1" s="1"/>
  <c r="O874" i="1"/>
  <c r="O875" i="1" s="1"/>
  <c r="O731" i="1"/>
  <c r="O732" i="1" s="1"/>
  <c r="O983" i="1"/>
  <c r="O984" i="1" s="1"/>
  <c r="O859" i="1"/>
  <c r="O860" i="1" s="1"/>
  <c r="O697" i="1"/>
  <c r="O698" i="1" s="1"/>
  <c r="O590" i="1"/>
  <c r="O591" i="1" s="1"/>
  <c r="O969" i="1"/>
  <c r="O970" i="1" s="1"/>
  <c r="O711" i="1"/>
  <c r="O712" i="1" s="1"/>
  <c r="O81" i="1"/>
  <c r="O1838" i="1" s="1"/>
  <c r="O919" i="1"/>
  <c r="O920" i="1" s="1"/>
  <c r="O993" i="1"/>
  <c r="O994" i="1" s="1"/>
  <c r="O904" i="1"/>
  <c r="O905" i="1" s="1"/>
  <c r="O1082" i="1"/>
  <c r="O1083" i="1" s="1"/>
  <c r="O964" i="1"/>
  <c r="O965" i="1" s="1"/>
  <c r="O704" i="1"/>
  <c r="O705" i="1" s="1"/>
  <c r="O1038" i="1"/>
  <c r="O1039" i="1" s="1"/>
  <c r="O998" i="1"/>
  <c r="O999" i="1" s="1"/>
  <c r="O725" i="1"/>
  <c r="O726" i="1" s="1"/>
  <c r="O1055" i="1"/>
  <c r="O1056" i="1" s="1"/>
  <c r="O562" i="1"/>
  <c r="O563" i="1" s="1"/>
  <c r="O583" i="1"/>
  <c r="O584" i="1" s="1"/>
  <c r="P80" i="1"/>
  <c r="P1042" i="1" s="1"/>
  <c r="P1043" i="1" s="1"/>
  <c r="O955" i="1"/>
  <c r="O956" i="1" s="1"/>
  <c r="O950" i="1"/>
  <c r="O951" i="1" s="1"/>
  <c r="O988" i="1"/>
  <c r="O989" i="1" s="1"/>
  <c r="O974" i="1"/>
  <c r="O975" i="1" s="1"/>
  <c r="O569" i="1"/>
  <c r="O570" i="1" s="1"/>
  <c r="O718" i="1"/>
  <c r="O719" i="1" s="1"/>
  <c r="O576" i="1"/>
  <c r="O577" i="1" s="1"/>
  <c r="O1066" i="1"/>
  <c r="O1067" i="1" s="1"/>
  <c r="K272" i="8"/>
  <c r="K271" i="8" s="1"/>
  <c r="P508" i="1"/>
  <c r="Q29" i="1"/>
  <c r="P1852" i="1"/>
  <c r="P1779" i="1"/>
  <c r="P30" i="1"/>
  <c r="P516" i="1"/>
  <c r="P518" i="1"/>
  <c r="P505" i="1"/>
  <c r="P515" i="1" s="1"/>
  <c r="P507" i="1"/>
  <c r="P506" i="1"/>
  <c r="O1222" i="1"/>
  <c r="N1225" i="1"/>
  <c r="N1220" i="1"/>
  <c r="N1228" i="1" s="1"/>
  <c r="N1597" i="1"/>
  <c r="P561" i="1"/>
  <c r="O564" i="1"/>
  <c r="N861" i="1"/>
  <c r="N862" i="1" s="1"/>
  <c r="N933" i="1" s="1"/>
  <c r="O592" i="1"/>
  <c r="P589" i="1"/>
  <c r="Q167" i="1"/>
  <c r="P162" i="1"/>
  <c r="N240" i="1"/>
  <c r="O243" i="1" s="1"/>
  <c r="O244" i="1" s="1"/>
  <c r="P913" i="1"/>
  <c r="Q912" i="1" s="1"/>
  <c r="S912" i="1" s="1"/>
  <c r="L792" i="7"/>
  <c r="J639" i="1"/>
  <c r="N1839" i="1"/>
  <c r="P1979" i="1"/>
  <c r="N1435" i="1"/>
  <c r="N1272" i="1"/>
  <c r="N74" i="8" s="1"/>
  <c r="N73" i="8" s="1"/>
  <c r="N1018" i="1"/>
  <c r="N1034" i="1"/>
  <c r="N565" i="1"/>
  <c r="N602" i="1" s="1"/>
  <c r="P890" i="8"/>
  <c r="P435" i="8"/>
  <c r="P265" i="8"/>
  <c r="P667" i="8"/>
  <c r="P918" i="8"/>
  <c r="P817" i="8"/>
  <c r="P742" i="8"/>
  <c r="P39" i="8"/>
  <c r="P564" i="8"/>
  <c r="P122" i="8"/>
  <c r="P66" i="8"/>
  <c r="P92" i="8"/>
  <c r="P91" i="8" s="1"/>
  <c r="P304" i="8"/>
  <c r="P303" i="8" s="1"/>
  <c r="P312" i="8"/>
  <c r="P311" i="8" s="1"/>
  <c r="P164" i="8"/>
  <c r="P163" i="8" s="1"/>
  <c r="P51" i="8"/>
  <c r="P50" i="8" s="1"/>
  <c r="Q33" i="8"/>
  <c r="P96" i="8"/>
  <c r="P95" i="8" s="1"/>
  <c r="P454" i="8"/>
  <c r="P453" i="8" s="1"/>
  <c r="P113" i="8"/>
  <c r="P112" i="8" s="1"/>
  <c r="P764" i="8"/>
  <c r="P689" i="8"/>
  <c r="P284" i="8"/>
  <c r="P283" i="8" s="1"/>
  <c r="P80" i="8"/>
  <c r="P79" i="8" s="1"/>
  <c r="P314" i="8"/>
  <c r="P313" i="8" s="1"/>
  <c r="P34" i="8"/>
  <c r="P158" i="8"/>
  <c r="P157" i="8" s="1"/>
  <c r="P156" i="8"/>
  <c r="P155" i="8" s="1"/>
  <c r="P94" i="8"/>
  <c r="P93" i="8" s="1"/>
  <c r="P505" i="8"/>
  <c r="P504" i="8" s="1"/>
  <c r="N593" i="1"/>
  <c r="N595" i="1" s="1"/>
  <c r="O898" i="1"/>
  <c r="P897" i="1" s="1"/>
  <c r="P898" i="1" s="1"/>
  <c r="Q897" i="1" s="1"/>
  <c r="Q898" i="1" s="1"/>
  <c r="N770" i="1"/>
  <c r="N771" i="1"/>
  <c r="N929" i="1"/>
  <c r="N923" i="1"/>
  <c r="N924" i="1" s="1"/>
  <c r="N75" i="1"/>
  <c r="O1054" i="1"/>
  <c r="N1057" i="1"/>
  <c r="O1592" i="1"/>
  <c r="N493" i="8"/>
  <c r="N492" i="8" s="1"/>
  <c r="N1450" i="1"/>
  <c r="N1292" i="1"/>
  <c r="N110" i="8" s="1"/>
  <c r="N109" i="8" s="1"/>
  <c r="Q742" i="8"/>
  <c r="Q39" i="8"/>
  <c r="Q667" i="8"/>
  <c r="Q564" i="8"/>
  <c r="Q122" i="8"/>
  <c r="Q265" i="8"/>
  <c r="Q66" i="8"/>
  <c r="Q918" i="8"/>
  <c r="Q435" i="8"/>
  <c r="Q890" i="8"/>
  <c r="Q817" i="8"/>
  <c r="P2042" i="1"/>
  <c r="H1011" i="1"/>
  <c r="H226" i="1" s="1"/>
  <c r="H223" i="1" s="1"/>
  <c r="M229" i="7"/>
  <c r="H1019" i="1"/>
  <c r="H1050" i="1" s="1"/>
  <c r="H458" i="7" s="1"/>
  <c r="F1150" i="1"/>
  <c r="F554" i="7" s="1"/>
  <c r="M1446" i="1"/>
  <c r="M584" i="7"/>
  <c r="I1013" i="1"/>
  <c r="I1049" i="1" s="1"/>
  <c r="I457" i="7" s="1"/>
  <c r="M1597" i="1"/>
  <c r="L794" i="7"/>
  <c r="M1276" i="1"/>
  <c r="M1440" i="1"/>
  <c r="M1449" i="1"/>
  <c r="L949" i="7"/>
  <c r="M1591" i="1"/>
  <c r="M629" i="7"/>
  <c r="M1292" i="1"/>
  <c r="M1436" i="1"/>
  <c r="M630" i="7"/>
  <c r="M1271" i="1"/>
  <c r="F1427" i="1"/>
  <c r="F276" i="8" s="1"/>
  <c r="F1147" i="1"/>
  <c r="F551" i="7" s="1"/>
  <c r="H488" i="7"/>
  <c r="I1080" i="1"/>
  <c r="J1080" i="1" s="1"/>
  <c r="J1084" i="1" s="1"/>
  <c r="H484" i="7"/>
  <c r="H1108" i="1"/>
  <c r="H512" i="7" s="1"/>
  <c r="G364" i="7"/>
  <c r="F1590" i="1"/>
  <c r="F948" i="7" s="1"/>
  <c r="F543" i="7"/>
  <c r="G1110" i="1"/>
  <c r="G514" i="7" s="1"/>
  <c r="M495" i="1"/>
  <c r="M261" i="7" s="1"/>
  <c r="M1439" i="1"/>
  <c r="M241" i="7"/>
  <c r="F777" i="7"/>
  <c r="K637" i="1"/>
  <c r="K638" i="1" s="1"/>
  <c r="L790" i="7"/>
  <c r="L1916" i="1"/>
  <c r="L800" i="7"/>
  <c r="L1279" i="1"/>
  <c r="L2066" i="1"/>
  <c r="L1105" i="7" s="1"/>
  <c r="J359" i="7"/>
  <c r="I1139" i="1"/>
  <c r="I543" i="7" s="1"/>
  <c r="K359" i="7"/>
  <c r="I1136" i="1"/>
  <c r="H1139" i="1"/>
  <c r="H1590" i="1" s="1"/>
  <c r="H489" i="8" s="1"/>
  <c r="H363" i="7"/>
  <c r="H1136" i="1"/>
  <c r="H1134" i="1" s="1"/>
  <c r="L294" i="7"/>
  <c r="L601" i="1"/>
  <c r="J1301" i="1"/>
  <c r="L605" i="1"/>
  <c r="K937" i="1"/>
  <c r="K1099" i="1"/>
  <c r="K503" i="7" s="1"/>
  <c r="K936" i="1"/>
  <c r="I2055" i="1"/>
  <c r="I1094" i="7" s="1"/>
  <c r="I671" i="7"/>
  <c r="J1052" i="1"/>
  <c r="J460" i="7" s="1"/>
  <c r="M927" i="1"/>
  <c r="M928" i="1" s="1"/>
  <c r="H777" i="7"/>
  <c r="K360" i="7"/>
  <c r="L924" i="1"/>
  <c r="J271" i="8"/>
  <c r="J779" i="7"/>
  <c r="M593" i="1"/>
  <c r="M594" i="1" s="1"/>
  <c r="M929" i="1"/>
  <c r="M940" i="1" s="1"/>
  <c r="M923" i="1"/>
  <c r="M934" i="1" s="1"/>
  <c r="L594" i="1"/>
  <c r="L635" i="1" s="1"/>
  <c r="L644" i="1" s="1"/>
  <c r="L634" i="1"/>
  <c r="L643" i="1" s="1"/>
  <c r="K1120" i="1"/>
  <c r="K1567" i="1" s="1"/>
  <c r="K446" i="8" s="1"/>
  <c r="L595" i="1"/>
  <c r="H1101" i="1"/>
  <c r="H505" i="7" s="1"/>
  <c r="H460" i="7"/>
  <c r="I271" i="8"/>
  <c r="I779" i="7"/>
  <c r="M932" i="1"/>
  <c r="L1122" i="1"/>
  <c r="L526" i="7" s="1"/>
  <c r="I299" i="7"/>
  <c r="K779" i="7"/>
  <c r="G1137" i="1"/>
  <c r="G541" i="7" s="1"/>
  <c r="G1590" i="1"/>
  <c r="J604" i="1"/>
  <c r="K293" i="7"/>
  <c r="L295" i="7"/>
  <c r="J298" i="7"/>
  <c r="J300" i="7"/>
  <c r="J607" i="1"/>
  <c r="J648" i="1" s="1"/>
  <c r="M602" i="1"/>
  <c r="K635" i="7"/>
  <c r="K297" i="7"/>
  <c r="K608" i="1"/>
  <c r="K606" i="1"/>
  <c r="K647" i="1" s="1"/>
  <c r="J637" i="7"/>
  <c r="L999" i="7"/>
  <c r="M1766" i="1"/>
  <c r="N1766" i="1" s="1"/>
  <c r="K1106" i="1"/>
  <c r="K1096" i="1" s="1"/>
  <c r="M462" i="7"/>
  <c r="M1057" i="1"/>
  <c r="M465" i="7" s="1"/>
  <c r="H145" i="8"/>
  <c r="H682" i="7"/>
  <c r="M566" i="1"/>
  <c r="M603" i="1" s="1"/>
  <c r="M866" i="1"/>
  <c r="M449" i="7"/>
  <c r="M1040" i="1"/>
  <c r="M452" i="7" s="1"/>
  <c r="J510" i="7"/>
  <c r="J1096" i="1"/>
  <c r="L476" i="7"/>
  <c r="L1107" i="1"/>
  <c r="M473" i="7"/>
  <c r="M1068" i="1"/>
  <c r="M1105" i="1"/>
  <c r="M865" i="1"/>
  <c r="I500" i="7"/>
  <c r="I1312" i="1"/>
  <c r="I146" i="8" s="1"/>
  <c r="L897" i="8"/>
  <c r="M624" i="7"/>
  <c r="H675" i="7"/>
  <c r="H131" i="8"/>
  <c r="L623" i="7"/>
  <c r="L1232" i="1"/>
  <c r="L635" i="7" s="1"/>
  <c r="G361" i="7"/>
  <c r="G1102" i="1"/>
  <c r="G1104" i="1"/>
  <c r="G508" i="7" s="1"/>
  <c r="G1019" i="1"/>
  <c r="G1050" i="1" s="1"/>
  <c r="G458" i="7" s="1"/>
  <c r="G1049" i="1"/>
  <c r="G457" i="7" s="1"/>
  <c r="J1102" i="1"/>
  <c r="J506" i="7" s="1"/>
  <c r="K1104" i="1"/>
  <c r="K508" i="7" s="1"/>
  <c r="M791" i="7"/>
  <c r="M293" i="8"/>
  <c r="F496" i="7"/>
  <c r="F1308" i="1"/>
  <c r="I506" i="7"/>
  <c r="I1103" i="1"/>
  <c r="H506" i="7"/>
  <c r="H1103" i="1"/>
  <c r="O999" i="7"/>
  <c r="N999" i="7"/>
  <c r="H681" i="7"/>
  <c r="H143" i="8"/>
  <c r="J103" i="8"/>
  <c r="M75" i="8"/>
  <c r="M97" i="8"/>
  <c r="M77" i="8"/>
  <c r="M73" i="8"/>
  <c r="L2063" i="1"/>
  <c r="L1102" i="7" s="1"/>
  <c r="L293" i="8"/>
  <c r="L627" i="7"/>
  <c r="K1384" i="1"/>
  <c r="K1319" i="1" s="1"/>
  <c r="K160" i="8" s="1"/>
  <c r="M1225" i="1"/>
  <c r="M1231" i="1" s="1"/>
  <c r="M634" i="7" s="1"/>
  <c r="I1098" i="1"/>
  <c r="I502" i="7" s="1"/>
  <c r="L323" i="7"/>
  <c r="L1228" i="1"/>
  <c r="L1289" i="1" s="1"/>
  <c r="L104" i="8" s="1"/>
  <c r="M1220" i="1"/>
  <c r="M622" i="7" s="1"/>
  <c r="N624" i="7"/>
  <c r="L1230" i="1"/>
  <c r="I1034" i="1"/>
  <c r="I446" i="7" s="1"/>
  <c r="G129" i="8"/>
  <c r="G674" i="7"/>
  <c r="I848" i="1"/>
  <c r="H1304" i="1"/>
  <c r="H130" i="8" s="1"/>
  <c r="H1088" i="1"/>
  <c r="H492" i="7" s="1"/>
  <c r="J304" i="7"/>
  <c r="F1311" i="1"/>
  <c r="F681" i="7" s="1"/>
  <c r="L306" i="7"/>
  <c r="G1424" i="1"/>
  <c r="G270" i="8" s="1"/>
  <c r="L343" i="7"/>
  <c r="J347" i="7"/>
  <c r="K346" i="7"/>
  <c r="K348" i="7"/>
  <c r="K341" i="7"/>
  <c r="K107" i="1"/>
  <c r="K1155" i="1" s="1"/>
  <c r="K559" i="7" s="1"/>
  <c r="L304" i="7"/>
  <c r="L1990" i="1"/>
  <c r="L1080" i="7" s="1"/>
  <c r="M358" i="1"/>
  <c r="N358" i="1" s="1"/>
  <c r="O358" i="1" s="1"/>
  <c r="P358" i="1" s="1"/>
  <c r="Q358" i="1" s="1"/>
  <c r="L109" i="7"/>
  <c r="I1077" i="1"/>
  <c r="I481" i="7" s="1"/>
  <c r="I1021" i="1"/>
  <c r="I1078" i="1" s="1"/>
  <c r="I482" i="7" s="1"/>
  <c r="I980" i="1"/>
  <c r="I1014" i="1" s="1"/>
  <c r="I1025" i="1"/>
  <c r="M356" i="7"/>
  <c r="M301" i="7"/>
  <c r="L898" i="8"/>
  <c r="K938" i="1"/>
  <c r="M41" i="7"/>
  <c r="L335" i="1"/>
  <c r="K86" i="7"/>
  <c r="L385" i="7"/>
  <c r="L382" i="7"/>
  <c r="L356" i="7"/>
  <c r="L352" i="7"/>
  <c r="K354" i="7"/>
  <c r="K355" i="7"/>
  <c r="N326" i="7"/>
  <c r="G1098" i="1"/>
  <c r="G502" i="7" s="1"/>
  <c r="L340" i="7"/>
  <c r="L336" i="7"/>
  <c r="M308" i="7"/>
  <c r="L753" i="1"/>
  <c r="L339" i="7"/>
  <c r="N129" i="7"/>
  <c r="N302" i="7"/>
  <c r="L755" i="1"/>
  <c r="M754" i="1" s="1"/>
  <c r="M517" i="1"/>
  <c r="M532" i="1" s="1"/>
  <c r="M534" i="1"/>
  <c r="M610" i="7"/>
  <c r="G445" i="8"/>
  <c r="G925" i="7"/>
  <c r="O997" i="7"/>
  <c r="O998" i="7"/>
  <c r="N393" i="7"/>
  <c r="N390" i="7"/>
  <c r="M397" i="7"/>
  <c r="M394" i="7"/>
  <c r="L791" i="7"/>
  <c r="O26" i="7"/>
  <c r="O27" i="7"/>
  <c r="O1012" i="7"/>
  <c r="L868" i="1"/>
  <c r="M867" i="1" s="1"/>
  <c r="L373" i="7"/>
  <c r="L654" i="1"/>
  <c r="L370" i="7" s="1"/>
  <c r="M657" i="1"/>
  <c r="L389" i="7"/>
  <c r="L386" i="7"/>
  <c r="O486" i="7"/>
  <c r="O487" i="7"/>
  <c r="O463" i="7"/>
  <c r="O464" i="7"/>
  <c r="O450" i="7"/>
  <c r="O451" i="7"/>
  <c r="L381" i="7"/>
  <c r="L378" i="7"/>
  <c r="M611" i="7"/>
  <c r="M1206" i="1"/>
  <c r="N609" i="7"/>
  <c r="N610" i="7"/>
  <c r="K377" i="7"/>
  <c r="K374" i="7"/>
  <c r="N617" i="7"/>
  <c r="O606" i="7"/>
  <c r="O474" i="7"/>
  <c r="O475" i="7"/>
  <c r="O485" i="7"/>
  <c r="O625" i="7"/>
  <c r="N350" i="7"/>
  <c r="H1098" i="1"/>
  <c r="H502" i="7" s="1"/>
  <c r="N340" i="7"/>
  <c r="K398" i="7"/>
  <c r="K401" i="7"/>
  <c r="J1305" i="1"/>
  <c r="J132" i="8" s="1"/>
  <c r="J939" i="1"/>
  <c r="J1089" i="1"/>
  <c r="J493" i="7" s="1"/>
  <c r="H1424" i="1"/>
  <c r="H270" i="8" s="1"/>
  <c r="H779" i="7"/>
  <c r="H271" i="8"/>
  <c r="G843" i="1"/>
  <c r="N318" i="7"/>
  <c r="F779" i="7"/>
  <c r="F272" i="8"/>
  <c r="F271" i="8" s="1"/>
  <c r="I131" i="8"/>
  <c r="I675" i="7"/>
  <c r="F845" i="1"/>
  <c r="F1424" i="1" s="1"/>
  <c r="F925" i="7"/>
  <c r="F446" i="8"/>
  <c r="F445" i="8" s="1"/>
  <c r="F849" i="1"/>
  <c r="F1127" i="1" s="1"/>
  <c r="F1119" i="1"/>
  <c r="M317" i="7"/>
  <c r="M267" i="1"/>
  <c r="N269" i="1" s="1"/>
  <c r="N270" i="1" s="1"/>
  <c r="M325" i="7"/>
  <c r="L341" i="7"/>
  <c r="M332" i="7"/>
  <c r="M328" i="7"/>
  <c r="G681" i="7"/>
  <c r="G143" i="8"/>
  <c r="F457" i="7"/>
  <c r="G1035" i="1"/>
  <c r="G447" i="7" s="1"/>
  <c r="F470" i="7"/>
  <c r="H1035" i="1"/>
  <c r="H447" i="7" s="1"/>
  <c r="L1126" i="1"/>
  <c r="L522" i="7"/>
  <c r="N303" i="7"/>
  <c r="K312" i="7"/>
  <c r="H526" i="7"/>
  <c r="H1120" i="1"/>
  <c r="J522" i="7"/>
  <c r="F115" i="1"/>
  <c r="G540" i="7"/>
  <c r="G1134" i="1"/>
  <c r="P449" i="7"/>
  <c r="P452" i="7"/>
  <c r="L97" i="8"/>
  <c r="L297" i="8"/>
  <c r="L81" i="8"/>
  <c r="J928" i="8"/>
  <c r="J906" i="8"/>
  <c r="M351" i="7"/>
  <c r="L823" i="8"/>
  <c r="M824" i="8" s="1"/>
  <c r="M822" i="8"/>
  <c r="N822" i="8" s="1"/>
  <c r="K304" i="7"/>
  <c r="F1011" i="1"/>
  <c r="F1018" i="1"/>
  <c r="F1306" i="1" s="1"/>
  <c r="F1034" i="1"/>
  <c r="M337" i="7"/>
  <c r="M333" i="7"/>
  <c r="M750" i="1"/>
  <c r="N750" i="1" s="1"/>
  <c r="L1108" i="7"/>
  <c r="L760" i="8"/>
  <c r="L934" i="8"/>
  <c r="M804" i="7"/>
  <c r="M317" i="8"/>
  <c r="M2069" i="1"/>
  <c r="M1108" i="7" s="1"/>
  <c r="M1848" i="1"/>
  <c r="J1015" i="1"/>
  <c r="M249" i="1"/>
  <c r="N252" i="1" s="1"/>
  <c r="N253" i="1" s="1"/>
  <c r="M751" i="1"/>
  <c r="N752" i="1" s="1"/>
  <c r="K845" i="1"/>
  <c r="K1424" i="1" s="1"/>
  <c r="K270" i="8" s="1"/>
  <c r="K637" i="7"/>
  <c r="K1595" i="1"/>
  <c r="K498" i="8" s="1"/>
  <c r="F481" i="7"/>
  <c r="K760" i="8"/>
  <c r="K934" i="8"/>
  <c r="N950" i="7"/>
  <c r="I777" i="7"/>
  <c r="I267" i="8"/>
  <c r="O473" i="7"/>
  <c r="O511" i="7"/>
  <c r="F267" i="8"/>
  <c r="M842" i="1"/>
  <c r="M1118" i="1" s="1"/>
  <c r="M839" i="1"/>
  <c r="M108" i="1" s="1"/>
  <c r="M1156" i="1" s="1"/>
  <c r="M560" i="7" s="1"/>
  <c r="M321" i="7"/>
  <c r="K783" i="7"/>
  <c r="K279" i="8"/>
  <c r="K1770" i="1"/>
  <c r="K1914" i="1"/>
  <c r="K2070" i="1"/>
  <c r="J953" i="7"/>
  <c r="J497" i="8"/>
  <c r="I778" i="7"/>
  <c r="I269" i="8"/>
  <c r="I1035" i="1"/>
  <c r="I447" i="7" s="1"/>
  <c r="L345" i="7"/>
  <c r="N294" i="7"/>
  <c r="M749" i="8"/>
  <c r="N749" i="8" s="1"/>
  <c r="L750" i="8"/>
  <c r="M751" i="8" s="1"/>
  <c r="M29" i="7"/>
  <c r="M75" i="1"/>
  <c r="L1071" i="7"/>
  <c r="M1981" i="1"/>
  <c r="N1981" i="1" s="1"/>
  <c r="L75" i="8"/>
  <c r="N636" i="7"/>
  <c r="N630" i="7"/>
  <c r="N584" i="7"/>
  <c r="N445" i="7"/>
  <c r="N229" i="7"/>
  <c r="N194" i="7"/>
  <c r="O445" i="7"/>
  <c r="M896" i="8"/>
  <c r="L328" i="7"/>
  <c r="K753" i="1"/>
  <c r="K752" i="1"/>
  <c r="N319" i="7"/>
  <c r="N1069" i="7"/>
  <c r="N1070" i="7"/>
  <c r="O929" i="7"/>
  <c r="F505" i="7"/>
  <c r="F1050" i="1"/>
  <c r="G207" i="1"/>
  <c r="G204" i="1" s="1"/>
  <c r="G201" i="1" s="1"/>
  <c r="G202" i="1" s="1"/>
  <c r="G226" i="1"/>
  <c r="G223" i="1" s="1"/>
  <c r="G2019" i="1"/>
  <c r="G1161" i="1"/>
  <c r="G1426" i="1"/>
  <c r="G274" i="8" s="1"/>
  <c r="F1063" i="1"/>
  <c r="L841" i="1"/>
  <c r="L120" i="1" s="1"/>
  <c r="L840" i="1"/>
  <c r="H522" i="7"/>
  <c r="H108" i="1"/>
  <c r="J526" i="7"/>
  <c r="J1120" i="1"/>
  <c r="L354" i="7"/>
  <c r="L355" i="7"/>
  <c r="N310" i="7"/>
  <c r="N316" i="7"/>
  <c r="M675" i="8"/>
  <c r="N676" i="8" s="1"/>
  <c r="L1072" i="7"/>
  <c r="M1982" i="1"/>
  <c r="N1982" i="1" s="1"/>
  <c r="M354" i="7"/>
  <c r="M349" i="7"/>
  <c r="I124" i="8"/>
  <c r="J689" i="7"/>
  <c r="L314" i="7"/>
  <c r="L315" i="7"/>
  <c r="K86" i="8"/>
  <c r="M335" i="7"/>
  <c r="L102" i="1"/>
  <c r="L231" i="1"/>
  <c r="L281" i="1"/>
  <c r="L32" i="7" s="1"/>
  <c r="L498" i="1"/>
  <c r="L538" i="1"/>
  <c r="L264" i="7" s="1"/>
  <c r="L549" i="1"/>
  <c r="L278" i="7" s="1"/>
  <c r="L559" i="1"/>
  <c r="L599" i="1"/>
  <c r="L291" i="7" s="1"/>
  <c r="L652" i="1"/>
  <c r="L368" i="7" s="1"/>
  <c r="L677" i="1"/>
  <c r="L405" i="7" s="1"/>
  <c r="L693" i="1"/>
  <c r="L739" i="1"/>
  <c r="L853" i="1"/>
  <c r="L943" i="1"/>
  <c r="L1028" i="1"/>
  <c r="L440" i="7" s="1"/>
  <c r="L1113" i="1"/>
  <c r="L517" i="7" s="1"/>
  <c r="L1201" i="1"/>
  <c r="L603" i="7" s="1"/>
  <c r="L1267" i="1"/>
  <c r="L1299" i="1"/>
  <c r="L669" i="7" s="1"/>
  <c r="L1421" i="1"/>
  <c r="L775" i="7" s="1"/>
  <c r="L1561" i="1"/>
  <c r="L919" i="7" s="1"/>
  <c r="L1656" i="1"/>
  <c r="L964" i="7" s="1"/>
  <c r="L1976" i="1"/>
  <c r="L1066" i="7" s="1"/>
  <c r="L2053" i="1"/>
  <c r="L1092" i="7" s="1"/>
  <c r="L1178" i="1"/>
  <c r="L582" i="7" s="1"/>
  <c r="L1377" i="1"/>
  <c r="L1759" i="1"/>
  <c r="L992" i="7" s="1"/>
  <c r="L1832" i="1"/>
  <c r="L1905" i="1"/>
  <c r="L2002" i="1"/>
  <c r="K344" i="7"/>
  <c r="M313" i="7"/>
  <c r="M314" i="7"/>
  <c r="P462" i="7"/>
  <c r="P465" i="7"/>
  <c r="L295" i="8"/>
  <c r="M792" i="7"/>
  <c r="M295" i="8"/>
  <c r="M794" i="7"/>
  <c r="N955" i="7"/>
  <c r="M89" i="8"/>
  <c r="M1279" i="1"/>
  <c r="M87" i="8" s="1"/>
  <c r="L289" i="8"/>
  <c r="J1014" i="1"/>
  <c r="J947" i="1"/>
  <c r="L330" i="7"/>
  <c r="N351" i="7"/>
  <c r="L752" i="1"/>
  <c r="F1078" i="1"/>
  <c r="M329" i="7"/>
  <c r="M330" i="7"/>
  <c r="N334" i="7"/>
  <c r="N335" i="7"/>
  <c r="L933" i="8"/>
  <c r="L907" i="8"/>
  <c r="L759" i="8"/>
  <c r="L444" i="7"/>
  <c r="L77" i="8"/>
  <c r="L71" i="8"/>
  <c r="K907" i="8"/>
  <c r="K759" i="8"/>
  <c r="K933" i="8"/>
  <c r="M850" i="1"/>
  <c r="M840" i="1"/>
  <c r="M320" i="7"/>
  <c r="J680" i="8"/>
  <c r="J935" i="8"/>
  <c r="J828" i="8"/>
  <c r="F540" i="7"/>
  <c r="F1134" i="1"/>
  <c r="J1098" i="1"/>
  <c r="J502" i="7" s="1"/>
  <c r="J1424" i="1"/>
  <c r="J270" i="8" s="1"/>
  <c r="N325" i="7"/>
  <c r="N327" i="7"/>
  <c r="L161" i="7"/>
  <c r="M395" i="1"/>
  <c r="N395" i="1" s="1"/>
  <c r="O395" i="1" s="1"/>
  <c r="P395" i="1" s="1"/>
  <c r="Q395" i="1" s="1"/>
  <c r="P144" i="7"/>
  <c r="K320" i="7"/>
  <c r="N28" i="7"/>
  <c r="L109" i="8"/>
  <c r="L309" i="8"/>
  <c r="N629" i="7"/>
  <c r="N509" i="7"/>
  <c r="N241" i="7"/>
  <c r="N202" i="7"/>
  <c r="N252" i="7"/>
  <c r="L73" i="8"/>
  <c r="O1910" i="1" l="1"/>
  <c r="O1839" i="1"/>
  <c r="M1232" i="1"/>
  <c r="M623" i="7"/>
  <c r="H514" i="7"/>
  <c r="H121" i="1"/>
  <c r="N567" i="1"/>
  <c r="M789" i="7"/>
  <c r="F514" i="7"/>
  <c r="P1070" i="1"/>
  <c r="P1071" i="1" s="1"/>
  <c r="F1109" i="1"/>
  <c r="F1095" i="1" s="1"/>
  <c r="O834" i="1"/>
  <c r="P833" i="1" s="1"/>
  <c r="O1766" i="1"/>
  <c r="N634" i="1"/>
  <c r="N643" i="1" s="1"/>
  <c r="O1102" i="1"/>
  <c r="J645" i="1"/>
  <c r="N1104" i="1"/>
  <c r="N1103" i="1" s="1"/>
  <c r="N1092" i="1" s="1"/>
  <c r="N1308" i="1" s="1"/>
  <c r="N138" i="8" s="1"/>
  <c r="N137" i="8" s="1"/>
  <c r="J649" i="1"/>
  <c r="J1139" i="1" s="1"/>
  <c r="O753" i="1"/>
  <c r="Q753" i="1"/>
  <c r="O676" i="8"/>
  <c r="K646" i="1"/>
  <c r="K362" i="7" s="1"/>
  <c r="H116" i="1"/>
  <c r="H115" i="1" s="1"/>
  <c r="L606" i="1"/>
  <c r="L298" i="7" s="1"/>
  <c r="J362" i="7"/>
  <c r="H1426" i="1"/>
  <c r="H274" i="8" s="1"/>
  <c r="H273" i="8" s="1"/>
  <c r="H207" i="1"/>
  <c r="H204" i="1" s="1"/>
  <c r="H201" i="1" s="1"/>
  <c r="H202" i="1" s="1"/>
  <c r="H1161" i="1"/>
  <c r="H565" i="7" s="1"/>
  <c r="H2019" i="1"/>
  <c r="O1221" i="1"/>
  <c r="N1232" i="1"/>
  <c r="N1234" i="1" s="1"/>
  <c r="N1595" i="1" s="1"/>
  <c r="N498" i="8" s="1"/>
  <c r="N497" i="8" s="1"/>
  <c r="Q913" i="1"/>
  <c r="S897" i="1"/>
  <c r="O240" i="1"/>
  <c r="P243" i="1" s="1"/>
  <c r="P244" i="1" s="1"/>
  <c r="O258" i="1"/>
  <c r="P261" i="1" s="1"/>
  <c r="P262" i="1" s="1"/>
  <c r="Q1207" i="1"/>
  <c r="P1209" i="1"/>
  <c r="P1206" i="1" s="1"/>
  <c r="P1208" i="1"/>
  <c r="O1424" i="1"/>
  <c r="O270" i="8" s="1"/>
  <c r="O269" i="8" s="1"/>
  <c r="O1098" i="1"/>
  <c r="Q31" i="1"/>
  <c r="P32" i="1"/>
  <c r="L87" i="8"/>
  <c r="L86" i="8" s="1"/>
  <c r="J1423" i="1"/>
  <c r="J268" i="8" s="1"/>
  <c r="Q921" i="1"/>
  <c r="P674" i="8"/>
  <c r="O675" i="8"/>
  <c r="O896" i="8"/>
  <c r="P895" i="8"/>
  <c r="M491" i="8"/>
  <c r="M490" i="8" s="1"/>
  <c r="O1980" i="1"/>
  <c r="O1982" i="1" s="1"/>
  <c r="O593" i="1"/>
  <c r="O634" i="1" s="1"/>
  <c r="O529" i="1"/>
  <c r="O124" i="1" s="1"/>
  <c r="J125" i="8"/>
  <c r="J124" i="8" s="1"/>
  <c r="J920" i="8" s="1"/>
  <c r="Q561" i="1"/>
  <c r="Q564" i="1" s="1"/>
  <c r="P564" i="1"/>
  <c r="Q1908" i="1"/>
  <c r="L293" i="7"/>
  <c r="M72" i="8"/>
  <c r="M71" i="8" s="1"/>
  <c r="G948" i="7"/>
  <c r="G489" i="8"/>
  <c r="G488" i="8" s="1"/>
  <c r="N594" i="1"/>
  <c r="N635" i="1" s="1"/>
  <c r="N249" i="1"/>
  <c r="O252" i="1" s="1"/>
  <c r="O253" i="1" s="1"/>
  <c r="N1230" i="1"/>
  <c r="N1231" i="1"/>
  <c r="O818" i="1"/>
  <c r="O819" i="1"/>
  <c r="O75" i="1"/>
  <c r="N1990" i="1"/>
  <c r="N2063" i="1"/>
  <c r="N290" i="8"/>
  <c r="N289" i="8" s="1"/>
  <c r="P592" i="1"/>
  <c r="Q589" i="1"/>
  <c r="Q592" i="1" s="1"/>
  <c r="P1222" i="1"/>
  <c r="O1225" i="1"/>
  <c r="O1231" i="1" s="1"/>
  <c r="O1220" i="1"/>
  <c r="O1228" i="1" s="1"/>
  <c r="N1311" i="1"/>
  <c r="N144" i="8" s="1"/>
  <c r="N143" i="8" s="1"/>
  <c r="O750" i="1"/>
  <c r="N843" i="1"/>
  <c r="N753" i="1"/>
  <c r="Q1979" i="1"/>
  <c r="O861" i="1"/>
  <c r="O862" i="1"/>
  <c r="O929" i="1"/>
  <c r="O923" i="1"/>
  <c r="O924" i="1" s="1"/>
  <c r="N883" i="1"/>
  <c r="O882" i="1" s="1"/>
  <c r="O883" i="1" s="1"/>
  <c r="P882" i="1" s="1"/>
  <c r="P883" i="1" s="1"/>
  <c r="Q882" i="1" s="1"/>
  <c r="Q883" i="1" s="1"/>
  <c r="P752" i="1"/>
  <c r="O1077" i="1"/>
  <c r="O1021" i="1"/>
  <c r="O1078" i="1" s="1"/>
  <c r="Q1837" i="1"/>
  <c r="O802" i="1"/>
  <c r="O803" i="1"/>
  <c r="M292" i="8"/>
  <c r="M291" i="8" s="1"/>
  <c r="P1592" i="1"/>
  <c r="O493" i="8"/>
  <c r="O492" i="8" s="1"/>
  <c r="Q314" i="8"/>
  <c r="Q313" i="8" s="1"/>
  <c r="Q454" i="8"/>
  <c r="Q453" i="8" s="1"/>
  <c r="Q156" i="8"/>
  <c r="Q155" i="8" s="1"/>
  <c r="Q113" i="8"/>
  <c r="Q112" i="8" s="1"/>
  <c r="Q505" i="8"/>
  <c r="Q504" i="8" s="1"/>
  <c r="Q96" i="8"/>
  <c r="Q95" i="8" s="1"/>
  <c r="Q34" i="8"/>
  <c r="Q304" i="8"/>
  <c r="Q303" i="8" s="1"/>
  <c r="Q158" i="8"/>
  <c r="Q157" i="8" s="1"/>
  <c r="Q80" i="8"/>
  <c r="Q79" i="8" s="1"/>
  <c r="Q284" i="8"/>
  <c r="Q283" i="8" s="1"/>
  <c r="Q92" i="8"/>
  <c r="Q91" i="8" s="1"/>
  <c r="Q164" i="8"/>
  <c r="Q163" i="8" s="1"/>
  <c r="Q51" i="8"/>
  <c r="Q50" i="8" s="1"/>
  <c r="Q312" i="8"/>
  <c r="Q311" i="8" s="1"/>
  <c r="Q94" i="8"/>
  <c r="Q93" i="8" s="1"/>
  <c r="P1054" i="1"/>
  <c r="O1057" i="1"/>
  <c r="N657" i="1"/>
  <c r="N754" i="1"/>
  <c r="N848" i="1" s="1"/>
  <c r="N867" i="1"/>
  <c r="N868" i="1" s="1"/>
  <c r="N755" i="1"/>
  <c r="M316" i="8"/>
  <c r="M315" i="8" s="1"/>
  <c r="O752" i="1"/>
  <c r="N601" i="1"/>
  <c r="N605" i="1"/>
  <c r="Q518" i="1"/>
  <c r="Q516" i="1"/>
  <c r="Q30" i="1"/>
  <c r="Q508" i="1"/>
  <c r="Q507" i="1"/>
  <c r="Q505" i="1"/>
  <c r="Q515" i="1" s="1"/>
  <c r="Q506" i="1"/>
  <c r="O1449" i="1"/>
  <c r="O1285" i="1"/>
  <c r="O98" i="8" s="1"/>
  <c r="O97" i="8" s="1"/>
  <c r="O1438" i="1"/>
  <c r="O296" i="8" s="1"/>
  <c r="O295" i="8" s="1"/>
  <c r="O1273" i="1"/>
  <c r="O76" i="8" s="1"/>
  <c r="O75" i="8" s="1"/>
  <c r="O1272" i="1"/>
  <c r="O74" i="8" s="1"/>
  <c r="O73" i="8" s="1"/>
  <c r="O1435" i="1"/>
  <c r="Q857" i="1"/>
  <c r="Q858" i="1" s="1"/>
  <c r="P858" i="1"/>
  <c r="O922" i="1"/>
  <c r="N1916" i="1"/>
  <c r="N2066" i="1"/>
  <c r="N310" i="8"/>
  <c r="N309" i="8" s="1"/>
  <c r="P753" i="1"/>
  <c r="O1018" i="1"/>
  <c r="O1034" i="1"/>
  <c r="O1068" i="1"/>
  <c r="O1107" i="1" s="1"/>
  <c r="O1106" i="1" s="1"/>
  <c r="O1096" i="1" s="1"/>
  <c r="O1312" i="1" s="1"/>
  <c r="O146" i="8" s="1"/>
  <c r="O145" i="8" s="1"/>
  <c r="P1065" i="1"/>
  <c r="P1105" i="1" s="1"/>
  <c r="N1848" i="1"/>
  <c r="N2069" i="1"/>
  <c r="N318" i="8"/>
  <c r="N317" i="8" s="1"/>
  <c r="N750" i="8"/>
  <c r="O749" i="8"/>
  <c r="O822" i="8"/>
  <c r="N823" i="8"/>
  <c r="O534" i="1"/>
  <c r="N267" i="1"/>
  <c r="O269" i="1" s="1"/>
  <c r="O270" i="1" s="1"/>
  <c r="N927" i="1"/>
  <c r="N928" i="1" s="1"/>
  <c r="O927" i="1" s="1"/>
  <c r="O928" i="1" s="1"/>
  <c r="M310" i="8"/>
  <c r="M309" i="8" s="1"/>
  <c r="M931" i="8" s="1"/>
  <c r="P921" i="1"/>
  <c r="S918" i="1"/>
  <c r="M1126" i="1"/>
  <c r="M530" i="7" s="1"/>
  <c r="O2043" i="1"/>
  <c r="O2044" i="1" s="1"/>
  <c r="O770" i="1"/>
  <c r="O771" i="1"/>
  <c r="P1839" i="1"/>
  <c r="N863" i="1"/>
  <c r="N869" i="1"/>
  <c r="N940" i="1" s="1"/>
  <c r="N1122" i="1" s="1"/>
  <c r="N1120" i="1" s="1"/>
  <c r="N1567" i="1" s="1"/>
  <c r="N446" i="8" s="1"/>
  <c r="N445" i="8" s="1"/>
  <c r="N932" i="1"/>
  <c r="N1126" i="1" s="1"/>
  <c r="O1292" i="1"/>
  <c r="O110" i="8" s="1"/>
  <c r="O109" i="8" s="1"/>
  <c r="O1450" i="1"/>
  <c r="O1765" i="1"/>
  <c r="N1279" i="1"/>
  <c r="N87" i="8" s="1"/>
  <c r="N86" i="8" s="1"/>
  <c r="N90" i="8"/>
  <c r="N89" i="8" s="1"/>
  <c r="M501" i="8"/>
  <c r="M500" i="8" s="1"/>
  <c r="N1035" i="1"/>
  <c r="O1274" i="1"/>
  <c r="O78" i="8" s="1"/>
  <c r="O77" i="8" s="1"/>
  <c r="O1439" i="1"/>
  <c r="O298" i="8" s="1"/>
  <c r="O297" i="8" s="1"/>
  <c r="O1040" i="1"/>
  <c r="P1037" i="1"/>
  <c r="P1102" i="1" s="1"/>
  <c r="N1429" i="1"/>
  <c r="N1289" i="1"/>
  <c r="M110" i="8"/>
  <c r="M109" i="8" s="1"/>
  <c r="O786" i="1"/>
  <c r="O787" i="1"/>
  <c r="J364" i="7"/>
  <c r="M298" i="8"/>
  <c r="M297" i="8" s="1"/>
  <c r="M300" i="8"/>
  <c r="M299" i="8" s="1"/>
  <c r="Q2042" i="1"/>
  <c r="O1020" i="1"/>
  <c r="O1063" i="1" s="1"/>
  <c r="O1062" i="1"/>
  <c r="P1227" i="1"/>
  <c r="P1015" i="1"/>
  <c r="P837" i="1"/>
  <c r="P1226" i="1"/>
  <c r="P2035" i="1"/>
  <c r="P2034" i="1"/>
  <c r="P1180" i="1"/>
  <c r="P842" i="1"/>
  <c r="P1118" i="1" s="1"/>
  <c r="P2033" i="1"/>
  <c r="P841" i="1"/>
  <c r="P120" i="1" s="1"/>
  <c r="P1014" i="1"/>
  <c r="P1012" i="1"/>
  <c r="P486" i="1"/>
  <c r="Q88" i="1"/>
  <c r="P2030" i="1"/>
  <c r="P1233" i="1"/>
  <c r="P1591" i="1" s="1"/>
  <c r="P491" i="8" s="1"/>
  <c r="P490" i="8" s="1"/>
  <c r="P850" i="1"/>
  <c r="P436" i="1"/>
  <c r="P2029" i="1"/>
  <c r="P931" i="1"/>
  <c r="P1033" i="1" s="1"/>
  <c r="P463" i="1"/>
  <c r="P2028" i="1"/>
  <c r="P475" i="1"/>
  <c r="P531" i="1"/>
  <c r="P845" i="1"/>
  <c r="P839" i="1"/>
  <c r="P108" i="1" s="1"/>
  <c r="P1156" i="1" s="1"/>
  <c r="P838" i="1"/>
  <c r="P428" i="1"/>
  <c r="P844" i="1"/>
  <c r="P840" i="1"/>
  <c r="Q752" i="1"/>
  <c r="Q1764" i="1"/>
  <c r="O1032" i="1"/>
  <c r="N501" i="8"/>
  <c r="N500" i="8" s="1"/>
  <c r="P1082" i="1"/>
  <c r="P1083" i="1" s="1"/>
  <c r="P1055" i="1"/>
  <c r="P1056" i="1" s="1"/>
  <c r="P704" i="1"/>
  <c r="P705" i="1" s="1"/>
  <c r="P583" i="1"/>
  <c r="P584" i="1" s="1"/>
  <c r="P998" i="1"/>
  <c r="P999" i="1" s="1"/>
  <c r="P950" i="1"/>
  <c r="P951" i="1" s="1"/>
  <c r="P969" i="1"/>
  <c r="P970" i="1" s="1"/>
  <c r="P725" i="1"/>
  <c r="P726" i="1" s="1"/>
  <c r="P993" i="1"/>
  <c r="P994" i="1" s="1"/>
  <c r="P904" i="1"/>
  <c r="P905" i="1" s="1"/>
  <c r="P859" i="1"/>
  <c r="P860" i="1" s="1"/>
  <c r="P562" i="1"/>
  <c r="P563" i="1" s="1"/>
  <c r="P983" i="1"/>
  <c r="P984" i="1" s="1"/>
  <c r="P955" i="1"/>
  <c r="P956" i="1" s="1"/>
  <c r="P718" i="1"/>
  <c r="P719" i="1" s="1"/>
  <c r="P576" i="1"/>
  <c r="P577" i="1" s="1"/>
  <c r="P974" i="1"/>
  <c r="P975" i="1" s="1"/>
  <c r="P731" i="1"/>
  <c r="P732" i="1" s="1"/>
  <c r="P919" i="1"/>
  <c r="P920" i="1" s="1"/>
  <c r="P1066" i="1"/>
  <c r="P1067" i="1" s="1"/>
  <c r="Q80" i="1"/>
  <c r="Q1042" i="1" s="1"/>
  <c r="Q1043" i="1" s="1"/>
  <c r="P964" i="1"/>
  <c r="P965" i="1" s="1"/>
  <c r="P889" i="1"/>
  <c r="P890" i="1" s="1"/>
  <c r="P1007" i="1"/>
  <c r="P1008" i="1" s="1"/>
  <c r="P711" i="1"/>
  <c r="P712" i="1" s="1"/>
  <c r="P697" i="1"/>
  <c r="P698" i="1" s="1"/>
  <c r="P1038" i="1"/>
  <c r="P1039" i="1" s="1"/>
  <c r="P988" i="1"/>
  <c r="P989" i="1" s="1"/>
  <c r="P590" i="1"/>
  <c r="P591" i="1" s="1"/>
  <c r="P874" i="1"/>
  <c r="P875" i="1" s="1"/>
  <c r="P569" i="1"/>
  <c r="P570" i="1" s="1"/>
  <c r="P81" i="1"/>
  <c r="P2043" i="1" s="1"/>
  <c r="O1276" i="1"/>
  <c r="O82" i="8" s="1"/>
  <c r="O81" i="8" s="1"/>
  <c r="O1440" i="1"/>
  <c r="O300" i="8" s="1"/>
  <c r="O299" i="8" s="1"/>
  <c r="N72" i="8"/>
  <c r="N71" i="8" s="1"/>
  <c r="M82" i="8"/>
  <c r="M81" i="8" s="1"/>
  <c r="N1421" i="1"/>
  <c r="N677" i="1"/>
  <c r="N498" i="1"/>
  <c r="N1028" i="1"/>
  <c r="N599" i="1"/>
  <c r="N549" i="1"/>
  <c r="N1113" i="1"/>
  <c r="N538" i="1"/>
  <c r="N102" i="1"/>
  <c r="N1561" i="1"/>
  <c r="N2002" i="1"/>
  <c r="N693" i="1"/>
  <c r="N853" i="1"/>
  <c r="N231" i="1"/>
  <c r="N2053" i="1"/>
  <c r="N1178" i="1"/>
  <c r="N1656" i="1"/>
  <c r="N652" i="1"/>
  <c r="N1905" i="1"/>
  <c r="N1377" i="1"/>
  <c r="N943" i="1"/>
  <c r="N1976" i="1"/>
  <c r="N281" i="1"/>
  <c r="N1759" i="1"/>
  <c r="N1201" i="1"/>
  <c r="N739" i="1"/>
  <c r="N1832" i="1"/>
  <c r="N1267" i="1"/>
  <c r="N1299" i="1"/>
  <c r="N559" i="1"/>
  <c r="P758" i="8"/>
  <c r="P831" i="8"/>
  <c r="N566" i="1"/>
  <c r="N603" i="1" s="1"/>
  <c r="O565" i="1"/>
  <c r="O566" i="1" s="1"/>
  <c r="P522" i="1"/>
  <c r="P529" i="1" s="1"/>
  <c r="P124" i="1" s="1"/>
  <c r="P520" i="1"/>
  <c r="P517" i="1" s="1"/>
  <c r="P532" i="1" s="1"/>
  <c r="P519" i="1"/>
  <c r="P533" i="1" s="1"/>
  <c r="P521" i="1"/>
  <c r="P535" i="1" s="1"/>
  <c r="O1446" i="1"/>
  <c r="O1281" i="1"/>
  <c r="O1597" i="1"/>
  <c r="O1436" i="1"/>
  <c r="O292" i="8" s="1"/>
  <c r="O291" i="8" s="1"/>
  <c r="O1271" i="1"/>
  <c r="O495" i="1"/>
  <c r="N1991" i="1"/>
  <c r="N1847" i="1"/>
  <c r="N2068" i="1"/>
  <c r="N316" i="8"/>
  <c r="N315" i="8" s="1"/>
  <c r="Q669" i="8"/>
  <c r="P819" i="8"/>
  <c r="P820" i="8" s="1"/>
  <c r="P670" i="8"/>
  <c r="P744" i="8"/>
  <c r="P745" i="8" s="1"/>
  <c r="P892" i="8"/>
  <c r="P893" i="8" s="1"/>
  <c r="O1909" i="1"/>
  <c r="P1910" i="1" s="1"/>
  <c r="F489" i="8"/>
  <c r="F488" i="8" s="1"/>
  <c r="M1916" i="1"/>
  <c r="K967" i="1"/>
  <c r="K966" i="1" s="1"/>
  <c r="J967" i="1"/>
  <c r="J966" i="1" s="1"/>
  <c r="H1017" i="1"/>
  <c r="H136" i="1" s="1"/>
  <c r="M2068" i="1"/>
  <c r="M1107" i="7" s="1"/>
  <c r="H1306" i="1"/>
  <c r="H676" i="7" s="1"/>
  <c r="I1019" i="1"/>
  <c r="I1050" i="1" s="1"/>
  <c r="I458" i="7" s="1"/>
  <c r="F781" i="7"/>
  <c r="M800" i="7"/>
  <c r="M955" i="7"/>
  <c r="M2066" i="1"/>
  <c r="M1105" i="7" s="1"/>
  <c r="J484" i="7"/>
  <c r="I1084" i="1"/>
  <c r="I116" i="1"/>
  <c r="I115" i="1" s="1"/>
  <c r="H1147" i="1"/>
  <c r="H551" i="7" s="1"/>
  <c r="J972" i="1"/>
  <c r="J971" i="1" s="1"/>
  <c r="K972" i="1"/>
  <c r="K971" i="1" s="1"/>
  <c r="M1847" i="1"/>
  <c r="M803" i="7"/>
  <c r="M1991" i="1"/>
  <c r="M1081" i="7" s="1"/>
  <c r="M949" i="7"/>
  <c r="H1427" i="1"/>
  <c r="H1150" i="1"/>
  <c r="H554" i="7" s="1"/>
  <c r="M790" i="7"/>
  <c r="L608" i="1"/>
  <c r="H1109" i="1"/>
  <c r="H1095" i="1" s="1"/>
  <c r="H499" i="7" s="1"/>
  <c r="I1108" i="1"/>
  <c r="I1150" i="1" s="1"/>
  <c r="I554" i="7" s="1"/>
  <c r="I484" i="7"/>
  <c r="G1109" i="1"/>
  <c r="G513" i="7" s="1"/>
  <c r="K1301" i="1"/>
  <c r="M2063" i="1"/>
  <c r="M1102" i="7" s="1"/>
  <c r="M1990" i="1"/>
  <c r="M1080" i="7" s="1"/>
  <c r="M793" i="7"/>
  <c r="K640" i="1"/>
  <c r="K636" i="1" s="1"/>
  <c r="I1590" i="1"/>
  <c r="I1137" i="1"/>
  <c r="I541" i="7" s="1"/>
  <c r="K148" i="1"/>
  <c r="K147" i="1" s="1"/>
  <c r="K1052" i="1" s="1"/>
  <c r="K1101" i="1" s="1"/>
  <c r="J2055" i="1"/>
  <c r="J1094" i="7" s="1"/>
  <c r="K962" i="1"/>
  <c r="K961" i="1" s="1"/>
  <c r="H1137" i="1"/>
  <c r="H541" i="7" s="1"/>
  <c r="H543" i="7"/>
  <c r="J671" i="7"/>
  <c r="H364" i="7"/>
  <c r="H361" i="7"/>
  <c r="L297" i="7"/>
  <c r="J358" i="7"/>
  <c r="J1135" i="1"/>
  <c r="J539" i="7" s="1"/>
  <c r="J1138" i="1"/>
  <c r="J542" i="7" s="1"/>
  <c r="J962" i="1"/>
  <c r="J543" i="7"/>
  <c r="J365" i="7"/>
  <c r="K524" i="7"/>
  <c r="J1101" i="1"/>
  <c r="J505" i="7" s="1"/>
  <c r="H1564" i="1"/>
  <c r="H538" i="7"/>
  <c r="H540" i="7"/>
  <c r="M634" i="1"/>
  <c r="M637" i="1" s="1"/>
  <c r="M638" i="1" s="1"/>
  <c r="M595" i="1"/>
  <c r="I364" i="7"/>
  <c r="H488" i="8"/>
  <c r="H948" i="7"/>
  <c r="L1120" i="1"/>
  <c r="L1567" i="1" s="1"/>
  <c r="L446" i="8" s="1"/>
  <c r="K639" i="1"/>
  <c r="M924" i="1"/>
  <c r="M935" i="1" s="1"/>
  <c r="L925" i="1"/>
  <c r="L926" i="1"/>
  <c r="L935" i="1"/>
  <c r="M1122" i="1"/>
  <c r="M1120" i="1" s="1"/>
  <c r="L633" i="1"/>
  <c r="L642" i="1" s="1"/>
  <c r="L637" i="1"/>
  <c r="L640" i="1" s="1"/>
  <c r="M635" i="1"/>
  <c r="M644" i="1" s="1"/>
  <c r="J296" i="7"/>
  <c r="K604" i="1"/>
  <c r="K300" i="7"/>
  <c r="M605" i="1"/>
  <c r="M294" i="7"/>
  <c r="M601" i="1"/>
  <c r="J299" i="7"/>
  <c r="K510" i="7"/>
  <c r="K298" i="7"/>
  <c r="K607" i="1"/>
  <c r="K648" i="1" s="1"/>
  <c r="M999" i="7"/>
  <c r="M509" i="7"/>
  <c r="M1107" i="1"/>
  <c r="M511" i="7" s="1"/>
  <c r="M476" i="7"/>
  <c r="I145" i="8"/>
  <c r="I682" i="7"/>
  <c r="J500" i="7"/>
  <c r="J1312" i="1"/>
  <c r="J146" i="8" s="1"/>
  <c r="M295" i="7"/>
  <c r="L1106" i="1"/>
  <c r="L511" i="7"/>
  <c r="K500" i="7"/>
  <c r="K1312" i="1"/>
  <c r="K146" i="8" s="1"/>
  <c r="L1234" i="1"/>
  <c r="L637" i="7" s="1"/>
  <c r="K1305" i="1"/>
  <c r="G1017" i="1"/>
  <c r="G136" i="1" s="1"/>
  <c r="G121" i="1"/>
  <c r="G506" i="7"/>
  <c r="G1427" i="1"/>
  <c r="G276" i="8" s="1"/>
  <c r="G1147" i="1"/>
  <c r="G551" i="7" s="1"/>
  <c r="G1150" i="1"/>
  <c r="G554" i="7" s="1"/>
  <c r="G1103" i="1"/>
  <c r="G1306" i="1"/>
  <c r="G134" i="8" s="1"/>
  <c r="J1103" i="1"/>
  <c r="J507" i="7" s="1"/>
  <c r="M627" i="7"/>
  <c r="K1102" i="1"/>
  <c r="K506" i="7" s="1"/>
  <c r="K689" i="7"/>
  <c r="K159" i="8"/>
  <c r="I507" i="7"/>
  <c r="I1092" i="1"/>
  <c r="H507" i="7"/>
  <c r="H1092" i="1"/>
  <c r="F678" i="7"/>
  <c r="F138" i="8"/>
  <c r="F137" i="8" s="1"/>
  <c r="J848" i="1"/>
  <c r="N791" i="7"/>
  <c r="L103" i="8"/>
  <c r="M1230" i="1"/>
  <c r="M633" i="7" s="1"/>
  <c r="L1429" i="1"/>
  <c r="L280" i="8" s="1"/>
  <c r="L631" i="7"/>
  <c r="F144" i="8"/>
  <c r="F143" i="8" s="1"/>
  <c r="N622" i="7"/>
  <c r="G778" i="7"/>
  <c r="N333" i="7"/>
  <c r="L307" i="7"/>
  <c r="L1384" i="1"/>
  <c r="L1319" i="1" s="1"/>
  <c r="L160" i="8" s="1"/>
  <c r="M355" i="7"/>
  <c r="L633" i="7"/>
  <c r="M1228" i="1"/>
  <c r="I1088" i="1"/>
  <c r="I492" i="7" s="1"/>
  <c r="I1304" i="1"/>
  <c r="I130" i="8" s="1"/>
  <c r="H674" i="7"/>
  <c r="H129" i="8"/>
  <c r="J847" i="1"/>
  <c r="J1151" i="1" s="1"/>
  <c r="J555" i="7" s="1"/>
  <c r="M305" i="7"/>
  <c r="N317" i="7"/>
  <c r="M898" i="8"/>
  <c r="N898" i="8" s="1"/>
  <c r="K1138" i="1"/>
  <c r="K542" i="7" s="1"/>
  <c r="M306" i="7"/>
  <c r="K1080" i="1"/>
  <c r="K1084" i="1" s="1"/>
  <c r="M304" i="7"/>
  <c r="N308" i="7"/>
  <c r="L1004" i="1"/>
  <c r="L1015" i="1" s="1"/>
  <c r="L1077" i="1" s="1"/>
  <c r="L481" i="7" s="1"/>
  <c r="K1004" i="1"/>
  <c r="K1015" i="1" s="1"/>
  <c r="K1021" i="1" s="1"/>
  <c r="K1078" i="1" s="1"/>
  <c r="K482" i="7" s="1"/>
  <c r="K1135" i="1"/>
  <c r="K539" i="7" s="1"/>
  <c r="K358" i="7"/>
  <c r="L980" i="1"/>
  <c r="L1014" i="1" s="1"/>
  <c r="L1062" i="1" s="1"/>
  <c r="L470" i="7" s="1"/>
  <c r="M343" i="7"/>
  <c r="M342" i="7"/>
  <c r="L348" i="7"/>
  <c r="K980" i="1"/>
  <c r="K1014" i="1" s="1"/>
  <c r="K1062" i="1" s="1"/>
  <c r="K470" i="7" s="1"/>
  <c r="K947" i="1"/>
  <c r="K1012" i="1" s="1"/>
  <c r="K347" i="7"/>
  <c r="N324" i="7"/>
  <c r="K939" i="1"/>
  <c r="K1089" i="1"/>
  <c r="K493" i="7" s="1"/>
  <c r="N349" i="7"/>
  <c r="N330" i="7"/>
  <c r="M353" i="7"/>
  <c r="M109" i="7"/>
  <c r="M315" i="7"/>
  <c r="I1062" i="1"/>
  <c r="I470" i="7" s="1"/>
  <c r="I1020" i="1"/>
  <c r="I1011" i="1"/>
  <c r="N301" i="7"/>
  <c r="M385" i="7"/>
  <c r="M382" i="7"/>
  <c r="M335" i="1"/>
  <c r="N335" i="1" s="1"/>
  <c r="O335" i="1" s="1"/>
  <c r="P335" i="1" s="1"/>
  <c r="Q335" i="1" s="1"/>
  <c r="L86" i="7"/>
  <c r="N41" i="7"/>
  <c r="O129" i="7"/>
  <c r="P485" i="7"/>
  <c r="Q485" i="7"/>
  <c r="L377" i="7"/>
  <c r="L374" i="7"/>
  <c r="P474" i="7"/>
  <c r="P475" i="7"/>
  <c r="M389" i="7"/>
  <c r="M386" i="7"/>
  <c r="M373" i="7"/>
  <c r="M654" i="1"/>
  <c r="M370" i="7" s="1"/>
  <c r="P997" i="7"/>
  <c r="P998" i="7"/>
  <c r="P606" i="7"/>
  <c r="Q606" i="7"/>
  <c r="O617" i="7"/>
  <c r="N611" i="7"/>
  <c r="N608" i="7"/>
  <c r="O609" i="7"/>
  <c r="O610" i="7"/>
  <c r="M608" i="7"/>
  <c r="M381" i="7"/>
  <c r="M378" i="7"/>
  <c r="P486" i="7"/>
  <c r="P487" i="7"/>
  <c r="P463" i="7"/>
  <c r="P464" i="7"/>
  <c r="P450" i="7"/>
  <c r="P451" i="7"/>
  <c r="M755" i="1"/>
  <c r="M868" i="1"/>
  <c r="P26" i="7"/>
  <c r="P27" i="7"/>
  <c r="P1012" i="7"/>
  <c r="N397" i="7"/>
  <c r="N394" i="7"/>
  <c r="O393" i="7"/>
  <c r="O390" i="7"/>
  <c r="P625" i="7"/>
  <c r="Q625" i="7"/>
  <c r="K846" i="1"/>
  <c r="K1148" i="1" s="1"/>
  <c r="K552" i="7" s="1"/>
  <c r="F778" i="7"/>
  <c r="F270" i="8"/>
  <c r="F269" i="8" s="1"/>
  <c r="K847" i="1"/>
  <c r="K1151" i="1" s="1"/>
  <c r="K555" i="7" s="1"/>
  <c r="O334" i="7"/>
  <c r="O350" i="7"/>
  <c r="F523" i="7"/>
  <c r="F1116" i="1"/>
  <c r="H843" i="1"/>
  <c r="H778" i="7"/>
  <c r="H269" i="8"/>
  <c r="J675" i="7"/>
  <c r="J131" i="8"/>
  <c r="L401" i="7"/>
  <c r="L398" i="7"/>
  <c r="L938" i="1"/>
  <c r="F531" i="7"/>
  <c r="F1124" i="1"/>
  <c r="F1098" i="1"/>
  <c r="F502" i="7" s="1"/>
  <c r="H847" i="1"/>
  <c r="H1151" i="1" s="1"/>
  <c r="G847" i="1"/>
  <c r="G1151" i="1" s="1"/>
  <c r="G846" i="1"/>
  <c r="G1148" i="1" s="1"/>
  <c r="J846" i="1"/>
  <c r="J1148" i="1" s="1"/>
  <c r="J552" i="7" s="1"/>
  <c r="I846" i="1"/>
  <c r="I1148" i="1" s="1"/>
  <c r="I847" i="1"/>
  <c r="I1151" i="1" s="1"/>
  <c r="H846" i="1"/>
  <c r="H1148" i="1" s="1"/>
  <c r="G1119" i="1"/>
  <c r="G849" i="1"/>
  <c r="G1127" i="1" s="1"/>
  <c r="F846" i="1"/>
  <c r="F1148" i="1" s="1"/>
  <c r="F847" i="1"/>
  <c r="F1151" i="1" s="1"/>
  <c r="N336" i="7"/>
  <c r="M844" i="1"/>
  <c r="O351" i="7"/>
  <c r="O303" i="7"/>
  <c r="N295" i="7"/>
  <c r="N293" i="7"/>
  <c r="N356" i="7"/>
  <c r="N352" i="7"/>
  <c r="K778" i="7"/>
  <c r="K269" i="8"/>
  <c r="N29" i="7"/>
  <c r="Q144" i="7"/>
  <c r="M161" i="7"/>
  <c r="J778" i="7"/>
  <c r="J269" i="8"/>
  <c r="F538" i="7"/>
  <c r="F1564" i="1"/>
  <c r="K103" i="8"/>
  <c r="O310" i="7"/>
  <c r="O316" i="7"/>
  <c r="F482" i="7"/>
  <c r="M841" i="1"/>
  <c r="M316" i="7"/>
  <c r="O327" i="7"/>
  <c r="M307" i="7"/>
  <c r="J159" i="8"/>
  <c r="N313" i="7"/>
  <c r="N314" i="7"/>
  <c r="N309" i="7"/>
  <c r="O335" i="7"/>
  <c r="H1156" i="1"/>
  <c r="H560" i="7" s="1"/>
  <c r="H780" i="7"/>
  <c r="G565" i="7"/>
  <c r="G1589" i="1"/>
  <c r="G487" i="8" s="1"/>
  <c r="M635" i="7"/>
  <c r="M1234" i="1"/>
  <c r="N322" i="7"/>
  <c r="O584" i="7"/>
  <c r="O636" i="7"/>
  <c r="O630" i="7"/>
  <c r="O509" i="7"/>
  <c r="O252" i="7"/>
  <c r="O229" i="7"/>
  <c r="O194" i="7"/>
  <c r="N789" i="7"/>
  <c r="N1080" i="7"/>
  <c r="N1102" i="7"/>
  <c r="N511" i="7"/>
  <c r="N804" i="7"/>
  <c r="N1108" i="7"/>
  <c r="M1071" i="7"/>
  <c r="M102" i="1"/>
  <c r="M231" i="1"/>
  <c r="M281" i="1"/>
  <c r="M32" i="7" s="1"/>
  <c r="M498" i="1"/>
  <c r="M538" i="1"/>
  <c r="M264" i="7" s="1"/>
  <c r="M549" i="1"/>
  <c r="M278" i="7" s="1"/>
  <c r="M559" i="1"/>
  <c r="M599" i="1"/>
  <c r="M291" i="7" s="1"/>
  <c r="M652" i="1"/>
  <c r="M368" i="7" s="1"/>
  <c r="M677" i="1"/>
  <c r="M405" i="7" s="1"/>
  <c r="M693" i="1"/>
  <c r="M739" i="1"/>
  <c r="M1113" i="1"/>
  <c r="M517" i="7" s="1"/>
  <c r="M853" i="1"/>
  <c r="M943" i="1"/>
  <c r="M1028" i="1"/>
  <c r="M440" i="7" s="1"/>
  <c r="M1178" i="1"/>
  <c r="M582" i="7" s="1"/>
  <c r="M1377" i="1"/>
  <c r="M1759" i="1"/>
  <c r="M992" i="7" s="1"/>
  <c r="M1832" i="1"/>
  <c r="M1905" i="1"/>
  <c r="M2002" i="1"/>
  <c r="M1201" i="1"/>
  <c r="M603" i="7" s="1"/>
  <c r="M1267" i="1"/>
  <c r="M1299" i="1"/>
  <c r="M669" i="7" s="1"/>
  <c r="M1421" i="1"/>
  <c r="M775" i="7" s="1"/>
  <c r="M1561" i="1"/>
  <c r="M919" i="7" s="1"/>
  <c r="M1656" i="1"/>
  <c r="M964" i="7" s="1"/>
  <c r="M1976" i="1"/>
  <c r="M1066" i="7" s="1"/>
  <c r="M2053" i="1"/>
  <c r="M1092" i="7" s="1"/>
  <c r="N297" i="7"/>
  <c r="L346" i="7"/>
  <c r="F275" i="8"/>
  <c r="K828" i="8"/>
  <c r="K680" i="8"/>
  <c r="K935" i="8"/>
  <c r="M322" i="7"/>
  <c r="P473" i="7"/>
  <c r="P476" i="7"/>
  <c r="I540" i="7"/>
  <c r="I1134" i="1"/>
  <c r="O319" i="7"/>
  <c r="J488" i="7"/>
  <c r="L947" i="1"/>
  <c r="L1012" i="1" s="1"/>
  <c r="M760" i="8"/>
  <c r="M934" i="8"/>
  <c r="F1017" i="1"/>
  <c r="F1023" i="1" s="1"/>
  <c r="F1035" i="1"/>
  <c r="M823" i="8"/>
  <c r="N824" i="8" s="1"/>
  <c r="M352" i="7"/>
  <c r="H524" i="7"/>
  <c r="H1567" i="1"/>
  <c r="H446" i="8" s="1"/>
  <c r="L530" i="7"/>
  <c r="M331" i="7"/>
  <c r="M897" i="8"/>
  <c r="N897" i="8" s="1"/>
  <c r="N790" i="7"/>
  <c r="N261" i="7"/>
  <c r="N793" i="7"/>
  <c r="N510" i="7"/>
  <c r="M340" i="7"/>
  <c r="K925" i="7"/>
  <c r="K445" i="8"/>
  <c r="N794" i="7"/>
  <c r="N803" i="7"/>
  <c r="N1107" i="7"/>
  <c r="N1081" i="7"/>
  <c r="L931" i="8"/>
  <c r="L830" i="8"/>
  <c r="O28" i="7"/>
  <c r="O311" i="7"/>
  <c r="N337" i="7"/>
  <c r="N338" i="7"/>
  <c r="N353" i="7"/>
  <c r="N354" i="7"/>
  <c r="J1012" i="1"/>
  <c r="J1020" i="1"/>
  <c r="J1062" i="1"/>
  <c r="L906" i="8"/>
  <c r="L928" i="8"/>
  <c r="I920" i="8"/>
  <c r="M1072" i="7"/>
  <c r="N311" i="7"/>
  <c r="N312" i="7"/>
  <c r="J524" i="7"/>
  <c r="J1567" i="1"/>
  <c r="J446" i="8" s="1"/>
  <c r="L844" i="1"/>
  <c r="H1589" i="1"/>
  <c r="H487" i="8" s="1"/>
  <c r="F471" i="7"/>
  <c r="G780" i="7"/>
  <c r="G273" i="8"/>
  <c r="F458" i="7"/>
  <c r="N623" i="7"/>
  <c r="P929" i="7"/>
  <c r="O1069" i="7"/>
  <c r="O1070" i="7"/>
  <c r="O629" i="7"/>
  <c r="O241" i="7"/>
  <c r="O202" i="7"/>
  <c r="O261" i="7"/>
  <c r="P445" i="7"/>
  <c r="N792" i="7"/>
  <c r="N800" i="7"/>
  <c r="N1105" i="7"/>
  <c r="N949" i="7"/>
  <c r="L360" i="7"/>
  <c r="L107" i="1"/>
  <c r="M750" i="8"/>
  <c r="N751" i="8" s="1"/>
  <c r="K1109" i="7"/>
  <c r="K1003" i="7"/>
  <c r="M522" i="7"/>
  <c r="O476" i="7"/>
  <c r="O950" i="7"/>
  <c r="K953" i="7"/>
  <c r="K497" i="8"/>
  <c r="O318" i="7"/>
  <c r="M752" i="1"/>
  <c r="J1021" i="1"/>
  <c r="J1077" i="1"/>
  <c r="G269" i="8"/>
  <c r="M338" i="7"/>
  <c r="M339" i="7"/>
  <c r="F676" i="7"/>
  <c r="F134" i="8"/>
  <c r="F446" i="7"/>
  <c r="F226" i="1"/>
  <c r="F207" i="1"/>
  <c r="F1161" i="1"/>
  <c r="F1426" i="1"/>
  <c r="F2019" i="1"/>
  <c r="G538" i="7"/>
  <c r="G1564" i="1"/>
  <c r="G440" i="8" s="1"/>
  <c r="K1098" i="1"/>
  <c r="K502" i="7" s="1"/>
  <c r="M323" i="7"/>
  <c r="M753" i="1"/>
  <c r="O897" i="8" l="1"/>
  <c r="O824" i="8"/>
  <c r="O898" i="8"/>
  <c r="F513" i="7"/>
  <c r="Q1070" i="1"/>
  <c r="Q1071" i="1" s="1"/>
  <c r="I1110" i="1"/>
  <c r="I514" i="7" s="1"/>
  <c r="M643" i="1"/>
  <c r="M359" i="7" s="1"/>
  <c r="N637" i="1"/>
  <c r="N638" i="1" s="1"/>
  <c r="N644" i="1"/>
  <c r="N107" i="1" s="1"/>
  <c r="N1155" i="1" s="1"/>
  <c r="J1110" i="1"/>
  <c r="J121" i="1" s="1"/>
  <c r="P676" i="8"/>
  <c r="M646" i="1"/>
  <c r="M362" i="7" s="1"/>
  <c r="J1108" i="1"/>
  <c r="J1427" i="1" s="1"/>
  <c r="J276" i="8" s="1"/>
  <c r="P834" i="1"/>
  <c r="Q833" i="1" s="1"/>
  <c r="S833" i="1" s="1"/>
  <c r="K649" i="1"/>
  <c r="N633" i="1"/>
  <c r="O1981" i="1"/>
  <c r="K645" i="1"/>
  <c r="P1766" i="1"/>
  <c r="P1838" i="1"/>
  <c r="O751" i="8"/>
  <c r="P751" i="8" s="1"/>
  <c r="L607" i="1"/>
  <c r="O602" i="1"/>
  <c r="O643" i="1" s="1"/>
  <c r="P527" i="1"/>
  <c r="P1437" i="1" s="1"/>
  <c r="P294" i="8" s="1"/>
  <c r="P293" i="8" s="1"/>
  <c r="O594" i="1"/>
  <c r="L300" i="7"/>
  <c r="L649" i="1"/>
  <c r="N925" i="1"/>
  <c r="N642" i="1"/>
  <c r="O595" i="1"/>
  <c r="O633" i="1" s="1"/>
  <c r="N926" i="1"/>
  <c r="L646" i="1"/>
  <c r="L362" i="7" s="1"/>
  <c r="O1230" i="1"/>
  <c r="P1221" i="1"/>
  <c r="O1232" i="1"/>
  <c r="O925" i="1"/>
  <c r="O933" i="1"/>
  <c r="S882" i="1"/>
  <c r="M830" i="8"/>
  <c r="N938" i="1"/>
  <c r="N1305" i="1" s="1"/>
  <c r="N132" i="8" s="1"/>
  <c r="N131" i="8" s="1"/>
  <c r="M759" i="8"/>
  <c r="M933" i="8"/>
  <c r="M907" i="8"/>
  <c r="M906" i="8"/>
  <c r="M928" i="8"/>
  <c r="P258" i="1"/>
  <c r="Q261" i="1" s="1"/>
  <c r="Q262" i="1" s="1"/>
  <c r="Q258" i="1" s="1"/>
  <c r="O267" i="1"/>
  <c r="P269" i="1" s="1"/>
  <c r="P270" i="1" s="1"/>
  <c r="P2044" i="1"/>
  <c r="O249" i="1"/>
  <c r="P252" i="1" s="1"/>
  <c r="P253" i="1" s="1"/>
  <c r="P240" i="1"/>
  <c r="Q243" i="1" s="1"/>
  <c r="Q244" i="1" s="1"/>
  <c r="Q240" i="1" s="1"/>
  <c r="O637" i="1"/>
  <c r="O638" i="1" s="1"/>
  <c r="H134" i="8"/>
  <c r="H133" i="8" s="1"/>
  <c r="P749" i="8"/>
  <c r="O750" i="8"/>
  <c r="P1281" i="1"/>
  <c r="P1446" i="1"/>
  <c r="P1597" i="1"/>
  <c r="Q1226" i="1"/>
  <c r="Q2034" i="1"/>
  <c r="Q931" i="1"/>
  <c r="Q1033" i="1" s="1"/>
  <c r="Q845" i="1"/>
  <c r="Q2033" i="1"/>
  <c r="Q844" i="1"/>
  <c r="Q2030" i="1"/>
  <c r="Q1233" i="1"/>
  <c r="Q1591" i="1" s="1"/>
  <c r="Q491" i="8" s="1"/>
  <c r="Q490" i="8" s="1"/>
  <c r="Q463" i="1"/>
  <c r="Q850" i="1"/>
  <c r="Q475" i="1"/>
  <c r="Q2029" i="1"/>
  <c r="Q2028" i="1"/>
  <c r="Q531" i="1"/>
  <c r="Q837" i="1"/>
  <c r="Q428" i="1"/>
  <c r="Q1015" i="1"/>
  <c r="Q2035" i="1"/>
  <c r="Q1180" i="1"/>
  <c r="Q1014" i="1"/>
  <c r="Q841" i="1"/>
  <c r="Q120" i="1" s="1"/>
  <c r="Q840" i="1"/>
  <c r="Q1012" i="1"/>
  <c r="Q486" i="1"/>
  <c r="Q839" i="1"/>
  <c r="Q108" i="1" s="1"/>
  <c r="Q1156" i="1" s="1"/>
  <c r="Q842" i="1"/>
  <c r="Q1118" i="1" s="1"/>
  <c r="Q838" i="1"/>
  <c r="Q1227" i="1"/>
  <c r="Q436" i="1"/>
  <c r="O1429" i="1"/>
  <c r="O1289" i="1"/>
  <c r="Q988" i="1"/>
  <c r="Q989" i="1" s="1"/>
  <c r="Q950" i="1"/>
  <c r="Q951" i="1" s="1"/>
  <c r="Q904" i="1"/>
  <c r="Q905" i="1" s="1"/>
  <c r="Q718" i="1"/>
  <c r="Q719" i="1" s="1"/>
  <c r="Q569" i="1"/>
  <c r="Q570" i="1" s="1"/>
  <c r="Q1082" i="1"/>
  <c r="Q1083" i="1" s="1"/>
  <c r="Q889" i="1"/>
  <c r="Q890" i="1" s="1"/>
  <c r="Q1007" i="1"/>
  <c r="Q1008" i="1" s="1"/>
  <c r="Q874" i="1"/>
  <c r="Q875" i="1" s="1"/>
  <c r="Q731" i="1"/>
  <c r="Q732" i="1" s="1"/>
  <c r="Q1066" i="1"/>
  <c r="Q1067" i="1" s="1"/>
  <c r="Q974" i="1"/>
  <c r="Q975" i="1" s="1"/>
  <c r="Q955" i="1"/>
  <c r="Q956" i="1" s="1"/>
  <c r="Q697" i="1"/>
  <c r="Q698" i="1" s="1"/>
  <c r="Q562" i="1"/>
  <c r="Q563" i="1" s="1"/>
  <c r="Q576" i="1"/>
  <c r="Q577" i="1" s="1"/>
  <c r="Q993" i="1"/>
  <c r="Q994" i="1" s="1"/>
  <c r="Q725" i="1"/>
  <c r="Q726" i="1" s="1"/>
  <c r="Q81" i="1"/>
  <c r="Q1980" i="1" s="1"/>
  <c r="Q583" i="1"/>
  <c r="Q584" i="1" s="1"/>
  <c r="Q969" i="1"/>
  <c r="Q970" i="1" s="1"/>
  <c r="Q964" i="1"/>
  <c r="Q965" i="1" s="1"/>
  <c r="Q1038" i="1"/>
  <c r="Q1039" i="1" s="1"/>
  <c r="Q590" i="1"/>
  <c r="Q591" i="1" s="1"/>
  <c r="Q704" i="1"/>
  <c r="Q705" i="1" s="1"/>
  <c r="Q998" i="1"/>
  <c r="Q999" i="1" s="1"/>
  <c r="Q919" i="1"/>
  <c r="Q920" i="1" s="1"/>
  <c r="Q859" i="1"/>
  <c r="Q860" i="1" s="1"/>
  <c r="Q1055" i="1"/>
  <c r="Q1056" i="1" s="1"/>
  <c r="Q983" i="1"/>
  <c r="Q984" i="1" s="1"/>
  <c r="Q711" i="1"/>
  <c r="Q712" i="1" s="1"/>
  <c r="J777" i="7"/>
  <c r="P786" i="1"/>
  <c r="P787" i="1"/>
  <c r="P896" i="8"/>
  <c r="P898" i="8" s="1"/>
  <c r="Q895" i="8"/>
  <c r="O1916" i="1"/>
  <c r="O2066" i="1"/>
  <c r="O310" i="8"/>
  <c r="O309" i="8" s="1"/>
  <c r="N1770" i="1"/>
  <c r="N1914" i="1"/>
  <c r="N2070" i="1"/>
  <c r="N280" i="8"/>
  <c r="N279" i="8" s="1"/>
  <c r="O657" i="1"/>
  <c r="O754" i="1"/>
  <c r="O848" i="1" s="1"/>
  <c r="N654" i="1"/>
  <c r="O867" i="1"/>
  <c r="O938" i="1" s="1"/>
  <c r="O755" i="1"/>
  <c r="O926" i="1"/>
  <c r="P1435" i="1"/>
  <c r="P1272" i="1"/>
  <c r="P74" i="8" s="1"/>
  <c r="P73" i="8" s="1"/>
  <c r="O1104" i="1"/>
  <c r="O1103" i="1" s="1"/>
  <c r="O1092" i="1" s="1"/>
  <c r="O1308" i="1" s="1"/>
  <c r="O138" i="8" s="1"/>
  <c r="O137" i="8" s="1"/>
  <c r="Q1054" i="1"/>
  <c r="Q1057" i="1" s="1"/>
  <c r="P1057" i="1"/>
  <c r="P1021" i="1"/>
  <c r="P1078" i="1" s="1"/>
  <c r="P1077" i="1"/>
  <c r="Q1209" i="1"/>
  <c r="Q1206" i="1" s="1"/>
  <c r="Q1208" i="1"/>
  <c r="I489" i="8"/>
  <c r="I488" i="8" s="1"/>
  <c r="P1450" i="1"/>
  <c r="P1292" i="1"/>
  <c r="P110" i="8" s="1"/>
  <c r="P109" i="8" s="1"/>
  <c r="O863" i="1"/>
  <c r="O869" i="1"/>
  <c r="O940" i="1" s="1"/>
  <c r="O1122" i="1" s="1"/>
  <c r="O1120" i="1" s="1"/>
  <c r="O1567" i="1" s="1"/>
  <c r="O446" i="8" s="1"/>
  <c r="O445" i="8" s="1"/>
  <c r="O932" i="1"/>
  <c r="P1765" i="1"/>
  <c r="O1848" i="1"/>
  <c r="O2069" i="1"/>
  <c r="O318" i="8"/>
  <c r="O317" i="8" s="1"/>
  <c r="N864" i="1"/>
  <c r="N934" i="1"/>
  <c r="P923" i="1"/>
  <c r="P924" i="1" s="1"/>
  <c r="P929" i="1"/>
  <c r="S921" i="1"/>
  <c r="Q1065" i="1"/>
  <c r="Q1068" i="1" s="1"/>
  <c r="Q1107" i="1" s="1"/>
  <c r="P1068" i="1"/>
  <c r="P1107" i="1" s="1"/>
  <c r="P1106" i="1" s="1"/>
  <c r="P1096" i="1" s="1"/>
  <c r="P1312" i="1" s="1"/>
  <c r="P146" i="8" s="1"/>
  <c r="P145" i="8" s="1"/>
  <c r="Q522" i="1"/>
  <c r="Q527" i="1" s="1"/>
  <c r="Q1437" i="1" s="1"/>
  <c r="Q294" i="8" s="1"/>
  <c r="Q293" i="8" s="1"/>
  <c r="Q519" i="1"/>
  <c r="Q533" i="1" s="1"/>
  <c r="Q521" i="1"/>
  <c r="Q535" i="1" s="1"/>
  <c r="Q520" i="1"/>
  <c r="Q517" i="1" s="1"/>
  <c r="Q532" i="1" s="1"/>
  <c r="P1980" i="1"/>
  <c r="P1981" i="1" s="1"/>
  <c r="P1225" i="1"/>
  <c r="P1231" i="1" s="1"/>
  <c r="Q1222" i="1"/>
  <c r="P1220" i="1"/>
  <c r="P1228" i="1" s="1"/>
  <c r="P75" i="1"/>
  <c r="P1032" i="1"/>
  <c r="N934" i="8"/>
  <c r="N760" i="8"/>
  <c r="N931" i="8"/>
  <c r="N830" i="8"/>
  <c r="P1020" i="1"/>
  <c r="P1063" i="1" s="1"/>
  <c r="P1062" i="1"/>
  <c r="N606" i="1"/>
  <c r="O943" i="1"/>
  <c r="O231" i="1"/>
  <c r="O549" i="1"/>
  <c r="O1561" i="1"/>
  <c r="O1178" i="1"/>
  <c r="O2053" i="1"/>
  <c r="O1976" i="1"/>
  <c r="O1421" i="1"/>
  <c r="O1832" i="1"/>
  <c r="O677" i="1"/>
  <c r="O1905" i="1"/>
  <c r="O693" i="1"/>
  <c r="O498" i="1"/>
  <c r="O1113" i="1"/>
  <c r="O1377" i="1"/>
  <c r="O1299" i="1"/>
  <c r="O739" i="1"/>
  <c r="O1201" i="1"/>
  <c r="O2002" i="1"/>
  <c r="O1267" i="1"/>
  <c r="O559" i="1"/>
  <c r="O102" i="1"/>
  <c r="O281" i="1"/>
  <c r="O599" i="1"/>
  <c r="O853" i="1"/>
  <c r="O538" i="1"/>
  <c r="O1759" i="1"/>
  <c r="O652" i="1"/>
  <c r="O1028" i="1"/>
  <c r="O1656" i="1"/>
  <c r="O1847" i="1"/>
  <c r="O2068" i="1"/>
  <c r="O1991" i="1"/>
  <c r="O316" i="8"/>
  <c r="O315" i="8" s="1"/>
  <c r="O603" i="1"/>
  <c r="J1136" i="1"/>
  <c r="J1134" i="1" s="1"/>
  <c r="N608" i="1"/>
  <c r="H440" i="8"/>
  <c r="H439" i="8" s="1"/>
  <c r="H276" i="8"/>
  <c r="H275" i="8" s="1"/>
  <c r="O72" i="8"/>
  <c r="O71" i="8" s="1"/>
  <c r="O567" i="1"/>
  <c r="P1440" i="1"/>
  <c r="P300" i="8" s="1"/>
  <c r="P299" i="8" s="1"/>
  <c r="P1276" i="1"/>
  <c r="P82" i="8" s="1"/>
  <c r="P81" i="8" s="1"/>
  <c r="O1311" i="1"/>
  <c r="O144" i="8" s="1"/>
  <c r="O143" i="8" s="1"/>
  <c r="P927" i="1"/>
  <c r="P928" i="1" s="1"/>
  <c r="Q927" i="1" s="1"/>
  <c r="Q928" i="1" s="1"/>
  <c r="Q1839" i="1"/>
  <c r="P922" i="1"/>
  <c r="Q1592" i="1"/>
  <c r="Q493" i="8" s="1"/>
  <c r="Q492" i="8" s="1"/>
  <c r="P493" i="8"/>
  <c r="P492" i="8" s="1"/>
  <c r="Q593" i="1"/>
  <c r="Q634" i="1" s="1"/>
  <c r="Q594" i="1"/>
  <c r="Q32" i="1"/>
  <c r="O1990" i="1"/>
  <c r="O2063" i="1"/>
  <c r="O290" i="8"/>
  <c r="O289" i="8" s="1"/>
  <c r="N1119" i="1"/>
  <c r="N1116" i="1" s="1"/>
  <c r="P750" i="1"/>
  <c r="O843" i="1"/>
  <c r="P1438" i="1"/>
  <c r="P296" i="8" s="1"/>
  <c r="P295" i="8" s="1"/>
  <c r="P1273" i="1"/>
  <c r="P76" i="8" s="1"/>
  <c r="P75" i="8" s="1"/>
  <c r="P1439" i="1"/>
  <c r="P298" i="8" s="1"/>
  <c r="P297" i="8" s="1"/>
  <c r="P1274" i="1"/>
  <c r="P78" i="8" s="1"/>
  <c r="P77" i="8" s="1"/>
  <c r="P1436" i="1"/>
  <c r="P292" i="8" s="1"/>
  <c r="P291" i="8" s="1"/>
  <c r="P495" i="1"/>
  <c r="P1271" i="1"/>
  <c r="P771" i="1"/>
  <c r="P770" i="1"/>
  <c r="P593" i="1"/>
  <c r="P634" i="1" s="1"/>
  <c r="P1909" i="1"/>
  <c r="Q1910" i="1" s="1"/>
  <c r="Q674" i="8"/>
  <c r="P675" i="8"/>
  <c r="P1040" i="1"/>
  <c r="Q1037" i="1"/>
  <c r="Q1040" i="1" s="1"/>
  <c r="N759" i="8"/>
  <c r="N933" i="8"/>
  <c r="N907" i="8"/>
  <c r="N148" i="1"/>
  <c r="P818" i="1"/>
  <c r="P819" i="1"/>
  <c r="K132" i="8"/>
  <c r="K131" i="8" s="1"/>
  <c r="O501" i="8"/>
  <c r="O500" i="8" s="1"/>
  <c r="P534" i="1"/>
  <c r="P1034" i="1"/>
  <c r="P1018" i="1"/>
  <c r="P861" i="1"/>
  <c r="Q831" i="8"/>
  <c r="Q758" i="8"/>
  <c r="N928" i="8"/>
  <c r="N906" i="8"/>
  <c r="O635" i="1"/>
  <c r="Q929" i="1"/>
  <c r="Q923" i="1"/>
  <c r="Q924" i="1" s="1"/>
  <c r="N1384" i="1"/>
  <c r="N1319" i="1" s="1"/>
  <c r="N160" i="8" s="1"/>
  <c r="N159" i="8" s="1"/>
  <c r="P1285" i="1"/>
  <c r="P98" i="8" s="1"/>
  <c r="P97" i="8" s="1"/>
  <c r="P1449" i="1"/>
  <c r="Q565" i="1"/>
  <c r="Q566" i="1" s="1"/>
  <c r="Q670" i="8"/>
  <c r="Q744" i="8"/>
  <c r="Q745" i="8" s="1"/>
  <c r="Q819" i="8"/>
  <c r="Q820" i="8" s="1"/>
  <c r="Q892" i="8"/>
  <c r="Q893" i="8" s="1"/>
  <c r="K125" i="8"/>
  <c r="K124" i="8" s="1"/>
  <c r="K920" i="8" s="1"/>
  <c r="O1279" i="1"/>
  <c r="O87" i="8" s="1"/>
  <c r="O86" i="8" s="1"/>
  <c r="O90" i="8"/>
  <c r="O89" i="8" s="1"/>
  <c r="P1098" i="1"/>
  <c r="P1424" i="1"/>
  <c r="P270" i="8" s="1"/>
  <c r="P269" i="8" s="1"/>
  <c r="N104" i="8"/>
  <c r="N103" i="8" s="1"/>
  <c r="O823" i="8"/>
  <c r="P824" i="8" s="1"/>
  <c r="P822" i="8"/>
  <c r="O1035" i="1"/>
  <c r="Q861" i="1"/>
  <c r="Q932" i="1" s="1"/>
  <c r="N1304" i="1"/>
  <c r="N1088" i="1"/>
  <c r="P802" i="1"/>
  <c r="P803" i="1"/>
  <c r="P565" i="1"/>
  <c r="P567" i="1" s="1"/>
  <c r="Q922" i="1"/>
  <c r="H1023" i="1"/>
  <c r="H1090" i="1" s="1"/>
  <c r="H494" i="7" s="1"/>
  <c r="I1306" i="1"/>
  <c r="I134" i="8" s="1"/>
  <c r="I133" i="8" s="1"/>
  <c r="H1313" i="1"/>
  <c r="I488" i="7"/>
  <c r="K1013" i="1"/>
  <c r="K1019" i="1" s="1"/>
  <c r="K1050" i="1" s="1"/>
  <c r="K458" i="7" s="1"/>
  <c r="H781" i="7"/>
  <c r="K2055" i="1"/>
  <c r="K1094" i="7" s="1"/>
  <c r="K671" i="7"/>
  <c r="I1147" i="1"/>
  <c r="I551" i="7" s="1"/>
  <c r="L604" i="1"/>
  <c r="I512" i="7"/>
  <c r="I948" i="7"/>
  <c r="I1427" i="1"/>
  <c r="H513" i="7"/>
  <c r="G1095" i="1"/>
  <c r="G1313" i="1" s="1"/>
  <c r="K365" i="7"/>
  <c r="K460" i="7"/>
  <c r="K1423" i="1"/>
  <c r="K1091" i="1"/>
  <c r="K495" i="7" s="1"/>
  <c r="K1136" i="1"/>
  <c r="K1134" i="1" s="1"/>
  <c r="L524" i="7"/>
  <c r="J1137" i="1"/>
  <c r="J541" i="7" s="1"/>
  <c r="J116" i="1"/>
  <c r="J115" i="1" s="1"/>
  <c r="J361" i="7"/>
  <c r="J961" i="1"/>
  <c r="J1013" i="1" s="1"/>
  <c r="J1011" i="1" s="1"/>
  <c r="J1025" i="1"/>
  <c r="K296" i="7"/>
  <c r="J1590" i="1"/>
  <c r="J489" i="8" s="1"/>
  <c r="H922" i="7"/>
  <c r="M926" i="1"/>
  <c r="M633" i="1"/>
  <c r="M642" i="1" s="1"/>
  <c r="M925" i="1"/>
  <c r="M526" i="7"/>
  <c r="M937" i="1"/>
  <c r="M1425" i="1"/>
  <c r="M1099" i="1"/>
  <c r="M503" i="7" s="1"/>
  <c r="L636" i="1"/>
  <c r="L1301" i="1"/>
  <c r="L125" i="8" s="1"/>
  <c r="L148" i="1"/>
  <c r="L147" i="1" s="1"/>
  <c r="L1052" i="1" s="1"/>
  <c r="L359" i="7"/>
  <c r="K363" i="7"/>
  <c r="L1099" i="1"/>
  <c r="L503" i="7" s="1"/>
  <c r="L936" i="1"/>
  <c r="L937" i="1"/>
  <c r="L1425" i="1"/>
  <c r="L272" i="8" s="1"/>
  <c r="M936" i="1"/>
  <c r="M606" i="1"/>
  <c r="M647" i="1" s="1"/>
  <c r="M608" i="1"/>
  <c r="L638" i="1"/>
  <c r="L647" i="1" s="1"/>
  <c r="M640" i="1"/>
  <c r="M293" i="7"/>
  <c r="M297" i="7"/>
  <c r="K299" i="7"/>
  <c r="L1595" i="1"/>
  <c r="J145" i="8"/>
  <c r="J682" i="7"/>
  <c r="K145" i="8"/>
  <c r="K682" i="7"/>
  <c r="L1096" i="1"/>
  <c r="L510" i="7"/>
  <c r="M1106" i="1"/>
  <c r="K675" i="7"/>
  <c r="G1023" i="1"/>
  <c r="G1100" i="1" s="1"/>
  <c r="G504" i="7" s="1"/>
  <c r="J1092" i="1"/>
  <c r="J496" i="7" s="1"/>
  <c r="G507" i="7"/>
  <c r="G1092" i="1"/>
  <c r="G133" i="8"/>
  <c r="G676" i="7"/>
  <c r="G275" i="8"/>
  <c r="G781" i="7"/>
  <c r="K1103" i="1"/>
  <c r="K507" i="7" s="1"/>
  <c r="L1104" i="1"/>
  <c r="L508" i="7" s="1"/>
  <c r="L1102" i="1"/>
  <c r="H496" i="7"/>
  <c r="H1308" i="1"/>
  <c r="H138" i="8" s="1"/>
  <c r="I1308" i="1"/>
  <c r="I138" i="8" s="1"/>
  <c r="I496" i="7"/>
  <c r="K848" i="1"/>
  <c r="O624" i="7"/>
  <c r="P999" i="7"/>
  <c r="L1770" i="1"/>
  <c r="L1003" i="7" s="1"/>
  <c r="L279" i="8"/>
  <c r="M1384" i="1"/>
  <c r="M1319" i="1" s="1"/>
  <c r="M160" i="8" s="1"/>
  <c r="L2070" i="1"/>
  <c r="L1109" i="7" s="1"/>
  <c r="L783" i="7"/>
  <c r="L1914" i="1"/>
  <c r="N634" i="7"/>
  <c r="K1020" i="1"/>
  <c r="K1063" i="1" s="1"/>
  <c r="K471" i="7" s="1"/>
  <c r="N627" i="7"/>
  <c r="L1080" i="1"/>
  <c r="O308" i="7"/>
  <c r="M1429" i="1"/>
  <c r="M280" i="8" s="1"/>
  <c r="M631" i="7"/>
  <c r="M1289" i="1"/>
  <c r="M104" i="8" s="1"/>
  <c r="I674" i="7"/>
  <c r="I129" i="8"/>
  <c r="J1304" i="1"/>
  <c r="J130" i="8" s="1"/>
  <c r="J1088" i="1"/>
  <c r="J492" i="7" s="1"/>
  <c r="O294" i="7"/>
  <c r="K484" i="7"/>
  <c r="L1020" i="1"/>
  <c r="L1063" i="1" s="1"/>
  <c r="L471" i="7" s="1"/>
  <c r="K1077" i="1"/>
  <c r="K481" i="7" s="1"/>
  <c r="N315" i="7"/>
  <c r="M345" i="7"/>
  <c r="N305" i="7"/>
  <c r="L1021" i="1"/>
  <c r="L1078" i="1" s="1"/>
  <c r="L482" i="7" s="1"/>
  <c r="N329" i="7"/>
  <c r="O302" i="7"/>
  <c r="P511" i="7"/>
  <c r="N306" i="7"/>
  <c r="N304" i="7"/>
  <c r="K1025" i="1"/>
  <c r="L344" i="7"/>
  <c r="M346" i="7"/>
  <c r="O332" i="7"/>
  <c r="N321" i="7"/>
  <c r="N323" i="7"/>
  <c r="O326" i="7"/>
  <c r="P302" i="7"/>
  <c r="N109" i="7"/>
  <c r="O353" i="7"/>
  <c r="I226" i="1"/>
  <c r="I223" i="1" s="1"/>
  <c r="I2019" i="1"/>
  <c r="I1426" i="1"/>
  <c r="I274" i="8" s="1"/>
  <c r="I207" i="1"/>
  <c r="I204" i="1" s="1"/>
  <c r="I201" i="1" s="1"/>
  <c r="I202" i="1" s="1"/>
  <c r="I1161" i="1"/>
  <c r="I1063" i="1"/>
  <c r="I471" i="7" s="1"/>
  <c r="I1017" i="1"/>
  <c r="I136" i="1" s="1"/>
  <c r="I1109" i="1"/>
  <c r="I121" i="1"/>
  <c r="I1311" i="1"/>
  <c r="I144" i="8" s="1"/>
  <c r="M845" i="1"/>
  <c r="M1098" i="1" s="1"/>
  <c r="M502" i="7" s="1"/>
  <c r="P444" i="7"/>
  <c r="O340" i="7"/>
  <c r="N503" i="7"/>
  <c r="N385" i="7"/>
  <c r="N382" i="7"/>
  <c r="O41" i="7"/>
  <c r="M86" i="7"/>
  <c r="P129" i="7"/>
  <c r="N355" i="7"/>
  <c r="P617" i="7"/>
  <c r="Q617" i="7"/>
  <c r="N373" i="7"/>
  <c r="N370" i="7"/>
  <c r="N389" i="7"/>
  <c r="N386" i="7"/>
  <c r="P393" i="7"/>
  <c r="P390" i="7"/>
  <c r="O397" i="7"/>
  <c r="O394" i="7"/>
  <c r="N381" i="7"/>
  <c r="N378" i="7"/>
  <c r="O611" i="7"/>
  <c r="P609" i="7"/>
  <c r="P610" i="7"/>
  <c r="M377" i="7"/>
  <c r="M374" i="7"/>
  <c r="Q326" i="7"/>
  <c r="M341" i="7"/>
  <c r="Q350" i="7"/>
  <c r="F552" i="7"/>
  <c r="F1146" i="1"/>
  <c r="G523" i="7"/>
  <c r="G1116" i="1"/>
  <c r="G1174" i="1"/>
  <c r="G578" i="7" s="1"/>
  <c r="I555" i="7"/>
  <c r="I1149" i="1"/>
  <c r="I553" i="7" s="1"/>
  <c r="G555" i="7"/>
  <c r="G1149" i="1"/>
  <c r="G553" i="7" s="1"/>
  <c r="L1305" i="1"/>
  <c r="L132" i="8" s="1"/>
  <c r="L939" i="1"/>
  <c r="L1089" i="1"/>
  <c r="L493" i="7" s="1"/>
  <c r="M938" i="1"/>
  <c r="M398" i="7"/>
  <c r="M401" i="7"/>
  <c r="I843" i="1"/>
  <c r="F555" i="7"/>
  <c r="F1149" i="1"/>
  <c r="F553" i="7" s="1"/>
  <c r="F1174" i="1"/>
  <c r="F578" i="7" s="1"/>
  <c r="G1124" i="1"/>
  <c r="G531" i="7"/>
  <c r="H552" i="7"/>
  <c r="H1146" i="1"/>
  <c r="I552" i="7"/>
  <c r="G552" i="7"/>
  <c r="G1146" i="1"/>
  <c r="H555" i="7"/>
  <c r="H1149" i="1"/>
  <c r="H553" i="7" s="1"/>
  <c r="F528" i="7"/>
  <c r="F1566" i="1"/>
  <c r="H1119" i="1"/>
  <c r="H849" i="1"/>
  <c r="H1127" i="1" s="1"/>
  <c r="F1568" i="1"/>
  <c r="F520" i="7"/>
  <c r="O522" i="7"/>
  <c r="O526" i="7"/>
  <c r="O560" i="7"/>
  <c r="N343" i="7"/>
  <c r="O309" i="7"/>
  <c r="N530" i="7"/>
  <c r="L347" i="7"/>
  <c r="L689" i="7"/>
  <c r="G922" i="7"/>
  <c r="G439" i="8"/>
  <c r="F780" i="7"/>
  <c r="F274" i="8"/>
  <c r="F1090" i="1"/>
  <c r="F1100" i="1"/>
  <c r="F204" i="1"/>
  <c r="P294" i="7"/>
  <c r="P326" i="7"/>
  <c r="P332" i="7"/>
  <c r="K488" i="7"/>
  <c r="J1078" i="1"/>
  <c r="O321" i="7"/>
  <c r="O322" i="7"/>
  <c r="O317" i="7"/>
  <c r="O323" i="7"/>
  <c r="P950" i="7"/>
  <c r="L1155" i="1"/>
  <c r="L559" i="7" s="1"/>
  <c r="P636" i="7"/>
  <c r="P630" i="7"/>
  <c r="P584" i="7"/>
  <c r="P229" i="7"/>
  <c r="P194" i="7"/>
  <c r="O530" i="7"/>
  <c r="O803" i="7"/>
  <c r="O1081" i="7"/>
  <c r="O1107" i="7"/>
  <c r="S742" i="1"/>
  <c r="O622" i="7"/>
  <c r="N635" i="7"/>
  <c r="L845" i="1"/>
  <c r="L1424" i="1" s="1"/>
  <c r="L270" i="8" s="1"/>
  <c r="O336" i="7"/>
  <c r="O328" i="7"/>
  <c r="J470" i="7"/>
  <c r="P318" i="7"/>
  <c r="P324" i="7"/>
  <c r="N332" i="7"/>
  <c r="O29" i="7"/>
  <c r="K505" i="7"/>
  <c r="M336" i="7"/>
  <c r="N500" i="7"/>
  <c r="M360" i="7"/>
  <c r="M107" i="1"/>
  <c r="M1155" i="1" s="1"/>
  <c r="M559" i="7" s="1"/>
  <c r="J267" i="8"/>
  <c r="F447" i="7"/>
  <c r="F499" i="7"/>
  <c r="F1313" i="1"/>
  <c r="O792" i="7"/>
  <c r="O794" i="7"/>
  <c r="O444" i="7"/>
  <c r="O949" i="7"/>
  <c r="O354" i="7"/>
  <c r="O349" i="7"/>
  <c r="M637" i="7"/>
  <c r="M1595" i="1"/>
  <c r="M498" i="8" s="1"/>
  <c r="Q318" i="7"/>
  <c r="S318" i="7"/>
  <c r="O312" i="7"/>
  <c r="M524" i="7"/>
  <c r="M1567" i="1"/>
  <c r="M446" i="8" s="1"/>
  <c r="F922" i="7"/>
  <c r="F440" i="8"/>
  <c r="F439" i="8" s="1"/>
  <c r="N161" i="7"/>
  <c r="H146" i="7"/>
  <c r="L147" i="7"/>
  <c r="P148" i="7"/>
  <c r="P146" i="7"/>
  <c r="H148" i="7"/>
  <c r="P147" i="7"/>
  <c r="L146" i="7"/>
  <c r="B139" i="7"/>
  <c r="F146" i="7"/>
  <c r="N146" i="7"/>
  <c r="J147" i="7"/>
  <c r="N148" i="7"/>
  <c r="Q148" i="7"/>
  <c r="M148" i="7"/>
  <c r="I148" i="7"/>
  <c r="Q147" i="7"/>
  <c r="M147" i="7"/>
  <c r="I147" i="7"/>
  <c r="Q146" i="7"/>
  <c r="M146" i="7"/>
  <c r="I146" i="7"/>
  <c r="L148" i="7"/>
  <c r="H147" i="7"/>
  <c r="J146" i="7"/>
  <c r="F147" i="7"/>
  <c r="N147" i="7"/>
  <c r="J148" i="7"/>
  <c r="O148" i="7"/>
  <c r="K148" i="7"/>
  <c r="G148" i="7"/>
  <c r="O147" i="7"/>
  <c r="K147" i="7"/>
  <c r="G147" i="7"/>
  <c r="O146" i="7"/>
  <c r="K146" i="7"/>
  <c r="G146" i="7"/>
  <c r="N32" i="7"/>
  <c r="N264" i="7"/>
  <c r="N278" i="7"/>
  <c r="N291" i="7"/>
  <c r="N368" i="7"/>
  <c r="N405" i="7"/>
  <c r="N440" i="7"/>
  <c r="N517" i="7"/>
  <c r="N603" i="7"/>
  <c r="N669" i="7"/>
  <c r="N775" i="7"/>
  <c r="N919" i="7"/>
  <c r="N964" i="7"/>
  <c r="N1066" i="7"/>
  <c r="N1092" i="7"/>
  <c r="N582" i="7"/>
  <c r="N992" i="7"/>
  <c r="P334" i="7"/>
  <c r="P335" i="7"/>
  <c r="F565" i="7"/>
  <c r="F1589" i="1"/>
  <c r="F223" i="1"/>
  <c r="F133" i="8"/>
  <c r="P327" i="7"/>
  <c r="J481" i="7"/>
  <c r="Q310" i="7"/>
  <c r="S310" i="7"/>
  <c r="P629" i="7"/>
  <c r="P509" i="7"/>
  <c r="P241" i="7"/>
  <c r="P202" i="7"/>
  <c r="P261" i="7"/>
  <c r="P252" i="7"/>
  <c r="O790" i="7"/>
  <c r="O793" i="7"/>
  <c r="S350" i="7"/>
  <c r="N320" i="7"/>
  <c r="P1069" i="7"/>
  <c r="P1070" i="7"/>
  <c r="Q929" i="7"/>
  <c r="O623" i="7"/>
  <c r="H947" i="7"/>
  <c r="H486" i="8"/>
  <c r="J925" i="7"/>
  <c r="J445" i="8"/>
  <c r="O337" i="7"/>
  <c r="O333" i="7"/>
  <c r="N1072" i="7"/>
  <c r="O329" i="7"/>
  <c r="O330" i="7"/>
  <c r="O325" i="7"/>
  <c r="J1311" i="1"/>
  <c r="J144" i="8" s="1"/>
  <c r="J1063" i="1"/>
  <c r="J1018" i="1"/>
  <c r="J1034" i="1"/>
  <c r="P319" i="7"/>
  <c r="N342" i="7"/>
  <c r="P28" i="7"/>
  <c r="N331" i="7"/>
  <c r="H925" i="7"/>
  <c r="H445" i="8"/>
  <c r="Q334" i="7"/>
  <c r="S334" i="7"/>
  <c r="F136" i="1"/>
  <c r="S326" i="7"/>
  <c r="N339" i="7"/>
  <c r="K1018" i="1"/>
  <c r="K1034" i="1"/>
  <c r="K446" i="7" s="1"/>
  <c r="L1018" i="1"/>
  <c r="L1034" i="1"/>
  <c r="L446" i="7" s="1"/>
  <c r="O301" i="7"/>
  <c r="I538" i="7"/>
  <c r="I1564" i="1"/>
  <c r="I440" i="8" s="1"/>
  <c r="P310" i="7"/>
  <c r="P311" i="7"/>
  <c r="N300" i="7"/>
  <c r="N298" i="7"/>
  <c r="N1071" i="7"/>
  <c r="O789" i="7"/>
  <c r="O510" i="7"/>
  <c r="O804" i="7"/>
  <c r="O955" i="7"/>
  <c r="O800" i="7"/>
  <c r="P350" i="7"/>
  <c r="P356" i="7"/>
  <c r="P351" i="7"/>
  <c r="N633" i="7"/>
  <c r="G947" i="7"/>
  <c r="G486" i="8"/>
  <c r="L925" i="7"/>
  <c r="L445" i="8"/>
  <c r="O295" i="7"/>
  <c r="M312" i="7"/>
  <c r="M86" i="8"/>
  <c r="M120" i="1"/>
  <c r="P303" i="7"/>
  <c r="O313" i="7"/>
  <c r="O314" i="7"/>
  <c r="N444" i="7"/>
  <c r="S924" i="1" l="1"/>
  <c r="Q1766" i="1"/>
  <c r="N640" i="1"/>
  <c r="N646" i="1"/>
  <c r="Q676" i="8"/>
  <c r="Q595" i="1"/>
  <c r="N649" i="1"/>
  <c r="N1139" i="1" s="1"/>
  <c r="N636" i="1"/>
  <c r="Q1104" i="1"/>
  <c r="P594" i="1"/>
  <c r="N647" i="1"/>
  <c r="N1423" i="1" s="1"/>
  <c r="N268" i="8" s="1"/>
  <c r="N267" i="8" s="1"/>
  <c r="O644" i="1"/>
  <c r="J514" i="7"/>
  <c r="Q1838" i="1"/>
  <c r="O605" i="1"/>
  <c r="O608" i="1" s="1"/>
  <c r="O604" i="1" s="1"/>
  <c r="Q1105" i="1"/>
  <c r="Q1106" i="1" s="1"/>
  <c r="Q1096" i="1" s="1"/>
  <c r="Q1312" i="1" s="1"/>
  <c r="Q146" i="8" s="1"/>
  <c r="Q145" i="8" s="1"/>
  <c r="J1109" i="1"/>
  <c r="J513" i="7" s="1"/>
  <c r="Q602" i="1"/>
  <c r="J512" i="7"/>
  <c r="M649" i="1"/>
  <c r="J1150" i="1"/>
  <c r="J554" i="7" s="1"/>
  <c r="Q675" i="8"/>
  <c r="Q2043" i="1"/>
  <c r="Q2044" i="1" s="1"/>
  <c r="Q1981" i="1"/>
  <c r="K1108" i="1"/>
  <c r="K1150" i="1" s="1"/>
  <c r="K554" i="7" s="1"/>
  <c r="J1147" i="1"/>
  <c r="J1146" i="1" s="1"/>
  <c r="J550" i="7" s="1"/>
  <c r="Q1909" i="1"/>
  <c r="P1982" i="1"/>
  <c r="K1110" i="1"/>
  <c r="K121" i="1" s="1"/>
  <c r="Q1765" i="1"/>
  <c r="Q643" i="1"/>
  <c r="S643" i="1" s="1"/>
  <c r="N1301" i="1"/>
  <c r="N2055" i="1" s="1"/>
  <c r="O601" i="1"/>
  <c r="O642" i="1" s="1"/>
  <c r="Q834" i="1"/>
  <c r="Q925" i="1"/>
  <c r="N1089" i="1"/>
  <c r="P566" i="1"/>
  <c r="P603" i="1" s="1"/>
  <c r="N639" i="1"/>
  <c r="L296" i="7"/>
  <c r="L645" i="1"/>
  <c r="P602" i="1"/>
  <c r="P643" i="1" s="1"/>
  <c r="J781" i="7"/>
  <c r="L299" i="7"/>
  <c r="O868" i="1"/>
  <c r="P1230" i="1"/>
  <c r="O1234" i="1"/>
  <c r="O1595" i="1" s="1"/>
  <c r="O498" i="8" s="1"/>
  <c r="O497" i="8" s="1"/>
  <c r="O1384" i="1"/>
  <c r="O1319" i="1" s="1"/>
  <c r="O160" i="8" s="1"/>
  <c r="O159" i="8" s="1"/>
  <c r="P1232" i="1"/>
  <c r="P1234" i="1" s="1"/>
  <c r="P1595" i="1" s="1"/>
  <c r="P498" i="8" s="1"/>
  <c r="P497" i="8" s="1"/>
  <c r="Q1221" i="1"/>
  <c r="Q1232" i="1" s="1"/>
  <c r="Q1234" i="1" s="1"/>
  <c r="Q1595" i="1" s="1"/>
  <c r="Q498" i="8" s="1"/>
  <c r="Q497" i="8" s="1"/>
  <c r="P926" i="1"/>
  <c r="N939" i="1"/>
  <c r="O640" i="1"/>
  <c r="O639" i="1"/>
  <c r="Q847" i="1"/>
  <c r="N846" i="1"/>
  <c r="O846" i="1"/>
  <c r="O847" i="1"/>
  <c r="H1100" i="1"/>
  <c r="H504" i="7" s="1"/>
  <c r="P249" i="1"/>
  <c r="Q252" i="1" s="1"/>
  <c r="Q253" i="1" s="1"/>
  <c r="Q249" i="1" s="1"/>
  <c r="P267" i="1"/>
  <c r="Q269" i="1" s="1"/>
  <c r="Q270" i="1" s="1"/>
  <c r="Q267" i="1" s="1"/>
  <c r="Q633" i="1"/>
  <c r="Q637" i="1"/>
  <c r="Q638" i="1" s="1"/>
  <c r="P1035" i="1"/>
  <c r="Q1020" i="1"/>
  <c r="Q1063" i="1" s="1"/>
  <c r="Q1062" i="1"/>
  <c r="Q862" i="1"/>
  <c r="Q933" i="1" s="1"/>
  <c r="Q605" i="1"/>
  <c r="P637" i="1"/>
  <c r="P638" i="1" s="1"/>
  <c r="Q1102" i="1"/>
  <c r="J540" i="7"/>
  <c r="Q786" i="1"/>
  <c r="S786" i="1" s="1"/>
  <c r="Q787" i="1"/>
  <c r="J1095" i="1"/>
  <c r="J499" i="7" s="1"/>
  <c r="M272" i="8"/>
  <c r="M271" i="8" s="1"/>
  <c r="P1311" i="1"/>
  <c r="P144" i="8" s="1"/>
  <c r="P143" i="8" s="1"/>
  <c r="P847" i="1"/>
  <c r="I676" i="7"/>
  <c r="P601" i="1"/>
  <c r="Q822" i="8"/>
  <c r="Q823" i="8" s="1"/>
  <c r="P823" i="8"/>
  <c r="Q824" i="8" s="1"/>
  <c r="P846" i="1"/>
  <c r="Q567" i="1"/>
  <c r="Q601" i="1" s="1"/>
  <c r="Q642" i="1" s="1"/>
  <c r="P2063" i="1"/>
  <c r="P1990" i="1"/>
  <c r="P290" i="8"/>
  <c r="P289" i="8" s="1"/>
  <c r="O931" i="8"/>
  <c r="O830" i="8"/>
  <c r="Q529" i="1"/>
  <c r="Q124" i="1" s="1"/>
  <c r="N847" i="1"/>
  <c r="Q1126" i="1"/>
  <c r="H148" i="8"/>
  <c r="H147" i="8" s="1"/>
  <c r="N935" i="1"/>
  <c r="N1099" i="1" s="1"/>
  <c r="N866" i="1"/>
  <c r="P897" i="8"/>
  <c r="Q1436" i="1"/>
  <c r="Q292" i="8" s="1"/>
  <c r="Q291" i="8" s="1"/>
  <c r="Q495" i="1"/>
  <c r="Q1271" i="1"/>
  <c r="P1847" i="1"/>
  <c r="P1991" i="1"/>
  <c r="P2068" i="1"/>
  <c r="P316" i="8"/>
  <c r="P315" i="8" s="1"/>
  <c r="S923" i="1"/>
  <c r="N607" i="1"/>
  <c r="O148" i="1"/>
  <c r="Q1077" i="1"/>
  <c r="Q1021" i="1"/>
  <c r="Q1078" i="1" s="1"/>
  <c r="P501" i="8"/>
  <c r="P500" i="8" s="1"/>
  <c r="O1304" i="1"/>
  <c r="O1088" i="1"/>
  <c r="Q869" i="1"/>
  <c r="Q940" i="1" s="1"/>
  <c r="Q1122" i="1" s="1"/>
  <c r="Q1120" i="1" s="1"/>
  <c r="Q1567" i="1" s="1"/>
  <c r="Q446" i="8" s="1"/>
  <c r="Q445" i="8" s="1"/>
  <c r="Q863" i="1"/>
  <c r="N1568" i="1"/>
  <c r="N448" i="8" s="1"/>
  <c r="N447" i="8" s="1"/>
  <c r="O760" i="8"/>
  <c r="O934" i="8"/>
  <c r="L972" i="1"/>
  <c r="L971" i="1" s="1"/>
  <c r="Q1281" i="1"/>
  <c r="Q1446" i="1"/>
  <c r="Q1597" i="1"/>
  <c r="L967" i="1"/>
  <c r="L966" i="1" s="1"/>
  <c r="P1848" i="1"/>
  <c r="P2069" i="1"/>
  <c r="P318" i="8"/>
  <c r="P317" i="8" s="1"/>
  <c r="Q534" i="1"/>
  <c r="G148" i="8"/>
  <c r="G147" i="8" s="1"/>
  <c r="N865" i="1"/>
  <c r="Q770" i="1"/>
  <c r="S770" i="1" s="1"/>
  <c r="Q771" i="1"/>
  <c r="P925" i="1"/>
  <c r="S922" i="1"/>
  <c r="Q1225" i="1"/>
  <c r="Q1231" i="1" s="1"/>
  <c r="Q1220" i="1"/>
  <c r="Q1228" i="1" s="1"/>
  <c r="N1138" i="1"/>
  <c r="N1135" i="1"/>
  <c r="Q1272" i="1"/>
  <c r="Q74" i="8" s="1"/>
  <c r="Q73" i="8" s="1"/>
  <c r="Q1435" i="1"/>
  <c r="P2066" i="1"/>
  <c r="P1916" i="1"/>
  <c r="P310" i="8"/>
  <c r="P309" i="8" s="1"/>
  <c r="N130" i="8"/>
  <c r="N129" i="8" s="1"/>
  <c r="O864" i="1"/>
  <c r="O935" i="1" s="1"/>
  <c r="O934" i="1"/>
  <c r="P657" i="1"/>
  <c r="P867" i="1"/>
  <c r="P938" i="1" s="1"/>
  <c r="P754" i="1"/>
  <c r="P848" i="1" s="1"/>
  <c r="O654" i="1"/>
  <c r="P755" i="1"/>
  <c r="O2070" i="1"/>
  <c r="O1770" i="1"/>
  <c r="O1914" i="1"/>
  <c r="O280" i="8"/>
  <c r="O279" i="8" s="1"/>
  <c r="N147" i="1"/>
  <c r="Q1438" i="1"/>
  <c r="Q296" i="8" s="1"/>
  <c r="Q295" i="8" s="1"/>
  <c r="Q1273" i="1"/>
  <c r="Q76" i="8" s="1"/>
  <c r="Q75" i="8" s="1"/>
  <c r="Q603" i="1"/>
  <c r="P635" i="1"/>
  <c r="Q635" i="1"/>
  <c r="P1429" i="1"/>
  <c r="P1289" i="1"/>
  <c r="K268" i="8"/>
  <c r="K267" i="8" s="1"/>
  <c r="L498" i="8"/>
  <c r="L497" i="8" s="1"/>
  <c r="Q1450" i="1"/>
  <c r="Q1292" i="1"/>
  <c r="Q110" i="8" s="1"/>
  <c r="Q109" i="8" s="1"/>
  <c r="Q1276" i="1"/>
  <c r="Q82" i="8" s="1"/>
  <c r="Q81" i="8" s="1"/>
  <c r="Q1440" i="1"/>
  <c r="Q300" i="8" s="1"/>
  <c r="Q299" i="8" s="1"/>
  <c r="Q1274" i="1"/>
  <c r="Q78" i="8" s="1"/>
  <c r="Q77" i="8" s="1"/>
  <c r="Q1439" i="1"/>
  <c r="Q298" i="8" s="1"/>
  <c r="Q297" i="8" s="1"/>
  <c r="P1279" i="1"/>
  <c r="P87" i="8" s="1"/>
  <c r="P86" i="8" s="1"/>
  <c r="P90" i="8"/>
  <c r="P89" i="8" s="1"/>
  <c r="O104" i="8"/>
  <c r="O103" i="8" s="1"/>
  <c r="Q1424" i="1"/>
  <c r="Q270" i="8" s="1"/>
  <c r="Q269" i="8" s="1"/>
  <c r="Q1098" i="1"/>
  <c r="N828" i="8"/>
  <c r="N680" i="8"/>
  <c r="N935" i="8"/>
  <c r="O759" i="8"/>
  <c r="O933" i="8"/>
  <c r="O907" i="8"/>
  <c r="P595" i="1"/>
  <c r="P633" i="1" s="1"/>
  <c r="S634" i="1"/>
  <c r="I276" i="8"/>
  <c r="I275" i="8" s="1"/>
  <c r="Q802" i="1"/>
  <c r="S802" i="1" s="1"/>
  <c r="Q803" i="1"/>
  <c r="P863" i="1"/>
  <c r="P869" i="1"/>
  <c r="P940" i="1" s="1"/>
  <c r="P1122" i="1" s="1"/>
  <c r="P1120" i="1" s="1"/>
  <c r="P1567" i="1" s="1"/>
  <c r="P446" i="8" s="1"/>
  <c r="P445" i="8" s="1"/>
  <c r="P932" i="1"/>
  <c r="P1104" i="1"/>
  <c r="P1103" i="1" s="1"/>
  <c r="P1092" i="1" s="1"/>
  <c r="P1308" i="1" s="1"/>
  <c r="P138" i="8" s="1"/>
  <c r="P137" i="8" s="1"/>
  <c r="O1119" i="1"/>
  <c r="O1116" i="1" s="1"/>
  <c r="Q75" i="1"/>
  <c r="S927" i="1"/>
  <c r="O939" i="1"/>
  <c r="O1126" i="1"/>
  <c r="O1305" i="1"/>
  <c r="O132" i="8" s="1"/>
  <c r="O131" i="8" s="1"/>
  <c r="O1089" i="1"/>
  <c r="Q1034" i="1"/>
  <c r="Q1018" i="1"/>
  <c r="Q1285" i="1"/>
  <c r="Q98" i="8" s="1"/>
  <c r="Q97" i="8" s="1"/>
  <c r="Q1449" i="1"/>
  <c r="P72" i="8"/>
  <c r="P71" i="8" s="1"/>
  <c r="N604" i="1"/>
  <c r="O928" i="8"/>
  <c r="O906" i="8"/>
  <c r="P1759" i="1"/>
  <c r="P1267" i="1"/>
  <c r="P652" i="1"/>
  <c r="P2002" i="1"/>
  <c r="P1976" i="1"/>
  <c r="P1905" i="1"/>
  <c r="P1832" i="1"/>
  <c r="P1377" i="1"/>
  <c r="P1299" i="1"/>
  <c r="P1201" i="1"/>
  <c r="P549" i="1"/>
  <c r="P1656" i="1"/>
  <c r="P538" i="1"/>
  <c r="P1421" i="1"/>
  <c r="P1178" i="1"/>
  <c r="P943" i="1"/>
  <c r="P2053" i="1"/>
  <c r="P693" i="1"/>
  <c r="P853" i="1"/>
  <c r="P1561" i="1"/>
  <c r="P599" i="1"/>
  <c r="P559" i="1"/>
  <c r="P1113" i="1"/>
  <c r="P1028" i="1"/>
  <c r="P677" i="1"/>
  <c r="P281" i="1"/>
  <c r="P102" i="1"/>
  <c r="P498" i="1"/>
  <c r="P231" i="1"/>
  <c r="P739" i="1"/>
  <c r="H683" i="7"/>
  <c r="P862" i="1"/>
  <c r="Q819" i="1"/>
  <c r="Q818" i="1"/>
  <c r="S818" i="1" s="1"/>
  <c r="Q750" i="1"/>
  <c r="Q843" i="1" s="1"/>
  <c r="P843" i="1"/>
  <c r="Q1982" i="1"/>
  <c r="Q926" i="1"/>
  <c r="Q896" i="8"/>
  <c r="Q898" i="8" s="1"/>
  <c r="Q846" i="1"/>
  <c r="Q1032" i="1"/>
  <c r="P750" i="8"/>
  <c r="Q751" i="8" s="1"/>
  <c r="Q749" i="8"/>
  <c r="Q750" i="8" s="1"/>
  <c r="K1306" i="1"/>
  <c r="K676" i="7" s="1"/>
  <c r="K1011" i="1"/>
  <c r="K226" i="1" s="1"/>
  <c r="K223" i="1" s="1"/>
  <c r="K1049" i="1"/>
  <c r="K457" i="7" s="1"/>
  <c r="I1146" i="1"/>
  <c r="I1586" i="1" s="1"/>
  <c r="I481" i="8" s="1"/>
  <c r="I781" i="7"/>
  <c r="L361" i="7"/>
  <c r="K777" i="7"/>
  <c r="G499" i="7"/>
  <c r="G683" i="7"/>
  <c r="K364" i="7"/>
  <c r="K1139" i="1"/>
  <c r="K543" i="7" s="1"/>
  <c r="N967" i="1"/>
  <c r="N966" i="1" s="1"/>
  <c r="M779" i="7"/>
  <c r="J1049" i="1"/>
  <c r="J457" i="7" s="1"/>
  <c r="J1019" i="1"/>
  <c r="J1050" i="1" s="1"/>
  <c r="J458" i="7" s="1"/>
  <c r="K361" i="7"/>
  <c r="L363" i="7"/>
  <c r="J488" i="8"/>
  <c r="J948" i="7"/>
  <c r="M300" i="7"/>
  <c r="K116" i="1"/>
  <c r="K115" i="1" s="1"/>
  <c r="M148" i="1"/>
  <c r="M147" i="1" s="1"/>
  <c r="M1301" i="1"/>
  <c r="L1091" i="1"/>
  <c r="L495" i="7" s="1"/>
  <c r="M607" i="1"/>
  <c r="M639" i="1"/>
  <c r="M604" i="1"/>
  <c r="M298" i="7"/>
  <c r="L124" i="8"/>
  <c r="L920" i="8" s="1"/>
  <c r="L671" i="7"/>
  <c r="L2055" i="1"/>
  <c r="L1094" i="7" s="1"/>
  <c r="L271" i="8"/>
  <c r="L779" i="7"/>
  <c r="M636" i="1"/>
  <c r="L639" i="1"/>
  <c r="L648" i="1" s="1"/>
  <c r="L365" i="7"/>
  <c r="L1139" i="1"/>
  <c r="L1135" i="1"/>
  <c r="L539" i="7" s="1"/>
  <c r="L1138" i="1"/>
  <c r="L358" i="7"/>
  <c r="L962" i="1"/>
  <c r="L953" i="7"/>
  <c r="G1097" i="1"/>
  <c r="G501" i="7" s="1"/>
  <c r="G1090" i="1"/>
  <c r="G494" i="7" s="1"/>
  <c r="M1096" i="1"/>
  <c r="M510" i="7"/>
  <c r="L1312" i="1"/>
  <c r="L146" i="8" s="1"/>
  <c r="L500" i="7"/>
  <c r="J1308" i="1"/>
  <c r="L484" i="7"/>
  <c r="O293" i="7"/>
  <c r="G1308" i="1"/>
  <c r="G138" i="8" s="1"/>
  <c r="G496" i="7"/>
  <c r="L1103" i="1"/>
  <c r="L507" i="7" s="1"/>
  <c r="K1092" i="1"/>
  <c r="K1308" i="1" s="1"/>
  <c r="K138" i="8" s="1"/>
  <c r="L506" i="7"/>
  <c r="P510" i="7"/>
  <c r="K540" i="7"/>
  <c r="M783" i="7"/>
  <c r="M279" i="8"/>
  <c r="M680" i="8" s="1"/>
  <c r="M159" i="8"/>
  <c r="H137" i="8"/>
  <c r="H678" i="7"/>
  <c r="M1104" i="1"/>
  <c r="M508" i="7" s="1"/>
  <c r="M1102" i="1"/>
  <c r="I137" i="8"/>
  <c r="I678" i="7"/>
  <c r="M689" i="7"/>
  <c r="L848" i="1"/>
  <c r="P791" i="7"/>
  <c r="O1102" i="7"/>
  <c r="N779" i="7"/>
  <c r="M1770" i="1"/>
  <c r="M1003" i="7" s="1"/>
  <c r="O297" i="7"/>
  <c r="L1084" i="1"/>
  <c r="P622" i="7"/>
  <c r="M2070" i="1"/>
  <c r="M1109" i="7" s="1"/>
  <c r="O634" i="7"/>
  <c r="O627" i="7"/>
  <c r="P624" i="7"/>
  <c r="N631" i="7"/>
  <c r="K1311" i="1"/>
  <c r="K144" i="8" s="1"/>
  <c r="O306" i="7"/>
  <c r="M1914" i="1"/>
  <c r="O305" i="7"/>
  <c r="O355" i="7"/>
  <c r="O331" i="7"/>
  <c r="K1304" i="1"/>
  <c r="K130" i="8" s="1"/>
  <c r="K1088" i="1"/>
  <c r="K492" i="7" s="1"/>
  <c r="J674" i="7"/>
  <c r="J129" i="8"/>
  <c r="L1311" i="1"/>
  <c r="L144" i="8" s="1"/>
  <c r="P308" i="7"/>
  <c r="O307" i="7"/>
  <c r="Q302" i="7"/>
  <c r="O304" i="7"/>
  <c r="N307" i="7"/>
  <c r="M347" i="7"/>
  <c r="O1080" i="7"/>
  <c r="S302" i="7"/>
  <c r="O339" i="7"/>
  <c r="M1424" i="1"/>
  <c r="M270" i="8" s="1"/>
  <c r="O109" i="7"/>
  <c r="I1589" i="1"/>
  <c r="I487" i="8" s="1"/>
  <c r="I565" i="7"/>
  <c r="I143" i="8"/>
  <c r="I681" i="7"/>
  <c r="I1095" i="1"/>
  <c r="I513" i="7"/>
  <c r="I1023" i="1"/>
  <c r="I273" i="8"/>
  <c r="I780" i="7"/>
  <c r="N86" i="7"/>
  <c r="P41" i="7"/>
  <c r="O382" i="7"/>
  <c r="O385" i="7"/>
  <c r="L846" i="1"/>
  <c r="L1148" i="1" s="1"/>
  <c r="L552" i="7" s="1"/>
  <c r="M846" i="1"/>
  <c r="M1148" i="1" s="1"/>
  <c r="M552" i="7" s="1"/>
  <c r="Q324" i="7"/>
  <c r="Q340" i="7"/>
  <c r="Q129" i="7"/>
  <c r="B373" i="1"/>
  <c r="Q316" i="7"/>
  <c r="N377" i="7"/>
  <c r="N374" i="7"/>
  <c r="P397" i="7"/>
  <c r="P394" i="7"/>
  <c r="Q393" i="7"/>
  <c r="Q390" i="7"/>
  <c r="O791" i="7"/>
  <c r="P611" i="7"/>
  <c r="P608" i="7"/>
  <c r="O608" i="7"/>
  <c r="O381" i="7"/>
  <c r="O378" i="7"/>
  <c r="O389" i="7"/>
  <c r="O386" i="7"/>
  <c r="O373" i="7"/>
  <c r="O370" i="7"/>
  <c r="P316" i="7"/>
  <c r="M1004" i="1"/>
  <c r="M1015" i="1" s="1"/>
  <c r="M980" i="1"/>
  <c r="M1014" i="1" s="1"/>
  <c r="M1080" i="1"/>
  <c r="N1080" i="1" s="1"/>
  <c r="M348" i="7"/>
  <c r="F926" i="7"/>
  <c r="F448" i="8"/>
  <c r="F447" i="8" s="1"/>
  <c r="H523" i="7"/>
  <c r="H1116" i="1"/>
  <c r="H1174" i="1"/>
  <c r="H578" i="7" s="1"/>
  <c r="G1566" i="1"/>
  <c r="G444" i="8" s="1"/>
  <c r="G528" i="7"/>
  <c r="J843" i="1"/>
  <c r="N401" i="7"/>
  <c r="N398" i="7"/>
  <c r="M1089" i="1"/>
  <c r="M493" i="7" s="1"/>
  <c r="M939" i="1"/>
  <c r="M1305" i="1"/>
  <c r="M132" i="8" s="1"/>
  <c r="H1124" i="1"/>
  <c r="H531" i="7"/>
  <c r="F924" i="7"/>
  <c r="F444" i="8"/>
  <c r="F443" i="8" s="1"/>
  <c r="G550" i="7"/>
  <c r="G1586" i="1"/>
  <c r="G481" i="8" s="1"/>
  <c r="H550" i="7"/>
  <c r="H1586" i="1"/>
  <c r="H481" i="8" s="1"/>
  <c r="I849" i="1"/>
  <c r="I1127" i="1" s="1"/>
  <c r="I1119" i="1"/>
  <c r="L675" i="7"/>
  <c r="L131" i="8"/>
  <c r="G520" i="7"/>
  <c r="G1568" i="1"/>
  <c r="G448" i="8" s="1"/>
  <c r="F550" i="7"/>
  <c r="F1586" i="1"/>
  <c r="P340" i="7"/>
  <c r="Q336" i="7"/>
  <c r="P325" i="7"/>
  <c r="P293" i="7"/>
  <c r="Q319" i="7"/>
  <c r="S319" i="7"/>
  <c r="O343" i="7"/>
  <c r="P317" i="7"/>
  <c r="P295" i="7"/>
  <c r="Q317" i="7"/>
  <c r="S317" i="7"/>
  <c r="L778" i="7"/>
  <c r="N299" i="7"/>
  <c r="P352" i="7"/>
  <c r="O1108" i="7"/>
  <c r="O500" i="7"/>
  <c r="N296" i="7"/>
  <c r="O342" i="7"/>
  <c r="K538" i="7"/>
  <c r="K1564" i="1"/>
  <c r="K440" i="8" s="1"/>
  <c r="Q327" i="7"/>
  <c r="S327" i="7"/>
  <c r="Q335" i="7"/>
  <c r="S335" i="7"/>
  <c r="P29" i="7"/>
  <c r="Q303" i="7"/>
  <c r="S303" i="7"/>
  <c r="J446" i="7"/>
  <c r="J226" i="1"/>
  <c r="J207" i="1"/>
  <c r="J1161" i="1"/>
  <c r="J1426" i="1"/>
  <c r="J274" i="8" s="1"/>
  <c r="J2019" i="1"/>
  <c r="J471" i="7"/>
  <c r="O1072" i="7"/>
  <c r="P623" i="7"/>
  <c r="Q351" i="7"/>
  <c r="S351" i="7"/>
  <c r="P790" i="7"/>
  <c r="P793" i="7"/>
  <c r="Q313" i="7"/>
  <c r="S313" i="7"/>
  <c r="Q309" i="7"/>
  <c r="S309" i="7"/>
  <c r="O324" i="7"/>
  <c r="O320" i="7"/>
  <c r="F947" i="7"/>
  <c r="F487" i="8"/>
  <c r="F486" i="8" s="1"/>
  <c r="P336" i="7"/>
  <c r="G141" i="7"/>
  <c r="G145" i="7"/>
  <c r="O141" i="7"/>
  <c r="O145" i="7"/>
  <c r="N145" i="7"/>
  <c r="N141" i="7"/>
  <c r="P141" i="7"/>
  <c r="P145" i="7"/>
  <c r="M145" i="7"/>
  <c r="M141" i="7"/>
  <c r="F148" i="7"/>
  <c r="S148" i="7"/>
  <c r="J145" i="7"/>
  <c r="J141" i="7"/>
  <c r="H141" i="7"/>
  <c r="H145" i="7"/>
  <c r="P560" i="7"/>
  <c r="M953" i="7"/>
  <c r="M497" i="8"/>
  <c r="P955" i="7"/>
  <c r="F683" i="7"/>
  <c r="F148" i="8"/>
  <c r="M103" i="8"/>
  <c r="O32" i="7"/>
  <c r="O264" i="7"/>
  <c r="O278" i="7"/>
  <c r="O291" i="7"/>
  <c r="O368" i="7"/>
  <c r="O405" i="7"/>
  <c r="O517" i="7"/>
  <c r="O440" i="7"/>
  <c r="O582" i="7"/>
  <c r="O992" i="7"/>
  <c r="O603" i="7"/>
  <c r="O669" i="7"/>
  <c r="O775" i="7"/>
  <c r="O919" i="7"/>
  <c r="O964" i="7"/>
  <c r="O1066" i="7"/>
  <c r="O1092" i="7"/>
  <c r="N328" i="7"/>
  <c r="P320" i="7"/>
  <c r="M847" i="1"/>
  <c r="M1151" i="1" s="1"/>
  <c r="M555" i="7" s="1"/>
  <c r="L1098" i="1"/>
  <c r="N637" i="7"/>
  <c r="O633" i="7"/>
  <c r="P530" i="7"/>
  <c r="P804" i="7"/>
  <c r="P1108" i="7"/>
  <c r="J482" i="7"/>
  <c r="P328" i="7"/>
  <c r="F504" i="7"/>
  <c r="F1097" i="1"/>
  <c r="F273" i="8"/>
  <c r="L159" i="8"/>
  <c r="O315" i="7"/>
  <c r="N360" i="7"/>
  <c r="N559" i="7"/>
  <c r="L460" i="7"/>
  <c r="L1101" i="1"/>
  <c r="P305" i="7"/>
  <c r="P306" i="7"/>
  <c r="P301" i="7"/>
  <c r="P353" i="7"/>
  <c r="P354" i="7"/>
  <c r="P349" i="7"/>
  <c r="O356" i="7"/>
  <c r="O1105" i="7"/>
  <c r="O1071" i="7"/>
  <c r="P313" i="7"/>
  <c r="P314" i="7"/>
  <c r="P309" i="7"/>
  <c r="I922" i="7"/>
  <c r="I439" i="8"/>
  <c r="L1035" i="1"/>
  <c r="L447" i="7" s="1"/>
  <c r="K1017" i="1"/>
  <c r="K136" i="1" s="1"/>
  <c r="K1035" i="1"/>
  <c r="K447" i="7" s="1"/>
  <c r="Q329" i="7"/>
  <c r="S329" i="7"/>
  <c r="Q325" i="7"/>
  <c r="S325" i="7"/>
  <c r="Q337" i="7"/>
  <c r="Q338" i="7"/>
  <c r="S337" i="7"/>
  <c r="Q333" i="7"/>
  <c r="S333" i="7"/>
  <c r="M363" i="7"/>
  <c r="M1423" i="1"/>
  <c r="M268" i="8" s="1"/>
  <c r="Q308" i="7"/>
  <c r="Q305" i="7"/>
  <c r="S305" i="7"/>
  <c r="Q301" i="7"/>
  <c r="S301" i="7"/>
  <c r="N359" i="7"/>
  <c r="N345" i="7"/>
  <c r="N341" i="7"/>
  <c r="J1035" i="1"/>
  <c r="J681" i="7"/>
  <c r="O338" i="7"/>
  <c r="O635" i="7"/>
  <c r="Q356" i="7"/>
  <c r="Q353" i="7"/>
  <c r="S353" i="7"/>
  <c r="Q349" i="7"/>
  <c r="S349" i="7"/>
  <c r="L828" i="8"/>
  <c r="L680" i="8"/>
  <c r="L935" i="8"/>
  <c r="P794" i="7"/>
  <c r="P803" i="7"/>
  <c r="P1107" i="7"/>
  <c r="P1081" i="7"/>
  <c r="Q311" i="7"/>
  <c r="S311" i="7"/>
  <c r="P337" i="7"/>
  <c r="P338" i="7"/>
  <c r="P333" i="7"/>
  <c r="K141" i="7"/>
  <c r="K145" i="7"/>
  <c r="F145" i="7"/>
  <c r="I145" i="7"/>
  <c r="I141" i="7"/>
  <c r="Q145" i="7"/>
  <c r="Q141" i="7"/>
  <c r="L145" i="7"/>
  <c r="L141" i="7"/>
  <c r="O161" i="7"/>
  <c r="M925" i="7"/>
  <c r="M445" i="8"/>
  <c r="Q321" i="7"/>
  <c r="S321" i="7"/>
  <c r="N682" i="7"/>
  <c r="P321" i="7"/>
  <c r="P322" i="7"/>
  <c r="O503" i="7"/>
  <c r="L847" i="1"/>
  <c r="L1151" i="1" s="1"/>
  <c r="L555" i="7" s="1"/>
  <c r="O631" i="7"/>
  <c r="S744" i="1"/>
  <c r="P789" i="7"/>
  <c r="P1080" i="7"/>
  <c r="P1102" i="7"/>
  <c r="P792" i="7"/>
  <c r="P800" i="7"/>
  <c r="P1105" i="7"/>
  <c r="P949" i="7"/>
  <c r="J538" i="7"/>
  <c r="J1564" i="1"/>
  <c r="J440" i="8" s="1"/>
  <c r="J275" i="8"/>
  <c r="P329" i="7"/>
  <c r="P330" i="7"/>
  <c r="P297" i="7"/>
  <c r="F201" i="1"/>
  <c r="F494" i="7"/>
  <c r="S638" i="1" l="1"/>
  <c r="Q646" i="1"/>
  <c r="O865" i="1"/>
  <c r="O866" i="1"/>
  <c r="O606" i="1"/>
  <c r="O647" i="1" s="1"/>
  <c r="N125" i="8"/>
  <c r="N124" i="8" s="1"/>
  <c r="N920" i="8" s="1"/>
  <c r="O646" i="1"/>
  <c r="O1423" i="1" s="1"/>
  <c r="N645" i="1"/>
  <c r="K514" i="7"/>
  <c r="K1149" i="1"/>
  <c r="K553" i="7" s="1"/>
  <c r="P605" i="1"/>
  <c r="P608" i="1" s="1"/>
  <c r="P604" i="1" s="1"/>
  <c r="J1149" i="1"/>
  <c r="J553" i="7" s="1"/>
  <c r="K1109" i="1"/>
  <c r="K1095" i="1" s="1"/>
  <c r="K1313" i="1" s="1"/>
  <c r="K148" i="8" s="1"/>
  <c r="K1427" i="1"/>
  <c r="K276" i="8" s="1"/>
  <c r="K275" i="8" s="1"/>
  <c r="P644" i="1"/>
  <c r="P107" i="1" s="1"/>
  <c r="K512" i="7"/>
  <c r="K1147" i="1"/>
  <c r="K1146" i="1" s="1"/>
  <c r="K550" i="7" s="1"/>
  <c r="P642" i="1"/>
  <c r="S642" i="1" s="1"/>
  <c r="J551" i="7"/>
  <c r="M648" i="1"/>
  <c r="H1097" i="1"/>
  <c r="H501" i="7" s="1"/>
  <c r="Q644" i="1"/>
  <c r="N648" i="1"/>
  <c r="N1136" i="1" s="1"/>
  <c r="N1134" i="1" s="1"/>
  <c r="N1564" i="1" s="1"/>
  <c r="N440" i="8" s="1"/>
  <c r="N439" i="8" s="1"/>
  <c r="M296" i="7"/>
  <c r="M645" i="1"/>
  <c r="L1110" i="1"/>
  <c r="L121" i="1" s="1"/>
  <c r="M1108" i="1"/>
  <c r="J1586" i="1"/>
  <c r="J481" i="8" s="1"/>
  <c r="J480" i="8" s="1"/>
  <c r="L1108" i="1"/>
  <c r="O649" i="1"/>
  <c r="O1139" i="1" s="1"/>
  <c r="Q1230" i="1"/>
  <c r="Q1384" i="1" s="1"/>
  <c r="Q1319" i="1" s="1"/>
  <c r="Q160" i="8" s="1"/>
  <c r="Q159" i="8" s="1"/>
  <c r="P1384" i="1"/>
  <c r="P1319" i="1" s="1"/>
  <c r="P160" i="8" s="1"/>
  <c r="P159" i="8" s="1"/>
  <c r="S635" i="1"/>
  <c r="Q639" i="1"/>
  <c r="N1590" i="1"/>
  <c r="N489" i="8" s="1"/>
  <c r="N488" i="8" s="1"/>
  <c r="O636" i="1"/>
  <c r="O645" i="1" s="1"/>
  <c r="O936" i="1"/>
  <c r="O1148" i="1" s="1"/>
  <c r="O972" i="1"/>
  <c r="O971" i="1" s="1"/>
  <c r="O967" i="1"/>
  <c r="O966" i="1" s="1"/>
  <c r="O962" i="1"/>
  <c r="O961" i="1" s="1"/>
  <c r="P868" i="1"/>
  <c r="N962" i="1"/>
  <c r="N961" i="1" s="1"/>
  <c r="N1137" i="1"/>
  <c r="P639" i="1"/>
  <c r="S633" i="1"/>
  <c r="Q501" i="8"/>
  <c r="Q500" i="8" s="1"/>
  <c r="O1568" i="1"/>
  <c r="O448" i="8" s="1"/>
  <c r="O447" i="8" s="1"/>
  <c r="N936" i="1"/>
  <c r="N1148" i="1" s="1"/>
  <c r="P1126" i="1"/>
  <c r="Q2063" i="1"/>
  <c r="Q1990" i="1"/>
  <c r="Q290" i="8"/>
  <c r="Q289" i="8" s="1"/>
  <c r="J1313" i="1"/>
  <c r="J148" i="8" s="1"/>
  <c r="J147" i="8" s="1"/>
  <c r="Q1035" i="1"/>
  <c r="Q72" i="8"/>
  <c r="Q71" i="8" s="1"/>
  <c r="S637" i="1"/>
  <c r="K134" i="8"/>
  <c r="K133" i="8" s="1"/>
  <c r="O1099" i="1"/>
  <c r="O1425" i="1"/>
  <c r="O272" i="8" s="1"/>
  <c r="O271" i="8" s="1"/>
  <c r="O937" i="1"/>
  <c r="O1151" i="1" s="1"/>
  <c r="Q1289" i="1"/>
  <c r="Q1429" i="1"/>
  <c r="P760" i="8"/>
  <c r="P934" i="8"/>
  <c r="Q1311" i="1"/>
  <c r="Q144" i="8" s="1"/>
  <c r="Q143" i="8" s="1"/>
  <c r="Q606" i="1"/>
  <c r="Q647" i="1" s="1"/>
  <c r="M125" i="8"/>
  <c r="M124" i="8" s="1"/>
  <c r="M920" i="8" s="1"/>
  <c r="P864" i="1"/>
  <c r="P935" i="1" s="1"/>
  <c r="P934" i="1"/>
  <c r="Q381" i="1"/>
  <c r="Q480" i="1" s="1"/>
  <c r="Q380" i="1"/>
  <c r="Q479" i="1" s="1"/>
  <c r="P380" i="1"/>
  <c r="P479" i="1" s="1"/>
  <c r="O382" i="1"/>
  <c r="O482" i="1" s="1"/>
  <c r="Q379" i="1"/>
  <c r="P379" i="1"/>
  <c r="O381" i="1"/>
  <c r="O480" i="1" s="1"/>
  <c r="O380" i="1"/>
  <c r="O479" i="1" s="1"/>
  <c r="N382" i="1"/>
  <c r="N482" i="1" s="1"/>
  <c r="P382" i="1"/>
  <c r="P482" i="1" s="1"/>
  <c r="P381" i="1"/>
  <c r="P480" i="1" s="1"/>
  <c r="O379" i="1"/>
  <c r="N379" i="1"/>
  <c r="Q382" i="1"/>
  <c r="Q482" i="1" s="1"/>
  <c r="N381" i="1"/>
  <c r="N480" i="1" s="1"/>
  <c r="N380" i="1"/>
  <c r="N479" i="1" s="1"/>
  <c r="P1119" i="1"/>
  <c r="P1116" i="1" s="1"/>
  <c r="Q2002" i="1"/>
  <c r="Q1976" i="1"/>
  <c r="Q1905" i="1"/>
  <c r="Q1832" i="1"/>
  <c r="Q1377" i="1"/>
  <c r="Q1299" i="1"/>
  <c r="Q1201" i="1"/>
  <c r="Q1421" i="1"/>
  <c r="Q1656" i="1"/>
  <c r="Q1178" i="1"/>
  <c r="Q1028" i="1"/>
  <c r="Q943" i="1"/>
  <c r="Q853" i="1"/>
  <c r="Q599" i="1"/>
  <c r="Q102" i="1"/>
  <c r="Q1759" i="1"/>
  <c r="Q693" i="1"/>
  <c r="Q1267" i="1"/>
  <c r="Q1561" i="1"/>
  <c r="Q652" i="1"/>
  <c r="Q677" i="1"/>
  <c r="Q1113" i="1"/>
  <c r="Q549" i="1"/>
  <c r="Q538" i="1"/>
  <c r="Q739" i="1"/>
  <c r="Q498" i="1"/>
  <c r="Q281" i="1"/>
  <c r="Q2053" i="1"/>
  <c r="Q559" i="1"/>
  <c r="Q231" i="1"/>
  <c r="N1052" i="1"/>
  <c r="N1101" i="1" s="1"/>
  <c r="N1091" i="1"/>
  <c r="O147" i="1"/>
  <c r="Q1103" i="1"/>
  <c r="Q1092" i="1" s="1"/>
  <c r="Q1308" i="1" s="1"/>
  <c r="Q138" i="8" s="1"/>
  <c r="Q137" i="8" s="1"/>
  <c r="O607" i="1"/>
  <c r="Q1916" i="1"/>
  <c r="Q2066" i="1"/>
  <c r="Q310" i="8"/>
  <c r="Q309" i="8" s="1"/>
  <c r="P907" i="8"/>
  <c r="P759" i="8"/>
  <c r="P933" i="8"/>
  <c r="Q1848" i="1"/>
  <c r="Q2069" i="1"/>
  <c r="Q318" i="8"/>
  <c r="Q317" i="8" s="1"/>
  <c r="P1305" i="1"/>
  <c r="P132" i="8" s="1"/>
  <c r="P131" i="8" s="1"/>
  <c r="P1089" i="1"/>
  <c r="Q1119" i="1"/>
  <c r="Q1116" i="1" s="1"/>
  <c r="O107" i="1"/>
  <c r="O1301" i="1"/>
  <c r="P928" i="8"/>
  <c r="P906" i="8"/>
  <c r="P640" i="1"/>
  <c r="O1135" i="1"/>
  <c r="O1138" i="1"/>
  <c r="N937" i="1"/>
  <c r="N1151" i="1" s="1"/>
  <c r="Q1991" i="1"/>
  <c r="Q1847" i="1"/>
  <c r="Q2068" i="1"/>
  <c r="Q316" i="8"/>
  <c r="Q315" i="8" s="1"/>
  <c r="P148" i="1"/>
  <c r="N1425" i="1"/>
  <c r="P939" i="1"/>
  <c r="Q754" i="1"/>
  <c r="Q848" i="1" s="1"/>
  <c r="Q657" i="1"/>
  <c r="Q654" i="1" s="1"/>
  <c r="P654" i="1"/>
  <c r="Q867" i="1"/>
  <c r="Q938" i="1" s="1"/>
  <c r="Q755" i="1"/>
  <c r="K207" i="1"/>
  <c r="K204" i="1" s="1"/>
  <c r="K201" i="1" s="1"/>
  <c r="K202" i="1" s="1"/>
  <c r="P104" i="8"/>
  <c r="P103" i="8" s="1"/>
  <c r="O828" i="8"/>
  <c r="O935" i="8"/>
  <c r="O680" i="8"/>
  <c r="N972" i="1"/>
  <c r="N971" i="1" s="1"/>
  <c r="Q864" i="1"/>
  <c r="Q935" i="1" s="1"/>
  <c r="Q934" i="1"/>
  <c r="Q897" i="8"/>
  <c r="Q640" i="1"/>
  <c r="P933" i="1"/>
  <c r="J138" i="8"/>
  <c r="J137" i="8" s="1"/>
  <c r="Q1279" i="1"/>
  <c r="Q87" i="8" s="1"/>
  <c r="Q86" i="8" s="1"/>
  <c r="Q90" i="8"/>
  <c r="Q89" i="8" s="1"/>
  <c r="O130" i="8"/>
  <c r="O129" i="8" s="1"/>
  <c r="P1088" i="1"/>
  <c r="P1304" i="1"/>
  <c r="O1080" i="1"/>
  <c r="N1084" i="1"/>
  <c r="Q148" i="1"/>
  <c r="P2070" i="1"/>
  <c r="P1914" i="1"/>
  <c r="P1770" i="1"/>
  <c r="P280" i="8"/>
  <c r="P279" i="8" s="1"/>
  <c r="P830" i="8"/>
  <c r="P931" i="8"/>
  <c r="M1138" i="1"/>
  <c r="M542" i="7" s="1"/>
  <c r="M967" i="1"/>
  <c r="M966" i="1" s="1"/>
  <c r="K1426" i="1"/>
  <c r="K274" i="8" s="1"/>
  <c r="K273" i="8" s="1"/>
  <c r="K1161" i="1"/>
  <c r="K1589" i="1" s="1"/>
  <c r="K487" i="8" s="1"/>
  <c r="K2019" i="1"/>
  <c r="I550" i="7"/>
  <c r="M972" i="1"/>
  <c r="M971" i="1" s="1"/>
  <c r="K1137" i="1"/>
  <c r="K541" i="7" s="1"/>
  <c r="K1590" i="1"/>
  <c r="K489" i="8" s="1"/>
  <c r="M1135" i="1"/>
  <c r="M539" i="7" s="1"/>
  <c r="M358" i="7"/>
  <c r="M962" i="1"/>
  <c r="M961" i="1" s="1"/>
  <c r="M671" i="7"/>
  <c r="M2055" i="1"/>
  <c r="M1094" i="7" s="1"/>
  <c r="M364" i="7"/>
  <c r="J1306" i="1"/>
  <c r="J134" i="8" s="1"/>
  <c r="L1423" i="1"/>
  <c r="J1017" i="1"/>
  <c r="J1023" i="1" s="1"/>
  <c r="M299" i="7"/>
  <c r="L364" i="7"/>
  <c r="M1052" i="1"/>
  <c r="M1091" i="1"/>
  <c r="M495" i="7" s="1"/>
  <c r="L961" i="1"/>
  <c r="L1013" i="1" s="1"/>
  <c r="L1025" i="1"/>
  <c r="L542" i="7"/>
  <c r="L1137" i="1"/>
  <c r="L541" i="7" s="1"/>
  <c r="L543" i="7"/>
  <c r="L1590" i="1"/>
  <c r="L489" i="8" s="1"/>
  <c r="L116" i="1"/>
  <c r="L115" i="1" s="1"/>
  <c r="G1165" i="1"/>
  <c r="G1168" i="1" s="1"/>
  <c r="G116" i="8" s="1"/>
  <c r="L145" i="8"/>
  <c r="L682" i="7"/>
  <c r="M500" i="7"/>
  <c r="M1312" i="1"/>
  <c r="M146" i="8" s="1"/>
  <c r="J678" i="7"/>
  <c r="K496" i="7"/>
  <c r="G137" i="8"/>
  <c r="G678" i="7"/>
  <c r="L1092" i="1"/>
  <c r="L496" i="7" s="1"/>
  <c r="M506" i="7"/>
  <c r="M1103" i="1"/>
  <c r="K137" i="8"/>
  <c r="K678" i="7"/>
  <c r="N508" i="7"/>
  <c r="P634" i="7"/>
  <c r="P627" i="7"/>
  <c r="M848" i="1"/>
  <c r="O849" i="1" s="1"/>
  <c r="O1127" i="1" s="1"/>
  <c r="O1124" i="1" s="1"/>
  <c r="L488" i="7"/>
  <c r="O298" i="7"/>
  <c r="P300" i="7"/>
  <c r="L143" i="8"/>
  <c r="K681" i="7"/>
  <c r="M778" i="7"/>
  <c r="M269" i="8"/>
  <c r="N783" i="7"/>
  <c r="N1003" i="7"/>
  <c r="N1109" i="7"/>
  <c r="K143" i="8"/>
  <c r="M828" i="8"/>
  <c r="L681" i="7"/>
  <c r="M935" i="8"/>
  <c r="O524" i="7"/>
  <c r="P304" i="7"/>
  <c r="P339" i="7"/>
  <c r="P315" i="7"/>
  <c r="P355" i="7"/>
  <c r="P307" i="7"/>
  <c r="N347" i="7"/>
  <c r="L1088" i="1"/>
  <c r="L492" i="7" s="1"/>
  <c r="L1304" i="1"/>
  <c r="L130" i="8" s="1"/>
  <c r="K674" i="7"/>
  <c r="K129" i="8"/>
  <c r="O300" i="7"/>
  <c r="Q320" i="7"/>
  <c r="N502" i="7"/>
  <c r="O502" i="7"/>
  <c r="Q307" i="7"/>
  <c r="Q332" i="7"/>
  <c r="Q328" i="7"/>
  <c r="P109" i="7"/>
  <c r="I1100" i="1"/>
  <c r="I1090" i="1"/>
  <c r="I494" i="7" s="1"/>
  <c r="I1313" i="1"/>
  <c r="I148" i="8" s="1"/>
  <c r="I499" i="7"/>
  <c r="I486" i="8"/>
  <c r="I947" i="7"/>
  <c r="O86" i="7"/>
  <c r="P385" i="7"/>
  <c r="P382" i="7"/>
  <c r="B287" i="1"/>
  <c r="Q41" i="7"/>
  <c r="S336" i="7"/>
  <c r="Q312" i="7"/>
  <c r="P312" i="7"/>
  <c r="L379" i="1"/>
  <c r="H382" i="1"/>
  <c r="L382" i="1"/>
  <c r="L380" i="1"/>
  <c r="J382" i="1"/>
  <c r="F381" i="1"/>
  <c r="I382" i="1"/>
  <c r="M381" i="1"/>
  <c r="I380" i="1"/>
  <c r="M379" i="1"/>
  <c r="J381" i="1"/>
  <c r="F380" i="1"/>
  <c r="G382" i="1"/>
  <c r="K381" i="1"/>
  <c r="G380" i="1"/>
  <c r="K379" i="1"/>
  <c r="B124" i="7"/>
  <c r="H380" i="1"/>
  <c r="L381" i="1"/>
  <c r="H381" i="1"/>
  <c r="H379" i="1"/>
  <c r="J380" i="1"/>
  <c r="F379" i="1"/>
  <c r="M382" i="1"/>
  <c r="I381" i="1"/>
  <c r="M380" i="1"/>
  <c r="I379" i="1"/>
  <c r="F382" i="1"/>
  <c r="J379" i="1"/>
  <c r="K382" i="1"/>
  <c r="G381" i="1"/>
  <c r="K380" i="1"/>
  <c r="G379" i="1"/>
  <c r="P381" i="7"/>
  <c r="P378" i="7"/>
  <c r="O377" i="7"/>
  <c r="O374" i="7"/>
  <c r="N348" i="7"/>
  <c r="P373" i="7"/>
  <c r="P370" i="7"/>
  <c r="P389" i="7"/>
  <c r="P386" i="7"/>
  <c r="Q397" i="7"/>
  <c r="Q394" i="7"/>
  <c r="Q342" i="7"/>
  <c r="M1062" i="1"/>
  <c r="M470" i="7" s="1"/>
  <c r="M1020" i="1"/>
  <c r="M1063" i="1" s="1"/>
  <c r="M471" i="7" s="1"/>
  <c r="Q355" i="7"/>
  <c r="M1084" i="1"/>
  <c r="M484" i="7"/>
  <c r="M947" i="1"/>
  <c r="M1012" i="1" s="1"/>
  <c r="M1021" i="1"/>
  <c r="M1078" i="1" s="1"/>
  <c r="M482" i="7" s="1"/>
  <c r="M1077" i="1"/>
  <c r="M481" i="7" s="1"/>
  <c r="I523" i="7"/>
  <c r="I1116" i="1"/>
  <c r="I1174" i="1"/>
  <c r="I578" i="7" s="1"/>
  <c r="H944" i="7"/>
  <c r="H480" i="8"/>
  <c r="G944" i="7"/>
  <c r="G480" i="8"/>
  <c r="N493" i="7"/>
  <c r="J849" i="1"/>
  <c r="J1127" i="1" s="1"/>
  <c r="J1119" i="1"/>
  <c r="M1139" i="1"/>
  <c r="M365" i="7"/>
  <c r="F481" i="8"/>
  <c r="F480" i="8" s="1"/>
  <c r="F944" i="7"/>
  <c r="G926" i="7"/>
  <c r="G447" i="8"/>
  <c r="I1124" i="1"/>
  <c r="I531" i="7"/>
  <c r="I944" i="7"/>
  <c r="I480" i="8"/>
  <c r="H1566" i="1"/>
  <c r="H444" i="8" s="1"/>
  <c r="H528" i="7"/>
  <c r="M131" i="8"/>
  <c r="M675" i="7"/>
  <c r="O398" i="7"/>
  <c r="O401" i="7"/>
  <c r="K843" i="1"/>
  <c r="G924" i="7"/>
  <c r="G443" i="8"/>
  <c r="H1568" i="1"/>
  <c r="H448" i="8" s="1"/>
  <c r="H520" i="7"/>
  <c r="M344" i="7"/>
  <c r="P343" i="7"/>
  <c r="O925" i="7"/>
  <c r="P298" i="7"/>
  <c r="S746" i="1"/>
  <c r="O783" i="7"/>
  <c r="O1003" i="7"/>
  <c r="O1109" i="7"/>
  <c r="O779" i="7"/>
  <c r="P526" i="7"/>
  <c r="Q343" i="7"/>
  <c r="S343" i="7"/>
  <c r="P500" i="7"/>
  <c r="Q354" i="7"/>
  <c r="S354" i="7"/>
  <c r="P633" i="7"/>
  <c r="O689" i="7"/>
  <c r="J143" i="8"/>
  <c r="J136" i="1"/>
  <c r="N671" i="7"/>
  <c r="N1094" i="7"/>
  <c r="Q339" i="7"/>
  <c r="L505" i="7"/>
  <c r="F501" i="7"/>
  <c r="F1165" i="1"/>
  <c r="N953" i="7"/>
  <c r="F147" i="8"/>
  <c r="Q314" i="7"/>
  <c r="S314" i="7"/>
  <c r="N526" i="7"/>
  <c r="P635" i="7"/>
  <c r="J565" i="7"/>
  <c r="J1589" i="1"/>
  <c r="J487" i="8" s="1"/>
  <c r="J204" i="1"/>
  <c r="N344" i="7"/>
  <c r="K1023" i="1"/>
  <c r="L269" i="8"/>
  <c r="O360" i="7"/>
  <c r="O559" i="7"/>
  <c r="F202" i="1"/>
  <c r="J922" i="7"/>
  <c r="J439" i="8"/>
  <c r="P342" i="7"/>
  <c r="S745" i="1"/>
  <c r="N689" i="7"/>
  <c r="Q322" i="7"/>
  <c r="S322" i="7"/>
  <c r="P161" i="7"/>
  <c r="F141" i="7"/>
  <c r="S141" i="7"/>
  <c r="O637" i="7"/>
  <c r="S338" i="7"/>
  <c r="J447" i="7"/>
  <c r="N358" i="7"/>
  <c r="N362" i="7"/>
  <c r="N346" i="7"/>
  <c r="Q306" i="7"/>
  <c r="S306" i="7"/>
  <c r="M777" i="7"/>
  <c r="Q331" i="7"/>
  <c r="Q330" i="7"/>
  <c r="S330" i="7"/>
  <c r="N365" i="7"/>
  <c r="P1071" i="7"/>
  <c r="O352" i="7"/>
  <c r="L502" i="7"/>
  <c r="P522" i="7"/>
  <c r="S342" i="7"/>
  <c r="Q315" i="7"/>
  <c r="N522" i="7"/>
  <c r="Q352" i="7"/>
  <c r="P1072" i="7"/>
  <c r="J780" i="7"/>
  <c r="J223" i="1"/>
  <c r="P32" i="7"/>
  <c r="P264" i="7"/>
  <c r="P278" i="7"/>
  <c r="P291" i="7"/>
  <c r="P368" i="7"/>
  <c r="P405" i="7"/>
  <c r="P440" i="7"/>
  <c r="P517" i="7"/>
  <c r="P603" i="7"/>
  <c r="P669" i="7"/>
  <c r="P775" i="7"/>
  <c r="P919" i="7"/>
  <c r="P964" i="7"/>
  <c r="P1066" i="7"/>
  <c r="P1092" i="7"/>
  <c r="P582" i="7"/>
  <c r="P992" i="7"/>
  <c r="K922" i="7"/>
  <c r="K439" i="8"/>
  <c r="O359" i="7"/>
  <c r="O345" i="7"/>
  <c r="O341" i="7"/>
  <c r="P503" i="7"/>
  <c r="O682" i="7"/>
  <c r="Q323" i="7"/>
  <c r="P323" i="7"/>
  <c r="P331" i="7"/>
  <c r="P646" i="1" l="1"/>
  <c r="S646" i="1" s="1"/>
  <c r="P606" i="1"/>
  <c r="P647" i="1" s="1"/>
  <c r="Q608" i="1"/>
  <c r="K499" i="7"/>
  <c r="K513" i="7"/>
  <c r="Q649" i="1"/>
  <c r="L1109" i="1"/>
  <c r="L513" i="7" s="1"/>
  <c r="J944" i="7"/>
  <c r="K1586" i="1"/>
  <c r="K481" i="8" s="1"/>
  <c r="K480" i="8" s="1"/>
  <c r="K551" i="7"/>
  <c r="K781" i="7"/>
  <c r="S647" i="1"/>
  <c r="L514" i="7"/>
  <c r="S644" i="1"/>
  <c r="H1165" i="1"/>
  <c r="H1170" i="1" s="1"/>
  <c r="H574" i="7" s="1"/>
  <c r="Q107" i="1"/>
  <c r="O648" i="1"/>
  <c r="O1136" i="1" s="1"/>
  <c r="O1134" i="1" s="1"/>
  <c r="O1564" i="1" s="1"/>
  <c r="O440" i="8" s="1"/>
  <c r="O439" i="8" s="1"/>
  <c r="L512" i="7"/>
  <c r="L1147" i="1"/>
  <c r="L1427" i="1"/>
  <c r="L1150" i="1"/>
  <c r="P649" i="1"/>
  <c r="P1139" i="1" s="1"/>
  <c r="M1110" i="1"/>
  <c r="N116" i="1"/>
  <c r="N115" i="1" s="1"/>
  <c r="K565" i="7"/>
  <c r="P1301" i="1"/>
  <c r="O116" i="1"/>
  <c r="O115" i="1" s="1"/>
  <c r="O1013" i="1"/>
  <c r="O1049" i="1" s="1"/>
  <c r="P607" i="1"/>
  <c r="P648" i="1" s="1"/>
  <c r="P1136" i="1" s="1"/>
  <c r="P866" i="1"/>
  <c r="O1025" i="1"/>
  <c r="Q868" i="1"/>
  <c r="Q1301" i="1"/>
  <c r="Q2055" i="1" s="1"/>
  <c r="Q936" i="1"/>
  <c r="Q1148" i="1" s="1"/>
  <c r="O1566" i="1"/>
  <c r="O444" i="8" s="1"/>
  <c r="O443" i="8" s="1"/>
  <c r="Q830" i="8"/>
  <c r="Q931" i="8"/>
  <c r="Q104" i="8"/>
  <c r="Q103" i="8" s="1"/>
  <c r="Q1425" i="1"/>
  <c r="Q272" i="8" s="1"/>
  <c r="Q271" i="8" s="1"/>
  <c r="Q1099" i="1"/>
  <c r="Q937" i="1"/>
  <c r="Q1151" i="1" s="1"/>
  <c r="Q1305" i="1"/>
  <c r="Q132" i="8" s="1"/>
  <c r="Q131" i="8" s="1"/>
  <c r="Q1089" i="1"/>
  <c r="O2055" i="1"/>
  <c r="O125" i="8"/>
  <c r="O124" i="8" s="1"/>
  <c r="Q934" i="8"/>
  <c r="Q760" i="8"/>
  <c r="O375" i="1"/>
  <c r="O478" i="1" s="1"/>
  <c r="O477" i="1"/>
  <c r="O1579" i="1" s="1"/>
  <c r="O469" i="8" s="1"/>
  <c r="O468" i="8" s="1"/>
  <c r="Q1088" i="1"/>
  <c r="Q1304" i="1"/>
  <c r="Q1155" i="1"/>
  <c r="P967" i="1"/>
  <c r="P966" i="1" s="1"/>
  <c r="Q865" i="1"/>
  <c r="P1425" i="1"/>
  <c r="P272" i="8" s="1"/>
  <c r="P271" i="8" s="1"/>
  <c r="P1099" i="1"/>
  <c r="P937" i="1"/>
  <c r="P1151" i="1" s="1"/>
  <c r="Q906" i="8"/>
  <c r="Q928" i="8"/>
  <c r="N1013" i="1"/>
  <c r="O1155" i="1"/>
  <c r="P1568" i="1"/>
  <c r="P448" i="8" s="1"/>
  <c r="P447" i="8" s="1"/>
  <c r="P375" i="1"/>
  <c r="P478" i="1" s="1"/>
  <c r="P477" i="1"/>
  <c r="P1579" i="1" s="1"/>
  <c r="P469" i="8" s="1"/>
  <c r="P468" i="8" s="1"/>
  <c r="P1155" i="1"/>
  <c r="Q866" i="1"/>
  <c r="L268" i="8"/>
  <c r="L267" i="8" s="1"/>
  <c r="N375" i="1"/>
  <c r="N478" i="1" s="1"/>
  <c r="N477" i="1"/>
  <c r="N1579" i="1" s="1"/>
  <c r="N469" i="8" s="1"/>
  <c r="N468" i="8" s="1"/>
  <c r="Q759" i="8"/>
  <c r="Q907" i="8"/>
  <c r="Q933" i="8"/>
  <c r="Q291" i="1"/>
  <c r="P293" i="1"/>
  <c r="P432" i="1" s="1"/>
  <c r="P292" i="1"/>
  <c r="P431" i="1" s="1"/>
  <c r="P291" i="1"/>
  <c r="O293" i="1"/>
  <c r="O432" i="1" s="1"/>
  <c r="O292" i="1"/>
  <c r="O431" i="1" s="1"/>
  <c r="O291" i="1"/>
  <c r="N293" i="1"/>
  <c r="N432" i="1" s="1"/>
  <c r="Q293" i="1"/>
  <c r="Q432" i="1" s="1"/>
  <c r="Q292" i="1"/>
  <c r="Q431" i="1" s="1"/>
  <c r="N292" i="1"/>
  <c r="N431" i="1" s="1"/>
  <c r="N291" i="1"/>
  <c r="P1423" i="1"/>
  <c r="Q1139" i="1"/>
  <c r="Q604" i="1"/>
  <c r="P1080" i="1"/>
  <c r="O1084" i="1"/>
  <c r="N1025" i="1"/>
  <c r="N272" i="8"/>
  <c r="N271" i="8" s="1"/>
  <c r="O1137" i="1"/>
  <c r="O1590" i="1"/>
  <c r="O489" i="8" s="1"/>
  <c r="O488" i="8" s="1"/>
  <c r="Q849" i="1"/>
  <c r="P849" i="1"/>
  <c r="P1127" i="1" s="1"/>
  <c r="Q375" i="1"/>
  <c r="Q478" i="1" s="1"/>
  <c r="Q477" i="1"/>
  <c r="Q1579" i="1" s="1"/>
  <c r="Q469" i="8" s="1"/>
  <c r="Q468" i="8" s="1"/>
  <c r="Q1423" i="1"/>
  <c r="P962" i="1"/>
  <c r="P130" i="8"/>
  <c r="P129" i="8" s="1"/>
  <c r="K780" i="7"/>
  <c r="J683" i="7"/>
  <c r="N849" i="1"/>
  <c r="N1127" i="1" s="1"/>
  <c r="P865" i="1"/>
  <c r="P147" i="1"/>
  <c r="Q1568" i="1"/>
  <c r="Q448" i="8" s="1"/>
  <c r="Q447" i="8" s="1"/>
  <c r="O1091" i="1"/>
  <c r="O1052" i="1"/>
  <c r="O1101" i="1" s="1"/>
  <c r="Q939" i="1"/>
  <c r="Q1135" i="1"/>
  <c r="Q1138" i="1"/>
  <c r="P1135" i="1"/>
  <c r="P1138" i="1"/>
  <c r="Q962" i="1"/>
  <c r="P972" i="1"/>
  <c r="P971" i="1" s="1"/>
  <c r="Q147" i="1"/>
  <c r="O268" i="8"/>
  <c r="O267" i="8" s="1"/>
  <c r="Q972" i="1"/>
  <c r="Q971" i="1" s="1"/>
  <c r="P680" i="8"/>
  <c r="P935" i="8"/>
  <c r="P828" i="8"/>
  <c r="P2055" i="1"/>
  <c r="P125" i="8"/>
  <c r="P124" i="8" s="1"/>
  <c r="Q636" i="1"/>
  <c r="P636" i="1"/>
  <c r="P645" i="1" s="1"/>
  <c r="Q967" i="1"/>
  <c r="Q966" i="1" s="1"/>
  <c r="Q2070" i="1"/>
  <c r="Q1914" i="1"/>
  <c r="Q1770" i="1"/>
  <c r="Q280" i="8"/>
  <c r="Q279" i="8" s="1"/>
  <c r="P936" i="1"/>
  <c r="P1148" i="1" s="1"/>
  <c r="Q607" i="1"/>
  <c r="M1013" i="1"/>
  <c r="M1019" i="1" s="1"/>
  <c r="M1050" i="1" s="1"/>
  <c r="M458" i="7" s="1"/>
  <c r="K488" i="8"/>
  <c r="K948" i="7"/>
  <c r="M1025" i="1"/>
  <c r="M1136" i="1"/>
  <c r="M540" i="7" s="1"/>
  <c r="L777" i="7"/>
  <c r="L1136" i="1"/>
  <c r="L540" i="7" s="1"/>
  <c r="J133" i="8"/>
  <c r="J676" i="7"/>
  <c r="M460" i="7"/>
  <c r="M1101" i="1"/>
  <c r="M505" i="7" s="1"/>
  <c r="G569" i="7"/>
  <c r="G1170" i="1"/>
  <c r="G574" i="7" s="1"/>
  <c r="L488" i="8"/>
  <c r="L948" i="7"/>
  <c r="L1019" i="1"/>
  <c r="L1306" i="1" s="1"/>
  <c r="L134" i="8" s="1"/>
  <c r="L1011" i="1"/>
  <c r="L1049" i="1"/>
  <c r="L457" i="7" s="1"/>
  <c r="M145" i="8"/>
  <c r="M682" i="7"/>
  <c r="O299" i="7"/>
  <c r="L1308" i="1"/>
  <c r="L138" i="8" s="1"/>
  <c r="N506" i="7"/>
  <c r="M507" i="7"/>
  <c r="M1092" i="1"/>
  <c r="O508" i="7"/>
  <c r="P631" i="7"/>
  <c r="N364" i="7"/>
  <c r="N555" i="7"/>
  <c r="S320" i="7"/>
  <c r="L674" i="7"/>
  <c r="L129" i="8"/>
  <c r="M1304" i="1"/>
  <c r="M130" i="8" s="1"/>
  <c r="M1088" i="1"/>
  <c r="M492" i="7" s="1"/>
  <c r="P296" i="7"/>
  <c r="O296" i="7"/>
  <c r="S328" i="7"/>
  <c r="O552" i="7"/>
  <c r="O555" i="7"/>
  <c r="O482" i="7"/>
  <c r="Q341" i="7"/>
  <c r="Q345" i="7"/>
  <c r="O348" i="7"/>
  <c r="Q346" i="7"/>
  <c r="S312" i="7"/>
  <c r="N552" i="7"/>
  <c r="Q109" i="7"/>
  <c r="B351" i="1"/>
  <c r="I683" i="7"/>
  <c r="I147" i="8"/>
  <c r="I1097" i="1"/>
  <c r="I504" i="7"/>
  <c r="F291" i="1"/>
  <c r="J291" i="1"/>
  <c r="F292" i="1"/>
  <c r="J292" i="1"/>
  <c r="F293" i="1"/>
  <c r="J293" i="1"/>
  <c r="G291" i="1"/>
  <c r="K292" i="1"/>
  <c r="G293" i="1"/>
  <c r="M291" i="1"/>
  <c r="I292" i="1"/>
  <c r="M293" i="1"/>
  <c r="B38" i="7"/>
  <c r="H291" i="1"/>
  <c r="L291" i="1"/>
  <c r="H292" i="1"/>
  <c r="L292" i="1"/>
  <c r="H293" i="1"/>
  <c r="L293" i="1"/>
  <c r="K291" i="1"/>
  <c r="G292" i="1"/>
  <c r="K293" i="1"/>
  <c r="I291" i="1"/>
  <c r="M292" i="1"/>
  <c r="I293" i="1"/>
  <c r="Q382" i="7"/>
  <c r="Q385" i="7"/>
  <c r="P86" i="7"/>
  <c r="O130" i="7"/>
  <c r="G132" i="7"/>
  <c r="K133" i="7"/>
  <c r="N131" i="7"/>
  <c r="I130" i="7"/>
  <c r="I375" i="1"/>
  <c r="M131" i="7"/>
  <c r="F130" i="7"/>
  <c r="F375" i="1"/>
  <c r="N132" i="7"/>
  <c r="H130" i="7"/>
  <c r="H375" i="1"/>
  <c r="P133" i="7"/>
  <c r="H131" i="7"/>
  <c r="K130" i="7"/>
  <c r="K375" i="1"/>
  <c r="O131" i="7"/>
  <c r="G133" i="7"/>
  <c r="F131" i="7"/>
  <c r="N133" i="7"/>
  <c r="I131" i="7"/>
  <c r="M132" i="7"/>
  <c r="F132" i="7"/>
  <c r="L131" i="7"/>
  <c r="P130" i="7"/>
  <c r="P131" i="7"/>
  <c r="G130" i="7"/>
  <c r="G375" i="1"/>
  <c r="K131" i="7"/>
  <c r="O132" i="7"/>
  <c r="J130" i="7"/>
  <c r="J375" i="1"/>
  <c r="F133" i="7"/>
  <c r="I132" i="7"/>
  <c r="M133" i="7"/>
  <c r="J131" i="7"/>
  <c r="P132" i="7"/>
  <c r="H132" i="7"/>
  <c r="L132" i="7"/>
  <c r="G131" i="7"/>
  <c r="K132" i="7"/>
  <c r="O133" i="7"/>
  <c r="J132" i="7"/>
  <c r="M130" i="7"/>
  <c r="M375" i="1"/>
  <c r="I133" i="7"/>
  <c r="N130" i="7"/>
  <c r="J133" i="7"/>
  <c r="L133" i="7"/>
  <c r="H133" i="7"/>
  <c r="L130" i="7"/>
  <c r="L375" i="1"/>
  <c r="Q381" i="7"/>
  <c r="Q378" i="7"/>
  <c r="Q389" i="7"/>
  <c r="Q386" i="7"/>
  <c r="P377" i="7"/>
  <c r="P374" i="7"/>
  <c r="M1018" i="1"/>
  <c r="M1034" i="1"/>
  <c r="M446" i="7" s="1"/>
  <c r="M1427" i="1"/>
  <c r="M276" i="8" s="1"/>
  <c r="M1150" i="1"/>
  <c r="M512" i="7"/>
  <c r="M1147" i="1"/>
  <c r="M488" i="7"/>
  <c r="M1311" i="1"/>
  <c r="M144" i="8" s="1"/>
  <c r="H926" i="7"/>
  <c r="H447" i="8"/>
  <c r="K1119" i="1"/>
  <c r="K849" i="1"/>
  <c r="K1127" i="1" s="1"/>
  <c r="P401" i="7"/>
  <c r="P398" i="7"/>
  <c r="O493" i="7"/>
  <c r="H443" i="8"/>
  <c r="H924" i="7"/>
  <c r="I1566" i="1"/>
  <c r="I444" i="8" s="1"/>
  <c r="I528" i="7"/>
  <c r="M543" i="7"/>
  <c r="M1590" i="1"/>
  <c r="M489" i="8" s="1"/>
  <c r="M1137" i="1"/>
  <c r="M541" i="7" s="1"/>
  <c r="J531" i="7"/>
  <c r="J1124" i="1"/>
  <c r="I520" i="7"/>
  <c r="I1568" i="1"/>
  <c r="I448" i="8" s="1"/>
  <c r="M361" i="7"/>
  <c r="M116" i="1"/>
  <c r="M115" i="1" s="1"/>
  <c r="L843" i="1"/>
  <c r="J523" i="7"/>
  <c r="J1116" i="1"/>
  <c r="J1174" i="1"/>
  <c r="J578" i="7" s="1"/>
  <c r="N675" i="7"/>
  <c r="O362" i="7"/>
  <c r="Q304" i="7"/>
  <c r="S304" i="7"/>
  <c r="K683" i="7"/>
  <c r="K147" i="8"/>
  <c r="N495" i="7"/>
  <c r="N363" i="7"/>
  <c r="N539" i="7"/>
  <c r="O953" i="7"/>
  <c r="P359" i="7"/>
  <c r="P345" i="7"/>
  <c r="S345" i="7"/>
  <c r="P341" i="7"/>
  <c r="K947" i="7"/>
  <c r="K486" i="8"/>
  <c r="J947" i="7"/>
  <c r="J486" i="8"/>
  <c r="P637" i="7"/>
  <c r="N524" i="7"/>
  <c r="S341" i="7"/>
  <c r="F569" i="7"/>
  <c r="F1168" i="1"/>
  <c r="F1170" i="1"/>
  <c r="F574" i="7" s="1"/>
  <c r="P682" i="7"/>
  <c r="S747" i="1"/>
  <c r="O365" i="7"/>
  <c r="P360" i="7"/>
  <c r="P559" i="7"/>
  <c r="P299" i="7"/>
  <c r="N361" i="7"/>
  <c r="P779" i="7"/>
  <c r="O495" i="7"/>
  <c r="O358" i="7"/>
  <c r="O346" i="7"/>
  <c r="O363" i="7"/>
  <c r="O671" i="7"/>
  <c r="O1094" i="7"/>
  <c r="J1090" i="1"/>
  <c r="J1100" i="1"/>
  <c r="J273" i="8"/>
  <c r="S352" i="7"/>
  <c r="N543" i="7"/>
  <c r="M267" i="8"/>
  <c r="N460" i="7"/>
  <c r="N542" i="7"/>
  <c r="N541" i="7"/>
  <c r="N484" i="7"/>
  <c r="Q161" i="7"/>
  <c r="B390" i="1"/>
  <c r="G572" i="7"/>
  <c r="G115" i="8"/>
  <c r="K1090" i="1"/>
  <c r="K494" i="7" s="1"/>
  <c r="K1100" i="1"/>
  <c r="J201" i="1"/>
  <c r="P783" i="7"/>
  <c r="P1003" i="7"/>
  <c r="P1109" i="7"/>
  <c r="N560" i="7"/>
  <c r="P524" i="7"/>
  <c r="S748" i="1"/>
  <c r="O344" i="7"/>
  <c r="K944" i="7" l="1"/>
  <c r="L1095" i="1"/>
  <c r="H569" i="7"/>
  <c r="H1168" i="1"/>
  <c r="H116" i="8" s="1"/>
  <c r="H115" i="8" s="1"/>
  <c r="Q645" i="1"/>
  <c r="S645" i="1" s="1"/>
  <c r="L276" i="8"/>
  <c r="L275" i="8" s="1"/>
  <c r="L781" i="7"/>
  <c r="L1146" i="1"/>
  <c r="L551" i="7"/>
  <c r="L554" i="7"/>
  <c r="L1149" i="1"/>
  <c r="L553" i="7" s="1"/>
  <c r="N1110" i="1"/>
  <c r="N121" i="1" s="1"/>
  <c r="N1108" i="1"/>
  <c r="Q648" i="1"/>
  <c r="Q1136" i="1" s="1"/>
  <c r="Q1134" i="1" s="1"/>
  <c r="Q1564" i="1" s="1"/>
  <c r="Q440" i="8" s="1"/>
  <c r="Q439" i="8" s="1"/>
  <c r="P1137" i="1"/>
  <c r="O1011" i="1"/>
  <c r="O1019" i="1"/>
  <c r="O1306" i="1" s="1"/>
  <c r="S636" i="1"/>
  <c r="P1134" i="1"/>
  <c r="P1564" i="1" s="1"/>
  <c r="P440" i="8" s="1"/>
  <c r="P439" i="8" s="1"/>
  <c r="Q125" i="8"/>
  <c r="Q124" i="8" s="1"/>
  <c r="Q920" i="8" s="1"/>
  <c r="S971" i="1"/>
  <c r="S966" i="1"/>
  <c r="Q1137" i="1"/>
  <c r="O134" i="8"/>
  <c r="O133" i="8" s="1"/>
  <c r="P1174" i="1"/>
  <c r="P1124" i="1"/>
  <c r="N1019" i="1"/>
  <c r="N1306" i="1" s="1"/>
  <c r="N1049" i="1"/>
  <c r="N1011" i="1"/>
  <c r="N1124" i="1"/>
  <c r="Q1127" i="1"/>
  <c r="Q1124" i="1" s="1"/>
  <c r="Q130" i="8"/>
  <c r="Q129" i="8" s="1"/>
  <c r="Q1052" i="1"/>
  <c r="Q1101" i="1" s="1"/>
  <c r="Q1091" i="1"/>
  <c r="P1025" i="1"/>
  <c r="P961" i="1"/>
  <c r="P1013" i="1" s="1"/>
  <c r="O294" i="1"/>
  <c r="O433" i="1" s="1"/>
  <c r="O1575" i="1" s="1"/>
  <c r="O430" i="1"/>
  <c r="N1430" i="1"/>
  <c r="N1320" i="1"/>
  <c r="N162" i="8" s="1"/>
  <c r="N161" i="8" s="1"/>
  <c r="Q294" i="1"/>
  <c r="Q433" i="1" s="1"/>
  <c r="Q1575" i="1" s="1"/>
  <c r="Q430" i="1"/>
  <c r="Q398" i="1"/>
  <c r="Q490" i="1" s="1"/>
  <c r="Q397" i="1"/>
  <c r="Q489" i="1" s="1"/>
  <c r="Q396" i="1"/>
  <c r="O401" i="1"/>
  <c r="O494" i="1" s="1"/>
  <c r="P398" i="1"/>
  <c r="P490" i="1" s="1"/>
  <c r="P397" i="1"/>
  <c r="P489" i="1" s="1"/>
  <c r="N401" i="1"/>
  <c r="N494" i="1" s="1"/>
  <c r="Q401" i="1"/>
  <c r="Q494" i="1" s="1"/>
  <c r="O397" i="1"/>
  <c r="O489" i="1" s="1"/>
  <c r="O398" i="1"/>
  <c r="O490" i="1" s="1"/>
  <c r="P401" i="1"/>
  <c r="P494" i="1" s="1"/>
  <c r="O396" i="1"/>
  <c r="P396" i="1"/>
  <c r="N397" i="1"/>
  <c r="N489" i="1" s="1"/>
  <c r="N396" i="1"/>
  <c r="N398" i="1"/>
  <c r="N490" i="1" s="1"/>
  <c r="Q361" i="1"/>
  <c r="Q467" i="1" s="1"/>
  <c r="P360" i="1"/>
  <c r="P466" i="1" s="1"/>
  <c r="N365" i="1"/>
  <c r="N471" i="1" s="1"/>
  <c r="P359" i="1"/>
  <c r="O361" i="1"/>
  <c r="O467" i="1" s="1"/>
  <c r="O360" i="1"/>
  <c r="O466" i="1" s="1"/>
  <c r="Q360" i="1"/>
  <c r="Q466" i="1" s="1"/>
  <c r="P365" i="1"/>
  <c r="P471" i="1" s="1"/>
  <c r="N359" i="1"/>
  <c r="O365" i="1"/>
  <c r="O471" i="1" s="1"/>
  <c r="Q359" i="1"/>
  <c r="P361" i="1"/>
  <c r="P467" i="1" s="1"/>
  <c r="N361" i="1"/>
  <c r="N467" i="1" s="1"/>
  <c r="N360" i="1"/>
  <c r="N466" i="1" s="1"/>
  <c r="Q365" i="1"/>
  <c r="Q471" i="1" s="1"/>
  <c r="O359" i="1"/>
  <c r="N294" i="1"/>
  <c r="N433" i="1" s="1"/>
  <c r="N1575" i="1" s="1"/>
  <c r="N430" i="1"/>
  <c r="P920" i="8"/>
  <c r="Q268" i="8"/>
  <c r="Q267" i="8" s="1"/>
  <c r="Q1080" i="1"/>
  <c r="P1084" i="1"/>
  <c r="O920" i="8"/>
  <c r="P1590" i="1"/>
  <c r="P489" i="8" s="1"/>
  <c r="P488" i="8" s="1"/>
  <c r="P268" i="8"/>
  <c r="P267" i="8" s="1"/>
  <c r="P1320" i="1"/>
  <c r="P162" i="8" s="1"/>
  <c r="P161" i="8" s="1"/>
  <c r="P1430" i="1"/>
  <c r="P282" i="8" s="1"/>
  <c r="P281" i="8" s="1"/>
  <c r="O1174" i="1"/>
  <c r="O1161" i="1"/>
  <c r="O1589" i="1" s="1"/>
  <c r="O487" i="8" s="1"/>
  <c r="O486" i="8" s="1"/>
  <c r="O207" i="1"/>
  <c r="O204" i="1" s="1"/>
  <c r="O201" i="1" s="1"/>
  <c r="O202" i="1" s="1"/>
  <c r="O226" i="1"/>
  <c r="O223" i="1" s="1"/>
  <c r="O2019" i="1"/>
  <c r="O1426" i="1"/>
  <c r="Q1025" i="1"/>
  <c r="Q961" i="1"/>
  <c r="Q1013" i="1" s="1"/>
  <c r="Q116" i="1"/>
  <c r="Q115" i="1" s="1"/>
  <c r="P294" i="1"/>
  <c r="P433" i="1" s="1"/>
  <c r="P1575" i="1" s="1"/>
  <c r="P430" i="1"/>
  <c r="O1430" i="1"/>
  <c r="O1320" i="1"/>
  <c r="O162" i="8" s="1"/>
  <c r="O161" i="8" s="1"/>
  <c r="Q935" i="8"/>
  <c r="Q828" i="8"/>
  <c r="Q680" i="8"/>
  <c r="O1050" i="1"/>
  <c r="O1017" i="1"/>
  <c r="O1023" i="1" s="1"/>
  <c r="P1091" i="1"/>
  <c r="P1052" i="1"/>
  <c r="P1101" i="1" s="1"/>
  <c r="Q1320" i="1"/>
  <c r="Q162" i="8" s="1"/>
  <c r="Q161" i="8" s="1"/>
  <c r="Q1430" i="1"/>
  <c r="Q282" i="8" s="1"/>
  <c r="Q281" i="8" s="1"/>
  <c r="Q1590" i="1"/>
  <c r="Q489" i="8" s="1"/>
  <c r="Q488" i="8" s="1"/>
  <c r="M1306" i="1"/>
  <c r="M676" i="7" s="1"/>
  <c r="M1011" i="1"/>
  <c r="M1161" i="1" s="1"/>
  <c r="M1049" i="1"/>
  <c r="M457" i="7" s="1"/>
  <c r="M1134" i="1"/>
  <c r="M538" i="7" s="1"/>
  <c r="L1134" i="1"/>
  <c r="L538" i="7" s="1"/>
  <c r="L133" i="8"/>
  <c r="L676" i="7"/>
  <c r="L226" i="1"/>
  <c r="L223" i="1" s="1"/>
  <c r="L1426" i="1"/>
  <c r="L274" i="8" s="1"/>
  <c r="L1161" i="1"/>
  <c r="L207" i="1"/>
  <c r="L204" i="1" s="1"/>
  <c r="L201" i="1" s="1"/>
  <c r="L202" i="1" s="1"/>
  <c r="L2019" i="1"/>
  <c r="L1050" i="1"/>
  <c r="L458" i="7" s="1"/>
  <c r="L1017" i="1"/>
  <c r="L136" i="1" s="1"/>
  <c r="H572" i="7"/>
  <c r="L137" i="8"/>
  <c r="L678" i="7"/>
  <c r="M496" i="7"/>
  <c r="M1308" i="1"/>
  <c r="M138" i="8" s="1"/>
  <c r="N507" i="7"/>
  <c r="O506" i="7"/>
  <c r="O778" i="7"/>
  <c r="N778" i="7"/>
  <c r="P689" i="7"/>
  <c r="O481" i="7"/>
  <c r="O347" i="7"/>
  <c r="M674" i="7"/>
  <c r="M129" i="8"/>
  <c r="N492" i="7"/>
  <c r="P502" i="7"/>
  <c r="P552" i="7"/>
  <c r="P555" i="7"/>
  <c r="H360" i="1"/>
  <c r="H359" i="1"/>
  <c r="F359" i="1"/>
  <c r="M360" i="1"/>
  <c r="I365" i="1"/>
  <c r="J365" i="1"/>
  <c r="G361" i="1"/>
  <c r="L359" i="1"/>
  <c r="K365" i="1"/>
  <c r="L360" i="1"/>
  <c r="G365" i="1"/>
  <c r="H361" i="1"/>
  <c r="M365" i="1"/>
  <c r="F361" i="1"/>
  <c r="H365" i="1"/>
  <c r="M361" i="1"/>
  <c r="I360" i="1"/>
  <c r="M359" i="1"/>
  <c r="J361" i="1"/>
  <c r="F360" i="1"/>
  <c r="F365" i="1"/>
  <c r="K361" i="1"/>
  <c r="G360" i="1"/>
  <c r="K359" i="1"/>
  <c r="B102" i="7"/>
  <c r="L361" i="1"/>
  <c r="J360" i="1"/>
  <c r="L365" i="1"/>
  <c r="I361" i="1"/>
  <c r="I359" i="1"/>
  <c r="J359" i="1"/>
  <c r="K360" i="1"/>
  <c r="G359" i="1"/>
  <c r="I1165" i="1"/>
  <c r="I501" i="7"/>
  <c r="Q86" i="7"/>
  <c r="B325" i="1"/>
  <c r="I432" i="1"/>
  <c r="I198" i="7" s="1"/>
  <c r="I44" i="7"/>
  <c r="K432" i="1"/>
  <c r="K198" i="7" s="1"/>
  <c r="K44" i="7"/>
  <c r="G431" i="1"/>
  <c r="G197" i="7" s="1"/>
  <c r="G43" i="7"/>
  <c r="P44" i="7"/>
  <c r="P198" i="7"/>
  <c r="H44" i="7"/>
  <c r="H432" i="1"/>
  <c r="H198" i="7" s="1"/>
  <c r="L43" i="7"/>
  <c r="L431" i="1"/>
  <c r="L197" i="7" s="1"/>
  <c r="P42" i="7"/>
  <c r="P196" i="7"/>
  <c r="H42" i="7"/>
  <c r="H430" i="1"/>
  <c r="H196" i="7" s="1"/>
  <c r="H294" i="1"/>
  <c r="M432" i="1"/>
  <c r="M198" i="7" s="1"/>
  <c r="M44" i="7"/>
  <c r="I431" i="1"/>
  <c r="I197" i="7" s="1"/>
  <c r="I43" i="7"/>
  <c r="O44" i="7"/>
  <c r="O198" i="7"/>
  <c r="K43" i="7"/>
  <c r="K431" i="1"/>
  <c r="K197" i="7" s="1"/>
  <c r="G430" i="1"/>
  <c r="G196" i="7" s="1"/>
  <c r="G42" i="7"/>
  <c r="G294" i="1"/>
  <c r="J44" i="7"/>
  <c r="J432" i="1"/>
  <c r="J198" i="7" s="1"/>
  <c r="N43" i="7"/>
  <c r="N197" i="7"/>
  <c r="F43" i="7"/>
  <c r="F431" i="1"/>
  <c r="F197" i="7" s="1"/>
  <c r="J294" i="1"/>
  <c r="J42" i="7"/>
  <c r="J430" i="1"/>
  <c r="J196" i="7" s="1"/>
  <c r="M431" i="1"/>
  <c r="M197" i="7" s="1"/>
  <c r="M43" i="7"/>
  <c r="I42" i="7"/>
  <c r="I294" i="1"/>
  <c r="I430" i="1"/>
  <c r="I196" i="7" s="1"/>
  <c r="O197" i="7"/>
  <c r="O43" i="7"/>
  <c r="K430" i="1"/>
  <c r="K196" i="7" s="1"/>
  <c r="K42" i="7"/>
  <c r="K294" i="1"/>
  <c r="L44" i="7"/>
  <c r="L432" i="1"/>
  <c r="L198" i="7" s="1"/>
  <c r="P43" i="7"/>
  <c r="P197" i="7"/>
  <c r="H43" i="7"/>
  <c r="H431" i="1"/>
  <c r="H197" i="7" s="1"/>
  <c r="L294" i="1"/>
  <c r="L42" i="7"/>
  <c r="L430" i="1"/>
  <c r="L196" i="7" s="1"/>
  <c r="M430" i="1"/>
  <c r="M196" i="7" s="1"/>
  <c r="M42" i="7"/>
  <c r="M294" i="1"/>
  <c r="G44" i="7"/>
  <c r="G432" i="1"/>
  <c r="G198" i="7" s="1"/>
  <c r="O42" i="7"/>
  <c r="O196" i="7"/>
  <c r="N44" i="7"/>
  <c r="N198" i="7"/>
  <c r="F44" i="7"/>
  <c r="F432" i="1"/>
  <c r="F198" i="7" s="1"/>
  <c r="J43" i="7"/>
  <c r="J431" i="1"/>
  <c r="J197" i="7" s="1"/>
  <c r="N42" i="7"/>
  <c r="N196" i="7"/>
  <c r="F42" i="7"/>
  <c r="F430" i="1"/>
  <c r="F196" i="7" s="1"/>
  <c r="F294" i="1"/>
  <c r="N126" i="7"/>
  <c r="M126" i="7"/>
  <c r="J126" i="7"/>
  <c r="P126" i="7"/>
  <c r="K126" i="7"/>
  <c r="O126" i="7"/>
  <c r="L126" i="7"/>
  <c r="G478" i="1"/>
  <c r="G126" i="7"/>
  <c r="H126" i="7"/>
  <c r="F126" i="7"/>
  <c r="I126" i="7"/>
  <c r="Q377" i="7"/>
  <c r="Q374" i="7"/>
  <c r="M681" i="7"/>
  <c r="M143" i="8"/>
  <c r="M275" i="8"/>
  <c r="M781" i="7"/>
  <c r="M1035" i="1"/>
  <c r="M447" i="7" s="1"/>
  <c r="M1017" i="1"/>
  <c r="M136" i="1" s="1"/>
  <c r="M121" i="1"/>
  <c r="M514" i="7"/>
  <c r="M1109" i="1"/>
  <c r="M551" i="7"/>
  <c r="M1146" i="1"/>
  <c r="M1149" i="1"/>
  <c r="M553" i="7" s="1"/>
  <c r="M554" i="7"/>
  <c r="L849" i="1"/>
  <c r="L1127" i="1" s="1"/>
  <c r="L1119" i="1"/>
  <c r="I447" i="8"/>
  <c r="I926" i="7"/>
  <c r="M488" i="8"/>
  <c r="M948" i="7"/>
  <c r="K1124" i="1"/>
  <c r="K531" i="7"/>
  <c r="J1568" i="1"/>
  <c r="J448" i="8" s="1"/>
  <c r="J520" i="7"/>
  <c r="M843" i="1"/>
  <c r="J1566" i="1"/>
  <c r="J444" i="8" s="1"/>
  <c r="J528" i="7"/>
  <c r="I443" i="8"/>
  <c r="I924" i="7"/>
  <c r="O675" i="7"/>
  <c r="P493" i="7"/>
  <c r="Q401" i="7"/>
  <c r="Q398" i="7"/>
  <c r="K523" i="7"/>
  <c r="K1116" i="1"/>
  <c r="K1174" i="1"/>
  <c r="K578" i="7" s="1"/>
  <c r="Q348" i="7"/>
  <c r="J202" i="1"/>
  <c r="K504" i="7"/>
  <c r="K1097" i="1"/>
  <c r="K396" i="1"/>
  <c r="G396" i="1"/>
  <c r="K397" i="1"/>
  <c r="M398" i="1"/>
  <c r="I401" i="1"/>
  <c r="G398" i="1"/>
  <c r="M401" i="1"/>
  <c r="G401" i="1"/>
  <c r="K398" i="1"/>
  <c r="G397" i="1"/>
  <c r="B156" i="7"/>
  <c r="M396" i="1"/>
  <c r="I397" i="1"/>
  <c r="L401" i="1"/>
  <c r="H401" i="1"/>
  <c r="L398" i="1"/>
  <c r="H398" i="1"/>
  <c r="L397" i="1"/>
  <c r="H397" i="1"/>
  <c r="L396" i="1"/>
  <c r="H396" i="1"/>
  <c r="K401" i="1"/>
  <c r="I396" i="1"/>
  <c r="M397" i="1"/>
  <c r="I398" i="1"/>
  <c r="J401" i="1"/>
  <c r="F401" i="1"/>
  <c r="J398" i="1"/>
  <c r="F398" i="1"/>
  <c r="J397" i="1"/>
  <c r="F397" i="1"/>
  <c r="J396" i="1"/>
  <c r="F396" i="1"/>
  <c r="N512" i="7"/>
  <c r="O471" i="7"/>
  <c r="O470" i="7"/>
  <c r="N948" i="7"/>
  <c r="J494" i="7"/>
  <c r="O542" i="7"/>
  <c r="O541" i="7"/>
  <c r="O484" i="7"/>
  <c r="O543" i="7"/>
  <c r="S751" i="1"/>
  <c r="P778" i="7"/>
  <c r="N925" i="7"/>
  <c r="P953" i="7"/>
  <c r="P346" i="7"/>
  <c r="S346" i="7"/>
  <c r="P495" i="7"/>
  <c r="O364" i="7"/>
  <c r="L499" i="7"/>
  <c r="L1313" i="1"/>
  <c r="L148" i="8" s="1"/>
  <c r="P348" i="7"/>
  <c r="O361" i="7"/>
  <c r="P925" i="7"/>
  <c r="N488" i="7"/>
  <c r="O458" i="7"/>
  <c r="O457" i="7"/>
  <c r="N505" i="7"/>
  <c r="J504" i="7"/>
  <c r="J1097" i="1"/>
  <c r="O539" i="7"/>
  <c r="O460" i="7"/>
  <c r="O505" i="7"/>
  <c r="F572" i="7"/>
  <c r="F116" i="8"/>
  <c r="F115" i="8" s="1"/>
  <c r="P358" i="7"/>
  <c r="P362" i="7"/>
  <c r="P671" i="7"/>
  <c r="P1094" i="7"/>
  <c r="N777" i="7"/>
  <c r="N1147" i="1" l="1"/>
  <c r="N1146" i="1" s="1"/>
  <c r="N1586" i="1" s="1"/>
  <c r="N1427" i="1"/>
  <c r="N276" i="8" s="1"/>
  <c r="N275" i="8" s="1"/>
  <c r="N1109" i="1"/>
  <c r="N1095" i="1" s="1"/>
  <c r="N1313" i="1" s="1"/>
  <c r="N148" i="8" s="1"/>
  <c r="N147" i="8" s="1"/>
  <c r="N1150" i="1"/>
  <c r="N1149" i="1" s="1"/>
  <c r="O1110" i="1"/>
  <c r="O121" i="1" s="1"/>
  <c r="O1108" i="1"/>
  <c r="L1586" i="1"/>
  <c r="L550" i="7"/>
  <c r="Q1174" i="1"/>
  <c r="O1100" i="1"/>
  <c r="O1090" i="1"/>
  <c r="P1019" i="1"/>
  <c r="P1306" i="1" s="1"/>
  <c r="P1049" i="1"/>
  <c r="P1011" i="1"/>
  <c r="Q465" i="1"/>
  <c r="P116" i="1"/>
  <c r="P115" i="1" s="1"/>
  <c r="O465" i="1"/>
  <c r="P465" i="1"/>
  <c r="N282" i="8"/>
  <c r="N281" i="8" s="1"/>
  <c r="N488" i="1"/>
  <c r="O274" i="8"/>
  <c r="O273" i="8" s="1"/>
  <c r="N465" i="1"/>
  <c r="N1426" i="1"/>
  <c r="N207" i="1"/>
  <c r="N204" i="1" s="1"/>
  <c r="N201" i="1" s="1"/>
  <c r="N202" i="1" s="1"/>
  <c r="N1161" i="1"/>
  <c r="N1589" i="1" s="1"/>
  <c r="N487" i="8" s="1"/>
  <c r="N486" i="8" s="1"/>
  <c r="N2019" i="1"/>
  <c r="N226" i="1"/>
  <c r="N223" i="1" s="1"/>
  <c r="Q461" i="8"/>
  <c r="Q460" i="8" s="1"/>
  <c r="N1050" i="1"/>
  <c r="N1017" i="1"/>
  <c r="N1023" i="1" s="1"/>
  <c r="M134" i="8"/>
  <c r="M133" i="8" s="1"/>
  <c r="O282" i="8"/>
  <c r="O281" i="8" s="1"/>
  <c r="P1566" i="1"/>
  <c r="P444" i="8" s="1"/>
  <c r="P443" i="8" s="1"/>
  <c r="N481" i="8"/>
  <c r="N480" i="8" s="1"/>
  <c r="O488" i="1"/>
  <c r="O461" i="8"/>
  <c r="O460" i="8" s="1"/>
  <c r="Q1566" i="1"/>
  <c r="Q444" i="8" s="1"/>
  <c r="Q443" i="8" s="1"/>
  <c r="Q1019" i="1"/>
  <c r="Q1306" i="1" s="1"/>
  <c r="Q1049" i="1"/>
  <c r="Q1011" i="1"/>
  <c r="Q488" i="1"/>
  <c r="N461" i="8"/>
  <c r="N460" i="8" s="1"/>
  <c r="N134" i="8"/>
  <c r="N133" i="8" s="1"/>
  <c r="P461" i="8"/>
  <c r="P460" i="8" s="1"/>
  <c r="P488" i="1"/>
  <c r="Q1084" i="1"/>
  <c r="Q342" i="1"/>
  <c r="Q458" i="1" s="1"/>
  <c r="P338" i="1"/>
  <c r="P454" i="1" s="1"/>
  <c r="P337" i="1"/>
  <c r="P336" i="1"/>
  <c r="O338" i="1"/>
  <c r="O454" i="1" s="1"/>
  <c r="Q338" i="1"/>
  <c r="Q454" i="1" s="1"/>
  <c r="N342" i="1"/>
  <c r="N458" i="1" s="1"/>
  <c r="Q336" i="1"/>
  <c r="Q337" i="1"/>
  <c r="O342" i="1"/>
  <c r="O458" i="1" s="1"/>
  <c r="O337" i="1"/>
  <c r="O336" i="1"/>
  <c r="N338" i="1"/>
  <c r="N454" i="1" s="1"/>
  <c r="N336" i="1"/>
  <c r="P342" i="1"/>
  <c r="P458" i="1" s="1"/>
  <c r="N337" i="1"/>
  <c r="N1566" i="1"/>
  <c r="N444" i="8" s="1"/>
  <c r="N443" i="8" s="1"/>
  <c r="M226" i="1"/>
  <c r="M223" i="1" s="1"/>
  <c r="M1426" i="1"/>
  <c r="M2019" i="1"/>
  <c r="M207" i="1"/>
  <c r="M204" i="1" s="1"/>
  <c r="M201" i="1" s="1"/>
  <c r="M202" i="1" s="1"/>
  <c r="M1564" i="1"/>
  <c r="L1564" i="1"/>
  <c r="L440" i="8" s="1"/>
  <c r="L780" i="7"/>
  <c r="L273" i="8"/>
  <c r="L1023" i="1"/>
  <c r="L565" i="7"/>
  <c r="L1589" i="1"/>
  <c r="L487" i="8" s="1"/>
  <c r="N540" i="7"/>
  <c r="O507" i="7"/>
  <c r="N496" i="7"/>
  <c r="M137" i="8"/>
  <c r="M678" i="7"/>
  <c r="O492" i="7"/>
  <c r="N674" i="7"/>
  <c r="Q347" i="7"/>
  <c r="K111" i="7"/>
  <c r="K466" i="1"/>
  <c r="K232" i="7" s="1"/>
  <c r="J110" i="7"/>
  <c r="J465" i="1"/>
  <c r="J231" i="7" s="1"/>
  <c r="I110" i="7"/>
  <c r="I465" i="1"/>
  <c r="I231" i="7" s="1"/>
  <c r="L116" i="7"/>
  <c r="L471" i="1"/>
  <c r="L237" i="7" s="1"/>
  <c r="N233" i="7"/>
  <c r="N112" i="7"/>
  <c r="L467" i="1"/>
  <c r="L233" i="7" s="1"/>
  <c r="L112" i="7"/>
  <c r="K110" i="7"/>
  <c r="K465" i="1"/>
  <c r="K231" i="7" s="1"/>
  <c r="O111" i="7"/>
  <c r="O232" i="7"/>
  <c r="F116" i="7"/>
  <c r="F471" i="1"/>
  <c r="F111" i="7"/>
  <c r="F466" i="1"/>
  <c r="F232" i="7" s="1"/>
  <c r="I466" i="1"/>
  <c r="I232" i="7" s="1"/>
  <c r="I111" i="7"/>
  <c r="M467" i="1"/>
  <c r="M233" i="7" s="1"/>
  <c r="M112" i="7"/>
  <c r="P116" i="7"/>
  <c r="P237" i="7"/>
  <c r="F467" i="1"/>
  <c r="F233" i="7" s="1"/>
  <c r="F112" i="7"/>
  <c r="H112" i="7"/>
  <c r="H467" i="1"/>
  <c r="H233" i="7" s="1"/>
  <c r="L111" i="7"/>
  <c r="L466" i="1"/>
  <c r="L232" i="7" s="1"/>
  <c r="P111" i="7"/>
  <c r="P232" i="7"/>
  <c r="O231" i="7"/>
  <c r="O110" i="7"/>
  <c r="J471" i="1"/>
  <c r="J237" i="7" s="1"/>
  <c r="J116" i="7"/>
  <c r="O237" i="7"/>
  <c r="O116" i="7"/>
  <c r="H465" i="1"/>
  <c r="H231" i="7" s="1"/>
  <c r="H110" i="7"/>
  <c r="G110" i="7"/>
  <c r="G465" i="1"/>
  <c r="G231" i="7" s="1"/>
  <c r="O112" i="7"/>
  <c r="O233" i="7"/>
  <c r="N232" i="7"/>
  <c r="N111" i="7"/>
  <c r="I112" i="7"/>
  <c r="I467" i="1"/>
  <c r="I233" i="7" s="1"/>
  <c r="J466" i="1"/>
  <c r="J232" i="7" s="1"/>
  <c r="J111" i="7"/>
  <c r="P231" i="7"/>
  <c r="P110" i="7"/>
  <c r="G111" i="7"/>
  <c r="G466" i="1"/>
  <c r="G232" i="7" s="1"/>
  <c r="K112" i="7"/>
  <c r="K467" i="1"/>
  <c r="K233" i="7" s="1"/>
  <c r="N116" i="7"/>
  <c r="N237" i="7"/>
  <c r="J112" i="7"/>
  <c r="J467" i="1"/>
  <c r="J233" i="7" s="1"/>
  <c r="M465" i="1"/>
  <c r="M231" i="7" s="1"/>
  <c r="M110" i="7"/>
  <c r="H471" i="1"/>
  <c r="H237" i="7" s="1"/>
  <c r="H116" i="7"/>
  <c r="N110" i="7"/>
  <c r="N231" i="7"/>
  <c r="M116" i="7"/>
  <c r="M471" i="1"/>
  <c r="M237" i="7" s="1"/>
  <c r="G471" i="1"/>
  <c r="G237" i="7" s="1"/>
  <c r="G116" i="7"/>
  <c r="K471" i="1"/>
  <c r="K237" i="7" s="1"/>
  <c r="K116" i="7"/>
  <c r="L465" i="1"/>
  <c r="L231" i="7" s="1"/>
  <c r="L110" i="7"/>
  <c r="G112" i="7"/>
  <c r="G467" i="1"/>
  <c r="G233" i="7" s="1"/>
  <c r="I116" i="7"/>
  <c r="I471" i="1"/>
  <c r="I237" i="7" s="1"/>
  <c r="M111" i="7"/>
  <c r="M466" i="1"/>
  <c r="M232" i="7" s="1"/>
  <c r="F465" i="1"/>
  <c r="F231" i="7" s="1"/>
  <c r="F110" i="7"/>
  <c r="F353" i="1"/>
  <c r="P233" i="7"/>
  <c r="P112" i="7"/>
  <c r="H466" i="1"/>
  <c r="H232" i="7" s="1"/>
  <c r="H111" i="7"/>
  <c r="I569" i="7"/>
  <c r="I1170" i="1"/>
  <c r="I574" i="7" s="1"/>
  <c r="I1168" i="1"/>
  <c r="I116" i="8" s="1"/>
  <c r="F433" i="1"/>
  <c r="F45" i="7"/>
  <c r="L433" i="1"/>
  <c r="L45" i="7"/>
  <c r="G433" i="1"/>
  <c r="G45" i="7"/>
  <c r="P45" i="7"/>
  <c r="M336" i="1"/>
  <c r="M87" i="7" s="1"/>
  <c r="I337" i="1"/>
  <c r="I88" i="7" s="1"/>
  <c r="M338" i="1"/>
  <c r="F342" i="1"/>
  <c r="M342" i="1"/>
  <c r="G337" i="1"/>
  <c r="G88" i="7" s="1"/>
  <c r="K338" i="1"/>
  <c r="O87" i="7"/>
  <c r="G338" i="1"/>
  <c r="H342" i="1"/>
  <c r="B76" i="7"/>
  <c r="L336" i="1"/>
  <c r="L87" i="7" s="1"/>
  <c r="H337" i="1"/>
  <c r="H88" i="7" s="1"/>
  <c r="P88" i="7"/>
  <c r="L338" i="1"/>
  <c r="I342" i="1"/>
  <c r="J336" i="1"/>
  <c r="J87" i="7" s="1"/>
  <c r="F337" i="1"/>
  <c r="F88" i="7" s="1"/>
  <c r="N88" i="7"/>
  <c r="J338" i="1"/>
  <c r="G342" i="1"/>
  <c r="I336" i="1"/>
  <c r="I87" i="7" s="1"/>
  <c r="M337" i="1"/>
  <c r="M88" i="7" s="1"/>
  <c r="I338" i="1"/>
  <c r="J342" i="1"/>
  <c r="K336" i="1"/>
  <c r="K87" i="7" s="1"/>
  <c r="O88" i="7"/>
  <c r="L342" i="1"/>
  <c r="G336" i="1"/>
  <c r="G87" i="7" s="1"/>
  <c r="K337" i="1"/>
  <c r="K88" i="7" s="1"/>
  <c r="H336" i="1"/>
  <c r="H87" i="7" s="1"/>
  <c r="P87" i="7"/>
  <c r="L337" i="1"/>
  <c r="L88" i="7" s="1"/>
  <c r="H338" i="1"/>
  <c r="F336" i="1"/>
  <c r="N87" i="7"/>
  <c r="J337" i="1"/>
  <c r="J88" i="7" s="1"/>
  <c r="F338" i="1"/>
  <c r="K342" i="1"/>
  <c r="N45" i="7"/>
  <c r="O45" i="7"/>
  <c r="M433" i="1"/>
  <c r="M45" i="7"/>
  <c r="K433" i="1"/>
  <c r="K45" i="7"/>
  <c r="I433" i="1"/>
  <c r="I45" i="7"/>
  <c r="J433" i="1"/>
  <c r="J45" i="7"/>
  <c r="H433" i="1"/>
  <c r="H45" i="7"/>
  <c r="G1430" i="1"/>
  <c r="G282" i="8" s="1"/>
  <c r="G1320" i="1"/>
  <c r="G162" i="8" s="1"/>
  <c r="G244" i="7"/>
  <c r="P347" i="7"/>
  <c r="M1023" i="1"/>
  <c r="M550" i="7"/>
  <c r="M1586" i="1"/>
  <c r="M481" i="8" s="1"/>
  <c r="M1095" i="1"/>
  <c r="M513" i="7"/>
  <c r="M1589" i="1"/>
  <c r="M487" i="8" s="1"/>
  <c r="M565" i="7"/>
  <c r="P675" i="7"/>
  <c r="J443" i="8"/>
  <c r="J924" i="7"/>
  <c r="M1119" i="1"/>
  <c r="M849" i="1"/>
  <c r="M1127" i="1" s="1"/>
  <c r="J447" i="8"/>
  <c r="J926" i="7"/>
  <c r="L1116" i="1"/>
  <c r="L523" i="7"/>
  <c r="L1174" i="1"/>
  <c r="L578" i="7" s="1"/>
  <c r="K1568" i="1"/>
  <c r="K448" i="8" s="1"/>
  <c r="K520" i="7"/>
  <c r="K1566" i="1"/>
  <c r="K444" i="8" s="1"/>
  <c r="K528" i="7"/>
  <c r="L1124" i="1"/>
  <c r="L531" i="7"/>
  <c r="P777" i="7"/>
  <c r="P542" i="7"/>
  <c r="P484" i="7"/>
  <c r="P364" i="7"/>
  <c r="O538" i="7"/>
  <c r="J501" i="7"/>
  <c r="J1165" i="1"/>
  <c r="N470" i="7"/>
  <c r="N457" i="7"/>
  <c r="N514" i="7"/>
  <c r="P365" i="7"/>
  <c r="O540" i="7"/>
  <c r="N481" i="7"/>
  <c r="O512" i="7"/>
  <c r="N551" i="7"/>
  <c r="N781" i="7"/>
  <c r="F391" i="1"/>
  <c r="F162" i="7"/>
  <c r="F488" i="1"/>
  <c r="F254" i="7" s="1"/>
  <c r="N162" i="7"/>
  <c r="N254" i="7"/>
  <c r="J163" i="7"/>
  <c r="J489" i="1"/>
  <c r="F164" i="7"/>
  <c r="F490" i="1"/>
  <c r="N164" i="7"/>
  <c r="J494" i="1"/>
  <c r="J167" i="7"/>
  <c r="I490" i="1"/>
  <c r="I164" i="7"/>
  <c r="O163" i="7"/>
  <c r="K494" i="1"/>
  <c r="K167" i="7"/>
  <c r="L162" i="7"/>
  <c r="L488" i="1"/>
  <c r="L254" i="7" s="1"/>
  <c r="H163" i="7"/>
  <c r="H489" i="1"/>
  <c r="P163" i="7"/>
  <c r="L164" i="7"/>
  <c r="L490" i="1"/>
  <c r="H167" i="7"/>
  <c r="H494" i="1"/>
  <c r="P167" i="7"/>
  <c r="I163" i="7"/>
  <c r="I489" i="1"/>
  <c r="K164" i="7"/>
  <c r="K490" i="1"/>
  <c r="O167" i="7"/>
  <c r="G164" i="7"/>
  <c r="G490" i="1"/>
  <c r="O162" i="7"/>
  <c r="O254" i="7"/>
  <c r="I167" i="7"/>
  <c r="I494" i="1"/>
  <c r="K163" i="7"/>
  <c r="K489" i="1"/>
  <c r="K488" i="1"/>
  <c r="K254" i="7" s="1"/>
  <c r="K162" i="7"/>
  <c r="O446" i="7"/>
  <c r="N538" i="7"/>
  <c r="P539" i="7"/>
  <c r="P344" i="7"/>
  <c r="S344" i="7"/>
  <c r="Q344" i="7"/>
  <c r="O777" i="7"/>
  <c r="L683" i="7"/>
  <c r="P460" i="7"/>
  <c r="P505" i="7"/>
  <c r="P363" i="7"/>
  <c r="O948" i="7"/>
  <c r="O488" i="7"/>
  <c r="N554" i="7"/>
  <c r="N553" i="7"/>
  <c r="J162" i="7"/>
  <c r="J488" i="1"/>
  <c r="J254" i="7" s="1"/>
  <c r="F163" i="7"/>
  <c r="F489" i="1"/>
  <c r="N163" i="7"/>
  <c r="J164" i="7"/>
  <c r="J490" i="1"/>
  <c r="F167" i="7"/>
  <c r="F494" i="1"/>
  <c r="N167" i="7"/>
  <c r="M163" i="7"/>
  <c r="M489" i="1"/>
  <c r="I162" i="7"/>
  <c r="I488" i="1"/>
  <c r="I254" i="7" s="1"/>
  <c r="O164" i="7"/>
  <c r="H162" i="7"/>
  <c r="H488" i="1"/>
  <c r="H254" i="7" s="1"/>
  <c r="P162" i="7"/>
  <c r="P254" i="7"/>
  <c r="L163" i="7"/>
  <c r="L489" i="1"/>
  <c r="H164" i="7"/>
  <c r="H490" i="1"/>
  <c r="P164" i="7"/>
  <c r="L167" i="7"/>
  <c r="L494" i="1"/>
  <c r="M162" i="7"/>
  <c r="M488" i="1"/>
  <c r="M254" i="7" s="1"/>
  <c r="G163" i="7"/>
  <c r="G489" i="1"/>
  <c r="G167" i="7"/>
  <c r="G494" i="1"/>
  <c r="M167" i="7"/>
  <c r="M494" i="1"/>
  <c r="M164" i="7"/>
  <c r="M490" i="1"/>
  <c r="G162" i="7"/>
  <c r="G488" i="1"/>
  <c r="G254" i="7" s="1"/>
  <c r="K501" i="7"/>
  <c r="K1165" i="1"/>
  <c r="O1097" i="1" l="1"/>
  <c r="O1165" i="1" s="1"/>
  <c r="O1147" i="1"/>
  <c r="O1146" i="1" s="1"/>
  <c r="O1586" i="1" s="1"/>
  <c r="O481" i="8" s="1"/>
  <c r="O480" i="8" s="1"/>
  <c r="O1427" i="1"/>
  <c r="O276" i="8" s="1"/>
  <c r="O275" i="8" s="1"/>
  <c r="O1150" i="1"/>
  <c r="O1149" i="1" s="1"/>
  <c r="O1170" i="1" s="1"/>
  <c r="O1109" i="1"/>
  <c r="O1095" i="1" s="1"/>
  <c r="O1313" i="1" s="1"/>
  <c r="O148" i="8" s="1"/>
  <c r="O147" i="8" s="1"/>
  <c r="P1110" i="1"/>
  <c r="P121" i="1" s="1"/>
  <c r="P1108" i="1"/>
  <c r="L481" i="8"/>
  <c r="L480" i="8" s="1"/>
  <c r="L944" i="7"/>
  <c r="N274" i="8"/>
  <c r="N273" i="8" s="1"/>
  <c r="P2019" i="1"/>
  <c r="P207" i="1"/>
  <c r="P204" i="1" s="1"/>
  <c r="P201" i="1" s="1"/>
  <c r="P202" i="1" s="1"/>
  <c r="P1426" i="1"/>
  <c r="P226" i="1"/>
  <c r="P223" i="1" s="1"/>
  <c r="P1161" i="1"/>
  <c r="P1589" i="1" s="1"/>
  <c r="P487" i="8" s="1"/>
  <c r="P486" i="8" s="1"/>
  <c r="P1050" i="1"/>
  <c r="P1017" i="1"/>
  <c r="P1023" i="1" s="1"/>
  <c r="P134" i="8"/>
  <c r="P133" i="8" s="1"/>
  <c r="Q134" i="8"/>
  <c r="Q133" i="8" s="1"/>
  <c r="Q1426" i="1"/>
  <c r="Q1161" i="1"/>
  <c r="Q1589" i="1" s="1"/>
  <c r="Q487" i="8" s="1"/>
  <c r="Q486" i="8" s="1"/>
  <c r="Q2019" i="1"/>
  <c r="Q207" i="1"/>
  <c r="Q204" i="1" s="1"/>
  <c r="Q201" i="1" s="1"/>
  <c r="Q202" i="1" s="1"/>
  <c r="Q226" i="1"/>
  <c r="Q223" i="1" s="1"/>
  <c r="M274" i="8"/>
  <c r="M273" i="8" s="1"/>
  <c r="M440" i="8"/>
  <c r="M439" i="8" s="1"/>
  <c r="N1100" i="1"/>
  <c r="N1097" i="1" s="1"/>
  <c r="N1165" i="1" s="1"/>
  <c r="N1090" i="1"/>
  <c r="N1174" i="1"/>
  <c r="Q1050" i="1"/>
  <c r="Q1017" i="1"/>
  <c r="Q1023" i="1" s="1"/>
  <c r="O1168" i="1"/>
  <c r="O116" i="8" s="1"/>
  <c r="O115" i="8" s="1"/>
  <c r="M922" i="7"/>
  <c r="M780" i="7"/>
  <c r="L439" i="8"/>
  <c r="L922" i="7"/>
  <c r="L486" i="8"/>
  <c r="L947" i="7"/>
  <c r="L1100" i="1"/>
  <c r="L1090" i="1"/>
  <c r="L494" i="7" s="1"/>
  <c r="O496" i="7"/>
  <c r="P447" i="7"/>
  <c r="N678" i="7"/>
  <c r="N681" i="7"/>
  <c r="O681" i="7"/>
  <c r="O674" i="7"/>
  <c r="P492" i="7"/>
  <c r="F468" i="1"/>
  <c r="F234" i="7" s="1"/>
  <c r="F104" i="7"/>
  <c r="F362" i="1"/>
  <c r="F237" i="7"/>
  <c r="I115" i="8"/>
  <c r="I572" i="7"/>
  <c r="H199" i="7"/>
  <c r="H1575" i="1"/>
  <c r="H461" i="8" s="1"/>
  <c r="J1575" i="1"/>
  <c r="J461" i="8" s="1"/>
  <c r="J199" i="7"/>
  <c r="I199" i="7"/>
  <c r="I1575" i="1"/>
  <c r="I461" i="8" s="1"/>
  <c r="K199" i="7"/>
  <c r="K1575" i="1"/>
  <c r="K461" i="8" s="1"/>
  <c r="M1575" i="1"/>
  <c r="M461" i="8" s="1"/>
  <c r="M199" i="7"/>
  <c r="N199" i="7"/>
  <c r="N220" i="7"/>
  <c r="N89" i="7"/>
  <c r="F87" i="7"/>
  <c r="F329" i="1"/>
  <c r="F330" i="1"/>
  <c r="H89" i="7"/>
  <c r="H454" i="1"/>
  <c r="H220" i="7" s="1"/>
  <c r="N224" i="7"/>
  <c r="N93" i="7"/>
  <c r="L93" i="7"/>
  <c r="L458" i="1"/>
  <c r="L224" i="7" s="1"/>
  <c r="J458" i="1"/>
  <c r="J224" i="7" s="1"/>
  <c r="J93" i="7"/>
  <c r="I454" i="1"/>
  <c r="I220" i="7" s="1"/>
  <c r="I89" i="7"/>
  <c r="G93" i="7"/>
  <c r="G458" i="1"/>
  <c r="G224" i="7" s="1"/>
  <c r="L454" i="1"/>
  <c r="L220" i="7" s="1"/>
  <c r="L89" i="7"/>
  <c r="G89" i="7"/>
  <c r="G454" i="1"/>
  <c r="G220" i="7" s="1"/>
  <c r="P224" i="7"/>
  <c r="P93" i="7"/>
  <c r="M93" i="7"/>
  <c r="M458" i="1"/>
  <c r="M224" i="7" s="1"/>
  <c r="M454" i="1"/>
  <c r="M220" i="7" s="1"/>
  <c r="M89" i="7"/>
  <c r="O199" i="7"/>
  <c r="K93" i="7"/>
  <c r="K458" i="1"/>
  <c r="K224" i="7" s="1"/>
  <c r="F454" i="1"/>
  <c r="F220" i="7" s="1"/>
  <c r="F89" i="7"/>
  <c r="P89" i="7"/>
  <c r="P220" i="7"/>
  <c r="O220" i="7"/>
  <c r="O89" i="7"/>
  <c r="O224" i="7"/>
  <c r="O93" i="7"/>
  <c r="J89" i="7"/>
  <c r="J454" i="1"/>
  <c r="J220" i="7" s="1"/>
  <c r="I458" i="1"/>
  <c r="I224" i="7" s="1"/>
  <c r="I93" i="7"/>
  <c r="H93" i="7"/>
  <c r="H458" i="1"/>
  <c r="H224" i="7" s="1"/>
  <c r="K454" i="1"/>
  <c r="K220" i="7" s="1"/>
  <c r="K89" i="7"/>
  <c r="F93" i="7"/>
  <c r="F458" i="1"/>
  <c r="P199" i="7"/>
  <c r="G1575" i="1"/>
  <c r="G461" i="8" s="1"/>
  <c r="G199" i="7"/>
  <c r="L199" i="7"/>
  <c r="L1575" i="1"/>
  <c r="L461" i="8" s="1"/>
  <c r="F1575" i="1"/>
  <c r="F199" i="7"/>
  <c r="G161" i="8"/>
  <c r="G690" i="7"/>
  <c r="G784" i="7"/>
  <c r="G281" i="8"/>
  <c r="M480" i="8"/>
  <c r="M944" i="7"/>
  <c r="M1090" i="1"/>
  <c r="M494" i="7" s="1"/>
  <c r="M1100" i="1"/>
  <c r="M947" i="7"/>
  <c r="M486" i="8"/>
  <c r="M1313" i="1"/>
  <c r="M148" i="8" s="1"/>
  <c r="M499" i="7"/>
  <c r="L520" i="7"/>
  <c r="L1568" i="1"/>
  <c r="L448" i="8" s="1"/>
  <c r="M531" i="7"/>
  <c r="M1124" i="1"/>
  <c r="L1566" i="1"/>
  <c r="L444" i="8" s="1"/>
  <c r="L528" i="7"/>
  <c r="K924" i="7"/>
  <c r="K443" i="8"/>
  <c r="K447" i="8"/>
  <c r="K926" i="7"/>
  <c r="M1116" i="1"/>
  <c r="M523" i="7"/>
  <c r="M1174" i="1"/>
  <c r="M578" i="7" s="1"/>
  <c r="K569" i="7"/>
  <c r="K1168" i="1"/>
  <c r="K116" i="8" s="1"/>
  <c r="K1170" i="1"/>
  <c r="K574" i="7" s="1"/>
  <c r="M256" i="7"/>
  <c r="M260" i="7"/>
  <c r="G260" i="7"/>
  <c r="G255" i="7"/>
  <c r="L260" i="7"/>
  <c r="P256" i="7"/>
  <c r="H256" i="7"/>
  <c r="L255" i="7"/>
  <c r="M255" i="7"/>
  <c r="N482" i="7"/>
  <c r="L147" i="8"/>
  <c r="N922" i="7"/>
  <c r="K255" i="7"/>
  <c r="I260" i="7"/>
  <c r="G256" i="7"/>
  <c r="O260" i="7"/>
  <c r="K256" i="7"/>
  <c r="I255" i="7"/>
  <c r="P260" i="7"/>
  <c r="H260" i="7"/>
  <c r="L256" i="7"/>
  <c r="P255" i="7"/>
  <c r="H255" i="7"/>
  <c r="N256" i="7"/>
  <c r="F256" i="7"/>
  <c r="J255" i="7"/>
  <c r="N513" i="7"/>
  <c r="N550" i="7"/>
  <c r="O551" i="7"/>
  <c r="O781" i="7"/>
  <c r="P543" i="7"/>
  <c r="J569" i="7"/>
  <c r="J1168" i="1"/>
  <c r="J116" i="8" s="1"/>
  <c r="J1170" i="1"/>
  <c r="J574" i="7" s="1"/>
  <c r="O922" i="7"/>
  <c r="P488" i="7"/>
  <c r="P541" i="7"/>
  <c r="N446" i="7"/>
  <c r="O256" i="7"/>
  <c r="N260" i="7"/>
  <c r="F260" i="7"/>
  <c r="J256" i="7"/>
  <c r="N255" i="7"/>
  <c r="F255" i="7"/>
  <c r="O514" i="7"/>
  <c r="P361" i="7"/>
  <c r="N458" i="7"/>
  <c r="N471" i="7"/>
  <c r="P538" i="7"/>
  <c r="O676" i="7"/>
  <c r="O447" i="7"/>
  <c r="K260" i="7"/>
  <c r="O255" i="7"/>
  <c r="I256" i="7"/>
  <c r="J260" i="7"/>
  <c r="F399" i="1"/>
  <c r="F157" i="7"/>
  <c r="F491" i="1"/>
  <c r="O554" i="7"/>
  <c r="O553" i="7"/>
  <c r="P540" i="7"/>
  <c r="P512" i="7"/>
  <c r="N676" i="7"/>
  <c r="Q1108" i="1" l="1"/>
  <c r="P1109" i="1"/>
  <c r="P1095" i="1" s="1"/>
  <c r="P1313" i="1" s="1"/>
  <c r="P148" i="8" s="1"/>
  <c r="P147" i="8" s="1"/>
  <c r="P1427" i="1"/>
  <c r="P276" i="8" s="1"/>
  <c r="P275" i="8" s="1"/>
  <c r="P1150" i="1"/>
  <c r="P1149" i="1" s="1"/>
  <c r="P1147" i="1"/>
  <c r="P1146" i="1" s="1"/>
  <c r="P1586" i="1" s="1"/>
  <c r="P481" i="8" s="1"/>
  <c r="P480" i="8" s="1"/>
  <c r="Q1100" i="1"/>
  <c r="Q1090" i="1"/>
  <c r="Q274" i="8"/>
  <c r="Q273" i="8" s="1"/>
  <c r="P274" i="8"/>
  <c r="P273" i="8" s="1"/>
  <c r="N1168" i="1"/>
  <c r="N116" i="8" s="1"/>
  <c r="N115" i="8" s="1"/>
  <c r="N1170" i="1"/>
  <c r="P1100" i="1"/>
  <c r="P1097" i="1" s="1"/>
  <c r="P1165" i="1" s="1"/>
  <c r="P1090" i="1"/>
  <c r="L504" i="7"/>
  <c r="L1097" i="1"/>
  <c r="P446" i="7"/>
  <c r="P508" i="7"/>
  <c r="O678" i="7"/>
  <c r="Q294" i="7"/>
  <c r="P674" i="7"/>
  <c r="F80" i="7"/>
  <c r="F363" i="1"/>
  <c r="F113" i="7"/>
  <c r="L460" i="8"/>
  <c r="L933" i="7"/>
  <c r="P933" i="7"/>
  <c r="O933" i="7"/>
  <c r="K933" i="7"/>
  <c r="K460" i="8"/>
  <c r="I933" i="7"/>
  <c r="I460" i="8"/>
  <c r="H460" i="8"/>
  <c r="H933" i="7"/>
  <c r="F461" i="8"/>
  <c r="F460" i="8" s="1"/>
  <c r="F933" i="7"/>
  <c r="G933" i="7"/>
  <c r="G460" i="8"/>
  <c r="F224" i="7"/>
  <c r="F81" i="7"/>
  <c r="F339" i="1"/>
  <c r="N933" i="7"/>
  <c r="M933" i="7"/>
  <c r="M460" i="8"/>
  <c r="J933" i="7"/>
  <c r="J460" i="8"/>
  <c r="M1097" i="1"/>
  <c r="M504" i="7"/>
  <c r="M147" i="8"/>
  <c r="M683" i="7"/>
  <c r="M1568" i="1"/>
  <c r="M448" i="8" s="1"/>
  <c r="M520" i="7"/>
  <c r="L924" i="7"/>
  <c r="L443" i="8"/>
  <c r="M528" i="7"/>
  <c r="M1566" i="1"/>
  <c r="M444" i="8" s="1"/>
  <c r="L447" i="8"/>
  <c r="L926" i="7"/>
  <c r="N523" i="7"/>
  <c r="N578" i="7"/>
  <c r="N531" i="7"/>
  <c r="P481" i="7"/>
  <c r="P513" i="7"/>
  <c r="N565" i="7"/>
  <c r="P514" i="7"/>
  <c r="O550" i="7"/>
  <c r="N944" i="7"/>
  <c r="O780" i="7"/>
  <c r="N447" i="7"/>
  <c r="F257" i="7"/>
  <c r="F165" i="7"/>
  <c r="F400" i="1"/>
  <c r="P922" i="7"/>
  <c r="N780" i="7"/>
  <c r="J572" i="7"/>
  <c r="J115" i="8"/>
  <c r="P948" i="7"/>
  <c r="O513" i="7"/>
  <c r="N499" i="7"/>
  <c r="O565" i="7"/>
  <c r="K572" i="7"/>
  <c r="K115" i="8"/>
  <c r="Q1097" i="1" l="1"/>
  <c r="Q1165" i="1" s="1"/>
  <c r="Q1147" i="1"/>
  <c r="Q1146" i="1" s="1"/>
  <c r="Q1586" i="1" s="1"/>
  <c r="Q481" i="8" s="1"/>
  <c r="Q480" i="8" s="1"/>
  <c r="Q1427" i="1"/>
  <c r="Q276" i="8" s="1"/>
  <c r="Q275" i="8" s="1"/>
  <c r="Q1150" i="1"/>
  <c r="Q1149" i="1" s="1"/>
  <c r="Q1110" i="1"/>
  <c r="Q121" i="1" s="1"/>
  <c r="P1168" i="1"/>
  <c r="P116" i="8" s="1"/>
  <c r="P115" i="8" s="1"/>
  <c r="P1170" i="1"/>
  <c r="Q1168" i="1"/>
  <c r="Q116" i="8" s="1"/>
  <c r="Q115" i="8" s="1"/>
  <c r="Q1170" i="1"/>
  <c r="L501" i="7"/>
  <c r="L1165" i="1"/>
  <c r="P506" i="7"/>
  <c r="S602" i="1"/>
  <c r="S294" i="7" s="1"/>
  <c r="Q293" i="7"/>
  <c r="Q297" i="7"/>
  <c r="Q295" i="7"/>
  <c r="S603" i="1"/>
  <c r="S295" i="7" s="1"/>
  <c r="S605" i="1"/>
  <c r="S297" i="7" s="1"/>
  <c r="P780" i="7"/>
  <c r="P470" i="7"/>
  <c r="P676" i="7"/>
  <c r="P457" i="7"/>
  <c r="G353" i="1"/>
  <c r="F469" i="1"/>
  <c r="F114" i="7"/>
  <c r="F340" i="1"/>
  <c r="F90" i="7"/>
  <c r="M501" i="7"/>
  <c r="M1165" i="1"/>
  <c r="O523" i="7"/>
  <c r="O578" i="7"/>
  <c r="N520" i="7"/>
  <c r="M924" i="7"/>
  <c r="M443" i="8"/>
  <c r="N528" i="7"/>
  <c r="O531" i="7"/>
  <c r="M926" i="7"/>
  <c r="M447" i="8"/>
  <c r="O494" i="7"/>
  <c r="F166" i="7"/>
  <c r="F492" i="1"/>
  <c r="G391" i="1"/>
  <c r="O944" i="7"/>
  <c r="O947" i="7"/>
  <c r="N683" i="7"/>
  <c r="O499" i="7"/>
  <c r="P482" i="7"/>
  <c r="N947" i="7"/>
  <c r="P499" i="7"/>
  <c r="Q1109" i="1" l="1"/>
  <c r="Q1095" i="1" s="1"/>
  <c r="Q1313" i="1" s="1"/>
  <c r="Q148" i="8" s="1"/>
  <c r="Q147" i="8" s="1"/>
  <c r="L1170" i="1"/>
  <c r="L574" i="7" s="1"/>
  <c r="L1168" i="1"/>
  <c r="L116" i="8" s="1"/>
  <c r="L569" i="7"/>
  <c r="P507" i="7"/>
  <c r="P781" i="7"/>
  <c r="P551" i="7"/>
  <c r="P554" i="7"/>
  <c r="P553" i="7"/>
  <c r="Q300" i="7"/>
  <c r="Q298" i="7"/>
  <c r="S606" i="1"/>
  <c r="S298" i="7" s="1"/>
  <c r="P947" i="7"/>
  <c r="S601" i="1"/>
  <c r="S293" i="7" s="1"/>
  <c r="P565" i="7"/>
  <c r="F51" i="7"/>
  <c r="S300" i="1"/>
  <c r="S51" i="7" s="1"/>
  <c r="F436" i="1"/>
  <c r="F307" i="1"/>
  <c r="P494" i="7"/>
  <c r="P458" i="7"/>
  <c r="P681" i="7"/>
  <c r="P471" i="7"/>
  <c r="F235" i="7"/>
  <c r="F1578" i="1"/>
  <c r="G468" i="1"/>
  <c r="G234" i="7" s="1"/>
  <c r="G104" i="7"/>
  <c r="G362" i="1"/>
  <c r="G330" i="1"/>
  <c r="F91" i="7"/>
  <c r="G329" i="1"/>
  <c r="G80" i="7" s="1"/>
  <c r="M1168" i="1"/>
  <c r="M116" i="8" s="1"/>
  <c r="M569" i="7"/>
  <c r="M1170" i="1"/>
  <c r="M574" i="7" s="1"/>
  <c r="P523" i="7"/>
  <c r="P578" i="7"/>
  <c r="N926" i="7"/>
  <c r="P531" i="7"/>
  <c r="O528" i="7"/>
  <c r="N924" i="7"/>
  <c r="O520" i="7"/>
  <c r="P683" i="7"/>
  <c r="N504" i="7"/>
  <c r="O683" i="7"/>
  <c r="F1570" i="1"/>
  <c r="F258" i="7"/>
  <c r="O504" i="7"/>
  <c r="N494" i="7"/>
  <c r="G491" i="1"/>
  <c r="G157" i="7"/>
  <c r="G399" i="1"/>
  <c r="L115" i="8" l="1"/>
  <c r="L572" i="7"/>
  <c r="P550" i="7"/>
  <c r="P496" i="7"/>
  <c r="Q299" i="7"/>
  <c r="P504" i="7"/>
  <c r="S307" i="1"/>
  <c r="F305" i="1"/>
  <c r="F58" i="7"/>
  <c r="F437" i="1"/>
  <c r="F309" i="1"/>
  <c r="F1436" i="1"/>
  <c r="F1271" i="1"/>
  <c r="F202" i="7"/>
  <c r="F495" i="1"/>
  <c r="F936" i="7"/>
  <c r="F467" i="8"/>
  <c r="F466" i="8" s="1"/>
  <c r="G113" i="7"/>
  <c r="G363" i="1"/>
  <c r="G81" i="7"/>
  <c r="G339" i="1"/>
  <c r="M115" i="8"/>
  <c r="M572" i="7"/>
  <c r="O926" i="7"/>
  <c r="O924" i="7"/>
  <c r="P520" i="7"/>
  <c r="P528" i="7"/>
  <c r="N501" i="7"/>
  <c r="G165" i="7"/>
  <c r="G400" i="1"/>
  <c r="G257" i="7"/>
  <c r="O501" i="7"/>
  <c r="F452" i="8"/>
  <c r="F451" i="8" s="1"/>
  <c r="F928" i="7"/>
  <c r="P678" i="7" l="1"/>
  <c r="P944" i="7"/>
  <c r="Q296" i="7"/>
  <c r="S604" i="1"/>
  <c r="S296" i="7" s="1"/>
  <c r="P501" i="7"/>
  <c r="F203" i="7"/>
  <c r="S437" i="1"/>
  <c r="S203" i="7" s="1"/>
  <c r="F72" i="8"/>
  <c r="F292" i="8"/>
  <c r="F790" i="7"/>
  <c r="F2063" i="1"/>
  <c r="F1990" i="1"/>
  <c r="F56" i="7"/>
  <c r="F444" i="1"/>
  <c r="S305" i="1"/>
  <c r="S56" i="7" s="1"/>
  <c r="F261" i="7"/>
  <c r="F60" i="7"/>
  <c r="G309" i="1"/>
  <c r="S58" i="7"/>
  <c r="B308" i="1"/>
  <c r="B59" i="7" s="1"/>
  <c r="G114" i="7"/>
  <c r="G469" i="1"/>
  <c r="H353" i="1"/>
  <c r="G340" i="1"/>
  <c r="G90" i="7"/>
  <c r="P924" i="7"/>
  <c r="P926" i="7"/>
  <c r="G492" i="1"/>
  <c r="G166" i="7"/>
  <c r="H391" i="1"/>
  <c r="O569" i="7"/>
  <c r="O574" i="7"/>
  <c r="N569" i="7"/>
  <c r="N574" i="7"/>
  <c r="F291" i="8" l="1"/>
  <c r="F71" i="8"/>
  <c r="G60" i="7"/>
  <c r="H309" i="1"/>
  <c r="F1080" i="7"/>
  <c r="S444" i="1"/>
  <c r="S210" i="7" s="1"/>
  <c r="F125" i="1"/>
  <c r="F210" i="7"/>
  <c r="F1102" i="7"/>
  <c r="G235" i="7"/>
  <c r="G1578" i="1"/>
  <c r="G467" i="8" s="1"/>
  <c r="H468" i="1"/>
  <c r="H234" i="7" s="1"/>
  <c r="H362" i="1"/>
  <c r="H104" i="7"/>
  <c r="H329" i="1"/>
  <c r="H330" i="1"/>
  <c r="G91" i="7"/>
  <c r="N572" i="7"/>
  <c r="O572" i="7"/>
  <c r="H491" i="1"/>
  <c r="H157" i="7"/>
  <c r="H399" i="1"/>
  <c r="G1570" i="1"/>
  <c r="G452" i="8" s="1"/>
  <c r="G258" i="7"/>
  <c r="P569" i="7" l="1"/>
  <c r="P574" i="7"/>
  <c r="H60" i="7"/>
  <c r="I309" i="1"/>
  <c r="F928" i="8"/>
  <c r="F906" i="8"/>
  <c r="H113" i="7"/>
  <c r="H363" i="1"/>
  <c r="G466" i="8"/>
  <c r="G936" i="7"/>
  <c r="H81" i="7"/>
  <c r="H339" i="1"/>
  <c r="H80" i="7"/>
  <c r="G928" i="7"/>
  <c r="G451" i="8"/>
  <c r="P572" i="7"/>
  <c r="H165" i="7"/>
  <c r="H400" i="1"/>
  <c r="H257" i="7"/>
  <c r="I60" i="7" l="1"/>
  <c r="J309" i="1"/>
  <c r="H114" i="7"/>
  <c r="I353" i="1"/>
  <c r="H469" i="1"/>
  <c r="H90" i="7"/>
  <c r="H340" i="1"/>
  <c r="H166" i="7"/>
  <c r="H492" i="1"/>
  <c r="I391" i="1"/>
  <c r="J60" i="7" l="1"/>
  <c r="K309" i="1"/>
  <c r="I468" i="1"/>
  <c r="I234" i="7" s="1"/>
  <c r="I362" i="1"/>
  <c r="I104" i="7"/>
  <c r="H1578" i="1"/>
  <c r="H467" i="8" s="1"/>
  <c r="H235" i="7"/>
  <c r="I330" i="1"/>
  <c r="H91" i="7"/>
  <c r="I329" i="1"/>
  <c r="H258" i="7"/>
  <c r="H1570" i="1"/>
  <c r="H452" i="8" s="1"/>
  <c r="I157" i="7"/>
  <c r="I491" i="1"/>
  <c r="I399" i="1"/>
  <c r="L309" i="1" l="1"/>
  <c r="K60" i="7"/>
  <c r="H466" i="8"/>
  <c r="H936" i="7"/>
  <c r="I113" i="7"/>
  <c r="I363" i="1"/>
  <c r="I80" i="7"/>
  <c r="I339" i="1"/>
  <c r="I81" i="7"/>
  <c r="I257" i="7"/>
  <c r="I165" i="7"/>
  <c r="I400" i="1"/>
  <c r="H451" i="8"/>
  <c r="H928" i="7"/>
  <c r="L60" i="7" l="1"/>
  <c r="M309" i="1"/>
  <c r="N309" i="1" s="1"/>
  <c r="O309" i="1" s="1"/>
  <c r="P309" i="1" s="1"/>
  <c r="Q309" i="1" s="1"/>
  <c r="I114" i="7"/>
  <c r="I469" i="1"/>
  <c r="J353" i="1"/>
  <c r="I90" i="7"/>
  <c r="I340" i="1"/>
  <c r="I492" i="1"/>
  <c r="I166" i="7"/>
  <c r="J391" i="1"/>
  <c r="S151" i="1" l="1"/>
  <c r="M60" i="7"/>
  <c r="I1578" i="1"/>
  <c r="I467" i="8" s="1"/>
  <c r="I235" i="7"/>
  <c r="J468" i="1"/>
  <c r="J234" i="7" s="1"/>
  <c r="J362" i="1"/>
  <c r="J104" i="7"/>
  <c r="J329" i="1"/>
  <c r="J330" i="1"/>
  <c r="I91" i="7"/>
  <c r="J491" i="1"/>
  <c r="J157" i="7"/>
  <c r="J399" i="1"/>
  <c r="I258" i="7"/>
  <c r="I1570" i="1"/>
  <c r="I452" i="8" s="1"/>
  <c r="S858" i="1" l="1"/>
  <c r="N60" i="7"/>
  <c r="J363" i="1"/>
  <c r="J113" i="7"/>
  <c r="I936" i="7"/>
  <c r="I466" i="8"/>
  <c r="J80" i="7"/>
  <c r="J81" i="7"/>
  <c r="J339" i="1"/>
  <c r="I451" i="8"/>
  <c r="I928" i="7"/>
  <c r="J165" i="7"/>
  <c r="J400" i="1"/>
  <c r="J257" i="7"/>
  <c r="S861" i="1" l="1"/>
  <c r="O60" i="7"/>
  <c r="J469" i="1"/>
  <c r="J114" i="7"/>
  <c r="K353" i="1"/>
  <c r="J340" i="1"/>
  <c r="J90" i="7"/>
  <c r="J166" i="7"/>
  <c r="K391" i="1"/>
  <c r="J492" i="1"/>
  <c r="S862" i="1" l="1"/>
  <c r="S980" i="1"/>
  <c r="S864" i="1"/>
  <c r="S863" i="1"/>
  <c r="P60" i="7"/>
  <c r="K104" i="7"/>
  <c r="K362" i="1"/>
  <c r="K468" i="1"/>
  <c r="K234" i="7" s="1"/>
  <c r="J235" i="7"/>
  <c r="J1578" i="1"/>
  <c r="J467" i="8" s="1"/>
  <c r="K330" i="1"/>
  <c r="K329" i="1"/>
  <c r="J91" i="7"/>
  <c r="J1570" i="1"/>
  <c r="J452" i="8" s="1"/>
  <c r="J258" i="7"/>
  <c r="K491" i="1"/>
  <c r="K157" i="7"/>
  <c r="K399" i="1"/>
  <c r="Q449" i="7" l="1"/>
  <c r="S1037" i="1"/>
  <c r="S449" i="7" s="1"/>
  <c r="S143" i="1"/>
  <c r="S163" i="1"/>
  <c r="Q999" i="7"/>
  <c r="B1983" i="1"/>
  <c r="Q462" i="7"/>
  <c r="S1054" i="1"/>
  <c r="S462" i="7" s="1"/>
  <c r="Q623" i="7"/>
  <c r="Q60" i="7"/>
  <c r="B302" i="1"/>
  <c r="K113" i="7"/>
  <c r="K363" i="1"/>
  <c r="J936" i="7"/>
  <c r="J466" i="8"/>
  <c r="K80" i="7"/>
  <c r="K81" i="7"/>
  <c r="K339" i="1"/>
  <c r="K165" i="7"/>
  <c r="K400" i="1"/>
  <c r="K257" i="7"/>
  <c r="J928" i="7"/>
  <c r="J451" i="8"/>
  <c r="Q316" i="1" l="1"/>
  <c r="Q445" i="1" s="1"/>
  <c r="Q127" i="1" s="1"/>
  <c r="O316" i="1"/>
  <c r="O445" i="1" s="1"/>
  <c r="O127" i="1" s="1"/>
  <c r="P312" i="1"/>
  <c r="P441" i="1" s="1"/>
  <c r="N316" i="1"/>
  <c r="N445" i="1" s="1"/>
  <c r="N127" i="1" s="1"/>
  <c r="Q311" i="1"/>
  <c r="Q439" i="1" s="1"/>
  <c r="O311" i="1"/>
  <c r="O439" i="1" s="1"/>
  <c r="P311" i="1"/>
  <c r="P439" i="1" s="1"/>
  <c r="Q310" i="1"/>
  <c r="O310" i="1"/>
  <c r="P316" i="1"/>
  <c r="P445" i="1" s="1"/>
  <c r="P127" i="1" s="1"/>
  <c r="P310" i="1"/>
  <c r="N312" i="1"/>
  <c r="N441" i="1" s="1"/>
  <c r="Q312" i="1"/>
  <c r="Q441" i="1" s="1"/>
  <c r="O312" i="1"/>
  <c r="O441" i="1" s="1"/>
  <c r="N310" i="1"/>
  <c r="N311" i="1"/>
  <c r="N439" i="1" s="1"/>
  <c r="S274" i="1"/>
  <c r="S162" i="1"/>
  <c r="S1004" i="1"/>
  <c r="S203" i="1"/>
  <c r="B1073" i="7"/>
  <c r="B1984" i="1"/>
  <c r="B1074" i="7" s="1"/>
  <c r="Q475" i="7"/>
  <c r="Q474" i="7"/>
  <c r="Q473" i="7"/>
  <c r="S1065" i="1"/>
  <c r="S473" i="7" s="1"/>
  <c r="Q465" i="7"/>
  <c r="S1057" i="1"/>
  <c r="S465" i="7" s="1"/>
  <c r="Q998" i="7"/>
  <c r="Q997" i="7"/>
  <c r="S507" i="1"/>
  <c r="B513" i="1" s="1"/>
  <c r="S506" i="1"/>
  <c r="Q27" i="7"/>
  <c r="Q26" i="7"/>
  <c r="Q88" i="7"/>
  <c r="Q464" i="7"/>
  <c r="Q463" i="7"/>
  <c r="Q451" i="7"/>
  <c r="Q450" i="7"/>
  <c r="Q487" i="7"/>
  <c r="Q486" i="7"/>
  <c r="Q452" i="7"/>
  <c r="S1040" i="1"/>
  <c r="S452" i="7" s="1"/>
  <c r="M316" i="1"/>
  <c r="B53" i="7"/>
  <c r="L316" i="1"/>
  <c r="K316" i="1"/>
  <c r="K311" i="1"/>
  <c r="F311" i="1"/>
  <c r="G316" i="1"/>
  <c r="L311" i="1"/>
  <c r="K312" i="1"/>
  <c r="J311" i="1"/>
  <c r="H311" i="1"/>
  <c r="I310" i="1"/>
  <c r="J316" i="1"/>
  <c r="J312" i="1"/>
  <c r="I311" i="1"/>
  <c r="J310" i="1"/>
  <c r="I316" i="1"/>
  <c r="L312" i="1"/>
  <c r="I312" i="1"/>
  <c r="G310" i="1"/>
  <c r="F310" i="1"/>
  <c r="L310" i="1"/>
  <c r="H316" i="1"/>
  <c r="M310" i="1"/>
  <c r="G311" i="1"/>
  <c r="F312" i="1"/>
  <c r="M311" i="1"/>
  <c r="H312" i="1"/>
  <c r="G312" i="1"/>
  <c r="M312" i="1"/>
  <c r="H310" i="1"/>
  <c r="F316" i="1"/>
  <c r="K310" i="1"/>
  <c r="K114" i="7"/>
  <c r="L353" i="1"/>
  <c r="K469" i="1"/>
  <c r="K90" i="7"/>
  <c r="K340" i="1"/>
  <c r="K492" i="1"/>
  <c r="K166" i="7"/>
  <c r="L391" i="1"/>
  <c r="O438" i="1" l="1"/>
  <c r="Q513" i="1"/>
  <c r="O513" i="1"/>
  <c r="P513" i="1"/>
  <c r="N513" i="1"/>
  <c r="P438" i="1"/>
  <c r="N438" i="1"/>
  <c r="Q438" i="1"/>
  <c r="Q204" i="7" s="1"/>
  <c r="S2033" i="1"/>
  <c r="S2030" i="1"/>
  <c r="S2035" i="1"/>
  <c r="S2029" i="1"/>
  <c r="S935" i="1"/>
  <c r="S2034" i="1"/>
  <c r="S2028" i="1"/>
  <c r="R1233" i="1"/>
  <c r="R636" i="7" s="1"/>
  <c r="Q28" i="7"/>
  <c r="S79" i="8"/>
  <c r="S80" i="8"/>
  <c r="S157" i="8"/>
  <c r="S158" i="8"/>
  <c r="S313" i="8"/>
  <c r="S314" i="8"/>
  <c r="Q220" i="7"/>
  <c r="Q89" i="7"/>
  <c r="Q233" i="7"/>
  <c r="Q112" i="7"/>
  <c r="Q232" i="7"/>
  <c r="Q111" i="7"/>
  <c r="Q198" i="7"/>
  <c r="Q44" i="7"/>
  <c r="Q132" i="7"/>
  <c r="S522" i="1"/>
  <c r="S521" i="1"/>
  <c r="S518" i="1"/>
  <c r="S50" i="8"/>
  <c r="S51" i="8"/>
  <c r="S312" i="8"/>
  <c r="S163" i="8"/>
  <c r="S164" i="8"/>
  <c r="Q87" i="7"/>
  <c r="Q167" i="7"/>
  <c r="S401" i="1"/>
  <c r="S167" i="7" s="1"/>
  <c r="Q254" i="7"/>
  <c r="Q162" i="7"/>
  <c r="Q196" i="7"/>
  <c r="Q42" i="7"/>
  <c r="Q133" i="7"/>
  <c r="S382" i="1"/>
  <c r="S133" i="7" s="1"/>
  <c r="Q1070" i="7"/>
  <c r="Q1069" i="7"/>
  <c r="S91" i="8"/>
  <c r="S92" i="8"/>
  <c r="S303" i="8"/>
  <c r="S304" i="8"/>
  <c r="R1207" i="1"/>
  <c r="R609" i="7" s="1"/>
  <c r="Q609" i="7"/>
  <c r="Q231" i="7"/>
  <c r="Q110" i="7"/>
  <c r="Q116" i="7"/>
  <c r="S365" i="1"/>
  <c r="S116" i="7" s="1"/>
  <c r="Q130" i="7"/>
  <c r="S93" i="8"/>
  <c r="S94" i="8"/>
  <c r="S95" i="8"/>
  <c r="S96" i="8"/>
  <c r="S284" i="8"/>
  <c r="S155" i="8"/>
  <c r="S156" i="8"/>
  <c r="Q93" i="7"/>
  <c r="S342" i="1"/>
  <c r="S93" i="7" s="1"/>
  <c r="Q255" i="7"/>
  <c r="Q163" i="7"/>
  <c r="Q256" i="7"/>
  <c r="Q164" i="7"/>
  <c r="Q197" i="7"/>
  <c r="Q43" i="7"/>
  <c r="Q131" i="7"/>
  <c r="F513" i="1"/>
  <c r="H513" i="1"/>
  <c r="G513" i="1"/>
  <c r="J513" i="1"/>
  <c r="M513" i="1"/>
  <c r="F508" i="1"/>
  <c r="S508" i="1" s="1"/>
  <c r="K513" i="1"/>
  <c r="L513" i="1"/>
  <c r="I513" i="1"/>
  <c r="Q476" i="7"/>
  <c r="S1068" i="1"/>
  <c r="S476" i="7" s="1"/>
  <c r="N63" i="7"/>
  <c r="F304" i="1"/>
  <c r="F438" i="1"/>
  <c r="F204" i="7" s="1"/>
  <c r="F303" i="1"/>
  <c r="F61" i="7"/>
  <c r="Q67" i="7"/>
  <c r="H61" i="7"/>
  <c r="H438" i="1"/>
  <c r="H204" i="7" s="1"/>
  <c r="G63" i="7"/>
  <c r="G441" i="1"/>
  <c r="F441" i="1"/>
  <c r="F63" i="7"/>
  <c r="M438" i="1"/>
  <c r="M204" i="7" s="1"/>
  <c r="M61" i="7"/>
  <c r="G438" i="1"/>
  <c r="G204" i="7" s="1"/>
  <c r="G61" i="7"/>
  <c r="L63" i="7"/>
  <c r="L441" i="1"/>
  <c r="P63" i="7"/>
  <c r="J63" i="7"/>
  <c r="J441" i="1"/>
  <c r="Q63" i="7"/>
  <c r="L439" i="1"/>
  <c r="L62" i="7"/>
  <c r="F439" i="1"/>
  <c r="F62" i="7"/>
  <c r="L445" i="1"/>
  <c r="L67" i="7"/>
  <c r="I63" i="7"/>
  <c r="I441" i="1"/>
  <c r="K63" i="7"/>
  <c r="K441" i="1"/>
  <c r="Q61" i="7"/>
  <c r="M441" i="1"/>
  <c r="M63" i="7"/>
  <c r="H63" i="7"/>
  <c r="H441" i="1"/>
  <c r="N62" i="7"/>
  <c r="H445" i="1"/>
  <c r="H67" i="7"/>
  <c r="O63" i="7"/>
  <c r="I445" i="1"/>
  <c r="I67" i="7"/>
  <c r="I62" i="7"/>
  <c r="I439" i="1"/>
  <c r="O204" i="7"/>
  <c r="O61" i="7"/>
  <c r="H62" i="7"/>
  <c r="H439" i="1"/>
  <c r="Q62" i="7"/>
  <c r="K62" i="7"/>
  <c r="K439" i="1"/>
  <c r="F445" i="1"/>
  <c r="S316" i="1"/>
  <c r="S67" i="7" s="1"/>
  <c r="F67" i="7"/>
  <c r="O67" i="7"/>
  <c r="N67" i="7"/>
  <c r="O62" i="7"/>
  <c r="I61" i="7"/>
  <c r="I438" i="1"/>
  <c r="I204" i="7" s="1"/>
  <c r="N61" i="7"/>
  <c r="N204" i="7"/>
  <c r="K438" i="1"/>
  <c r="K204" i="7" s="1"/>
  <c r="K61" i="7"/>
  <c r="P62" i="7"/>
  <c r="M439" i="1"/>
  <c r="M62" i="7"/>
  <c r="G439" i="1"/>
  <c r="G62" i="7"/>
  <c r="L438" i="1"/>
  <c r="L204" i="7" s="1"/>
  <c r="L61" i="7"/>
  <c r="P204" i="7"/>
  <c r="P61" i="7"/>
  <c r="J438" i="1"/>
  <c r="J204" i="7" s="1"/>
  <c r="J61" i="7"/>
  <c r="P67" i="7"/>
  <c r="J67" i="7"/>
  <c r="J445" i="1"/>
  <c r="J62" i="7"/>
  <c r="J439" i="1"/>
  <c r="G67" i="7"/>
  <c r="G445" i="1"/>
  <c r="K67" i="7"/>
  <c r="K445" i="1"/>
  <c r="M67" i="7"/>
  <c r="M445" i="1"/>
  <c r="L104" i="7"/>
  <c r="L468" i="1"/>
  <c r="L234" i="7" s="1"/>
  <c r="L362" i="1"/>
  <c r="K1578" i="1"/>
  <c r="K467" i="8" s="1"/>
  <c r="K235" i="7"/>
  <c r="L329" i="1"/>
  <c r="L330" i="1"/>
  <c r="K91" i="7"/>
  <c r="L157" i="7"/>
  <c r="L491" i="1"/>
  <c r="L399" i="1"/>
  <c r="K1570" i="1"/>
  <c r="K452" i="8" s="1"/>
  <c r="K258" i="7"/>
  <c r="Q509" i="1" l="1"/>
  <c r="O509" i="1"/>
  <c r="P509" i="1"/>
  <c r="N509" i="1"/>
  <c r="Q522" i="7"/>
  <c r="S840" i="1"/>
  <c r="Q526" i="7"/>
  <c r="S513" i="1"/>
  <c r="Q45" i="7"/>
  <c r="Q629" i="7"/>
  <c r="S1226" i="1"/>
  <c r="S629" i="7" s="1"/>
  <c r="Q252" i="7"/>
  <c r="S486" i="1"/>
  <c r="S252" i="7" s="1"/>
  <c r="S361" i="7"/>
  <c r="Q361" i="7"/>
  <c r="S362" i="7"/>
  <c r="Q362" i="7"/>
  <c r="S932" i="1"/>
  <c r="Q202" i="7"/>
  <c r="S436" i="1"/>
  <c r="S359" i="7"/>
  <c r="Q359" i="7"/>
  <c r="S933" i="1"/>
  <c r="Q237" i="7"/>
  <c r="S471" i="1"/>
  <c r="S237" i="7" s="1"/>
  <c r="Q611" i="7"/>
  <c r="S1209" i="1"/>
  <c r="S611" i="7" s="1"/>
  <c r="S1014" i="1"/>
  <c r="Q365" i="7"/>
  <c r="S931" i="1"/>
  <c r="S838" i="1"/>
  <c r="Q635" i="7"/>
  <c r="S363" i="7"/>
  <c r="Q363" i="7"/>
  <c r="Q636" i="7"/>
  <c r="Q624" i="7"/>
  <c r="R1222" i="1"/>
  <c r="R624" i="7" s="1"/>
  <c r="I509" i="1"/>
  <c r="H509" i="1"/>
  <c r="K509" i="1"/>
  <c r="L509" i="1"/>
  <c r="M509" i="1"/>
  <c r="G509" i="1"/>
  <c r="J509" i="1"/>
  <c r="F509" i="1"/>
  <c r="S283" i="8"/>
  <c r="B899" i="8"/>
  <c r="Q126" i="7"/>
  <c r="S375" i="1"/>
  <c r="S126" i="7" s="1"/>
  <c r="Q610" i="7"/>
  <c r="S1208" i="1"/>
  <c r="S610" i="7" s="1"/>
  <c r="Q1071" i="7"/>
  <c r="Q950" i="7"/>
  <c r="R1232" i="1"/>
  <c r="S360" i="7"/>
  <c r="Q360" i="7"/>
  <c r="Q509" i="7"/>
  <c r="S1105" i="1"/>
  <c r="S509" i="7" s="1"/>
  <c r="S837" i="1"/>
  <c r="Q630" i="7"/>
  <c r="S1227" i="1"/>
  <c r="S630" i="7" s="1"/>
  <c r="Q229" i="7"/>
  <c r="S463" i="1"/>
  <c r="S229" i="7" s="1"/>
  <c r="Q1072" i="7"/>
  <c r="Q224" i="7"/>
  <c r="S458" i="1"/>
  <c r="S224" i="7" s="1"/>
  <c r="Q260" i="7"/>
  <c r="S494" i="1"/>
  <c r="S260" i="7" s="1"/>
  <c r="S758" i="8"/>
  <c r="S831" i="8"/>
  <c r="S311" i="8"/>
  <c r="Q29" i="7"/>
  <c r="Q364" i="7"/>
  <c r="S934" i="1"/>
  <c r="Q584" i="7"/>
  <c r="S1180" i="1"/>
  <c r="S584" i="7" s="1"/>
  <c r="S535" i="1"/>
  <c r="S1015" i="1"/>
  <c r="Q241" i="7"/>
  <c r="S358" i="7"/>
  <c r="Q358" i="7"/>
  <c r="Q511" i="7"/>
  <c r="S1107" i="1"/>
  <c r="S511" i="7" s="1"/>
  <c r="Q194" i="7"/>
  <c r="S428" i="1"/>
  <c r="S194" i="7" s="1"/>
  <c r="K211" i="7"/>
  <c r="J205" i="7"/>
  <c r="P211" i="7"/>
  <c r="N211" i="7"/>
  <c r="Q205" i="7"/>
  <c r="H207" i="7"/>
  <c r="L211" i="7"/>
  <c r="L205" i="7"/>
  <c r="F207" i="7"/>
  <c r="M205" i="7"/>
  <c r="S445" i="1"/>
  <c r="S211" i="7" s="1"/>
  <c r="F211" i="7"/>
  <c r="I211" i="7"/>
  <c r="H211" i="7"/>
  <c r="I207" i="7"/>
  <c r="Q207" i="7"/>
  <c r="G207" i="7"/>
  <c r="F313" i="1"/>
  <c r="F55" i="7"/>
  <c r="M211" i="7"/>
  <c r="G211" i="7"/>
  <c r="J211" i="7"/>
  <c r="O205" i="7"/>
  <c r="O211" i="7"/>
  <c r="K205" i="7"/>
  <c r="H205" i="7"/>
  <c r="I205" i="7"/>
  <c r="F205" i="7"/>
  <c r="P207" i="7"/>
  <c r="G205" i="7"/>
  <c r="P205" i="7"/>
  <c r="O207" i="7"/>
  <c r="N205" i="7"/>
  <c r="M207" i="7"/>
  <c r="K207" i="7"/>
  <c r="J207" i="7"/>
  <c r="L207" i="7"/>
  <c r="Q211" i="7"/>
  <c r="F442" i="1"/>
  <c r="F54" i="7"/>
  <c r="N207" i="7"/>
  <c r="K466" i="8"/>
  <c r="K936" i="7"/>
  <c r="L113" i="7"/>
  <c r="L363" i="1"/>
  <c r="L339" i="1"/>
  <c r="L81" i="7"/>
  <c r="L80" i="7"/>
  <c r="L400" i="1"/>
  <c r="L165" i="7"/>
  <c r="K451" i="8"/>
  <c r="K928" i="7"/>
  <c r="L257" i="7"/>
  <c r="N512" i="1" l="1"/>
  <c r="N528" i="1" s="1"/>
  <c r="N123" i="1" s="1"/>
  <c r="N526" i="1"/>
  <c r="N1451" i="1" s="1"/>
  <c r="P512" i="1"/>
  <c r="P528" i="1" s="1"/>
  <c r="P123" i="1" s="1"/>
  <c r="P526" i="1"/>
  <c r="P1451" i="1" s="1"/>
  <c r="O512" i="1"/>
  <c r="O528" i="1" s="1"/>
  <c r="O123" i="1" s="1"/>
  <c r="O526" i="1"/>
  <c r="O1451" i="1" s="1"/>
  <c r="Q512" i="1"/>
  <c r="Q528" i="1" s="1"/>
  <c r="Q123" i="1" s="1"/>
  <c r="Q526" i="1"/>
  <c r="Q1451" i="1" s="1"/>
  <c r="S961" i="1"/>
  <c r="B900" i="8"/>
  <c r="Q681" i="7"/>
  <c r="S1311" i="1"/>
  <c r="S681" i="7" s="1"/>
  <c r="Q541" i="7"/>
  <c r="Q542" i="7"/>
  <c r="Q481" i="7"/>
  <c r="S1077" i="1"/>
  <c r="S481" i="7" s="1"/>
  <c r="S1273" i="1"/>
  <c r="S1848" i="1"/>
  <c r="Q804" i="7"/>
  <c r="S1450" i="1"/>
  <c r="S804" i="7" s="1"/>
  <c r="K526" i="1"/>
  <c r="K1451" i="1" s="1"/>
  <c r="K320" i="8" s="1"/>
  <c r="K512" i="1"/>
  <c r="K528" i="1" s="1"/>
  <c r="K123" i="1" s="1"/>
  <c r="Q627" i="7"/>
  <c r="S1225" i="1"/>
  <c r="S627" i="7" s="1"/>
  <c r="Q637" i="7"/>
  <c r="S527" i="1"/>
  <c r="Q261" i="7"/>
  <c r="Q777" i="7"/>
  <c r="S1423" i="1"/>
  <c r="S777" i="7" s="1"/>
  <c r="Q794" i="7"/>
  <c r="S1440" i="1"/>
  <c r="S794" i="7" s="1"/>
  <c r="S1285" i="1"/>
  <c r="S1272" i="1"/>
  <c r="Q539" i="7"/>
  <c r="Q793" i="7"/>
  <c r="S1021" i="1"/>
  <c r="Q955" i="7"/>
  <c r="Q540" i="7"/>
  <c r="Q1066" i="7"/>
  <c r="Q669" i="7"/>
  <c r="Q603" i="7"/>
  <c r="Q582" i="7"/>
  <c r="Q405" i="7"/>
  <c r="Q278" i="7"/>
  <c r="Q775" i="7"/>
  <c r="Q517" i="7"/>
  <c r="Q368" i="7"/>
  <c r="Q264" i="7"/>
  <c r="Q1092" i="7"/>
  <c r="Q992" i="7"/>
  <c r="Q964" i="7"/>
  <c r="Q919" i="7"/>
  <c r="Q440" i="7"/>
  <c r="Q291" i="7"/>
  <c r="Q32" i="7"/>
  <c r="F512" i="1"/>
  <c r="F526" i="1"/>
  <c r="S509" i="1"/>
  <c r="B510" i="1" s="1"/>
  <c r="M512" i="1"/>
  <c r="M528" i="1" s="1"/>
  <c r="M123" i="1" s="1"/>
  <c r="M119" i="1" s="1"/>
  <c r="M526" i="1"/>
  <c r="M1451" i="1" s="1"/>
  <c r="M320" i="8" s="1"/>
  <c r="Q622" i="7"/>
  <c r="S1220" i="1"/>
  <c r="S622" i="7" s="1"/>
  <c r="Q949" i="7"/>
  <c r="Q445" i="7"/>
  <c r="S1033" i="1"/>
  <c r="S445" i="7" s="1"/>
  <c r="Q470" i="7"/>
  <c r="S1062" i="1"/>
  <c r="S470" i="7" s="1"/>
  <c r="Q671" i="7"/>
  <c r="S1301" i="1"/>
  <c r="S671" i="7" s="1"/>
  <c r="Q790" i="7"/>
  <c r="S1436" i="1"/>
  <c r="S790" i="7" s="1"/>
  <c r="Q524" i="7"/>
  <c r="Q789" i="7"/>
  <c r="S1435" i="1"/>
  <c r="S789" i="7" s="1"/>
  <c r="Q484" i="7"/>
  <c r="S1080" i="1"/>
  <c r="S484" i="7" s="1"/>
  <c r="S1916" i="1"/>
  <c r="Q800" i="7"/>
  <c r="S1446" i="1"/>
  <c r="S800" i="7" s="1"/>
  <c r="Q779" i="7"/>
  <c r="S1425" i="1"/>
  <c r="S779" i="7" s="1"/>
  <c r="Q444" i="7"/>
  <c r="S1032" i="1"/>
  <c r="S444" i="7" s="1"/>
  <c r="Q559" i="7"/>
  <c r="S107" i="1"/>
  <c r="J512" i="1"/>
  <c r="J528" i="1" s="1"/>
  <c r="J123" i="1" s="1"/>
  <c r="J119" i="1" s="1"/>
  <c r="J526" i="1"/>
  <c r="J1451" i="1" s="1"/>
  <c r="J320" i="8" s="1"/>
  <c r="L512" i="1"/>
  <c r="L528" i="1" s="1"/>
  <c r="L123" i="1" s="1"/>
  <c r="L119" i="1" s="1"/>
  <c r="L526" i="1"/>
  <c r="L1451" i="1" s="1"/>
  <c r="L320" i="8" s="1"/>
  <c r="H526" i="1"/>
  <c r="H1451" i="1" s="1"/>
  <c r="H320" i="8" s="1"/>
  <c r="H512" i="1"/>
  <c r="H528" i="1" s="1"/>
  <c r="H123" i="1" s="1"/>
  <c r="H119" i="1" s="1"/>
  <c r="Q608" i="7"/>
  <c r="S1206" i="1"/>
  <c r="S608" i="7" s="1"/>
  <c r="S148" i="1"/>
  <c r="S202" i="7"/>
  <c r="B404" i="1"/>
  <c r="S1271" i="1"/>
  <c r="S1281" i="1"/>
  <c r="Q503" i="7"/>
  <c r="S1099" i="1"/>
  <c r="S503" i="7" s="1"/>
  <c r="S839" i="1"/>
  <c r="Q792" i="7"/>
  <c r="S1438" i="1"/>
  <c r="S792" i="7" s="1"/>
  <c r="S1292" i="1"/>
  <c r="Q510" i="7"/>
  <c r="S1106" i="1"/>
  <c r="S510" i="7" s="1"/>
  <c r="R1234" i="1"/>
  <c r="R637" i="7" s="1"/>
  <c r="R635" i="7"/>
  <c r="G512" i="1"/>
  <c r="G528" i="1" s="1"/>
  <c r="G123" i="1" s="1"/>
  <c r="G119" i="1" s="1"/>
  <c r="G526" i="1"/>
  <c r="G1451" i="1" s="1"/>
  <c r="G320" i="8" s="1"/>
  <c r="I526" i="1"/>
  <c r="I1451" i="1" s="1"/>
  <c r="I320" i="8" s="1"/>
  <c r="I512" i="1"/>
  <c r="I528" i="1" s="1"/>
  <c r="I123" i="1" s="1"/>
  <c r="Q530" i="7"/>
  <c r="Q543" i="7"/>
  <c r="S1020" i="1"/>
  <c r="S1276" i="1"/>
  <c r="S1847" i="1"/>
  <c r="Q803" i="7"/>
  <c r="S1449" i="1"/>
  <c r="S803" i="7" s="1"/>
  <c r="Q199" i="7"/>
  <c r="F208" i="7"/>
  <c r="F64" i="7"/>
  <c r="F314" i="1"/>
  <c r="L114" i="7"/>
  <c r="M353" i="1"/>
  <c r="L469" i="1"/>
  <c r="L340" i="1"/>
  <c r="L90" i="7"/>
  <c r="L492" i="1"/>
  <c r="L166" i="7"/>
  <c r="M391" i="1"/>
  <c r="O1920" i="1" l="1"/>
  <c r="O1849" i="1"/>
  <c r="O1776" i="1"/>
  <c r="O320" i="8"/>
  <c r="O319" i="8" s="1"/>
  <c r="Q129" i="1"/>
  <c r="Q119" i="1"/>
  <c r="O129" i="1"/>
  <c r="O119" i="1"/>
  <c r="Q1920" i="1"/>
  <c r="Q1849" i="1"/>
  <c r="Q1776" i="1"/>
  <c r="Q1009" i="7" s="1"/>
  <c r="Q320" i="8"/>
  <c r="Q319" i="8" s="1"/>
  <c r="N1224" i="1"/>
  <c r="N1229" i="1" s="1"/>
  <c r="N177" i="1" s="1"/>
  <c r="N178" i="1" s="1"/>
  <c r="N49" i="8" s="1"/>
  <c r="N48" i="8" s="1"/>
  <c r="N406" i="1"/>
  <c r="N453" i="1" s="1"/>
  <c r="N1580" i="1" s="1"/>
  <c r="N471" i="8" s="1"/>
  <c r="N470" i="8" s="1"/>
  <c r="N403" i="1"/>
  <c r="N1314" i="1" s="1"/>
  <c r="O1224" i="1"/>
  <c r="O1229" i="1" s="1"/>
  <c r="O177" i="1" s="1"/>
  <c r="O178" i="1" s="1"/>
  <c r="O49" i="8" s="1"/>
  <c r="O48" i="8" s="1"/>
  <c r="O406" i="1"/>
  <c r="O453" i="1" s="1"/>
  <c r="O1580" i="1" s="1"/>
  <c r="O471" i="8" s="1"/>
  <c r="O470" i="8" s="1"/>
  <c r="O403" i="1"/>
  <c r="O1314" i="1" s="1"/>
  <c r="P406" i="1"/>
  <c r="P453" i="1" s="1"/>
  <c r="P1580" i="1" s="1"/>
  <c r="P471" i="8" s="1"/>
  <c r="P470" i="8" s="1"/>
  <c r="P1224" i="1"/>
  <c r="P1229" i="1" s="1"/>
  <c r="P177" i="1" s="1"/>
  <c r="P178" i="1" s="1"/>
  <c r="P49" i="8" s="1"/>
  <c r="P48" i="8" s="1"/>
  <c r="P403" i="1"/>
  <c r="P1314" i="1" s="1"/>
  <c r="Q403" i="1"/>
  <c r="Q1314" i="1" s="1"/>
  <c r="Q1224" i="1"/>
  <c r="Q1229" i="1" s="1"/>
  <c r="Q177" i="1" s="1"/>
  <c r="Q178" i="1" s="1"/>
  <c r="Q49" i="8" s="1"/>
  <c r="Q48" i="8" s="1"/>
  <c r="Q406" i="1"/>
  <c r="Q453" i="1" s="1"/>
  <c r="Q1580" i="1" s="1"/>
  <c r="Q471" i="8" s="1"/>
  <c r="Q470" i="8" s="1"/>
  <c r="P1920" i="1"/>
  <c r="P1776" i="1"/>
  <c r="P1849" i="1"/>
  <c r="P320" i="8"/>
  <c r="P319" i="8" s="1"/>
  <c r="P119" i="1"/>
  <c r="P129" i="1"/>
  <c r="Q510" i="1"/>
  <c r="P510" i="1"/>
  <c r="O510" i="1"/>
  <c r="N510" i="1"/>
  <c r="N1920" i="1"/>
  <c r="N1849" i="1"/>
  <c r="N1776" i="1"/>
  <c r="N320" i="8"/>
  <c r="N319" i="8" s="1"/>
  <c r="N129" i="1"/>
  <c r="N119" i="1"/>
  <c r="Q506" i="7"/>
  <c r="S1102" i="1"/>
  <c r="S506" i="7" s="1"/>
  <c r="S1013" i="1"/>
  <c r="S261" i="1"/>
  <c r="S252" i="1"/>
  <c r="S243" i="1"/>
  <c r="Q933" i="7"/>
  <c r="Q1107" i="7"/>
  <c r="S2068" i="1"/>
  <c r="S1107" i="7" s="1"/>
  <c r="S841" i="1"/>
  <c r="S89" i="8"/>
  <c r="S90" i="8"/>
  <c r="S845" i="1"/>
  <c r="Q488" i="7"/>
  <c r="S1084" i="1"/>
  <c r="S488" i="7" s="1"/>
  <c r="Q1102" i="7"/>
  <c r="Q925" i="7"/>
  <c r="N1009" i="7"/>
  <c r="N805" i="7"/>
  <c r="F1451" i="1"/>
  <c r="S526" i="1"/>
  <c r="S73" i="8"/>
  <c r="S74" i="8"/>
  <c r="S116" i="1"/>
  <c r="S267" i="8"/>
  <c r="S268" i="8"/>
  <c r="Q953" i="7"/>
  <c r="Q805" i="7"/>
  <c r="Q1108" i="7"/>
  <c r="S2069" i="1"/>
  <c r="S1108" i="7" s="1"/>
  <c r="S143" i="8"/>
  <c r="S144" i="8"/>
  <c r="S316" i="8"/>
  <c r="Q1081" i="7"/>
  <c r="S1991" i="1"/>
  <c r="S1081" i="7" s="1"/>
  <c r="Q948" i="7"/>
  <c r="P1009" i="7"/>
  <c r="P805" i="7"/>
  <c r="S295" i="8"/>
  <c r="S296" i="8"/>
  <c r="Q560" i="7"/>
  <c r="S108" i="1"/>
  <c r="S147" i="1"/>
  <c r="J319" i="8"/>
  <c r="J1849" i="1"/>
  <c r="J1776" i="1"/>
  <c r="J1009" i="7" s="1"/>
  <c r="J1920" i="1"/>
  <c r="J805" i="7"/>
  <c r="S310" i="8"/>
  <c r="Q512" i="7"/>
  <c r="S1108" i="1"/>
  <c r="S512" i="7" s="1"/>
  <c r="S947" i="1"/>
  <c r="S125" i="8"/>
  <c r="Q1094" i="7"/>
  <c r="S2055" i="1"/>
  <c r="S1094" i="7" s="1"/>
  <c r="Q633" i="7"/>
  <c r="S1230" i="1"/>
  <c r="S633" i="7" s="1"/>
  <c r="F528" i="1"/>
  <c r="S512" i="1"/>
  <c r="Q370" i="7"/>
  <c r="Q373" i="7"/>
  <c r="S867" i="1"/>
  <c r="S299" i="8"/>
  <c r="S300" i="8"/>
  <c r="O805" i="7"/>
  <c r="O1009" i="7"/>
  <c r="S318" i="8"/>
  <c r="G319" i="8"/>
  <c r="G1776" i="1"/>
  <c r="G1009" i="7" s="1"/>
  <c r="G1849" i="1"/>
  <c r="G805" i="7"/>
  <c r="G1920" i="1"/>
  <c r="Q500" i="7"/>
  <c r="S1096" i="1"/>
  <c r="S500" i="7" s="1"/>
  <c r="S1279" i="1"/>
  <c r="K403" i="1"/>
  <c r="G403" i="1"/>
  <c r="I1224" i="1"/>
  <c r="I403" i="1"/>
  <c r="H406" i="1"/>
  <c r="L406" i="1"/>
  <c r="B170" i="7"/>
  <c r="K1224" i="1"/>
  <c r="L1224" i="1"/>
  <c r="F403" i="1"/>
  <c r="I406" i="1"/>
  <c r="H403" i="1"/>
  <c r="G1224" i="1"/>
  <c r="M406" i="1"/>
  <c r="J1224" i="1"/>
  <c r="H1224" i="1"/>
  <c r="F406" i="1"/>
  <c r="J406" i="1"/>
  <c r="J403" i="1"/>
  <c r="M403" i="1"/>
  <c r="L403" i="1"/>
  <c r="M1224" i="1"/>
  <c r="F1224" i="1"/>
  <c r="G406" i="1"/>
  <c r="K406" i="1"/>
  <c r="Q631" i="7"/>
  <c r="S1228" i="1"/>
  <c r="S631" i="7" s="1"/>
  <c r="H319" i="8"/>
  <c r="H805" i="7"/>
  <c r="H1849" i="1"/>
  <c r="H1920" i="1"/>
  <c r="H1776" i="1"/>
  <c r="H1009" i="7" s="1"/>
  <c r="S844" i="1"/>
  <c r="S271" i="8"/>
  <c r="S272" i="8"/>
  <c r="Q1105" i="7"/>
  <c r="S2066" i="1"/>
  <c r="S1105" i="7" s="1"/>
  <c r="Q1080" i="7"/>
  <c r="S291" i="8"/>
  <c r="S292" i="8"/>
  <c r="M319" i="8"/>
  <c r="M1849" i="1"/>
  <c r="M1776" i="1"/>
  <c r="M1009" i="7" s="1"/>
  <c r="M1920" i="1"/>
  <c r="M805" i="7"/>
  <c r="Q482" i="7"/>
  <c r="S1078" i="1"/>
  <c r="S482" i="7" s="1"/>
  <c r="Q791" i="7"/>
  <c r="S1437" i="1"/>
  <c r="S791" i="7" s="1"/>
  <c r="S81" i="8"/>
  <c r="S82" i="8"/>
  <c r="Q471" i="7"/>
  <c r="S1063" i="1"/>
  <c r="S471" i="7" s="1"/>
  <c r="I319" i="8"/>
  <c r="I1776" i="1"/>
  <c r="I1009" i="7" s="1"/>
  <c r="I805" i="7"/>
  <c r="I1849" i="1"/>
  <c r="I1920" i="1"/>
  <c r="S109" i="8"/>
  <c r="S110" i="8"/>
  <c r="Q523" i="7"/>
  <c r="S71" i="8"/>
  <c r="S72" i="8"/>
  <c r="L319" i="8"/>
  <c r="L1920" i="1"/>
  <c r="L1849" i="1"/>
  <c r="L1776" i="1"/>
  <c r="L1009" i="7" s="1"/>
  <c r="L805" i="7"/>
  <c r="S290" i="8"/>
  <c r="G510" i="1"/>
  <c r="F510" i="1"/>
  <c r="M510" i="1"/>
  <c r="J510" i="1"/>
  <c r="H510" i="1"/>
  <c r="L510" i="1"/>
  <c r="K510" i="1"/>
  <c r="I510" i="1"/>
  <c r="Q538" i="7"/>
  <c r="S97" i="8"/>
  <c r="S98" i="8"/>
  <c r="Q634" i="7"/>
  <c r="S1231" i="1"/>
  <c r="S634" i="7" s="1"/>
  <c r="K319" i="8"/>
  <c r="K1776" i="1"/>
  <c r="K1009" i="7" s="1"/>
  <c r="K805" i="7"/>
  <c r="K1920" i="1"/>
  <c r="K1849" i="1"/>
  <c r="S75" i="8"/>
  <c r="S76" i="8"/>
  <c r="G304" i="1"/>
  <c r="F443" i="1"/>
  <c r="F65" i="7"/>
  <c r="G303" i="1"/>
  <c r="M104" i="7"/>
  <c r="M362" i="1"/>
  <c r="M468" i="1"/>
  <c r="M234" i="7" s="1"/>
  <c r="L1578" i="1"/>
  <c r="L467" i="8" s="1"/>
  <c r="L235" i="7"/>
  <c r="M330" i="1"/>
  <c r="L91" i="7"/>
  <c r="M329" i="1"/>
  <c r="M491" i="1"/>
  <c r="M157" i="7"/>
  <c r="M399" i="1"/>
  <c r="L1570" i="1"/>
  <c r="L452" i="8" s="1"/>
  <c r="L258" i="7"/>
  <c r="Q152" i="8" l="1"/>
  <c r="Q151" i="8" s="1"/>
  <c r="Q511" i="1"/>
  <c r="Q524" i="1" s="1"/>
  <c r="Q1093" i="1" s="1"/>
  <c r="Q525" i="1"/>
  <c r="Q1291" i="1" s="1"/>
  <c r="Q108" i="8" s="1"/>
  <c r="Q107" i="8" s="1"/>
  <c r="P152" i="8"/>
  <c r="P151" i="8" s="1"/>
  <c r="O686" i="8"/>
  <c r="O834" i="8"/>
  <c r="O761" i="8"/>
  <c r="N511" i="1"/>
  <c r="N524" i="1" s="1"/>
  <c r="N1093" i="1" s="1"/>
  <c r="N525" i="1"/>
  <c r="N1291" i="1" s="1"/>
  <c r="N108" i="8" s="1"/>
  <c r="N107" i="8" s="1"/>
  <c r="P511" i="1"/>
  <c r="P524" i="1" s="1"/>
  <c r="P1093" i="1" s="1"/>
  <c r="P525" i="1"/>
  <c r="P1291" i="1" s="1"/>
  <c r="P108" i="8" s="1"/>
  <c r="P107" i="8" s="1"/>
  <c r="O152" i="8"/>
  <c r="O151" i="8" s="1"/>
  <c r="Q761" i="8"/>
  <c r="Q834" i="8"/>
  <c r="Q686" i="8"/>
  <c r="N152" i="8"/>
  <c r="N151" i="8" s="1"/>
  <c r="O511" i="1"/>
  <c r="O524" i="1" s="1"/>
  <c r="O1093" i="1" s="1"/>
  <c r="O525" i="1"/>
  <c r="O1291" i="1" s="1"/>
  <c r="O108" i="8" s="1"/>
  <c r="O107" i="8" s="1"/>
  <c r="N761" i="8"/>
  <c r="N686" i="8"/>
  <c r="N834" i="8"/>
  <c r="P834" i="8"/>
  <c r="P686" i="8"/>
  <c r="P761" i="8"/>
  <c r="Q169" i="7"/>
  <c r="S1104" i="1"/>
  <c r="S508" i="7" s="1"/>
  <c r="Q508" i="7"/>
  <c r="S1019" i="1"/>
  <c r="S1049" i="1"/>
  <c r="S457" i="7" s="1"/>
  <c r="Q457" i="7"/>
  <c r="Q555" i="7"/>
  <c r="K525" i="1"/>
  <c r="K1291" i="1" s="1"/>
  <c r="K108" i="8" s="1"/>
  <c r="K511" i="1"/>
  <c r="K524" i="1" s="1"/>
  <c r="K1093" i="1" s="1"/>
  <c r="M525" i="1"/>
  <c r="M1291" i="1" s="1"/>
  <c r="M108" i="8" s="1"/>
  <c r="M511" i="1"/>
  <c r="M524" i="1" s="1"/>
  <c r="M1093" i="1" s="1"/>
  <c r="S510" i="1"/>
  <c r="F525" i="1"/>
  <c r="F511" i="1"/>
  <c r="S289" i="8"/>
  <c r="S754" i="1"/>
  <c r="M686" i="8"/>
  <c r="M834" i="8"/>
  <c r="M761" i="8"/>
  <c r="F626" i="7"/>
  <c r="S1224" i="1"/>
  <c r="S626" i="7" s="1"/>
  <c r="F1229" i="1"/>
  <c r="M1314" i="1"/>
  <c r="M152" i="8" s="1"/>
  <c r="M169" i="7"/>
  <c r="F453" i="1"/>
  <c r="F172" i="7"/>
  <c r="M172" i="7"/>
  <c r="M453" i="1"/>
  <c r="H1314" i="1"/>
  <c r="H152" i="8" s="1"/>
  <c r="H169" i="7"/>
  <c r="K1229" i="1"/>
  <c r="K626" i="7"/>
  <c r="I169" i="7"/>
  <c r="I1314" i="1"/>
  <c r="I152" i="8" s="1"/>
  <c r="G1314" i="1"/>
  <c r="G152" i="8" s="1"/>
  <c r="G169" i="7"/>
  <c r="Q626" i="7"/>
  <c r="Q551" i="7"/>
  <c r="S830" i="8"/>
  <c r="S931" i="8"/>
  <c r="S309" i="8"/>
  <c r="L525" i="1"/>
  <c r="L1291" i="1" s="1"/>
  <c r="L108" i="8" s="1"/>
  <c r="L511" i="1"/>
  <c r="L524" i="1" s="1"/>
  <c r="L1093" i="1" s="1"/>
  <c r="G525" i="1"/>
  <c r="G1291" i="1" s="1"/>
  <c r="G108" i="8" s="1"/>
  <c r="G511" i="1"/>
  <c r="G524" i="1" s="1"/>
  <c r="G1093" i="1" s="1"/>
  <c r="L686" i="8"/>
  <c r="L834" i="8"/>
  <c r="L761" i="8"/>
  <c r="S293" i="8"/>
  <c r="S294" i="8"/>
  <c r="Q778" i="7"/>
  <c r="S1424" i="1"/>
  <c r="S778" i="7" s="1"/>
  <c r="H834" i="8"/>
  <c r="H761" i="8"/>
  <c r="H686" i="8"/>
  <c r="N626" i="7"/>
  <c r="M1229" i="1"/>
  <c r="M626" i="7"/>
  <c r="J1314" i="1"/>
  <c r="J152" i="8" s="1"/>
  <c r="J169" i="7"/>
  <c r="N169" i="7"/>
  <c r="P172" i="7"/>
  <c r="I172" i="7"/>
  <c r="I453" i="1"/>
  <c r="P626" i="7"/>
  <c r="K1314" i="1"/>
  <c r="K152" i="8" s="1"/>
  <c r="K169" i="7"/>
  <c r="Q682" i="7"/>
  <c r="S1312" i="1"/>
  <c r="S682" i="7" s="1"/>
  <c r="S938" i="1"/>
  <c r="S1384" i="1"/>
  <c r="Q781" i="7"/>
  <c r="S1427" i="1"/>
  <c r="S781" i="7" s="1"/>
  <c r="Q552" i="7"/>
  <c r="S269" i="1"/>
  <c r="K834" i="8"/>
  <c r="K761" i="8"/>
  <c r="K686" i="8"/>
  <c r="Q922" i="7"/>
  <c r="H511" i="1"/>
  <c r="H524" i="1" s="1"/>
  <c r="H1093" i="1" s="1"/>
  <c r="H525" i="1"/>
  <c r="H1291" i="1" s="1"/>
  <c r="H108" i="8" s="1"/>
  <c r="Q520" i="7"/>
  <c r="I834" i="8"/>
  <c r="I686" i="8"/>
  <c r="I761" i="8"/>
  <c r="Q502" i="7"/>
  <c r="S1098" i="1"/>
  <c r="S502" i="7" s="1"/>
  <c r="S1289" i="1"/>
  <c r="K172" i="7"/>
  <c r="K453" i="1"/>
  <c r="L1314" i="1"/>
  <c r="L152" i="8" s="1"/>
  <c r="L169" i="7"/>
  <c r="N172" i="7"/>
  <c r="H626" i="7"/>
  <c r="H1229" i="1"/>
  <c r="O172" i="7"/>
  <c r="S403" i="1"/>
  <c r="F169" i="7"/>
  <c r="F1314" i="1"/>
  <c r="L453" i="1"/>
  <c r="L172" i="7"/>
  <c r="O626" i="7"/>
  <c r="O169" i="7"/>
  <c r="G686" i="8"/>
  <c r="G834" i="8"/>
  <c r="G761" i="8"/>
  <c r="S920" i="8"/>
  <c r="S124" i="8"/>
  <c r="S1012" i="1"/>
  <c r="Q554" i="7"/>
  <c r="Q513" i="7"/>
  <c r="S1109" i="1"/>
  <c r="S513" i="7" s="1"/>
  <c r="J761" i="8"/>
  <c r="J686" i="8"/>
  <c r="J834" i="8"/>
  <c r="Q495" i="7"/>
  <c r="S1091" i="1"/>
  <c r="S495" i="7" s="1"/>
  <c r="F1776" i="1"/>
  <c r="S1451" i="1"/>
  <c r="S805" i="7" s="1"/>
  <c r="F320" i="8"/>
  <c r="F805" i="7"/>
  <c r="F1920" i="1"/>
  <c r="S1920" i="1" s="1"/>
  <c r="F1849" i="1"/>
  <c r="S1849" i="1" s="1"/>
  <c r="I511" i="1"/>
  <c r="I524" i="1" s="1"/>
  <c r="I1093" i="1" s="1"/>
  <c r="I525" i="1"/>
  <c r="I1291" i="1" s="1"/>
  <c r="I108" i="8" s="1"/>
  <c r="J511" i="1"/>
  <c r="J524" i="1" s="1"/>
  <c r="J1093" i="1" s="1"/>
  <c r="J525" i="1"/>
  <c r="J1291" i="1" s="1"/>
  <c r="J108" i="8" s="1"/>
  <c r="S1914" i="1"/>
  <c r="Q783" i="7"/>
  <c r="S1429" i="1"/>
  <c r="S783" i="7" s="1"/>
  <c r="G172" i="7"/>
  <c r="G453" i="1"/>
  <c r="P169" i="7"/>
  <c r="J172" i="7"/>
  <c r="J453" i="1"/>
  <c r="J626" i="7"/>
  <c r="J1229" i="1"/>
  <c r="G626" i="7"/>
  <c r="G1229" i="1"/>
  <c r="L626" i="7"/>
  <c r="L1229" i="1"/>
  <c r="H172" i="7"/>
  <c r="H453" i="1"/>
  <c r="I1229" i="1"/>
  <c r="I626" i="7"/>
  <c r="Q172" i="7"/>
  <c r="S86" i="8"/>
  <c r="S87" i="8"/>
  <c r="S934" i="8"/>
  <c r="S760" i="8"/>
  <c r="S317" i="8"/>
  <c r="S528" i="1"/>
  <c r="F123" i="1"/>
  <c r="Q460" i="7"/>
  <c r="S1052" i="1"/>
  <c r="S460" i="7" s="1"/>
  <c r="S933" i="8"/>
  <c r="S907" i="8"/>
  <c r="S759" i="8"/>
  <c r="S315" i="8"/>
  <c r="S115" i="1"/>
  <c r="Q514" i="7"/>
  <c r="S1110" i="1"/>
  <c r="S514" i="7" s="1"/>
  <c r="S121" i="1"/>
  <c r="S120" i="1"/>
  <c r="F1576" i="1"/>
  <c r="F209" i="7"/>
  <c r="G55" i="7"/>
  <c r="G313" i="1"/>
  <c r="G54" i="7"/>
  <c r="G442" i="1"/>
  <c r="L466" i="8"/>
  <c r="L936" i="7"/>
  <c r="M113" i="7"/>
  <c r="M363" i="1"/>
  <c r="N353" i="1" s="1"/>
  <c r="N468" i="1" s="1"/>
  <c r="M80" i="7"/>
  <c r="M339" i="1"/>
  <c r="M81" i="7"/>
  <c r="M165" i="7"/>
  <c r="M400" i="1"/>
  <c r="N391" i="1" s="1"/>
  <c r="N491" i="1" s="1"/>
  <c r="L928" i="7"/>
  <c r="L451" i="8"/>
  <c r="M257" i="7"/>
  <c r="N1307" i="1" l="1"/>
  <c r="P1307" i="1"/>
  <c r="N514" i="1"/>
  <c r="Q514" i="1"/>
  <c r="O514" i="1"/>
  <c r="P514" i="1"/>
  <c r="Q1307" i="1"/>
  <c r="P407" i="1"/>
  <c r="O407" i="1"/>
  <c r="Q407" i="1"/>
  <c r="N407" i="1"/>
  <c r="N399" i="1"/>
  <c r="O1307" i="1"/>
  <c r="N362" i="1"/>
  <c r="Q507" i="7"/>
  <c r="S1103" i="1"/>
  <c r="S507" i="7" s="1"/>
  <c r="S1050" i="1"/>
  <c r="S458" i="7" s="1"/>
  <c r="Q458" i="7"/>
  <c r="L632" i="7"/>
  <c r="L177" i="1"/>
  <c r="L178" i="1" s="1"/>
  <c r="L49" i="8" s="1"/>
  <c r="I177" i="1"/>
  <c r="I178" i="1" s="1"/>
  <c r="I49" i="8" s="1"/>
  <c r="I632" i="7"/>
  <c r="S280" i="8"/>
  <c r="Q1003" i="7"/>
  <c r="S1770" i="1"/>
  <c r="S1003" i="7" s="1"/>
  <c r="J497" i="7"/>
  <c r="J1307" i="1"/>
  <c r="J136" i="8" s="1"/>
  <c r="S320" i="8"/>
  <c r="F319" i="8"/>
  <c r="S1018" i="1"/>
  <c r="O632" i="7"/>
  <c r="H177" i="1"/>
  <c r="H178" i="1" s="1"/>
  <c r="H49" i="8" s="1"/>
  <c r="H632" i="7"/>
  <c r="S103" i="8"/>
  <c r="S104" i="8"/>
  <c r="Q497" i="7"/>
  <c r="H497" i="7"/>
  <c r="H1307" i="1"/>
  <c r="H136" i="8" s="1"/>
  <c r="J151" i="8"/>
  <c r="J684" i="7"/>
  <c r="N632" i="7"/>
  <c r="G107" i="8"/>
  <c r="L107" i="8"/>
  <c r="H151" i="8"/>
  <c r="H684" i="7"/>
  <c r="F219" i="7"/>
  <c r="F1580" i="1"/>
  <c r="S511" i="1"/>
  <c r="B511" i="1" s="1"/>
  <c r="F524" i="1"/>
  <c r="H514" i="1"/>
  <c r="K514" i="1"/>
  <c r="I514" i="1"/>
  <c r="F514" i="1"/>
  <c r="G514" i="1"/>
  <c r="J514" i="1"/>
  <c r="M514" i="1"/>
  <c r="L514" i="1"/>
  <c r="M107" i="8"/>
  <c r="S123" i="1"/>
  <c r="F119" i="1"/>
  <c r="G632" i="7"/>
  <c r="G177" i="1"/>
  <c r="G178" i="1" s="1"/>
  <c r="G49" i="8" s="1"/>
  <c r="J219" i="7"/>
  <c r="J1580" i="1"/>
  <c r="J471" i="8" s="1"/>
  <c r="G219" i="7"/>
  <c r="G1580" i="1"/>
  <c r="G471" i="8" s="1"/>
  <c r="Q1109" i="7"/>
  <c r="S2070" i="1"/>
  <c r="S1109" i="7" s="1"/>
  <c r="I107" i="8"/>
  <c r="Q499" i="7"/>
  <c r="S1095" i="1"/>
  <c r="S499" i="7" s="1"/>
  <c r="Q446" i="7"/>
  <c r="S1034" i="1"/>
  <c r="S446" i="7" s="1"/>
  <c r="J407" i="1"/>
  <c r="K407" i="1"/>
  <c r="G407" i="1"/>
  <c r="S169" i="7"/>
  <c r="F407" i="1"/>
  <c r="M407" i="1"/>
  <c r="H407" i="1"/>
  <c r="L407" i="1"/>
  <c r="I407" i="1"/>
  <c r="L151" i="8"/>
  <c r="L684" i="7"/>
  <c r="Q926" i="7"/>
  <c r="O497" i="7"/>
  <c r="Q493" i="7"/>
  <c r="S1089" i="1"/>
  <c r="S493" i="7" s="1"/>
  <c r="I219" i="7"/>
  <c r="I1580" i="1"/>
  <c r="I471" i="8" s="1"/>
  <c r="N684" i="7"/>
  <c r="N497" i="7"/>
  <c r="Q684" i="7"/>
  <c r="M219" i="7"/>
  <c r="M1580" i="1"/>
  <c r="M471" i="8" s="1"/>
  <c r="F1291" i="1"/>
  <c r="S525" i="1"/>
  <c r="K497" i="7"/>
  <c r="K1307" i="1"/>
  <c r="K136" i="8" s="1"/>
  <c r="H219" i="7"/>
  <c r="H1580" i="1"/>
  <c r="H471" i="8" s="1"/>
  <c r="Q505" i="7"/>
  <c r="S1101" i="1"/>
  <c r="S505" i="7" s="1"/>
  <c r="Q219" i="7"/>
  <c r="P497" i="7"/>
  <c r="I497" i="7"/>
  <c r="I1307" i="1"/>
  <c r="I136" i="8" s="1"/>
  <c r="F1009" i="7"/>
  <c r="S1776" i="1"/>
  <c r="S1009" i="7" s="1"/>
  <c r="Q676" i="7"/>
  <c r="S1306" i="1"/>
  <c r="S676" i="7" s="1"/>
  <c r="O684" i="7"/>
  <c r="L219" i="7"/>
  <c r="L1580" i="1"/>
  <c r="L471" i="8" s="1"/>
  <c r="O219" i="7"/>
  <c r="K219" i="7"/>
  <c r="K1580" i="1"/>
  <c r="K471" i="8" s="1"/>
  <c r="Q675" i="7"/>
  <c r="S1305" i="1"/>
  <c r="S675" i="7" s="1"/>
  <c r="K151" i="8"/>
  <c r="K684" i="7"/>
  <c r="M177" i="1"/>
  <c r="M178" i="1" s="1"/>
  <c r="M49" i="8" s="1"/>
  <c r="M632" i="7"/>
  <c r="S269" i="8"/>
  <c r="S270" i="8"/>
  <c r="G151" i="8"/>
  <c r="G684" i="7"/>
  <c r="K632" i="7"/>
  <c r="K177" i="1"/>
  <c r="K178" i="1" s="1"/>
  <c r="K49" i="8" s="1"/>
  <c r="M151" i="8"/>
  <c r="M684" i="7"/>
  <c r="K107" i="8"/>
  <c r="J632" i="7"/>
  <c r="J177" i="1"/>
  <c r="J178" i="1" s="1"/>
  <c r="J49" i="8" s="1"/>
  <c r="P684" i="7"/>
  <c r="J107" i="8"/>
  <c r="Q553" i="7"/>
  <c r="S2019" i="1"/>
  <c r="S1011" i="1"/>
  <c r="F152" i="8"/>
  <c r="S1314" i="1"/>
  <c r="S684" i="7" s="1"/>
  <c r="F684" i="7"/>
  <c r="N219" i="7"/>
  <c r="H107" i="8"/>
  <c r="S275" i="8"/>
  <c r="S276" i="8"/>
  <c r="Q689" i="7"/>
  <c r="S1319" i="1"/>
  <c r="S689" i="7" s="1"/>
  <c r="S145" i="8"/>
  <c r="S146" i="8"/>
  <c r="P632" i="7"/>
  <c r="P219" i="7"/>
  <c r="G497" i="7"/>
  <c r="G1307" i="1"/>
  <c r="G136" i="8" s="1"/>
  <c r="L497" i="7"/>
  <c r="L1307" i="1"/>
  <c r="L136" i="8" s="1"/>
  <c r="Q632" i="7"/>
  <c r="I151" i="8"/>
  <c r="I684" i="7"/>
  <c r="F632" i="7"/>
  <c r="S1229" i="1"/>
  <c r="S632" i="7" s="1"/>
  <c r="F177" i="1"/>
  <c r="M1307" i="1"/>
  <c r="M136" i="8" s="1"/>
  <c r="M497" i="7"/>
  <c r="G208" i="7"/>
  <c r="G64" i="7"/>
  <c r="G314" i="1"/>
  <c r="F934" i="7"/>
  <c r="F463" i="8"/>
  <c r="F462" i="8" s="1"/>
  <c r="M114" i="7"/>
  <c r="M469" i="1"/>
  <c r="M340" i="1"/>
  <c r="M90" i="7"/>
  <c r="M492" i="1"/>
  <c r="M166" i="7"/>
  <c r="Q136" i="8" l="1"/>
  <c r="Q135" i="8" s="1"/>
  <c r="O136" i="8"/>
  <c r="O135" i="8" s="1"/>
  <c r="P452" i="1"/>
  <c r="N330" i="1"/>
  <c r="N329" i="1"/>
  <c r="Q530" i="1"/>
  <c r="P530" i="1"/>
  <c r="N530" i="1"/>
  <c r="O530" i="1"/>
  <c r="N400" i="1"/>
  <c r="P136" i="8"/>
  <c r="P135" i="8" s="1"/>
  <c r="N363" i="1"/>
  <c r="N452" i="1"/>
  <c r="Q452" i="1"/>
  <c r="Q218" i="7" s="1"/>
  <c r="N136" i="8"/>
  <c r="N135" i="8" s="1"/>
  <c r="O452" i="1"/>
  <c r="Q496" i="7"/>
  <c r="S1092" i="1"/>
  <c r="S496" i="7" s="1"/>
  <c r="S207" i="1"/>
  <c r="S1023" i="1"/>
  <c r="I135" i="8"/>
  <c r="I677" i="7"/>
  <c r="K135" i="8"/>
  <c r="K677" i="7"/>
  <c r="P218" i="7"/>
  <c r="P173" i="7"/>
  <c r="J173" i="7"/>
  <c r="J452" i="1"/>
  <c r="J218" i="7" s="1"/>
  <c r="S319" i="8"/>
  <c r="F686" i="8"/>
  <c r="S686" i="8" s="1"/>
  <c r="F834" i="8"/>
  <c r="S834" i="8" s="1"/>
  <c r="F761" i="8"/>
  <c r="S761" i="8" s="1"/>
  <c r="L48" i="8"/>
  <c r="M135" i="8"/>
  <c r="M677" i="7"/>
  <c r="L135" i="8"/>
  <c r="L677" i="7"/>
  <c r="P938" i="7"/>
  <c r="S159" i="8"/>
  <c r="S160" i="8"/>
  <c r="N938" i="7"/>
  <c r="F151" i="8"/>
  <c r="S151" i="8" s="1"/>
  <c r="S152" i="8"/>
  <c r="S131" i="8"/>
  <c r="S132" i="8"/>
  <c r="O938" i="7"/>
  <c r="M470" i="8"/>
  <c r="M938" i="7"/>
  <c r="N677" i="7"/>
  <c r="H173" i="7"/>
  <c r="H452" i="1"/>
  <c r="H218" i="7" s="1"/>
  <c r="O218" i="7"/>
  <c r="O173" i="7"/>
  <c r="N173" i="7"/>
  <c r="N218" i="7"/>
  <c r="J470" i="8"/>
  <c r="J938" i="7"/>
  <c r="S524" i="1"/>
  <c r="F1093" i="1"/>
  <c r="G530" i="1"/>
  <c r="I530" i="1"/>
  <c r="H530" i="1"/>
  <c r="K530" i="1"/>
  <c r="L530" i="1"/>
  <c r="F530" i="1"/>
  <c r="J530" i="1"/>
  <c r="M530" i="1"/>
  <c r="H135" i="8"/>
  <c r="H677" i="7"/>
  <c r="I48" i="8"/>
  <c r="F178" i="1"/>
  <c r="S177" i="1"/>
  <c r="Q565" i="7"/>
  <c r="K48" i="8"/>
  <c r="M48" i="8"/>
  <c r="P677" i="7"/>
  <c r="H470" i="8"/>
  <c r="H938" i="7"/>
  <c r="I470" i="8"/>
  <c r="I938" i="7"/>
  <c r="I173" i="7"/>
  <c r="I452" i="1"/>
  <c r="I218" i="7" s="1"/>
  <c r="M452" i="1"/>
  <c r="M218" i="7" s="1"/>
  <c r="M173" i="7"/>
  <c r="G452" i="1"/>
  <c r="G218" i="7" s="1"/>
  <c r="G173" i="7"/>
  <c r="Q683" i="7"/>
  <c r="S1313" i="1"/>
  <c r="S683" i="7" s="1"/>
  <c r="Q677" i="7"/>
  <c r="H48" i="8"/>
  <c r="Q447" i="7"/>
  <c r="S1035" i="1"/>
  <c r="S447" i="7" s="1"/>
  <c r="J135" i="8"/>
  <c r="J677" i="7"/>
  <c r="G135" i="8"/>
  <c r="G677" i="7"/>
  <c r="S223" i="1"/>
  <c r="S226" i="1"/>
  <c r="Q780" i="7"/>
  <c r="S1426" i="1"/>
  <c r="S780" i="7" s="1"/>
  <c r="J48" i="8"/>
  <c r="K938" i="7"/>
  <c r="K470" i="8"/>
  <c r="L938" i="7"/>
  <c r="L470" i="8"/>
  <c r="S133" i="8"/>
  <c r="S134" i="8"/>
  <c r="Q938" i="7"/>
  <c r="S1291" i="1"/>
  <c r="F108" i="8"/>
  <c r="O677" i="7"/>
  <c r="Q173" i="7"/>
  <c r="L173" i="7"/>
  <c r="L452" i="1"/>
  <c r="L218" i="7" s="1"/>
  <c r="F173" i="7"/>
  <c r="F452" i="1"/>
  <c r="F218" i="7" s="1"/>
  <c r="F405" i="1"/>
  <c r="K173" i="7"/>
  <c r="K452" i="1"/>
  <c r="K218" i="7" s="1"/>
  <c r="G938" i="7"/>
  <c r="G470" i="8"/>
  <c r="G48" i="8"/>
  <c r="F938" i="7"/>
  <c r="F471" i="8"/>
  <c r="F470" i="8" s="1"/>
  <c r="Q550" i="7"/>
  <c r="S1017" i="1"/>
  <c r="S828" i="8"/>
  <c r="S680" i="8"/>
  <c r="S935" i="8"/>
  <c r="S279" i="8"/>
  <c r="H304" i="1"/>
  <c r="G443" i="1"/>
  <c r="G65" i="7"/>
  <c r="H303" i="1"/>
  <c r="M1578" i="1"/>
  <c r="M467" i="8" s="1"/>
  <c r="M235" i="7"/>
  <c r="N234" i="7"/>
  <c r="N104" i="7"/>
  <c r="M91" i="7"/>
  <c r="N157" i="7"/>
  <c r="M258" i="7"/>
  <c r="M1570" i="1"/>
  <c r="M452" i="8" s="1"/>
  <c r="O353" i="1" l="1"/>
  <c r="N469" i="1"/>
  <c r="N1578" i="1" s="1"/>
  <c r="N467" i="8" s="1"/>
  <c r="N466" i="8" s="1"/>
  <c r="P1565" i="1"/>
  <c r="P442" i="8" s="1"/>
  <c r="P441" i="8" s="1"/>
  <c r="P1587" i="1"/>
  <c r="N1565" i="1"/>
  <c r="N442" i="8" s="1"/>
  <c r="N441" i="8" s="1"/>
  <c r="N1587" i="1"/>
  <c r="N492" i="1"/>
  <c r="N1570" i="1" s="1"/>
  <c r="N452" i="8" s="1"/>
  <c r="N451" i="8" s="1"/>
  <c r="O391" i="1"/>
  <c r="Q1565" i="1"/>
  <c r="Q442" i="8" s="1"/>
  <c r="Q441" i="8" s="1"/>
  <c r="Q1587" i="1"/>
  <c r="N339" i="1"/>
  <c r="O1565" i="1"/>
  <c r="O442" i="8" s="1"/>
  <c r="O441" i="8" s="1"/>
  <c r="O1587" i="1"/>
  <c r="S1308" i="1"/>
  <c r="S678" i="7" s="1"/>
  <c r="Q678" i="7"/>
  <c r="S136" i="1"/>
  <c r="F408" i="1"/>
  <c r="F171" i="7"/>
  <c r="F455" i="1"/>
  <c r="S108" i="8"/>
  <c r="F107" i="8"/>
  <c r="S107" i="8" s="1"/>
  <c r="F49" i="8"/>
  <c r="S178" i="1"/>
  <c r="F497" i="7"/>
  <c r="F1307" i="1"/>
  <c r="S1093" i="1"/>
  <c r="S497" i="7" s="1"/>
  <c r="Q494" i="7"/>
  <c r="S1090" i="1"/>
  <c r="S494" i="7" s="1"/>
  <c r="Q944" i="7"/>
  <c r="S273" i="8"/>
  <c r="S274" i="8"/>
  <c r="S147" i="8"/>
  <c r="S148" i="8"/>
  <c r="S848" i="1"/>
  <c r="Q504" i="7"/>
  <c r="S1100" i="1"/>
  <c r="S504" i="7" s="1"/>
  <c r="Q947" i="7"/>
  <c r="S204" i="1"/>
  <c r="H55" i="7"/>
  <c r="H313" i="1"/>
  <c r="H442" i="1"/>
  <c r="H54" i="7"/>
  <c r="G1576" i="1"/>
  <c r="G463" i="8" s="1"/>
  <c r="G209" i="7"/>
  <c r="N113" i="7"/>
  <c r="M936" i="7"/>
  <c r="M466" i="8"/>
  <c r="N81" i="7"/>
  <c r="N80" i="7"/>
  <c r="M928" i="7"/>
  <c r="M451" i="8"/>
  <c r="N165" i="7"/>
  <c r="N257" i="7"/>
  <c r="N483" i="8" l="1"/>
  <c r="N482" i="8" s="1"/>
  <c r="N1585" i="1"/>
  <c r="O483" i="8"/>
  <c r="O482" i="8" s="1"/>
  <c r="O1585" i="1"/>
  <c r="P483" i="8"/>
  <c r="P482" i="8" s="1"/>
  <c r="P1585" i="1"/>
  <c r="N340" i="1"/>
  <c r="Q483" i="8"/>
  <c r="Q482" i="8" s="1"/>
  <c r="Q1585" i="1"/>
  <c r="O468" i="1"/>
  <c r="O362" i="1"/>
  <c r="O491" i="1"/>
  <c r="O399" i="1"/>
  <c r="S138" i="8"/>
  <c r="S137" i="8"/>
  <c r="S201" i="1"/>
  <c r="Q501" i="7"/>
  <c r="S1097" i="1"/>
  <c r="S501" i="7" s="1"/>
  <c r="F48" i="8"/>
  <c r="S48" i="8" s="1"/>
  <c r="S49" i="8"/>
  <c r="F221" i="7"/>
  <c r="F1051" i="1"/>
  <c r="Q492" i="7"/>
  <c r="S1088" i="1"/>
  <c r="S492" i="7" s="1"/>
  <c r="Q674" i="7"/>
  <c r="S1304" i="1"/>
  <c r="S674" i="7" s="1"/>
  <c r="Q531" i="7"/>
  <c r="Q578" i="7"/>
  <c r="F677" i="7"/>
  <c r="S1307" i="1"/>
  <c r="S677" i="7" s="1"/>
  <c r="F136" i="8"/>
  <c r="G405" i="1"/>
  <c r="F174" i="7"/>
  <c r="F456" i="1"/>
  <c r="H64" i="7"/>
  <c r="H314" i="1"/>
  <c r="H208" i="7"/>
  <c r="G934" i="7"/>
  <c r="G462" i="8"/>
  <c r="N114" i="7"/>
  <c r="N90" i="7"/>
  <c r="N166" i="7"/>
  <c r="O400" i="1" l="1"/>
  <c r="O479" i="8"/>
  <c r="O478" i="8" s="1"/>
  <c r="O330" i="1"/>
  <c r="O329" i="1"/>
  <c r="O363" i="1"/>
  <c r="N479" i="8"/>
  <c r="N478" i="8" s="1"/>
  <c r="P479" i="8"/>
  <c r="P478" i="8" s="1"/>
  <c r="Q479" i="8"/>
  <c r="Q478" i="8" s="1"/>
  <c r="F1577" i="1"/>
  <c r="F158" i="1"/>
  <c r="F157" i="1" s="1"/>
  <c r="F222" i="7"/>
  <c r="F135" i="8"/>
  <c r="S135" i="8" s="1"/>
  <c r="S136" i="8"/>
  <c r="Q528" i="7"/>
  <c r="S129" i="8"/>
  <c r="S130" i="8"/>
  <c r="F459" i="7"/>
  <c r="F1094" i="1"/>
  <c r="G171" i="7"/>
  <c r="G455" i="1"/>
  <c r="G408" i="1"/>
  <c r="Q569" i="7"/>
  <c r="S202" i="1"/>
  <c r="H443" i="1"/>
  <c r="H65" i="7"/>
  <c r="I304" i="1"/>
  <c r="I303" i="1"/>
  <c r="F588" i="8"/>
  <c r="O104" i="7"/>
  <c r="O234" i="7"/>
  <c r="N235" i="7"/>
  <c r="N91" i="7"/>
  <c r="O157" i="7"/>
  <c r="N258" i="7"/>
  <c r="O339" i="1" l="1"/>
  <c r="O492" i="1"/>
  <c r="O1570" i="1" s="1"/>
  <c r="O452" i="8" s="1"/>
  <c r="O451" i="8" s="1"/>
  <c r="P391" i="1"/>
  <c r="P353" i="1"/>
  <c r="O469" i="1"/>
  <c r="O1578" i="1" s="1"/>
  <c r="O467" i="8" s="1"/>
  <c r="O466" i="8" s="1"/>
  <c r="G221" i="7"/>
  <c r="G1051" i="1"/>
  <c r="Q574" i="7"/>
  <c r="F1087" i="1"/>
  <c r="F491" i="7" s="1"/>
  <c r="F1309" i="1"/>
  <c r="F498" i="7"/>
  <c r="F1158" i="1"/>
  <c r="F562" i="7" s="1"/>
  <c r="F1316" i="1"/>
  <c r="Q572" i="7"/>
  <c r="G456" i="1"/>
  <c r="G174" i="7"/>
  <c r="H405" i="1"/>
  <c r="Q924" i="7"/>
  <c r="F1574" i="1"/>
  <c r="F465" i="8"/>
  <c r="F464" i="8" s="1"/>
  <c r="F935" i="7"/>
  <c r="H1576" i="1"/>
  <c r="H463" i="8" s="1"/>
  <c r="H209" i="7"/>
  <c r="I54" i="7"/>
  <c r="I442" i="1"/>
  <c r="I55" i="7"/>
  <c r="I313" i="1"/>
  <c r="N936" i="7"/>
  <c r="O113" i="7"/>
  <c r="O80" i="7"/>
  <c r="O81" i="7"/>
  <c r="N928" i="7"/>
  <c r="O165" i="7"/>
  <c r="O257" i="7"/>
  <c r="P468" i="1" l="1"/>
  <c r="P362" i="1"/>
  <c r="P491" i="1"/>
  <c r="P399" i="1"/>
  <c r="O340" i="1"/>
  <c r="H455" i="1"/>
  <c r="H171" i="7"/>
  <c r="H408" i="1"/>
  <c r="F459" i="8"/>
  <c r="F458" i="8" s="1"/>
  <c r="F932" i="7"/>
  <c r="F686" i="7"/>
  <c r="F150" i="8"/>
  <c r="F149" i="8" s="1"/>
  <c r="G1094" i="1"/>
  <c r="G459" i="7"/>
  <c r="G1577" i="1"/>
  <c r="G465" i="8" s="1"/>
  <c r="G222" i="7"/>
  <c r="G158" i="1"/>
  <c r="G157" i="1" s="1"/>
  <c r="F140" i="8"/>
  <c r="F139" i="8" s="1"/>
  <c r="F904" i="8" s="1"/>
  <c r="F1988" i="1"/>
  <c r="F1078" i="7" s="1"/>
  <c r="F1302" i="1"/>
  <c r="F679" i="7"/>
  <c r="H934" i="7"/>
  <c r="H462" i="8"/>
  <c r="I208" i="7"/>
  <c r="I64" i="7"/>
  <c r="I314" i="1"/>
  <c r="O114" i="7"/>
  <c r="O90" i="7"/>
  <c r="O166" i="7"/>
  <c r="P330" i="1" l="1"/>
  <c r="P329" i="1"/>
  <c r="P400" i="1"/>
  <c r="P363" i="1"/>
  <c r="G1158" i="1"/>
  <c r="G562" i="7" s="1"/>
  <c r="G1316" i="1"/>
  <c r="G150" i="8" s="1"/>
  <c r="I405" i="1"/>
  <c r="H174" i="7"/>
  <c r="H456" i="1"/>
  <c r="G464" i="8"/>
  <c r="G935" i="7"/>
  <c r="G1574" i="1"/>
  <c r="G459" i="8" s="1"/>
  <c r="F1310" i="1"/>
  <c r="F672" i="7"/>
  <c r="F1661" i="1"/>
  <c r="F969" i="7" s="1"/>
  <c r="F127" i="8"/>
  <c r="F126" i="8" s="1"/>
  <c r="F2056" i="1"/>
  <c r="F1095" i="7" s="1"/>
  <c r="F1664" i="1"/>
  <c r="F972" i="7" s="1"/>
  <c r="H221" i="7"/>
  <c r="H1051" i="1"/>
  <c r="G1309" i="1"/>
  <c r="G140" i="8" s="1"/>
  <c r="G1087" i="1"/>
  <c r="G491" i="7" s="1"/>
  <c r="G498" i="7"/>
  <c r="J304" i="1"/>
  <c r="I443" i="1"/>
  <c r="I65" i="7"/>
  <c r="J303" i="1"/>
  <c r="G1680" i="1"/>
  <c r="G588" i="8"/>
  <c r="O235" i="7"/>
  <c r="P104" i="7"/>
  <c r="P234" i="7"/>
  <c r="O91" i="7"/>
  <c r="P157" i="7"/>
  <c r="O258" i="7"/>
  <c r="Q353" i="1" l="1"/>
  <c r="P469" i="1"/>
  <c r="P1578" i="1" s="1"/>
  <c r="P467" i="8" s="1"/>
  <c r="P466" i="8" s="1"/>
  <c r="P492" i="1"/>
  <c r="P1570" i="1" s="1"/>
  <c r="P452" i="8" s="1"/>
  <c r="P451" i="8" s="1"/>
  <c r="Q391" i="1"/>
  <c r="P339" i="1"/>
  <c r="F1665" i="1"/>
  <c r="F1666" i="1" s="1"/>
  <c r="F974" i="7" s="1"/>
  <c r="H1094" i="1"/>
  <c r="H459" i="7"/>
  <c r="F142" i="8"/>
  <c r="F141" i="8" s="1"/>
  <c r="F1317" i="1"/>
  <c r="F680" i="7"/>
  <c r="I455" i="1"/>
  <c r="I171" i="7"/>
  <c r="I408" i="1"/>
  <c r="F572" i="8"/>
  <c r="F573" i="8" s="1"/>
  <c r="F574" i="8" s="1"/>
  <c r="F569" i="8"/>
  <c r="F921" i="8"/>
  <c r="H1577" i="1"/>
  <c r="H465" i="8" s="1"/>
  <c r="H222" i="7"/>
  <c r="H158" i="1"/>
  <c r="H157" i="1" s="1"/>
  <c r="G139" i="8"/>
  <c r="G904" i="8" s="1"/>
  <c r="G1988" i="1"/>
  <c r="G1078" i="7" s="1"/>
  <c r="G1302" i="1"/>
  <c r="G127" i="8" s="1"/>
  <c r="G679" i="7"/>
  <c r="G458" i="8"/>
  <c r="G932" i="7"/>
  <c r="G149" i="8"/>
  <c r="G686" i="7"/>
  <c r="I209" i="7"/>
  <c r="I1576" i="1"/>
  <c r="I463" i="8" s="1"/>
  <c r="J55" i="7"/>
  <c r="J313" i="1"/>
  <c r="J54" i="7"/>
  <c r="J442" i="1"/>
  <c r="G1236" i="1"/>
  <c r="G639" i="7" s="1"/>
  <c r="G988" i="7"/>
  <c r="P113" i="7"/>
  <c r="O936" i="7"/>
  <c r="P81" i="7"/>
  <c r="P80" i="7"/>
  <c r="O928" i="7"/>
  <c r="P165" i="7"/>
  <c r="P257" i="7"/>
  <c r="Q468" i="1" l="1"/>
  <c r="Q362" i="1"/>
  <c r="Q363" i="1" s="1"/>
  <c r="Q469" i="1" s="1"/>
  <c r="Q1578" i="1" s="1"/>
  <c r="Q467" i="8" s="1"/>
  <c r="Q466" i="8" s="1"/>
  <c r="P340" i="1"/>
  <c r="Q491" i="1"/>
  <c r="Q399" i="1"/>
  <c r="Q400" i="1" s="1"/>
  <c r="Q492" i="1" s="1"/>
  <c r="Q1570" i="1" s="1"/>
  <c r="Q452" i="8" s="1"/>
  <c r="Q451" i="8" s="1"/>
  <c r="F973" i="7"/>
  <c r="G126" i="8"/>
  <c r="G1310" i="1"/>
  <c r="G142" i="8" s="1"/>
  <c r="G1661" i="1"/>
  <c r="G969" i="7" s="1"/>
  <c r="G2056" i="1"/>
  <c r="G1095" i="7" s="1"/>
  <c r="G672" i="7"/>
  <c r="G1664" i="1"/>
  <c r="G972" i="7" s="1"/>
  <c r="H464" i="8"/>
  <c r="H935" i="7"/>
  <c r="H1574" i="1"/>
  <c r="H459" i="8" s="1"/>
  <c r="H498" i="7"/>
  <c r="H1087" i="1"/>
  <c r="H491" i="7" s="1"/>
  <c r="H1309" i="1"/>
  <c r="H140" i="8" s="1"/>
  <c r="I221" i="7"/>
  <c r="I1051" i="1"/>
  <c r="F687" i="7"/>
  <c r="F154" i="8"/>
  <c r="F153" i="8" s="1"/>
  <c r="H1158" i="1"/>
  <c r="H562" i="7" s="1"/>
  <c r="H1316" i="1"/>
  <c r="H150" i="8" s="1"/>
  <c r="I456" i="1"/>
  <c r="J405" i="1"/>
  <c r="I174" i="7"/>
  <c r="J64" i="7"/>
  <c r="J314" i="1"/>
  <c r="J208" i="7"/>
  <c r="I462" i="8"/>
  <c r="I934" i="7"/>
  <c r="P114" i="7"/>
  <c r="P90" i="7"/>
  <c r="P166" i="7"/>
  <c r="Q330" i="1" l="1"/>
  <c r="Q329" i="1"/>
  <c r="G1665" i="1"/>
  <c r="G1666" i="1" s="1"/>
  <c r="G974" i="7" s="1"/>
  <c r="I222" i="7"/>
  <c r="I1577" i="1"/>
  <c r="I465" i="8" s="1"/>
  <c r="I158" i="1"/>
  <c r="I157" i="1" s="1"/>
  <c r="H139" i="8"/>
  <c r="H904" i="8" s="1"/>
  <c r="H1302" i="1"/>
  <c r="H127" i="8" s="1"/>
  <c r="H679" i="7"/>
  <c r="H1988" i="1"/>
  <c r="H1078" i="7" s="1"/>
  <c r="H458" i="8"/>
  <c r="H932" i="7"/>
  <c r="G141" i="8"/>
  <c r="G680" i="7"/>
  <c r="G1317" i="1"/>
  <c r="G154" i="8" s="1"/>
  <c r="G921" i="8"/>
  <c r="G569" i="8"/>
  <c r="G572" i="8"/>
  <c r="G573" i="8" s="1"/>
  <c r="G574" i="8" s="1"/>
  <c r="J171" i="7"/>
  <c r="J455" i="1"/>
  <c r="J408" i="1"/>
  <c r="H149" i="8"/>
  <c r="H686" i="7"/>
  <c r="I459" i="7"/>
  <c r="I1094" i="1"/>
  <c r="K304" i="1"/>
  <c r="J65" i="7"/>
  <c r="J443" i="1"/>
  <c r="K303" i="1"/>
  <c r="P235" i="7"/>
  <c r="P91" i="7"/>
  <c r="P258" i="7"/>
  <c r="Q339" i="1" l="1"/>
  <c r="Q340" i="1" s="1"/>
  <c r="G973" i="7"/>
  <c r="J221" i="7"/>
  <c r="J1051" i="1"/>
  <c r="H126" i="8"/>
  <c r="H1310" i="1"/>
  <c r="H142" i="8" s="1"/>
  <c r="H672" i="7"/>
  <c r="H2056" i="1"/>
  <c r="H1095" i="7" s="1"/>
  <c r="H1661" i="1"/>
  <c r="H969" i="7" s="1"/>
  <c r="H1664" i="1"/>
  <c r="H972" i="7" s="1"/>
  <c r="I1316" i="1"/>
  <c r="I150" i="8" s="1"/>
  <c r="I1158" i="1"/>
  <c r="I562" i="7" s="1"/>
  <c r="I464" i="8"/>
  <c r="I935" i="7"/>
  <c r="I1574" i="1"/>
  <c r="I459" i="8" s="1"/>
  <c r="I498" i="7"/>
  <c r="I1309" i="1"/>
  <c r="I140" i="8" s="1"/>
  <c r="I1087" i="1"/>
  <c r="I491" i="7" s="1"/>
  <c r="K405" i="1"/>
  <c r="J174" i="7"/>
  <c r="J456" i="1"/>
  <c r="J158" i="1" s="1"/>
  <c r="J157" i="1" s="1"/>
  <c r="G153" i="8"/>
  <c r="G687" i="7"/>
  <c r="G1322" i="1"/>
  <c r="G166" i="8" s="1"/>
  <c r="K55" i="7"/>
  <c r="K313" i="1"/>
  <c r="K442" i="1"/>
  <c r="K54" i="7"/>
  <c r="J209" i="7"/>
  <c r="J1576" i="1"/>
  <c r="J463" i="8" s="1"/>
  <c r="P936" i="7"/>
  <c r="P928" i="7"/>
  <c r="J1577" i="1" l="1"/>
  <c r="J465" i="8" s="1"/>
  <c r="J222" i="7"/>
  <c r="I139" i="8"/>
  <c r="I904" i="8" s="1"/>
  <c r="I1988" i="1"/>
  <c r="I1078" i="7" s="1"/>
  <c r="I679" i="7"/>
  <c r="I1302" i="1"/>
  <c r="I127" i="8" s="1"/>
  <c r="I458" i="8"/>
  <c r="I932" i="7"/>
  <c r="H1665" i="1"/>
  <c r="H141" i="8"/>
  <c r="H1317" i="1"/>
  <c r="H154" i="8" s="1"/>
  <c r="H680" i="7"/>
  <c r="K171" i="7"/>
  <c r="K455" i="1"/>
  <c r="K221" i="7" s="1"/>
  <c r="K408" i="1"/>
  <c r="I149" i="8"/>
  <c r="I686" i="7"/>
  <c r="H921" i="8"/>
  <c r="H572" i="8"/>
  <c r="H573" i="8" s="1"/>
  <c r="H574" i="8" s="1"/>
  <c r="H569" i="8"/>
  <c r="J1094" i="1"/>
  <c r="J459" i="7"/>
  <c r="G1681" i="1"/>
  <c r="G989" i="7" s="1"/>
  <c r="G165" i="8"/>
  <c r="G692" i="7"/>
  <c r="G1387" i="1"/>
  <c r="G174" i="8" s="1"/>
  <c r="G2059" i="1"/>
  <c r="G1098" i="7" s="1"/>
  <c r="G175" i="1"/>
  <c r="J462" i="8"/>
  <c r="J934" i="7"/>
  <c r="J1158" i="1"/>
  <c r="J562" i="7" s="1"/>
  <c r="J1316" i="1"/>
  <c r="J150" i="8" s="1"/>
  <c r="K208" i="7"/>
  <c r="K314" i="1"/>
  <c r="K64" i="7"/>
  <c r="J1574" i="1" l="1"/>
  <c r="J459" i="8" s="1"/>
  <c r="J464" i="8"/>
  <c r="H153" i="8"/>
  <c r="H687" i="7"/>
  <c r="I126" i="8"/>
  <c r="I1310" i="1"/>
  <c r="I142" i="8" s="1"/>
  <c r="I1661" i="1"/>
  <c r="I969" i="7" s="1"/>
  <c r="I1664" i="1"/>
  <c r="I972" i="7" s="1"/>
  <c r="I2056" i="1"/>
  <c r="I1095" i="7" s="1"/>
  <c r="I672" i="7"/>
  <c r="G1668" i="1"/>
  <c r="G976" i="7" s="1"/>
  <c r="G2057" i="1"/>
  <c r="G1096" i="7" s="1"/>
  <c r="G1388" i="1"/>
  <c r="G176" i="8" s="1"/>
  <c r="J1087" i="1"/>
  <c r="J491" i="7" s="1"/>
  <c r="J498" i="7"/>
  <c r="J1309" i="1"/>
  <c r="J140" i="8" s="1"/>
  <c r="H1666" i="1"/>
  <c r="H974" i="7" s="1"/>
  <c r="H973" i="7"/>
  <c r="J935" i="7"/>
  <c r="K1051" i="1"/>
  <c r="K459" i="7" s="1"/>
  <c r="G176" i="1"/>
  <c r="G47" i="8" s="1"/>
  <c r="G589" i="8"/>
  <c r="G173" i="8"/>
  <c r="G924" i="8"/>
  <c r="K456" i="1"/>
  <c r="L405" i="1"/>
  <c r="K174" i="7"/>
  <c r="J686" i="7"/>
  <c r="J149" i="8"/>
  <c r="L304" i="1"/>
  <c r="K443" i="1"/>
  <c r="L303" i="1"/>
  <c r="K65" i="7"/>
  <c r="J458" i="8" l="1"/>
  <c r="J932" i="7"/>
  <c r="K1094" i="1"/>
  <c r="K498" i="7" s="1"/>
  <c r="I141" i="8"/>
  <c r="I680" i="7"/>
  <c r="I1317" i="1"/>
  <c r="I154" i="8" s="1"/>
  <c r="I572" i="8"/>
  <c r="I573" i="8" s="1"/>
  <c r="I574" i="8" s="1"/>
  <c r="I921" i="8"/>
  <c r="I569" i="8"/>
  <c r="L171" i="7"/>
  <c r="L455" i="1"/>
  <c r="L221" i="7" s="1"/>
  <c r="L408" i="1"/>
  <c r="G46" i="8"/>
  <c r="K1577" i="1"/>
  <c r="K465" i="8" s="1"/>
  <c r="K222" i="7"/>
  <c r="G175" i="8"/>
  <c r="G922" i="8"/>
  <c r="G576" i="8"/>
  <c r="J139" i="8"/>
  <c r="J904" i="8" s="1"/>
  <c r="J679" i="7"/>
  <c r="J1302" i="1"/>
  <c r="J127" i="8" s="1"/>
  <c r="J1988" i="1"/>
  <c r="J1078" i="7" s="1"/>
  <c r="G2058" i="1"/>
  <c r="G1097" i="7" s="1"/>
  <c r="G1669" i="1"/>
  <c r="G977" i="7" s="1"/>
  <c r="I1665" i="1"/>
  <c r="K209" i="7"/>
  <c r="K1576" i="1"/>
  <c r="K463" i="8" s="1"/>
  <c r="K158" i="1"/>
  <c r="K157" i="1" s="1"/>
  <c r="L55" i="7"/>
  <c r="L313" i="1"/>
  <c r="L442" i="1"/>
  <c r="L54" i="7"/>
  <c r="K1087" i="1" l="1"/>
  <c r="K491" i="7" s="1"/>
  <c r="F570" i="8"/>
  <c r="K1309" i="1"/>
  <c r="K140" i="8" s="1"/>
  <c r="G923" i="8"/>
  <c r="G577" i="8"/>
  <c r="K464" i="8"/>
  <c r="K935" i="7"/>
  <c r="L174" i="7"/>
  <c r="L456" i="1"/>
  <c r="M405" i="1"/>
  <c r="J126" i="8"/>
  <c r="J1664" i="1"/>
  <c r="J672" i="7"/>
  <c r="J2056" i="1"/>
  <c r="J1095" i="7" s="1"/>
  <c r="J1661" i="1"/>
  <c r="J969" i="7" s="1"/>
  <c r="J1310" i="1"/>
  <c r="J142" i="8" s="1"/>
  <c r="I1666" i="1"/>
  <c r="I974" i="7" s="1"/>
  <c r="I973" i="7"/>
  <c r="I153" i="8"/>
  <c r="I687" i="7"/>
  <c r="L208" i="7"/>
  <c r="L1051" i="1"/>
  <c r="K934" i="7"/>
  <c r="K462" i="8"/>
  <c r="K1574" i="1"/>
  <c r="K459" i="8" s="1"/>
  <c r="L64" i="7"/>
  <c r="L314" i="1"/>
  <c r="K1158" i="1"/>
  <c r="K562" i="7" s="1"/>
  <c r="K1316" i="1"/>
  <c r="K150" i="8" s="1"/>
  <c r="K679" i="7" l="1"/>
  <c r="K139" i="8"/>
  <c r="K904" i="8" s="1"/>
  <c r="K1988" i="1"/>
  <c r="K1078" i="7" s="1"/>
  <c r="K1302" i="1"/>
  <c r="K127" i="8" s="1"/>
  <c r="J921" i="8"/>
  <c r="J572" i="8"/>
  <c r="J573" i="8" s="1"/>
  <c r="J574" i="8" s="1"/>
  <c r="J569" i="8"/>
  <c r="F1662" i="1"/>
  <c r="F970" i="7" s="1"/>
  <c r="M171" i="7"/>
  <c r="M455" i="1"/>
  <c r="M221" i="7" s="1"/>
  <c r="M408" i="1"/>
  <c r="N405" i="1" s="1"/>
  <c r="L222" i="7"/>
  <c r="L1577" i="1"/>
  <c r="L465" i="8" s="1"/>
  <c r="J141" i="8"/>
  <c r="J1317" i="1"/>
  <c r="J154" i="8" s="1"/>
  <c r="J680" i="7"/>
  <c r="J972" i="7"/>
  <c r="J1665" i="1"/>
  <c r="K458" i="8"/>
  <c r="K932" i="7"/>
  <c r="L443" i="1"/>
  <c r="M303" i="1"/>
  <c r="L65" i="7"/>
  <c r="M304" i="1"/>
  <c r="K149" i="8"/>
  <c r="K686" i="7"/>
  <c r="L1094" i="1"/>
  <c r="L459" i="7"/>
  <c r="N455" i="1" l="1"/>
  <c r="N408" i="1"/>
  <c r="K126" i="8"/>
  <c r="K569" i="8" s="1"/>
  <c r="K2056" i="1"/>
  <c r="K1095" i="7" s="1"/>
  <c r="K1664" i="1"/>
  <c r="K972" i="7" s="1"/>
  <c r="K1310" i="1"/>
  <c r="K142" i="8" s="1"/>
  <c r="K1661" i="1"/>
  <c r="K969" i="7" s="1"/>
  <c r="K672" i="7"/>
  <c r="J1666" i="1"/>
  <c r="J974" i="7" s="1"/>
  <c r="J973" i="7"/>
  <c r="J153" i="8"/>
  <c r="J687" i="7"/>
  <c r="G570" i="8"/>
  <c r="L464" i="8"/>
  <c r="L935" i="7"/>
  <c r="M174" i="7"/>
  <c r="M456" i="1"/>
  <c r="M442" i="1"/>
  <c r="M54" i="7"/>
  <c r="L1309" i="1"/>
  <c r="L140" i="8" s="1"/>
  <c r="L498" i="7"/>
  <c r="L1087" i="1"/>
  <c r="L491" i="7" s="1"/>
  <c r="L1576" i="1"/>
  <c r="L463" i="8" s="1"/>
  <c r="L209" i="7"/>
  <c r="L158" i="1"/>
  <c r="L157" i="1" s="1"/>
  <c r="M55" i="7"/>
  <c r="M313" i="1"/>
  <c r="N456" i="1" l="1"/>
  <c r="N1577" i="1" s="1"/>
  <c r="N465" i="8" s="1"/>
  <c r="N464" i="8" s="1"/>
  <c r="O405" i="1"/>
  <c r="K921" i="8"/>
  <c r="K572" i="8"/>
  <c r="K573" i="8" s="1"/>
  <c r="K574" i="8" s="1"/>
  <c r="K141" i="8"/>
  <c r="K680" i="7"/>
  <c r="K1317" i="1"/>
  <c r="K154" i="8" s="1"/>
  <c r="K1665" i="1"/>
  <c r="K973" i="7" s="1"/>
  <c r="N171" i="7"/>
  <c r="N221" i="7"/>
  <c r="M1577" i="1"/>
  <c r="M465" i="8" s="1"/>
  <c r="M222" i="7"/>
  <c r="G1662" i="1"/>
  <c r="G970" i="7" s="1"/>
  <c r="L462" i="8"/>
  <c r="L934" i="7"/>
  <c r="L1574" i="1"/>
  <c r="L459" i="8" s="1"/>
  <c r="L1316" i="1"/>
  <c r="L150" i="8" s="1"/>
  <c r="L1158" i="1"/>
  <c r="L562" i="7" s="1"/>
  <c r="L1988" i="1"/>
  <c r="L1302" i="1"/>
  <c r="L127" i="8" s="1"/>
  <c r="L679" i="7"/>
  <c r="M314" i="1"/>
  <c r="M64" i="7"/>
  <c r="M208" i="7"/>
  <c r="M1051" i="1"/>
  <c r="N304" i="1" l="1"/>
  <c r="N303" i="1"/>
  <c r="N442" i="1" s="1"/>
  <c r="N1051" i="1" s="1"/>
  <c r="N1094" i="1" s="1"/>
  <c r="O455" i="1"/>
  <c r="O408" i="1"/>
  <c r="K153" i="8"/>
  <c r="K687" i="7"/>
  <c r="K1666" i="1"/>
  <c r="K974" i="7" s="1"/>
  <c r="M464" i="8"/>
  <c r="M935" i="7"/>
  <c r="N174" i="7"/>
  <c r="L139" i="8"/>
  <c r="L458" i="8"/>
  <c r="L932" i="7"/>
  <c r="L672" i="7"/>
  <c r="L1310" i="1"/>
  <c r="L142" i="8" s="1"/>
  <c r="L1661" i="1"/>
  <c r="L969" i="7" s="1"/>
  <c r="L2056" i="1"/>
  <c r="L1664" i="1"/>
  <c r="L972" i="7" s="1"/>
  <c r="L686" i="7"/>
  <c r="M65" i="7"/>
  <c r="M443" i="1"/>
  <c r="L1078" i="7"/>
  <c r="M459" i="7"/>
  <c r="M1094" i="1"/>
  <c r="O456" i="1" l="1"/>
  <c r="O1577" i="1" s="1"/>
  <c r="O465" i="8" s="1"/>
  <c r="O464" i="8" s="1"/>
  <c r="P405" i="1"/>
  <c r="N1309" i="1"/>
  <c r="N1087" i="1"/>
  <c r="N313" i="1"/>
  <c r="O171" i="7"/>
  <c r="O221" i="7"/>
  <c r="N222" i="7"/>
  <c r="L1665" i="1"/>
  <c r="L1666" i="1" s="1"/>
  <c r="L974" i="7" s="1"/>
  <c r="M1309" i="1"/>
  <c r="M140" i="8" s="1"/>
  <c r="M1087" i="1"/>
  <c r="M491" i="7" s="1"/>
  <c r="M498" i="7"/>
  <c r="N55" i="7"/>
  <c r="L126" i="8"/>
  <c r="L904" i="8"/>
  <c r="N54" i="7"/>
  <c r="M209" i="7"/>
  <c r="M1576" i="1"/>
  <c r="M463" i="8" s="1"/>
  <c r="M158" i="1"/>
  <c r="M157" i="1" s="1"/>
  <c r="L1317" i="1"/>
  <c r="L154" i="8" s="1"/>
  <c r="L680" i="7"/>
  <c r="L149" i="8"/>
  <c r="L1095" i="7"/>
  <c r="N314" i="1" l="1"/>
  <c r="N1988" i="1"/>
  <c r="N140" i="8"/>
  <c r="N139" i="8" s="1"/>
  <c r="N904" i="8" s="1"/>
  <c r="N1302" i="1"/>
  <c r="P455" i="1"/>
  <c r="P408" i="1"/>
  <c r="N935" i="7"/>
  <c r="O174" i="7"/>
  <c r="L973" i="7"/>
  <c r="L141" i="8"/>
  <c r="M1316" i="1"/>
  <c r="M150" i="8" s="1"/>
  <c r="M1158" i="1"/>
  <c r="M562" i="7" s="1"/>
  <c r="L921" i="8"/>
  <c r="L687" i="7"/>
  <c r="N64" i="7"/>
  <c r="M1988" i="1"/>
  <c r="M679" i="7"/>
  <c r="M1302" i="1"/>
  <c r="M127" i="8" s="1"/>
  <c r="M462" i="8"/>
  <c r="M934" i="7"/>
  <c r="M1574" i="1"/>
  <c r="M459" i="8" s="1"/>
  <c r="N208" i="7"/>
  <c r="L569" i="8"/>
  <c r="L572" i="8"/>
  <c r="L573" i="8" s="1"/>
  <c r="L574" i="8" s="1"/>
  <c r="N127" i="8" l="1"/>
  <c r="N126" i="8" s="1"/>
  <c r="N1661" i="1"/>
  <c r="N1310" i="1"/>
  <c r="P456" i="1"/>
  <c r="P1577" i="1" s="1"/>
  <c r="P465" i="8" s="1"/>
  <c r="P464" i="8" s="1"/>
  <c r="Q405" i="1"/>
  <c r="O304" i="1"/>
  <c r="N443" i="1"/>
  <c r="O303" i="1"/>
  <c r="O442" i="1" s="1"/>
  <c r="O1051" i="1" s="1"/>
  <c r="O1094" i="1" s="1"/>
  <c r="O222" i="7"/>
  <c r="P171" i="7"/>
  <c r="M1078" i="7"/>
  <c r="M932" i="7"/>
  <c r="M458" i="8"/>
  <c r="M672" i="7"/>
  <c r="M1661" i="1"/>
  <c r="M969" i="7" s="1"/>
  <c r="M1310" i="1"/>
  <c r="M142" i="8" s="1"/>
  <c r="M2056" i="1"/>
  <c r="L153" i="8"/>
  <c r="M1664" i="1"/>
  <c r="M972" i="7" s="1"/>
  <c r="M686" i="7"/>
  <c r="N65" i="7"/>
  <c r="N459" i="7"/>
  <c r="M139" i="8"/>
  <c r="O313" i="1" l="1"/>
  <c r="Q455" i="1"/>
  <c r="Q408" i="1"/>
  <c r="Q456" i="1" s="1"/>
  <c r="Q1577" i="1" s="1"/>
  <c r="Q465" i="8" s="1"/>
  <c r="Q464" i="8" s="1"/>
  <c r="N142" i="8"/>
  <c r="N141" i="8" s="1"/>
  <c r="O314" i="1"/>
  <c r="N569" i="8"/>
  <c r="O1309" i="1"/>
  <c r="O1087" i="1"/>
  <c r="N1576" i="1"/>
  <c r="N158" i="1"/>
  <c r="N157" i="1" s="1"/>
  <c r="P221" i="7"/>
  <c r="P174" i="7"/>
  <c r="O935" i="7"/>
  <c r="N209" i="7"/>
  <c r="M680" i="7"/>
  <c r="M1317" i="1"/>
  <c r="M154" i="8" s="1"/>
  <c r="F1680" i="1"/>
  <c r="N491" i="7"/>
  <c r="N498" i="7"/>
  <c r="O54" i="7"/>
  <c r="M1095" i="7"/>
  <c r="M126" i="8"/>
  <c r="M904" i="8"/>
  <c r="O55" i="7"/>
  <c r="M149" i="8"/>
  <c r="M1665" i="1"/>
  <c r="O1988" i="1" l="1"/>
  <c r="O140" i="8"/>
  <c r="O139" i="8" s="1"/>
  <c r="O904" i="8" s="1"/>
  <c r="O1302" i="1"/>
  <c r="N1158" i="1"/>
  <c r="N1316" i="1"/>
  <c r="N463" i="8"/>
  <c r="N462" i="8" s="1"/>
  <c r="N1574" i="1"/>
  <c r="P304" i="1"/>
  <c r="O443" i="1"/>
  <c r="P303" i="1"/>
  <c r="P442" i="1" s="1"/>
  <c r="P1051" i="1" s="1"/>
  <c r="P1094" i="1" s="1"/>
  <c r="P222" i="7"/>
  <c r="F988" i="7"/>
  <c r="F1236" i="1"/>
  <c r="F639" i="7" s="1"/>
  <c r="M141" i="8"/>
  <c r="M973" i="7"/>
  <c r="M1666" i="1"/>
  <c r="M974" i="7" s="1"/>
  <c r="O64" i="7"/>
  <c r="N679" i="7"/>
  <c r="M687" i="7"/>
  <c r="N934" i="7"/>
  <c r="O208" i="7"/>
  <c r="N562" i="7"/>
  <c r="M569" i="8"/>
  <c r="M921" i="8"/>
  <c r="M572" i="8"/>
  <c r="M573" i="8" s="1"/>
  <c r="M574" i="8" s="1"/>
  <c r="P1309" i="1" l="1"/>
  <c r="P1087" i="1"/>
  <c r="N1581" i="1"/>
  <c r="N459" i="8"/>
  <c r="N458" i="8" s="1"/>
  <c r="P313" i="1"/>
  <c r="N150" i="8"/>
  <c r="N149" i="8" s="1"/>
  <c r="N2056" i="1"/>
  <c r="N1664" i="1"/>
  <c r="N1665" i="1" s="1"/>
  <c r="N1666" i="1" s="1"/>
  <c r="N1317" i="1"/>
  <c r="O127" i="8"/>
  <c r="O126" i="8" s="1"/>
  <c r="O1661" i="1"/>
  <c r="O1310" i="1"/>
  <c r="O1576" i="1"/>
  <c r="O158" i="1"/>
  <c r="O157" i="1" s="1"/>
  <c r="P935" i="7"/>
  <c r="M153" i="8"/>
  <c r="N686" i="7"/>
  <c r="N932" i="7"/>
  <c r="N969" i="7"/>
  <c r="N672" i="7"/>
  <c r="N972" i="7"/>
  <c r="O65" i="7"/>
  <c r="O459" i="7"/>
  <c r="N1078" i="7"/>
  <c r="O569" i="8" l="1"/>
  <c r="P314" i="1"/>
  <c r="O463" i="8"/>
  <c r="O462" i="8" s="1"/>
  <c r="O1574" i="1"/>
  <c r="O142" i="8"/>
  <c r="O141" i="8" s="1"/>
  <c r="N1660" i="1"/>
  <c r="N473" i="8"/>
  <c r="N472" i="8" s="1"/>
  <c r="N568" i="8" s="1"/>
  <c r="N572" i="8"/>
  <c r="N573" i="8" s="1"/>
  <c r="N574" i="8" s="1"/>
  <c r="N921" i="8"/>
  <c r="O1158" i="1"/>
  <c r="O1316" i="1"/>
  <c r="O1317" i="1" s="1"/>
  <c r="N1322" i="1"/>
  <c r="N1681" i="1" s="1"/>
  <c r="N154" i="8"/>
  <c r="N153" i="8" s="1"/>
  <c r="P1988" i="1"/>
  <c r="P140" i="8"/>
  <c r="P139" i="8" s="1"/>
  <c r="P904" i="8" s="1"/>
  <c r="P1302" i="1"/>
  <c r="N974" i="7"/>
  <c r="N680" i="7"/>
  <c r="P55" i="7"/>
  <c r="N1095" i="7"/>
  <c r="O209" i="7"/>
  <c r="O491" i="7"/>
  <c r="O498" i="7"/>
  <c r="P54" i="7"/>
  <c r="N2059" i="1" l="1"/>
  <c r="N1387" i="1"/>
  <c r="N175" i="1"/>
  <c r="N166" i="8"/>
  <c r="N165" i="8" s="1"/>
  <c r="N589" i="8" s="1"/>
  <c r="P127" i="8"/>
  <c r="P126" i="8" s="1"/>
  <c r="P1310" i="1"/>
  <c r="P1661" i="1"/>
  <c r="O150" i="8"/>
  <c r="O149" i="8" s="1"/>
  <c r="O2056" i="1"/>
  <c r="O1664" i="1"/>
  <c r="O1665" i="1" s="1"/>
  <c r="O1666" i="1" s="1"/>
  <c r="O1322" i="1"/>
  <c r="O1681" i="1" s="1"/>
  <c r="O154" i="8"/>
  <c r="O153" i="8" s="1"/>
  <c r="O1581" i="1"/>
  <c r="O459" i="8"/>
  <c r="O458" i="8" s="1"/>
  <c r="Q304" i="1"/>
  <c r="P443" i="1"/>
  <c r="Q303" i="1"/>
  <c r="Q442" i="1" s="1"/>
  <c r="Q1051" i="1" s="1"/>
  <c r="Q1094" i="1" s="1"/>
  <c r="N973" i="7"/>
  <c r="O562" i="7"/>
  <c r="P208" i="7"/>
  <c r="O679" i="7"/>
  <c r="N687" i="7"/>
  <c r="O934" i="7"/>
  <c r="P64" i="7"/>
  <c r="Q1309" i="1" l="1"/>
  <c r="Q1087" i="1"/>
  <c r="N176" i="1"/>
  <c r="N47" i="8" s="1"/>
  <c r="N46" i="8" s="1"/>
  <c r="O921" i="8"/>
  <c r="O572" i="8"/>
  <c r="O573" i="8" s="1"/>
  <c r="O574" i="8" s="1"/>
  <c r="N2057" i="1"/>
  <c r="N1388" i="1"/>
  <c r="N174" i="8"/>
  <c r="N1668" i="1"/>
  <c r="P569" i="8"/>
  <c r="N924" i="8"/>
  <c r="N173" i="8"/>
  <c r="P142" i="8"/>
  <c r="P141" i="8" s="1"/>
  <c r="P1576" i="1"/>
  <c r="P158" i="1"/>
  <c r="P157" i="1" s="1"/>
  <c r="Q313" i="1"/>
  <c r="Q314" i="1" s="1"/>
  <c r="Q443" i="1" s="1"/>
  <c r="Q1576" i="1" s="1"/>
  <c r="O1660" i="1"/>
  <c r="O473" i="8"/>
  <c r="O472" i="8" s="1"/>
  <c r="O568" i="8" s="1"/>
  <c r="O175" i="1"/>
  <c r="O2059" i="1"/>
  <c r="O1387" i="1"/>
  <c r="O166" i="8"/>
  <c r="O165" i="8" s="1"/>
  <c r="O589" i="8" s="1"/>
  <c r="O672" i="7"/>
  <c r="O969" i="7"/>
  <c r="P65" i="7"/>
  <c r="O932" i="7"/>
  <c r="O1078" i="7"/>
  <c r="P459" i="7"/>
  <c r="O972" i="7"/>
  <c r="O686" i="7"/>
  <c r="Q463" i="8" l="1"/>
  <c r="Q462" i="8" s="1"/>
  <c r="Q1574" i="1"/>
  <c r="P463" i="8"/>
  <c r="P462" i="8" s="1"/>
  <c r="P1574" i="1"/>
  <c r="Q158" i="1"/>
  <c r="Q157" i="1" s="1"/>
  <c r="P1158" i="1"/>
  <c r="P1316" i="1"/>
  <c r="O2057" i="1"/>
  <c r="O1388" i="1"/>
  <c r="O174" i="8"/>
  <c r="O1668" i="1"/>
  <c r="O924" i="8"/>
  <c r="O173" i="8"/>
  <c r="O176" i="1"/>
  <c r="O47" i="8" s="1"/>
  <c r="O46" i="8" s="1"/>
  <c r="O181" i="1"/>
  <c r="N2058" i="1"/>
  <c r="N176" i="8"/>
  <c r="N1669" i="1"/>
  <c r="N175" i="8"/>
  <c r="N922" i="8"/>
  <c r="N576" i="8"/>
  <c r="Q1988" i="1"/>
  <c r="Q140" i="8"/>
  <c r="Q139" i="8" s="1"/>
  <c r="Q904" i="8" s="1"/>
  <c r="Q1302" i="1"/>
  <c r="O680" i="7"/>
  <c r="P491" i="7"/>
  <c r="P498" i="7"/>
  <c r="P209" i="7"/>
  <c r="O1095" i="7"/>
  <c r="O2058" i="1" l="1"/>
  <c r="O176" i="8"/>
  <c r="O1669" i="1"/>
  <c r="P150" i="8"/>
  <c r="P149" i="8" s="1"/>
  <c r="P1664" i="1"/>
  <c r="P1665" i="1" s="1"/>
  <c r="P1666" i="1" s="1"/>
  <c r="P2056" i="1"/>
  <c r="P1317" i="1"/>
  <c r="Q127" i="8"/>
  <c r="Q126" i="8" s="1"/>
  <c r="Q1661" i="1"/>
  <c r="Q1310" i="1"/>
  <c r="Q1158" i="1"/>
  <c r="Q1316" i="1"/>
  <c r="Q150" i="8" s="1"/>
  <c r="Q149" i="8" s="1"/>
  <c r="O175" i="8"/>
  <c r="O922" i="8"/>
  <c r="O576" i="8"/>
  <c r="P1581" i="1"/>
  <c r="P459" i="8"/>
  <c r="P458" i="8" s="1"/>
  <c r="O182" i="1"/>
  <c r="O53" i="8" s="1"/>
  <c r="O52" i="8" s="1"/>
  <c r="Q1581" i="1"/>
  <c r="Q459" i="8"/>
  <c r="Q458" i="8" s="1"/>
  <c r="N923" i="8"/>
  <c r="N577" i="8"/>
  <c r="P562" i="7"/>
  <c r="O973" i="7"/>
  <c r="O974" i="7"/>
  <c r="P934" i="7"/>
  <c r="P679" i="7"/>
  <c r="O687" i="7"/>
  <c r="Q1660" i="1" l="1"/>
  <c r="Q473" i="8"/>
  <c r="Q472" i="8" s="1"/>
  <c r="Q568" i="8" s="1"/>
  <c r="Q1317" i="1"/>
  <c r="Q142" i="8"/>
  <c r="Q141" i="8" s="1"/>
  <c r="P1660" i="1"/>
  <c r="P473" i="8"/>
  <c r="P472" i="8" s="1"/>
  <c r="P568" i="8" s="1"/>
  <c r="Q2056" i="1"/>
  <c r="P921" i="8"/>
  <c r="P572" i="8"/>
  <c r="P573" i="8" s="1"/>
  <c r="P574" i="8" s="1"/>
  <c r="Q1664" i="1"/>
  <c r="Q1665" i="1" s="1"/>
  <c r="Q1666" i="1" s="1"/>
  <c r="Q572" i="8"/>
  <c r="Q573" i="8" s="1"/>
  <c r="Q574" i="8" s="1"/>
  <c r="Q921" i="8"/>
  <c r="Q569" i="8"/>
  <c r="O923" i="8"/>
  <c r="O577" i="8"/>
  <c r="P1322" i="1"/>
  <c r="P1681" i="1" s="1"/>
  <c r="P154" i="8"/>
  <c r="P153" i="8" s="1"/>
  <c r="P1078" i="7"/>
  <c r="P932" i="7"/>
  <c r="P972" i="7"/>
  <c r="P686" i="7"/>
  <c r="P969" i="7"/>
  <c r="P672" i="7"/>
  <c r="Q1322" i="1" l="1"/>
  <c r="Q1681" i="1" s="1"/>
  <c r="Q154" i="8"/>
  <c r="Q153" i="8" s="1"/>
  <c r="P2059" i="1"/>
  <c r="P1387" i="1"/>
  <c r="P175" i="1"/>
  <c r="P166" i="8"/>
  <c r="P165" i="8" s="1"/>
  <c r="P589" i="8" s="1"/>
  <c r="P973" i="7"/>
  <c r="P1095" i="7"/>
  <c r="P680" i="7"/>
  <c r="P1388" i="1" l="1"/>
  <c r="P2057" i="1"/>
  <c r="P174" i="8"/>
  <c r="P1668" i="1"/>
  <c r="P176" i="1"/>
  <c r="P47" i="8" s="1"/>
  <c r="P46" i="8" s="1"/>
  <c r="P181" i="1"/>
  <c r="Q2059" i="1"/>
  <c r="Q175" i="1"/>
  <c r="Q1387" i="1"/>
  <c r="Q166" i="8"/>
  <c r="Q165" i="8" s="1"/>
  <c r="Q589" i="8" s="1"/>
  <c r="P173" i="8"/>
  <c r="P924" i="8"/>
  <c r="P974" i="7"/>
  <c r="P687" i="7"/>
  <c r="Q2057" i="1" l="1"/>
  <c r="Q1388" i="1"/>
  <c r="Q174" i="8"/>
  <c r="Q1668" i="1"/>
  <c r="P182" i="1"/>
  <c r="P53" i="8" s="1"/>
  <c r="P52" i="8" s="1"/>
  <c r="Q924" i="8"/>
  <c r="Q173" i="8"/>
  <c r="Q176" i="1"/>
  <c r="Q47" i="8" s="1"/>
  <c r="Q46" i="8" s="1"/>
  <c r="Q181" i="1"/>
  <c r="P175" i="8"/>
  <c r="P922" i="8"/>
  <c r="P576" i="8"/>
  <c r="P2058" i="1"/>
  <c r="P176" i="8"/>
  <c r="P1669" i="1"/>
  <c r="Q171" i="7"/>
  <c r="S405" i="1"/>
  <c r="S171" i="7" s="1"/>
  <c r="Q80" i="7"/>
  <c r="S329" i="1"/>
  <c r="S80" i="7" s="1"/>
  <c r="Q81" i="7"/>
  <c r="S330" i="1"/>
  <c r="S81" i="7" s="1"/>
  <c r="P923" i="8" l="1"/>
  <c r="P577" i="8"/>
  <c r="Q2058" i="1"/>
  <c r="Q176" i="8"/>
  <c r="Q1669" i="1"/>
  <c r="Q182" i="1"/>
  <c r="Q53" i="8" s="1"/>
  <c r="Q52" i="8" s="1"/>
  <c r="Q922" i="8"/>
  <c r="Q175" i="8"/>
  <c r="Q576" i="8"/>
  <c r="Q221" i="7"/>
  <c r="S455" i="1"/>
  <c r="S221" i="7" s="1"/>
  <c r="Q91" i="7"/>
  <c r="Q90" i="7"/>
  <c r="Q174" i="7"/>
  <c r="Q923" i="8" l="1"/>
  <c r="Q577" i="8"/>
  <c r="Q222" i="7"/>
  <c r="Q935" i="7" l="1"/>
  <c r="Q157" i="7" l="1"/>
  <c r="S391" i="1"/>
  <c r="S157" i="7" s="1"/>
  <c r="Q165" i="7" l="1"/>
  <c r="Q104" i="7"/>
  <c r="S353" i="1"/>
  <c r="S104" i="7" s="1"/>
  <c r="Q257" i="7"/>
  <c r="S491" i="1"/>
  <c r="S257" i="7" s="1"/>
  <c r="Q166" i="7" l="1"/>
  <c r="Q234" i="7"/>
  <c r="S468" i="1"/>
  <c r="S234" i="7" s="1"/>
  <c r="Q113" i="7"/>
  <c r="Q258" i="7" l="1"/>
  <c r="Q114" i="7"/>
  <c r="Q928" i="7" l="1"/>
  <c r="Q235" i="7"/>
  <c r="Q936" i="7" l="1"/>
  <c r="Q54" i="7" l="1"/>
  <c r="S303" i="1"/>
  <c r="S54" i="7" s="1"/>
  <c r="Q55" i="7"/>
  <c r="S304" i="1"/>
  <c r="S55" i="7" s="1"/>
  <c r="Q208" i="7" l="1"/>
  <c r="S442" i="1"/>
  <c r="S208" i="7" s="1"/>
  <c r="Q64" i="7"/>
  <c r="Q459" i="7" l="1"/>
  <c r="S1051" i="1"/>
  <c r="S459" i="7" s="1"/>
  <c r="Q65" i="7"/>
  <c r="Q209" i="7" l="1"/>
  <c r="Q498" i="7"/>
  <c r="S1094" i="1"/>
  <c r="S498" i="7" s="1"/>
  <c r="Q679" i="7" l="1"/>
  <c r="S1309" i="1"/>
  <c r="S679" i="7" s="1"/>
  <c r="Q934" i="7"/>
  <c r="Q491" i="7"/>
  <c r="S1087" i="1"/>
  <c r="S491" i="7" s="1"/>
  <c r="Q562" i="7"/>
  <c r="S157" i="1"/>
  <c r="S140" i="8" l="1"/>
  <c r="Q1078" i="7"/>
  <c r="S1988" i="1"/>
  <c r="S1078" i="7" s="1"/>
  <c r="Q686" i="7"/>
  <c r="S1316" i="1"/>
  <c r="S686" i="7" s="1"/>
  <c r="Q932" i="7"/>
  <c r="Q972" i="7"/>
  <c r="Q969" i="7"/>
  <c r="Q672" i="7"/>
  <c r="S1302" i="1"/>
  <c r="S672" i="7" s="1"/>
  <c r="Q680" i="7" l="1"/>
  <c r="S1310" i="1"/>
  <c r="S680" i="7" s="1"/>
  <c r="Q1095" i="7"/>
  <c r="S2056" i="1"/>
  <c r="S1095" i="7" s="1"/>
  <c r="S904" i="8"/>
  <c r="S139" i="8"/>
  <c r="S127" i="8"/>
  <c r="S149" i="8"/>
  <c r="S150" i="8"/>
  <c r="Q974" i="7" l="1"/>
  <c r="Q973" i="7"/>
  <c r="S141" i="8"/>
  <c r="S142" i="8"/>
  <c r="S921" i="8"/>
  <c r="S126" i="8"/>
  <c r="Q687" i="7"/>
  <c r="S1317" i="1"/>
  <c r="S687" i="7" s="1"/>
  <c r="S154" i="8" l="1"/>
  <c r="S153" i="8" l="1"/>
  <c r="I475" i="1" l="1"/>
  <c r="I241" i="7" l="1"/>
  <c r="I495" i="1"/>
  <c r="I1274" i="1"/>
  <c r="I78" i="8" s="1"/>
  <c r="I476" i="1"/>
  <c r="I1439" i="1"/>
  <c r="I298" i="8" s="1"/>
  <c r="I242" i="7" l="1"/>
  <c r="I261" i="7"/>
  <c r="I481" i="1"/>
  <c r="I1990" i="1"/>
  <c r="I793" i="7"/>
  <c r="I2063" i="1"/>
  <c r="I1080" i="7" l="1"/>
  <c r="I77" i="8"/>
  <c r="I1102" i="7"/>
  <c r="J478" i="1"/>
  <c r="I478" i="1"/>
  <c r="I247" i="7"/>
  <c r="I125" i="1"/>
  <c r="I297" i="8"/>
  <c r="I244" i="7" l="1"/>
  <c r="I1430" i="1"/>
  <c r="I282" i="8" s="1"/>
  <c r="I1320" i="1"/>
  <c r="I162" i="8" s="1"/>
  <c r="I906" i="8"/>
  <c r="I928" i="8"/>
  <c r="I119" i="1"/>
  <c r="J244" i="7"/>
  <c r="J1430" i="1"/>
  <c r="J282" i="8" s="1"/>
  <c r="J1320" i="1"/>
  <c r="J162" i="8" s="1"/>
  <c r="I161" i="8" l="1"/>
  <c r="I690" i="7"/>
  <c r="I1322" i="1"/>
  <c r="I166" i="8" s="1"/>
  <c r="J784" i="7"/>
  <c r="J281" i="8"/>
  <c r="I281" i="8"/>
  <c r="I784" i="7"/>
  <c r="J161" i="8"/>
  <c r="J690" i="7"/>
  <c r="J1322" i="1"/>
  <c r="J166" i="8" s="1"/>
  <c r="J1681" i="1" l="1"/>
  <c r="J989" i="7" s="1"/>
  <c r="J165" i="8"/>
  <c r="J589" i="8" s="1"/>
  <c r="I1681" i="1"/>
  <c r="I989" i="7" s="1"/>
  <c r="I165" i="8"/>
  <c r="I589" i="8" s="1"/>
  <c r="I1387" i="1"/>
  <c r="I174" i="8" s="1"/>
  <c r="I692" i="7"/>
  <c r="I2059" i="1"/>
  <c r="I1098" i="7" s="1"/>
  <c r="I175" i="1"/>
  <c r="J692" i="7"/>
  <c r="J2059" i="1"/>
  <c r="J1098" i="7" s="1"/>
  <c r="J1387" i="1"/>
  <c r="J174" i="8" s="1"/>
  <c r="J175" i="1"/>
  <c r="J924" i="8" l="1"/>
  <c r="J173" i="8"/>
  <c r="J176" i="1"/>
  <c r="J47" i="8" s="1"/>
  <c r="I2057" i="1"/>
  <c r="I1096" i="7" s="1"/>
  <c r="I1388" i="1"/>
  <c r="I176" i="8" s="1"/>
  <c r="I1668" i="1"/>
  <c r="I976" i="7" s="1"/>
  <c r="I176" i="1"/>
  <c r="I47" i="8" s="1"/>
  <c r="I924" i="8"/>
  <c r="I173" i="8"/>
  <c r="J1388" i="1"/>
  <c r="J176" i="8" s="1"/>
  <c r="J1668" i="1"/>
  <c r="J976" i="7" s="1"/>
  <c r="J2057" i="1"/>
  <c r="J1096" i="7" s="1"/>
  <c r="I46" i="8" l="1"/>
  <c r="J46" i="8"/>
  <c r="J922" i="8"/>
  <c r="J576" i="8"/>
  <c r="J175" i="8"/>
  <c r="J1669" i="1"/>
  <c r="J977" i="7" s="1"/>
  <c r="J2058" i="1"/>
  <c r="J1097" i="7" s="1"/>
  <c r="I1669" i="1"/>
  <c r="I977" i="7" s="1"/>
  <c r="I2058" i="1"/>
  <c r="I1097" i="7" s="1"/>
  <c r="I922" i="8"/>
  <c r="I576" i="8"/>
  <c r="I175" i="8"/>
  <c r="J923" i="8" l="1"/>
  <c r="J577" i="8"/>
  <c r="I577" i="8"/>
  <c r="I923" i="8"/>
  <c r="K475" i="1"/>
  <c r="K1439" i="1" s="1"/>
  <c r="K298" i="8" s="1"/>
  <c r="K476" i="1" l="1"/>
  <c r="K2063" i="1"/>
  <c r="K1990" i="1"/>
  <c r="K793" i="7"/>
  <c r="S1439" i="1"/>
  <c r="S793" i="7" s="1"/>
  <c r="K495" i="1"/>
  <c r="S475" i="1"/>
  <c r="S241" i="7" s="1"/>
  <c r="K241" i="7"/>
  <c r="K1274" i="1"/>
  <c r="K78" i="8" s="1"/>
  <c r="G477" i="1" l="1"/>
  <c r="G479" i="1"/>
  <c r="G480" i="1"/>
  <c r="I477" i="1"/>
  <c r="F480" i="1"/>
  <c r="I479" i="1"/>
  <c r="J477" i="1"/>
  <c r="J479" i="1"/>
  <c r="K479" i="1"/>
  <c r="I480" i="1"/>
  <c r="H479" i="1"/>
  <c r="H482" i="1"/>
  <c r="G482" i="1"/>
  <c r="L479" i="1"/>
  <c r="H480" i="1"/>
  <c r="M479" i="1"/>
  <c r="K480" i="1"/>
  <c r="J480" i="1"/>
  <c r="L480" i="1"/>
  <c r="I482" i="1"/>
  <c r="M480" i="1"/>
  <c r="F479" i="1"/>
  <c r="L482" i="1"/>
  <c r="S298" i="8"/>
  <c r="K297" i="8"/>
  <c r="S495" i="1"/>
  <c r="S261" i="7" s="1"/>
  <c r="K261" i="7"/>
  <c r="J482" i="1"/>
  <c r="K481" i="1"/>
  <c r="S2063" i="1"/>
  <c r="S1102" i="7" s="1"/>
  <c r="K1102" i="7"/>
  <c r="S1274" i="1"/>
  <c r="S1990" i="1"/>
  <c r="S1080" i="7" s="1"/>
  <c r="K1080" i="7"/>
  <c r="S476" i="1"/>
  <c r="S242" i="7" s="1"/>
  <c r="K242" i="7"/>
  <c r="M482" i="1" l="1"/>
  <c r="M127" i="1" s="1"/>
  <c r="M129" i="1" s="1"/>
  <c r="K482" i="1"/>
  <c r="K248" i="7" s="1"/>
  <c r="J248" i="7"/>
  <c r="J127" i="1"/>
  <c r="J129" i="1" s="1"/>
  <c r="H477" i="1"/>
  <c r="H478" i="1"/>
  <c r="P246" i="7"/>
  <c r="N248" i="7"/>
  <c r="P248" i="7"/>
  <c r="L477" i="1"/>
  <c r="L478" i="1"/>
  <c r="J246" i="7"/>
  <c r="J1587" i="1"/>
  <c r="J483" i="8" s="1"/>
  <c r="H246" i="7"/>
  <c r="H1587" i="1"/>
  <c r="H483" i="8" s="1"/>
  <c r="H245" i="7"/>
  <c r="H1565" i="1"/>
  <c r="H442" i="8" s="1"/>
  <c r="J243" i="7"/>
  <c r="J1579" i="1"/>
  <c r="J469" i="8" s="1"/>
  <c r="G246" i="7"/>
  <c r="G1587" i="1"/>
  <c r="G483" i="8" s="1"/>
  <c r="N246" i="7"/>
  <c r="F245" i="7"/>
  <c r="F1565" i="1"/>
  <c r="Q246" i="7"/>
  <c r="O245" i="7"/>
  <c r="I248" i="7"/>
  <c r="I127" i="1"/>
  <c r="I129" i="1" s="1"/>
  <c r="K246" i="7"/>
  <c r="K1587" i="1"/>
  <c r="K483" i="8" s="1"/>
  <c r="L245" i="7"/>
  <c r="L1565" i="1"/>
  <c r="L442" i="8" s="1"/>
  <c r="I246" i="7"/>
  <c r="I1587" i="1"/>
  <c r="I483" i="8" s="1"/>
  <c r="I245" i="7"/>
  <c r="I1565" i="1"/>
  <c r="I442" i="8" s="1"/>
  <c r="G245" i="7"/>
  <c r="G1565" i="1"/>
  <c r="G442" i="8" s="1"/>
  <c r="Q248" i="7"/>
  <c r="L248" i="7"/>
  <c r="L127" i="1"/>
  <c r="L129" i="1" s="1"/>
  <c r="M246" i="7"/>
  <c r="M1587" i="1"/>
  <c r="M483" i="8" s="1"/>
  <c r="L246" i="7"/>
  <c r="L1587" i="1"/>
  <c r="L483" i="8" s="1"/>
  <c r="N245" i="7"/>
  <c r="G248" i="7"/>
  <c r="G127" i="1"/>
  <c r="G129" i="1" s="1"/>
  <c r="K245" i="7"/>
  <c r="K1565" i="1"/>
  <c r="K442" i="8" s="1"/>
  <c r="F246" i="7"/>
  <c r="F1587" i="1"/>
  <c r="Q245" i="7"/>
  <c r="S481" i="1"/>
  <c r="S247" i="7" s="1"/>
  <c r="K247" i="7"/>
  <c r="K125" i="1"/>
  <c r="S297" i="8"/>
  <c r="K906" i="8"/>
  <c r="S906" i="8" s="1"/>
  <c r="K928" i="8"/>
  <c r="S928" i="8" s="1"/>
  <c r="F482" i="1"/>
  <c r="P245" i="7"/>
  <c r="O248" i="7"/>
  <c r="S78" i="8"/>
  <c r="K77" i="8"/>
  <c r="S77" i="8" s="1"/>
  <c r="F477" i="1"/>
  <c r="M477" i="1"/>
  <c r="M478" i="1"/>
  <c r="O246" i="7"/>
  <c r="K477" i="1"/>
  <c r="K478" i="1"/>
  <c r="M245" i="7"/>
  <c r="M1565" i="1"/>
  <c r="M442" i="8" s="1"/>
  <c r="H248" i="7"/>
  <c r="H127" i="1"/>
  <c r="H129" i="1" s="1"/>
  <c r="J245" i="7"/>
  <c r="J1565" i="1"/>
  <c r="J442" i="8" s="1"/>
  <c r="I243" i="7"/>
  <c r="I1579" i="1"/>
  <c r="I469" i="8" s="1"/>
  <c r="G243" i="7"/>
  <c r="G1579" i="1"/>
  <c r="G469" i="8" s="1"/>
  <c r="K127" i="1" l="1"/>
  <c r="K129" i="1" s="1"/>
  <c r="M248" i="7"/>
  <c r="P244" i="7"/>
  <c r="S482" i="1"/>
  <c r="S248" i="7" s="1"/>
  <c r="F248" i="7"/>
  <c r="F127" i="1"/>
  <c r="P128" i="1" s="1"/>
  <c r="Q923" i="7"/>
  <c r="K923" i="7"/>
  <c r="K441" i="8"/>
  <c r="N923" i="7"/>
  <c r="G923" i="7"/>
  <c r="G441" i="8"/>
  <c r="I482" i="8"/>
  <c r="I945" i="7"/>
  <c r="I1585" i="1"/>
  <c r="I479" i="8" s="1"/>
  <c r="K945" i="7"/>
  <c r="K482" i="8"/>
  <c r="K1585" i="1"/>
  <c r="K479" i="8" s="1"/>
  <c r="O923" i="7"/>
  <c r="F923" i="7"/>
  <c r="F442" i="8"/>
  <c r="F441" i="8" s="1"/>
  <c r="G482" i="8"/>
  <c r="G945" i="7"/>
  <c r="G1585" i="1"/>
  <c r="G479" i="8" s="1"/>
  <c r="H923" i="7"/>
  <c r="H441" i="8"/>
  <c r="J482" i="8"/>
  <c r="J945" i="7"/>
  <c r="J1585" i="1"/>
  <c r="J479" i="8" s="1"/>
  <c r="O244" i="7"/>
  <c r="P945" i="7"/>
  <c r="N244" i="7"/>
  <c r="I937" i="7"/>
  <c r="I468" i="8"/>
  <c r="I1581" i="1"/>
  <c r="I473" i="8" s="1"/>
  <c r="G468" i="8"/>
  <c r="G937" i="7"/>
  <c r="G1581" i="1"/>
  <c r="G473" i="8" s="1"/>
  <c r="J923" i="7"/>
  <c r="J441" i="8"/>
  <c r="M923" i="7"/>
  <c r="M441" i="8"/>
  <c r="O945" i="7"/>
  <c r="Q243" i="7"/>
  <c r="P243" i="7"/>
  <c r="Q244" i="7"/>
  <c r="S125" i="1"/>
  <c r="K119" i="1"/>
  <c r="S119" i="1" s="1"/>
  <c r="O243" i="7"/>
  <c r="N243" i="7"/>
  <c r="K244" i="7"/>
  <c r="K1430" i="1"/>
  <c r="K282" i="8" s="1"/>
  <c r="K1320" i="1"/>
  <c r="K162" i="8" s="1"/>
  <c r="M244" i="7"/>
  <c r="M1430" i="1"/>
  <c r="M282" i="8" s="1"/>
  <c r="M1320" i="1"/>
  <c r="M162" i="8" s="1"/>
  <c r="F478" i="1"/>
  <c r="P923" i="7"/>
  <c r="F945" i="7"/>
  <c r="F483" i="8"/>
  <c r="F482" i="8" s="1"/>
  <c r="F1585" i="1"/>
  <c r="L482" i="8"/>
  <c r="L945" i="7"/>
  <c r="L1585" i="1"/>
  <c r="L479" i="8" s="1"/>
  <c r="M945" i="7"/>
  <c r="M482" i="8"/>
  <c r="M1585" i="1"/>
  <c r="M479" i="8" s="1"/>
  <c r="I923" i="7"/>
  <c r="I441" i="8"/>
  <c r="L923" i="7"/>
  <c r="L441" i="8"/>
  <c r="Q945" i="7"/>
  <c r="N945" i="7"/>
  <c r="J468" i="8"/>
  <c r="J937" i="7"/>
  <c r="J1581" i="1"/>
  <c r="J473" i="8" s="1"/>
  <c r="H482" i="8"/>
  <c r="H945" i="7"/>
  <c r="H1585" i="1"/>
  <c r="H479" i="8" s="1"/>
  <c r="L244" i="7"/>
  <c r="L1430" i="1"/>
  <c r="L282" i="8" s="1"/>
  <c r="L1320" i="1"/>
  <c r="L162" i="8" s="1"/>
  <c r="H244" i="7"/>
  <c r="H1430" i="1"/>
  <c r="H282" i="8" s="1"/>
  <c r="H1320" i="1"/>
  <c r="H162" i="8" s="1"/>
  <c r="K243" i="7"/>
  <c r="K1579" i="1"/>
  <c r="K469" i="8" s="1"/>
  <c r="M243" i="7"/>
  <c r="M1579" i="1"/>
  <c r="M469" i="8" s="1"/>
  <c r="F243" i="7"/>
  <c r="F1579" i="1"/>
  <c r="L243" i="7"/>
  <c r="L1579" i="1"/>
  <c r="L469" i="8" s="1"/>
  <c r="H243" i="7"/>
  <c r="H1579" i="1"/>
  <c r="H469" i="8" s="1"/>
  <c r="Q128" i="1" l="1"/>
  <c r="N128" i="1"/>
  <c r="O128" i="1"/>
  <c r="K128" i="1"/>
  <c r="L128" i="1"/>
  <c r="M128" i="1"/>
  <c r="H690" i="7"/>
  <c r="H161" i="8"/>
  <c r="H1322" i="1"/>
  <c r="H166" i="8" s="1"/>
  <c r="H478" i="8"/>
  <c r="H943" i="7"/>
  <c r="M161" i="8"/>
  <c r="M690" i="7"/>
  <c r="M1322" i="1"/>
  <c r="M166" i="8" s="1"/>
  <c r="O937" i="7"/>
  <c r="Q784" i="7"/>
  <c r="N690" i="7"/>
  <c r="N989" i="7"/>
  <c r="F1581" i="1"/>
  <c r="F937" i="7"/>
  <c r="F469" i="8"/>
  <c r="F468" i="8" s="1"/>
  <c r="K784" i="7"/>
  <c r="K281" i="8"/>
  <c r="H784" i="7"/>
  <c r="H281" i="8"/>
  <c r="L690" i="7"/>
  <c r="L161" i="8"/>
  <c r="L1322" i="1"/>
  <c r="L166" i="8" s="1"/>
  <c r="Q943" i="7"/>
  <c r="L943" i="7"/>
  <c r="L478" i="8"/>
  <c r="F479" i="8"/>
  <c r="F478" i="8" s="1"/>
  <c r="F943" i="7"/>
  <c r="M784" i="7"/>
  <c r="M281" i="8"/>
  <c r="Q937" i="7"/>
  <c r="I939" i="7"/>
  <c r="I472" i="8"/>
  <c r="N784" i="7"/>
  <c r="I943" i="7"/>
  <c r="I478" i="8"/>
  <c r="P690" i="7"/>
  <c r="P989" i="7"/>
  <c r="F244" i="7"/>
  <c r="S478" i="1"/>
  <c r="S244" i="7" s="1"/>
  <c r="F1430" i="1"/>
  <c r="F1320" i="1"/>
  <c r="N937" i="7"/>
  <c r="P937" i="7"/>
  <c r="G939" i="7"/>
  <c r="G472" i="8"/>
  <c r="O784" i="7"/>
  <c r="J478" i="8"/>
  <c r="J943" i="7"/>
  <c r="K943" i="7"/>
  <c r="K478" i="8"/>
  <c r="S127" i="1"/>
  <c r="G128" i="1"/>
  <c r="F128" i="1"/>
  <c r="H128" i="1"/>
  <c r="I128" i="1"/>
  <c r="J128" i="1"/>
  <c r="F129" i="1"/>
  <c r="P784" i="7"/>
  <c r="H937" i="7"/>
  <c r="H468" i="8"/>
  <c r="H1581" i="1"/>
  <c r="H473" i="8" s="1"/>
  <c r="K468" i="8"/>
  <c r="K937" i="7"/>
  <c r="K1581" i="1"/>
  <c r="K473" i="8" s="1"/>
  <c r="L468" i="8"/>
  <c r="L937" i="7"/>
  <c r="L1581" i="1"/>
  <c r="L473" i="8" s="1"/>
  <c r="M937" i="7"/>
  <c r="M468" i="8"/>
  <c r="M1581" i="1"/>
  <c r="M473" i="8" s="1"/>
  <c r="L784" i="7"/>
  <c r="L281" i="8"/>
  <c r="N943" i="7"/>
  <c r="M943" i="7"/>
  <c r="M478" i="8"/>
  <c r="J939" i="7"/>
  <c r="J472" i="8"/>
  <c r="K690" i="7"/>
  <c r="K161" i="8"/>
  <c r="K1322" i="1"/>
  <c r="K166" i="8" s="1"/>
  <c r="Q690" i="7"/>
  <c r="Q989" i="7"/>
  <c r="O943" i="7"/>
  <c r="P943" i="7"/>
  <c r="O690" i="7"/>
  <c r="O989" i="7"/>
  <c r="G943" i="7"/>
  <c r="G478" i="8"/>
  <c r="M1681" i="1" l="1"/>
  <c r="M989" i="7" s="1"/>
  <c r="M165" i="8"/>
  <c r="M589" i="8" s="1"/>
  <c r="H1681" i="1"/>
  <c r="H989" i="7" s="1"/>
  <c r="H165" i="8"/>
  <c r="H589" i="8" s="1"/>
  <c r="K1681" i="1"/>
  <c r="K989" i="7" s="1"/>
  <c r="K165" i="8"/>
  <c r="K589" i="8" s="1"/>
  <c r="L1681" i="1"/>
  <c r="L989" i="7" s="1"/>
  <c r="L165" i="8"/>
  <c r="L589" i="8" s="1"/>
  <c r="M939" i="7"/>
  <c r="M472" i="8"/>
  <c r="H939" i="7"/>
  <c r="H472" i="8"/>
  <c r="O939" i="7"/>
  <c r="P939" i="7"/>
  <c r="S1320" i="1"/>
  <c r="S690" i="7" s="1"/>
  <c r="F690" i="7"/>
  <c r="F162" i="8"/>
  <c r="F1322" i="1"/>
  <c r="P692" i="7"/>
  <c r="P1098" i="7"/>
  <c r="H692" i="7"/>
  <c r="H2059" i="1"/>
  <c r="H1098" i="7" s="1"/>
  <c r="H1387" i="1"/>
  <c r="H174" i="8" s="1"/>
  <c r="H175" i="1"/>
  <c r="O692" i="7"/>
  <c r="O1098" i="7"/>
  <c r="K939" i="7"/>
  <c r="K472" i="8"/>
  <c r="Q692" i="7"/>
  <c r="Q1098" i="7"/>
  <c r="L939" i="7"/>
  <c r="L472" i="8"/>
  <c r="S129" i="1"/>
  <c r="F131" i="1"/>
  <c r="F126" i="1"/>
  <c r="N939" i="7"/>
  <c r="S1430" i="1"/>
  <c r="S784" i="7" s="1"/>
  <c r="F784" i="7"/>
  <c r="F217" i="1"/>
  <c r="F282" i="8"/>
  <c r="Q939" i="7"/>
  <c r="K692" i="7"/>
  <c r="K2059" i="1"/>
  <c r="K1098" i="7" s="1"/>
  <c r="K1387" i="1"/>
  <c r="K174" i="8" s="1"/>
  <c r="K175" i="1"/>
  <c r="L692" i="7"/>
  <c r="L2059" i="1"/>
  <c r="L1098" i="7" s="1"/>
  <c r="L1387" i="1"/>
  <c r="L174" i="8" s="1"/>
  <c r="L175" i="1"/>
  <c r="F939" i="7"/>
  <c r="F473" i="8"/>
  <c r="F472" i="8" s="1"/>
  <c r="N692" i="7"/>
  <c r="N1098" i="7"/>
  <c r="M692" i="7"/>
  <c r="M2059" i="1"/>
  <c r="M1098" i="7" s="1"/>
  <c r="M1387" i="1"/>
  <c r="M174" i="8" s="1"/>
  <c r="M175" i="1"/>
  <c r="M924" i="8" l="1"/>
  <c r="M173" i="8"/>
  <c r="N1096" i="7"/>
  <c r="N976" i="7"/>
  <c r="M176" i="1"/>
  <c r="M47" i="8" s="1"/>
  <c r="M1668" i="1"/>
  <c r="M976" i="7" s="1"/>
  <c r="M2057" i="1"/>
  <c r="M1096" i="7" s="1"/>
  <c r="M1388" i="1"/>
  <c r="M176" i="8" s="1"/>
  <c r="K1668" i="1"/>
  <c r="K976" i="7" s="1"/>
  <c r="K1388" i="1"/>
  <c r="K176" i="8" s="1"/>
  <c r="K2057" i="1"/>
  <c r="K1096" i="7" s="1"/>
  <c r="S282" i="8"/>
  <c r="F281" i="8"/>
  <c r="F1154" i="1"/>
  <c r="O976" i="7"/>
  <c r="O1096" i="7"/>
  <c r="P1096" i="7"/>
  <c r="P976" i="7"/>
  <c r="F161" i="8"/>
  <c r="S161" i="8" s="1"/>
  <c r="S162" i="8"/>
  <c r="G131" i="1"/>
  <c r="G126" i="1"/>
  <c r="H924" i="8"/>
  <c r="H173" i="8"/>
  <c r="K173" i="8"/>
  <c r="K924" i="8"/>
  <c r="F218" i="1"/>
  <c r="F220" i="1" s="1"/>
  <c r="G219" i="1" s="1"/>
  <c r="L1668" i="1"/>
  <c r="L976" i="7" s="1"/>
  <c r="L2057" i="1"/>
  <c r="L1096" i="7" s="1"/>
  <c r="L1388" i="1"/>
  <c r="L176" i="8" s="1"/>
  <c r="H176" i="1"/>
  <c r="H47" i="8" s="1"/>
  <c r="L176" i="1"/>
  <c r="L47" i="8" s="1"/>
  <c r="L173" i="8"/>
  <c r="L924" i="8"/>
  <c r="K176" i="1"/>
  <c r="K47" i="8" s="1"/>
  <c r="F1569" i="1"/>
  <c r="Q1096" i="7"/>
  <c r="Q976" i="7"/>
  <c r="H1388" i="1"/>
  <c r="H176" i="8" s="1"/>
  <c r="H1668" i="1"/>
  <c r="H976" i="7" s="1"/>
  <c r="H2057" i="1"/>
  <c r="H1096" i="7" s="1"/>
  <c r="F1681" i="1"/>
  <c r="F989" i="7" s="1"/>
  <c r="F692" i="7"/>
  <c r="F2059" i="1"/>
  <c r="S1322" i="1"/>
  <c r="S692" i="7" s="1"/>
  <c r="F1387" i="1"/>
  <c r="F166" i="8"/>
  <c r="F175" i="1"/>
  <c r="M46" i="8" l="1"/>
  <c r="K46" i="8"/>
  <c r="H46" i="8"/>
  <c r="L46" i="8"/>
  <c r="F176" i="1"/>
  <c r="S175" i="1"/>
  <c r="F181" i="1"/>
  <c r="F185" i="1" s="1"/>
  <c r="F450" i="8"/>
  <c r="F449" i="8" s="1"/>
  <c r="F927" i="7"/>
  <c r="G1154" i="1"/>
  <c r="Q977" i="7"/>
  <c r="Q1097" i="7"/>
  <c r="S166" i="8"/>
  <c r="F165" i="8"/>
  <c r="F1098" i="7"/>
  <c r="S2059" i="1"/>
  <c r="S1098" i="7" s="1"/>
  <c r="H2058" i="1"/>
  <c r="H1097" i="7" s="1"/>
  <c r="H1669" i="1"/>
  <c r="H977" i="7" s="1"/>
  <c r="L1669" i="1"/>
  <c r="L977" i="7" s="1"/>
  <c r="L2058" i="1"/>
  <c r="L1097" i="7" s="1"/>
  <c r="K576" i="8"/>
  <c r="K175" i="8"/>
  <c r="K922" i="8"/>
  <c r="H576" i="8"/>
  <c r="H175" i="8"/>
  <c r="H922" i="8"/>
  <c r="H131" i="1"/>
  <c r="H126" i="1"/>
  <c r="G1569" i="1"/>
  <c r="G450" i="8" s="1"/>
  <c r="F558" i="7"/>
  <c r="M2058" i="1"/>
  <c r="M1097" i="7" s="1"/>
  <c r="M1669" i="1"/>
  <c r="M977" i="7" s="1"/>
  <c r="N1097" i="7"/>
  <c r="N977" i="7"/>
  <c r="M922" i="8"/>
  <c r="M576" i="8"/>
  <c r="M175" i="8"/>
  <c r="F174" i="8"/>
  <c r="S174" i="8" s="1"/>
  <c r="S1387" i="1"/>
  <c r="F2057" i="1"/>
  <c r="F1668" i="1"/>
  <c r="F976" i="7" s="1"/>
  <c r="F1388" i="1"/>
  <c r="O1097" i="7"/>
  <c r="O977" i="7"/>
  <c r="K1669" i="1"/>
  <c r="K977" i="7" s="1"/>
  <c r="K2058" i="1"/>
  <c r="K1097" i="7" s="1"/>
  <c r="L576" i="8"/>
  <c r="L922" i="8"/>
  <c r="L175" i="8"/>
  <c r="F221" i="1"/>
  <c r="P977" i="7"/>
  <c r="P1097" i="7"/>
  <c r="S281" i="8"/>
  <c r="F186" i="1" l="1"/>
  <c r="F57" i="8" s="1"/>
  <c r="G183" i="1"/>
  <c r="F1096" i="7"/>
  <c r="S2057" i="1"/>
  <c r="S1096" i="7" s="1"/>
  <c r="I131" i="1"/>
  <c r="I126" i="1"/>
  <c r="H1569" i="1"/>
  <c r="H450" i="8" s="1"/>
  <c r="L577" i="8"/>
  <c r="L923" i="8"/>
  <c r="K923" i="8"/>
  <c r="K577" i="8"/>
  <c r="G558" i="7"/>
  <c r="G217" i="1"/>
  <c r="F215" i="1"/>
  <c r="S1388" i="1"/>
  <c r="F1669" i="1"/>
  <c r="F977" i="7" s="1"/>
  <c r="F176" i="8"/>
  <c r="S176" i="8" s="1"/>
  <c r="F2058" i="1"/>
  <c r="G449" i="8"/>
  <c r="G927" i="7"/>
  <c r="H923" i="8"/>
  <c r="H577" i="8"/>
  <c r="M577" i="8"/>
  <c r="M923" i="8"/>
  <c r="H1154" i="1"/>
  <c r="F589" i="8"/>
  <c r="F173" i="8"/>
  <c r="S165" i="8"/>
  <c r="F924" i="8"/>
  <c r="S924" i="8" s="1"/>
  <c r="G181" i="1"/>
  <c r="F187" i="1"/>
  <c r="F182" i="1"/>
  <c r="F53" i="8" s="1"/>
  <c r="F52" i="8" s="1"/>
  <c r="F47" i="8"/>
  <c r="S176" i="1"/>
  <c r="F576" i="8" l="1"/>
  <c r="S173" i="8"/>
  <c r="F175" i="8"/>
  <c r="F922" i="8"/>
  <c r="S922" i="8" s="1"/>
  <c r="G218" i="1"/>
  <c r="G220" i="1" s="1"/>
  <c r="H219" i="1" s="1"/>
  <c r="H927" i="7"/>
  <c r="H449" i="8"/>
  <c r="F188" i="1"/>
  <c r="F59" i="8" s="1"/>
  <c r="F173" i="1"/>
  <c r="F1097" i="7"/>
  <c r="S2058" i="1"/>
  <c r="S1097" i="7" s="1"/>
  <c r="I1154" i="1"/>
  <c r="J131" i="1"/>
  <c r="J126" i="1"/>
  <c r="I1569" i="1"/>
  <c r="I450" i="8" s="1"/>
  <c r="G184" i="1"/>
  <c r="G55" i="8" s="1"/>
  <c r="G185" i="1"/>
  <c r="G186" i="1" s="1"/>
  <c r="G57" i="8" s="1"/>
  <c r="G182" i="1"/>
  <c r="G53" i="8" s="1"/>
  <c r="H181" i="1"/>
  <c r="F46" i="8"/>
  <c r="S47" i="8"/>
  <c r="H558" i="7"/>
  <c r="F216" i="1"/>
  <c r="G187" i="1" l="1"/>
  <c r="G188" i="1" s="1"/>
  <c r="G59" i="8" s="1"/>
  <c r="G52" i="8"/>
  <c r="H183" i="1"/>
  <c r="H185" i="1" s="1"/>
  <c r="H186" i="1" s="1"/>
  <c r="H57" i="8" s="1"/>
  <c r="F62" i="8"/>
  <c r="I927" i="7"/>
  <c r="I449" i="8"/>
  <c r="F56" i="8"/>
  <c r="G54" i="8" s="1"/>
  <c r="S46" i="8"/>
  <c r="J1154" i="1"/>
  <c r="H182" i="1"/>
  <c r="H53" i="8" s="1"/>
  <c r="I181" i="1"/>
  <c r="K131" i="1"/>
  <c r="K126" i="1"/>
  <c r="J1569" i="1"/>
  <c r="J450" i="8" s="1"/>
  <c r="I558" i="7"/>
  <c r="F1157" i="1"/>
  <c r="F1323" i="1"/>
  <c r="F1672" i="1" s="1"/>
  <c r="F174" i="1"/>
  <c r="F2022" i="1"/>
  <c r="F228" i="1"/>
  <c r="F2021" i="1"/>
  <c r="G221" i="1"/>
  <c r="F577" i="8"/>
  <c r="S175" i="8"/>
  <c r="F923" i="8"/>
  <c r="S923" i="8" s="1"/>
  <c r="G173" i="1" l="1"/>
  <c r="G174" i="1" s="1"/>
  <c r="G45" i="8" s="1"/>
  <c r="F1996" i="1"/>
  <c r="F1086" i="7" s="1"/>
  <c r="F980" i="7"/>
  <c r="F58" i="8"/>
  <c r="F44" i="8" s="1"/>
  <c r="G56" i="8"/>
  <c r="H54" i="8" s="1"/>
  <c r="H52" i="8"/>
  <c r="H184" i="1"/>
  <c r="H55" i="8" s="1"/>
  <c r="I183" i="1"/>
  <c r="I185" i="1" s="1"/>
  <c r="I186" i="1" s="1"/>
  <c r="I57" i="8" s="1"/>
  <c r="H187" i="1"/>
  <c r="H188" i="1" s="1"/>
  <c r="H59" i="8" s="1"/>
  <c r="F1428" i="1"/>
  <c r="F561" i="7"/>
  <c r="F1153" i="1"/>
  <c r="J927" i="7"/>
  <c r="J449" i="8"/>
  <c r="F2040" i="1"/>
  <c r="K1154" i="1"/>
  <c r="J558" i="7"/>
  <c r="G215" i="1"/>
  <c r="H217" i="1"/>
  <c r="F45" i="8"/>
  <c r="L131" i="1"/>
  <c r="L126" i="1"/>
  <c r="K1569" i="1"/>
  <c r="K450" i="8" s="1"/>
  <c r="I182" i="1"/>
  <c r="I53" i="8" s="1"/>
  <c r="J181" i="1"/>
  <c r="F2039" i="1"/>
  <c r="F693" i="7"/>
  <c r="F1389" i="1"/>
  <c r="F168" i="8"/>
  <c r="F1324" i="1"/>
  <c r="F1660" i="1" s="1"/>
  <c r="F968" i="7" s="1"/>
  <c r="F61" i="8"/>
  <c r="G228" i="1" l="1"/>
  <c r="G1428" i="1" s="1"/>
  <c r="G278" i="8" s="1"/>
  <c r="G58" i="8"/>
  <c r="G44" i="8" s="1"/>
  <c r="H56" i="8"/>
  <c r="H58" i="8" s="1"/>
  <c r="H44" i="8" s="1"/>
  <c r="I52" i="8"/>
  <c r="I184" i="1"/>
  <c r="I55" i="8" s="1"/>
  <c r="H173" i="1"/>
  <c r="H174" i="1" s="1"/>
  <c r="H45" i="8" s="1"/>
  <c r="G2021" i="1"/>
  <c r="G2039" i="1" s="1"/>
  <c r="G2046" i="1" s="1"/>
  <c r="J183" i="1"/>
  <c r="J184" i="1" s="1"/>
  <c r="J55" i="8" s="1"/>
  <c r="I187" i="1"/>
  <c r="I188" i="1" s="1"/>
  <c r="I59" i="8" s="1"/>
  <c r="H218" i="1"/>
  <c r="H220" i="1" s="1"/>
  <c r="I219" i="1" s="1"/>
  <c r="F184" i="8"/>
  <c r="F329" i="8"/>
  <c r="G2022" i="1"/>
  <c r="G1157" i="1"/>
  <c r="F557" i="7"/>
  <c r="F1588" i="1"/>
  <c r="F1171" i="1"/>
  <c r="F2046" i="1"/>
  <c r="L1154" i="1"/>
  <c r="F167" i="8"/>
  <c r="F580" i="8" s="1"/>
  <c r="F912" i="8" s="1"/>
  <c r="F178" i="8"/>
  <c r="F694" i="7"/>
  <c r="F2060" i="1"/>
  <c r="F1670" i="1"/>
  <c r="F978" i="7" s="1"/>
  <c r="F170" i="8"/>
  <c r="F1987" i="1"/>
  <c r="J182" i="1"/>
  <c r="J53" i="8" s="1"/>
  <c r="K181" i="1"/>
  <c r="K927" i="7"/>
  <c r="K449" i="8"/>
  <c r="F2047" i="1"/>
  <c r="F782" i="7"/>
  <c r="F278" i="8"/>
  <c r="F1433" i="1"/>
  <c r="M131" i="1"/>
  <c r="M126" i="1"/>
  <c r="L1569" i="1"/>
  <c r="L450" i="8" s="1"/>
  <c r="G216" i="1"/>
  <c r="G62" i="8" s="1"/>
  <c r="G1323" i="1"/>
  <c r="G168" i="8" s="1"/>
  <c r="K558" i="7"/>
  <c r="N131" i="1" l="1"/>
  <c r="N126" i="1"/>
  <c r="I54" i="8"/>
  <c r="I56" i="8" s="1"/>
  <c r="G1672" i="1"/>
  <c r="J52" i="8"/>
  <c r="J185" i="1"/>
  <c r="J186" i="1" s="1"/>
  <c r="J57" i="8" s="1"/>
  <c r="I173" i="1"/>
  <c r="I174" i="1" s="1"/>
  <c r="I45" i="8" s="1"/>
  <c r="L449" i="8"/>
  <c r="L927" i="7"/>
  <c r="F277" i="8"/>
  <c r="F938" i="8"/>
  <c r="F118" i="8"/>
  <c r="G1389" i="1"/>
  <c r="G178" i="8" s="1"/>
  <c r="G693" i="7"/>
  <c r="G1324" i="1"/>
  <c r="G170" i="8" s="1"/>
  <c r="M1154" i="1"/>
  <c r="F1099" i="7"/>
  <c r="M1569" i="1"/>
  <c r="M450" i="8" s="1"/>
  <c r="F177" i="8"/>
  <c r="F169" i="8"/>
  <c r="F568" i="8" s="1"/>
  <c r="L558" i="7"/>
  <c r="G561" i="7"/>
  <c r="G1153" i="1"/>
  <c r="H221" i="1"/>
  <c r="F787" i="7"/>
  <c r="F287" i="8"/>
  <c r="F1842" i="1"/>
  <c r="F1769" i="1"/>
  <c r="F1913" i="1"/>
  <c r="F575" i="7"/>
  <c r="F1172" i="1"/>
  <c r="G2040" i="1"/>
  <c r="K182" i="1"/>
  <c r="K53" i="8" s="1"/>
  <c r="L181" i="1"/>
  <c r="F1077" i="7"/>
  <c r="F946" i="7"/>
  <c r="F485" i="8"/>
  <c r="F484" i="8" s="1"/>
  <c r="F1593" i="1"/>
  <c r="G782" i="7"/>
  <c r="G277" i="8"/>
  <c r="G286" i="8" s="1"/>
  <c r="G1433" i="1"/>
  <c r="G287" i="8" s="1"/>
  <c r="N1154" i="1" l="1"/>
  <c r="O131" i="1"/>
  <c r="O126" i="1"/>
  <c r="N1569" i="1"/>
  <c r="N450" i="8" s="1"/>
  <c r="N449" i="8" s="1"/>
  <c r="J54" i="8"/>
  <c r="J56" i="8" s="1"/>
  <c r="J58" i="8" s="1"/>
  <c r="J44" i="8" s="1"/>
  <c r="I58" i="8"/>
  <c r="I44" i="8" s="1"/>
  <c r="G980" i="7"/>
  <c r="G1996" i="1"/>
  <c r="G1086" i="7" s="1"/>
  <c r="G1660" i="1"/>
  <c r="G968" i="7" s="1"/>
  <c r="K52" i="8"/>
  <c r="J187" i="1"/>
  <c r="J188" i="1" s="1"/>
  <c r="J59" i="8" s="1"/>
  <c r="K183" i="1"/>
  <c r="K185" i="1" s="1"/>
  <c r="K186" i="1" s="1"/>
  <c r="K57" i="8" s="1"/>
  <c r="L182" i="1"/>
  <c r="L53" i="8" s="1"/>
  <c r="M181" i="1"/>
  <c r="N181" i="1" s="1"/>
  <c r="F286" i="8"/>
  <c r="F951" i="7"/>
  <c r="F495" i="8"/>
  <c r="F494" i="8" s="1"/>
  <c r="G2047" i="1"/>
  <c r="M558" i="7"/>
  <c r="G2060" i="1"/>
  <c r="G694" i="7"/>
  <c r="G1670" i="1"/>
  <c r="G978" i="7" s="1"/>
  <c r="G1987" i="1"/>
  <c r="G61" i="8"/>
  <c r="G754" i="8"/>
  <c r="G679" i="8"/>
  <c r="G827" i="8"/>
  <c r="F905" i="8"/>
  <c r="F576" i="7"/>
  <c r="F1173" i="1"/>
  <c r="F1002" i="7"/>
  <c r="I217" i="1"/>
  <c r="H215" i="1"/>
  <c r="M927" i="7"/>
  <c r="M449" i="8"/>
  <c r="G787" i="7"/>
  <c r="G1842" i="1"/>
  <c r="G1913" i="1"/>
  <c r="G1769" i="1"/>
  <c r="G557" i="7"/>
  <c r="G1588" i="1"/>
  <c r="G485" i="8" s="1"/>
  <c r="G1171" i="1"/>
  <c r="F578" i="8"/>
  <c r="F903" i="8"/>
  <c r="F925" i="8"/>
  <c r="O1154" i="1" l="1"/>
  <c r="N182" i="1"/>
  <c r="N53" i="8" s="1"/>
  <c r="N52" i="8" s="1"/>
  <c r="P131" i="1"/>
  <c r="P126" i="1"/>
  <c r="O1569" i="1"/>
  <c r="O450" i="8" s="1"/>
  <c r="O449" i="8" s="1"/>
  <c r="K54" i="8"/>
  <c r="K56" i="8" s="1"/>
  <c r="K58" i="8" s="1"/>
  <c r="K44" i="8" s="1"/>
  <c r="L52" i="8"/>
  <c r="J173" i="1"/>
  <c r="J174" i="1" s="1"/>
  <c r="J45" i="8" s="1"/>
  <c r="K184" i="1"/>
  <c r="K55" i="8" s="1"/>
  <c r="L183" i="1"/>
  <c r="L184" i="1" s="1"/>
  <c r="L55" i="8" s="1"/>
  <c r="K187" i="1"/>
  <c r="K173" i="1" s="1"/>
  <c r="F902" i="8"/>
  <c r="I218" i="1"/>
  <c r="I220" i="1" s="1"/>
  <c r="J219" i="1" s="1"/>
  <c r="G1077" i="7"/>
  <c r="N558" i="7"/>
  <c r="G1002" i="7"/>
  <c r="G1099" i="7"/>
  <c r="G575" i="7"/>
  <c r="G1172" i="1"/>
  <c r="G946" i="7"/>
  <c r="G484" i="8"/>
  <c r="G1593" i="1"/>
  <c r="G495" i="8" s="1"/>
  <c r="F577" i="7"/>
  <c r="F1989" i="1"/>
  <c r="F1175" i="1"/>
  <c r="N927" i="7"/>
  <c r="H216" i="1"/>
  <c r="H62" i="8" s="1"/>
  <c r="H1323" i="1"/>
  <c r="H168" i="8" s="1"/>
  <c r="H2021" i="1"/>
  <c r="H2022" i="1"/>
  <c r="H1157" i="1"/>
  <c r="H228" i="1"/>
  <c r="G167" i="8"/>
  <c r="G580" i="8" s="1"/>
  <c r="G912" i="8" s="1"/>
  <c r="F679" i="8"/>
  <c r="F827" i="8"/>
  <c r="F754" i="8"/>
  <c r="M182" i="1"/>
  <c r="M53" i="8" s="1"/>
  <c r="P1154" i="1" l="1"/>
  <c r="Q131" i="1"/>
  <c r="Q1569" i="1" s="1"/>
  <c r="Q450" i="8" s="1"/>
  <c r="Q449" i="8" s="1"/>
  <c r="Q126" i="1"/>
  <c r="P1569" i="1"/>
  <c r="P450" i="8" s="1"/>
  <c r="P449" i="8" s="1"/>
  <c r="L54" i="8"/>
  <c r="L56" i="8" s="1"/>
  <c r="L58" i="8" s="1"/>
  <c r="L44" i="8" s="1"/>
  <c r="L185" i="1"/>
  <c r="M183" i="1" s="1"/>
  <c r="M52" i="8"/>
  <c r="K188" i="1"/>
  <c r="K59" i="8" s="1"/>
  <c r="G177" i="8"/>
  <c r="G169" i="8"/>
  <c r="G568" i="8" s="1"/>
  <c r="H1428" i="1"/>
  <c r="H278" i="8" s="1"/>
  <c r="H2039" i="1"/>
  <c r="H561" i="7"/>
  <c r="H1153" i="1"/>
  <c r="H693" i="7"/>
  <c r="H1389" i="1"/>
  <c r="H178" i="8" s="1"/>
  <c r="H1672" i="1"/>
  <c r="H1324" i="1"/>
  <c r="H170" i="8" s="1"/>
  <c r="G576" i="7"/>
  <c r="G1173" i="1"/>
  <c r="K174" i="1"/>
  <c r="K45" i="8" s="1"/>
  <c r="O558" i="7"/>
  <c r="F579" i="7"/>
  <c r="F1277" i="1"/>
  <c r="F1441" i="1"/>
  <c r="G951" i="7"/>
  <c r="G494" i="8"/>
  <c r="F909" i="8"/>
  <c r="H2040" i="1"/>
  <c r="F1079" i="7"/>
  <c r="F1986" i="1"/>
  <c r="G905" i="8"/>
  <c r="O927" i="7"/>
  <c r="I221" i="1"/>
  <c r="M185" i="1" l="1"/>
  <c r="N183" i="1" s="1"/>
  <c r="Q1154" i="1"/>
  <c r="M54" i="8"/>
  <c r="L187" i="1"/>
  <c r="L188" i="1" s="1"/>
  <c r="L59" i="8" s="1"/>
  <c r="L186" i="1"/>
  <c r="L57" i="8" s="1"/>
  <c r="H1660" i="1"/>
  <c r="H968" i="7" s="1"/>
  <c r="M184" i="1"/>
  <c r="M55" i="8" s="1"/>
  <c r="F795" i="7"/>
  <c r="F2064" i="1"/>
  <c r="F302" i="8"/>
  <c r="F1444" i="1"/>
  <c r="F1385" i="1" s="1"/>
  <c r="H61" i="8"/>
  <c r="Q927" i="7"/>
  <c r="H694" i="7"/>
  <c r="H1670" i="1"/>
  <c r="H978" i="7" s="1"/>
  <c r="H2060" i="1"/>
  <c r="H1662" i="1"/>
  <c r="H970" i="7" s="1"/>
  <c r="H1987" i="1"/>
  <c r="P558" i="7"/>
  <c r="G578" i="8"/>
  <c r="G925" i="8"/>
  <c r="G903" i="8"/>
  <c r="J217" i="1"/>
  <c r="I215" i="1"/>
  <c r="F84" i="8"/>
  <c r="F1269" i="1"/>
  <c r="G577" i="7"/>
  <c r="G1989" i="1"/>
  <c r="G1175" i="1"/>
  <c r="H980" i="7"/>
  <c r="H1996" i="1"/>
  <c r="H1086" i="7" s="1"/>
  <c r="H557" i="7"/>
  <c r="H1588" i="1"/>
  <c r="H485" i="8" s="1"/>
  <c r="H1171" i="1"/>
  <c r="H782" i="7"/>
  <c r="H1433" i="1"/>
  <c r="H287" i="8" s="1"/>
  <c r="M186" i="1"/>
  <c r="M57" i="8" s="1"/>
  <c r="P927" i="7"/>
  <c r="F1076" i="7"/>
  <c r="F1993" i="1"/>
  <c r="H2047" i="1"/>
  <c r="S126" i="1"/>
  <c r="H2046" i="1"/>
  <c r="M187" i="1" l="1"/>
  <c r="N184" i="1"/>
  <c r="N55" i="8" s="1"/>
  <c r="N185" i="1"/>
  <c r="M56" i="8"/>
  <c r="N54" i="8" s="1"/>
  <c r="L173" i="1"/>
  <c r="L174" i="1" s="1"/>
  <c r="L45" i="8" s="1"/>
  <c r="F1391" i="1"/>
  <c r="F181" i="8"/>
  <c r="F180" i="8" s="1"/>
  <c r="F182" i="8" s="1"/>
  <c r="F926" i="8" s="1"/>
  <c r="F1452" i="1"/>
  <c r="F1290" i="1"/>
  <c r="M188" i="1"/>
  <c r="M59" i="8" s="1"/>
  <c r="M173" i="1"/>
  <c r="H575" i="7"/>
  <c r="H1172" i="1"/>
  <c r="G902" i="8"/>
  <c r="H1099" i="7"/>
  <c r="H167" i="8"/>
  <c r="F1103" i="7"/>
  <c r="H787" i="7"/>
  <c r="H1842" i="1"/>
  <c r="H1913" i="1"/>
  <c r="H1769" i="1"/>
  <c r="H946" i="7"/>
  <c r="H484" i="8"/>
  <c r="H1593" i="1"/>
  <c r="H495" i="8" s="1"/>
  <c r="G579" i="7"/>
  <c r="G1277" i="1"/>
  <c r="G84" i="8" s="1"/>
  <c r="G1441" i="1"/>
  <c r="G302" i="8" s="1"/>
  <c r="I216" i="1"/>
  <c r="I62" i="8" s="1"/>
  <c r="I2021" i="1"/>
  <c r="I1157" i="1"/>
  <c r="I2022" i="1"/>
  <c r="I1323" i="1"/>
  <c r="I168" i="8" s="1"/>
  <c r="I228" i="1"/>
  <c r="H1077" i="7"/>
  <c r="F798" i="7"/>
  <c r="F1771" i="1"/>
  <c r="F1915" i="1"/>
  <c r="F1844" i="1"/>
  <c r="F307" i="8"/>
  <c r="G1079" i="7"/>
  <c r="G1986" i="1"/>
  <c r="F69" i="8"/>
  <c r="J218" i="1"/>
  <c r="F301" i="8"/>
  <c r="F1083" i="7"/>
  <c r="Q558" i="7"/>
  <c r="H277" i="8"/>
  <c r="F83" i="8"/>
  <c r="M58" i="8" l="1"/>
  <c r="M44" i="8" s="1"/>
  <c r="N56" i="8"/>
  <c r="N58" i="8" s="1"/>
  <c r="N44" i="8" s="1"/>
  <c r="N186" i="1"/>
  <c r="N57" i="8" s="1"/>
  <c r="N187" i="1"/>
  <c r="O183" i="1"/>
  <c r="F106" i="8"/>
  <c r="F105" i="8" s="1"/>
  <c r="F1287" i="1"/>
  <c r="F101" i="8" s="1"/>
  <c r="F100" i="8" s="1"/>
  <c r="F1921" i="1"/>
  <c r="F1925" i="1" s="1"/>
  <c r="F806" i="7"/>
  <c r="F322" i="8"/>
  <c r="F321" i="8" s="1"/>
  <c r="F835" i="8" s="1"/>
  <c r="F1454" i="1"/>
  <c r="F183" i="8"/>
  <c r="F2061" i="1"/>
  <c r="F1100" i="7" s="1"/>
  <c r="F1393" i="1"/>
  <c r="I2040" i="1"/>
  <c r="H1002" i="7"/>
  <c r="H286" i="8"/>
  <c r="F1004" i="7"/>
  <c r="F1781" i="1"/>
  <c r="I561" i="7"/>
  <c r="I1153" i="1"/>
  <c r="G1269" i="1"/>
  <c r="G69" i="8" s="1"/>
  <c r="H177" i="8"/>
  <c r="H169" i="8"/>
  <c r="H568" i="8" s="1"/>
  <c r="H580" i="8"/>
  <c r="H912" i="8" s="1"/>
  <c r="G909" i="8"/>
  <c r="H905" i="8"/>
  <c r="J220" i="1"/>
  <c r="K219" i="1" s="1"/>
  <c r="F306" i="8"/>
  <c r="I1428" i="1"/>
  <c r="I278" i="8" s="1"/>
  <c r="I2039" i="1"/>
  <c r="H576" i="7"/>
  <c r="H1173" i="1"/>
  <c r="G795" i="7"/>
  <c r="G2064" i="1"/>
  <c r="G1444" i="1"/>
  <c r="G307" i="8" s="1"/>
  <c r="M174" i="1"/>
  <c r="M45" i="8" s="1"/>
  <c r="G1076" i="7"/>
  <c r="G1993" i="1"/>
  <c r="F929" i="8"/>
  <c r="F68" i="8"/>
  <c r="F1854" i="1"/>
  <c r="I693" i="7"/>
  <c r="I1672" i="1"/>
  <c r="I1389" i="1"/>
  <c r="I178" i="8" s="1"/>
  <c r="I1324" i="1"/>
  <c r="I170" i="8" s="1"/>
  <c r="H951" i="7"/>
  <c r="H494" i="8"/>
  <c r="O184" i="1" l="1"/>
  <c r="O55" i="8" s="1"/>
  <c r="O185" i="1"/>
  <c r="N188" i="1"/>
  <c r="N59" i="8" s="1"/>
  <c r="N173" i="1"/>
  <c r="O54" i="8"/>
  <c r="G1385" i="1"/>
  <c r="G181" i="8" s="1"/>
  <c r="I1660" i="1"/>
  <c r="I968" i="7" s="1"/>
  <c r="F808" i="7"/>
  <c r="F325" i="8"/>
  <c r="F324" i="8" s="1"/>
  <c r="F327" i="8" s="1"/>
  <c r="F1456" i="1"/>
  <c r="F1598" i="1"/>
  <c r="G1392" i="1"/>
  <c r="F187" i="8"/>
  <c r="F186" i="8" s="1"/>
  <c r="F502" i="8" s="1"/>
  <c r="F506" i="8" s="1"/>
  <c r="I980" i="7"/>
  <c r="I1996" i="1"/>
  <c r="I1086" i="7" s="1"/>
  <c r="G1083" i="7"/>
  <c r="J221" i="1"/>
  <c r="G83" i="8"/>
  <c r="F1014" i="7"/>
  <c r="F1797" i="1"/>
  <c r="F1786" i="1"/>
  <c r="F1799" i="1"/>
  <c r="F1795" i="1"/>
  <c r="F1782" i="1"/>
  <c r="I2047" i="1"/>
  <c r="F1859" i="1"/>
  <c r="F1872" i="1"/>
  <c r="F1868" i="1"/>
  <c r="F1870" i="1"/>
  <c r="F1855" i="1"/>
  <c r="G1103" i="7"/>
  <c r="I2046" i="1"/>
  <c r="H570" i="8"/>
  <c r="H925" i="8"/>
  <c r="H578" i="8"/>
  <c r="H903" i="8"/>
  <c r="H827" i="8"/>
  <c r="H679" i="8"/>
  <c r="H754" i="8"/>
  <c r="I61" i="8"/>
  <c r="G798" i="7"/>
  <c r="G1771" i="1"/>
  <c r="G1915" i="1"/>
  <c r="G1844" i="1"/>
  <c r="H1989" i="1"/>
  <c r="H577" i="7"/>
  <c r="H1175" i="1"/>
  <c r="I782" i="7"/>
  <c r="I1433" i="1"/>
  <c r="I287" i="8" s="1"/>
  <c r="F1943" i="1"/>
  <c r="F1941" i="1"/>
  <c r="F1930" i="1"/>
  <c r="F1939" i="1"/>
  <c r="F1926" i="1"/>
  <c r="I694" i="7"/>
  <c r="I1662" i="1"/>
  <c r="I970" i="7" s="1"/>
  <c r="I1670" i="1"/>
  <c r="I978" i="7" s="1"/>
  <c r="I2060" i="1"/>
  <c r="I1987" i="1"/>
  <c r="G301" i="8"/>
  <c r="F829" i="8"/>
  <c r="F756" i="8"/>
  <c r="F681" i="8"/>
  <c r="I557" i="7"/>
  <c r="I1588" i="1"/>
  <c r="I485" i="8" s="1"/>
  <c r="I1171" i="1"/>
  <c r="N174" i="1" l="1"/>
  <c r="N45" i="8" s="1"/>
  <c r="O186" i="1"/>
  <c r="O57" i="8" s="1"/>
  <c r="O187" i="1"/>
  <c r="O56" i="8"/>
  <c r="O58" i="8" s="1"/>
  <c r="O44" i="8" s="1"/>
  <c r="G185" i="8"/>
  <c r="G184" i="8" s="1"/>
  <c r="P183" i="1"/>
  <c r="G1391" i="1"/>
  <c r="G183" i="8" s="1"/>
  <c r="G180" i="8"/>
  <c r="G182" i="8" s="1"/>
  <c r="G926" i="8" s="1"/>
  <c r="G1290" i="1"/>
  <c r="G106" i="8" s="1"/>
  <c r="G1452" i="1"/>
  <c r="G322" i="8" s="1"/>
  <c r="F509" i="8"/>
  <c r="F586" i="8"/>
  <c r="F956" i="7"/>
  <c r="F1600" i="1"/>
  <c r="F503" i="8"/>
  <c r="F810" i="7"/>
  <c r="F2072" i="1"/>
  <c r="F1111" i="7" s="1"/>
  <c r="F328" i="8"/>
  <c r="F1458" i="1"/>
  <c r="F937" i="8"/>
  <c r="I946" i="7"/>
  <c r="I484" i="8"/>
  <c r="I1593" i="1"/>
  <c r="I495" i="8" s="1"/>
  <c r="I1077" i="7"/>
  <c r="F1944" i="1"/>
  <c r="I277" i="8"/>
  <c r="H902" i="8"/>
  <c r="F1019" i="7"/>
  <c r="F1787" i="1"/>
  <c r="Q1788" i="1" s="1"/>
  <c r="F766" i="8"/>
  <c r="H579" i="7"/>
  <c r="H1277" i="1"/>
  <c r="H84" i="8" s="1"/>
  <c r="H1441" i="1"/>
  <c r="H302" i="8" s="1"/>
  <c r="G1004" i="7"/>
  <c r="G1781" i="1"/>
  <c r="F1028" i="7"/>
  <c r="F1030" i="7"/>
  <c r="F1798" i="1"/>
  <c r="I575" i="7"/>
  <c r="I1172" i="1"/>
  <c r="F691" i="8"/>
  <c r="F1927" i="1"/>
  <c r="G68" i="8"/>
  <c r="F1871" i="1"/>
  <c r="F1015" i="7"/>
  <c r="F1783" i="1"/>
  <c r="J215" i="1"/>
  <c r="K217" i="1"/>
  <c r="G929" i="8"/>
  <c r="I167" i="8"/>
  <c r="F839" i="8"/>
  <c r="I1099" i="7"/>
  <c r="F1931" i="1"/>
  <c r="Q1932" i="1" s="1"/>
  <c r="I787" i="7"/>
  <c r="I1842" i="1"/>
  <c r="I1913" i="1"/>
  <c r="I1769" i="1"/>
  <c r="G306" i="8"/>
  <c r="F1873" i="1"/>
  <c r="F1942" i="1"/>
  <c r="H1079" i="7"/>
  <c r="H1986" i="1"/>
  <c r="G1854" i="1"/>
  <c r="G1859" i="1" s="1"/>
  <c r="F1856" i="1"/>
  <c r="F1860" i="1"/>
  <c r="Q1861" i="1" s="1"/>
  <c r="F1032" i="7"/>
  <c r="F1800" i="1"/>
  <c r="P54" i="8" l="1"/>
  <c r="O188" i="1"/>
  <c r="O59" i="8" s="1"/>
  <c r="O173" i="1"/>
  <c r="P184" i="1"/>
  <c r="P55" i="8" s="1"/>
  <c r="P185" i="1"/>
  <c r="Q183" i="1" s="1"/>
  <c r="G321" i="8"/>
  <c r="G835" i="8" s="1"/>
  <c r="G1454" i="1"/>
  <c r="G325" i="8" s="1"/>
  <c r="G1921" i="1"/>
  <c r="G1925" i="1" s="1"/>
  <c r="G1930" i="1" s="1"/>
  <c r="G1931" i="1" s="1"/>
  <c r="P1932" i="1" s="1"/>
  <c r="G806" i="7"/>
  <c r="G105" i="8"/>
  <c r="G1287" i="1"/>
  <c r="G2061" i="1"/>
  <c r="G1100" i="7" s="1"/>
  <c r="G1393" i="1"/>
  <c r="G187" i="8" s="1"/>
  <c r="F507" i="8"/>
  <c r="F1602" i="1"/>
  <c r="F1678" i="1"/>
  <c r="F986" i="7" s="1"/>
  <c r="F958" i="7"/>
  <c r="F1659" i="1"/>
  <c r="F967" i="7" s="1"/>
  <c r="F1295" i="1"/>
  <c r="F1237" i="1"/>
  <c r="F640" i="7" s="1"/>
  <c r="F1198" i="1"/>
  <c r="F1294" i="1"/>
  <c r="F1239" i="1"/>
  <c r="F1563" i="1"/>
  <c r="F1196" i="1"/>
  <c r="F600" i="7" s="1"/>
  <c r="F2074" i="1"/>
  <c r="F1113" i="7" s="1"/>
  <c r="G1457" i="1"/>
  <c r="G330" i="8" s="1"/>
  <c r="F332" i="8"/>
  <c r="F331" i="8" s="1"/>
  <c r="F812" i="7"/>
  <c r="F587" i="8"/>
  <c r="F585" i="8"/>
  <c r="G1860" i="1"/>
  <c r="P1861" i="1" s="1"/>
  <c r="H1076" i="7"/>
  <c r="H1993" i="1"/>
  <c r="K218" i="1"/>
  <c r="F707" i="8"/>
  <c r="F705" i="8"/>
  <c r="F696" i="8"/>
  <c r="F709" i="8"/>
  <c r="F692" i="8"/>
  <c r="G1014" i="7"/>
  <c r="G1782" i="1"/>
  <c r="G1783" i="1" s="1"/>
  <c r="G1795" i="1"/>
  <c r="G1797" i="1"/>
  <c r="G1799" i="1"/>
  <c r="H1269" i="1"/>
  <c r="H69" i="8" s="1"/>
  <c r="I905" i="8"/>
  <c r="I1002" i="7"/>
  <c r="F1033" i="7"/>
  <c r="G681" i="8"/>
  <c r="G829" i="8"/>
  <c r="G756" i="8"/>
  <c r="F844" i="8"/>
  <c r="F855" i="8"/>
  <c r="F853" i="8"/>
  <c r="F857" i="8"/>
  <c r="F840" i="8"/>
  <c r="I177" i="8"/>
  <c r="I580" i="8"/>
  <c r="I912" i="8" s="1"/>
  <c r="I169" i="8"/>
  <c r="I568" i="8" s="1"/>
  <c r="J216" i="1"/>
  <c r="J62" i="8" s="1"/>
  <c r="J1323" i="1"/>
  <c r="J168" i="8" s="1"/>
  <c r="J2022" i="1"/>
  <c r="J2021" i="1"/>
  <c r="J1157" i="1"/>
  <c r="J228" i="1"/>
  <c r="F1031" i="7"/>
  <c r="G1786" i="1"/>
  <c r="H909" i="8"/>
  <c r="I286" i="8"/>
  <c r="G1855" i="1"/>
  <c r="G1856" i="1" s="1"/>
  <c r="G1868" i="1"/>
  <c r="G1870" i="1"/>
  <c r="G1872" i="1"/>
  <c r="I576" i="7"/>
  <c r="I1173" i="1"/>
  <c r="Q1021" i="7"/>
  <c r="F1020" i="7"/>
  <c r="F1865" i="1"/>
  <c r="Q1866" i="1" s="1"/>
  <c r="F1936" i="1"/>
  <c r="Q1937" i="1" s="1"/>
  <c r="F1016" i="7"/>
  <c r="F1792" i="1"/>
  <c r="Q1793" i="1" s="1"/>
  <c r="H795" i="7"/>
  <c r="H2064" i="1"/>
  <c r="H1444" i="1"/>
  <c r="H307" i="8" s="1"/>
  <c r="F782" i="8"/>
  <c r="F780" i="8"/>
  <c r="F771" i="8"/>
  <c r="F767" i="8"/>
  <c r="F784" i="8"/>
  <c r="I951" i="7"/>
  <c r="I494" i="8"/>
  <c r="G1941" i="1" l="1"/>
  <c r="G1942" i="1" s="1"/>
  <c r="Q184" i="1"/>
  <c r="Q55" i="8" s="1"/>
  <c r="Q185" i="1"/>
  <c r="O174" i="1"/>
  <c r="O45" i="8" s="1"/>
  <c r="P56" i="8"/>
  <c r="P58" i="8" s="1"/>
  <c r="P44" i="8" s="1"/>
  <c r="G1939" i="1"/>
  <c r="P186" i="1"/>
  <c r="P57" i="8" s="1"/>
  <c r="P187" i="1"/>
  <c r="G101" i="8"/>
  <c r="G100" i="8" s="1"/>
  <c r="F1197" i="1"/>
  <c r="F1238" i="1"/>
  <c r="G1943" i="1"/>
  <c r="G1944" i="1" s="1"/>
  <c r="G1926" i="1"/>
  <c r="G1927" i="1" s="1"/>
  <c r="G186" i="8"/>
  <c r="G502" i="8" s="1"/>
  <c r="G506" i="8" s="1"/>
  <c r="G1598" i="1"/>
  <c r="G503" i="8" s="1"/>
  <c r="H1392" i="1"/>
  <c r="G324" i="8"/>
  <c r="G327" i="8" s="1"/>
  <c r="G937" i="8" s="1"/>
  <c r="G808" i="7"/>
  <c r="G1456" i="1"/>
  <c r="G328" i="8" s="1"/>
  <c r="F939" i="8"/>
  <c r="F437" i="8"/>
  <c r="F455" i="8" s="1"/>
  <c r="G329" i="8"/>
  <c r="G811" i="7"/>
  <c r="G2073" i="1"/>
  <c r="G1112" i="7" s="1"/>
  <c r="F510" i="8"/>
  <c r="F1677" i="1"/>
  <c r="F985" i="7" s="1"/>
  <c r="F960" i="7"/>
  <c r="F1679" i="1"/>
  <c r="F987" i="7" s="1"/>
  <c r="F921" i="7"/>
  <c r="F1572" i="1"/>
  <c r="F438" i="8"/>
  <c r="F785" i="8"/>
  <c r="F783" i="8"/>
  <c r="H1771" i="1"/>
  <c r="H798" i="7"/>
  <c r="H1844" i="1"/>
  <c r="H1915" i="1"/>
  <c r="H1385" i="1"/>
  <c r="H181" i="8" s="1"/>
  <c r="G1871" i="1"/>
  <c r="I827" i="8"/>
  <c r="I679" i="8"/>
  <c r="I754" i="8"/>
  <c r="J2040" i="1"/>
  <c r="I925" i="8"/>
  <c r="I578" i="8"/>
  <c r="I570" i="8"/>
  <c r="I903" i="8"/>
  <c r="F858" i="8"/>
  <c r="G691" i="8"/>
  <c r="G696" i="8" s="1"/>
  <c r="G1032" i="7"/>
  <c r="G1800" i="1"/>
  <c r="F697" i="8"/>
  <c r="Q698" i="8" s="1"/>
  <c r="H1083" i="7"/>
  <c r="F768" i="8"/>
  <c r="H301" i="8"/>
  <c r="J1428" i="1"/>
  <c r="J278" i="8" s="1"/>
  <c r="J693" i="7"/>
  <c r="J1389" i="1"/>
  <c r="J178" i="8" s="1"/>
  <c r="J1672" i="1"/>
  <c r="J1324" i="1"/>
  <c r="J170" i="8" s="1"/>
  <c r="G1798" i="1"/>
  <c r="G1030" i="7"/>
  <c r="F772" i="8"/>
  <c r="Q773" i="8" s="1"/>
  <c r="H1103" i="7"/>
  <c r="G1016" i="7"/>
  <c r="G1792" i="1"/>
  <c r="P1793" i="1" s="1"/>
  <c r="G1865" i="1"/>
  <c r="P1866" i="1" s="1"/>
  <c r="J561" i="7"/>
  <c r="J1153" i="1"/>
  <c r="F856" i="8"/>
  <c r="G766" i="8"/>
  <c r="G771" i="8" s="1"/>
  <c r="G1028" i="7"/>
  <c r="F693" i="8"/>
  <c r="F708" i="8"/>
  <c r="K220" i="1"/>
  <c r="L219" i="1" s="1"/>
  <c r="F1025" i="7"/>
  <c r="Q1026" i="7"/>
  <c r="I577" i="7"/>
  <c r="I1989" i="1"/>
  <c r="I1175" i="1"/>
  <c r="G1873" i="1"/>
  <c r="G1787" i="1"/>
  <c r="P1788" i="1" s="1"/>
  <c r="G1019" i="7"/>
  <c r="J2039" i="1"/>
  <c r="F841" i="8"/>
  <c r="F845" i="8"/>
  <c r="Q846" i="8" s="1"/>
  <c r="G839" i="8"/>
  <c r="G844" i="8" s="1"/>
  <c r="H83" i="8"/>
  <c r="G1015" i="7"/>
  <c r="F710" i="8"/>
  <c r="Q54" i="8" l="1"/>
  <c r="Q56" i="8" s="1"/>
  <c r="Q58" i="8" s="1"/>
  <c r="Q44" i="8" s="1"/>
  <c r="S44" i="8" s="1"/>
  <c r="H185" i="8"/>
  <c r="H184" i="8" s="1"/>
  <c r="Q186" i="1"/>
  <c r="Q57" i="8" s="1"/>
  <c r="Q187" i="1"/>
  <c r="P173" i="1"/>
  <c r="P188" i="1"/>
  <c r="P59" i="8" s="1"/>
  <c r="G810" i="7"/>
  <c r="G2072" i="1"/>
  <c r="G1111" i="7" s="1"/>
  <c r="G1458" i="1"/>
  <c r="G332" i="8" s="1"/>
  <c r="G1600" i="1"/>
  <c r="G507" i="8" s="1"/>
  <c r="G956" i="7"/>
  <c r="G586" i="8"/>
  <c r="G509" i="8"/>
  <c r="F567" i="8"/>
  <c r="F1583" i="1"/>
  <c r="F1674" i="1"/>
  <c r="F982" i="7" s="1"/>
  <c r="F1675" i="1"/>
  <c r="F983" i="7" s="1"/>
  <c r="F456" i="8"/>
  <c r="F930" i="7"/>
  <c r="G938" i="8"/>
  <c r="G118" i="8"/>
  <c r="F583" i="8"/>
  <c r="F475" i="8"/>
  <c r="F511" i="8" s="1"/>
  <c r="F582" i="8"/>
  <c r="K221" i="1"/>
  <c r="L217" i="1" s="1"/>
  <c r="G772" i="8"/>
  <c r="P773" i="8" s="1"/>
  <c r="G845" i="8"/>
  <c r="P846" i="8" s="1"/>
  <c r="I1079" i="7"/>
  <c r="I1986" i="1"/>
  <c r="J2046" i="1"/>
  <c r="J61" i="8"/>
  <c r="G1025" i="7"/>
  <c r="P1026" i="7"/>
  <c r="F850" i="8"/>
  <c r="Q851" i="8" s="1"/>
  <c r="G1936" i="1"/>
  <c r="P1937" i="1" s="1"/>
  <c r="F702" i="8"/>
  <c r="Q703" i="8" s="1"/>
  <c r="J557" i="7"/>
  <c r="J1588" i="1"/>
  <c r="J485" i="8" s="1"/>
  <c r="J1171" i="1"/>
  <c r="J980" i="7"/>
  <c r="J1996" i="1"/>
  <c r="J1086" i="7" s="1"/>
  <c r="J2047" i="1"/>
  <c r="H1452" i="1"/>
  <c r="H322" i="8" s="1"/>
  <c r="H1290" i="1"/>
  <c r="H106" i="8" s="1"/>
  <c r="H1391" i="1"/>
  <c r="H183" i="8" s="1"/>
  <c r="H306" i="8"/>
  <c r="G780" i="8"/>
  <c r="G767" i="8"/>
  <c r="G768" i="8" s="1"/>
  <c r="G784" i="8"/>
  <c r="G782" i="8"/>
  <c r="G840" i="8"/>
  <c r="G853" i="8"/>
  <c r="G855" i="8"/>
  <c r="G857" i="8"/>
  <c r="I579" i="7"/>
  <c r="I1277" i="1"/>
  <c r="I84" i="8" s="1"/>
  <c r="I1441" i="1"/>
  <c r="I302" i="8" s="1"/>
  <c r="H68" i="8"/>
  <c r="J782" i="7"/>
  <c r="J1433" i="1"/>
  <c r="J287" i="8" s="1"/>
  <c r="H929" i="8"/>
  <c r="G1033" i="7"/>
  <c r="H1854" i="1"/>
  <c r="G1020" i="7"/>
  <c r="P1021" i="7"/>
  <c r="F777" i="8"/>
  <c r="Q778" i="8" s="1"/>
  <c r="G697" i="8"/>
  <c r="P698" i="8" s="1"/>
  <c r="G705" i="8"/>
  <c r="G692" i="8"/>
  <c r="G707" i="8"/>
  <c r="G709" i="8"/>
  <c r="G1031" i="7"/>
  <c r="J1662" i="1"/>
  <c r="J970" i="7" s="1"/>
  <c r="J2060" i="1"/>
  <c r="J1670" i="1"/>
  <c r="J978" i="7" s="1"/>
  <c r="J694" i="7"/>
  <c r="J1987" i="1"/>
  <c r="J1660" i="1"/>
  <c r="J968" i="7" s="1"/>
  <c r="I902" i="8"/>
  <c r="H1004" i="7"/>
  <c r="H1781" i="1"/>
  <c r="Q173" i="1" l="1"/>
  <c r="Q188" i="1"/>
  <c r="Q59" i="8" s="1"/>
  <c r="P174" i="1"/>
  <c r="P45" i="8" s="1"/>
  <c r="K215" i="1"/>
  <c r="K216" i="1" s="1"/>
  <c r="K62" i="8" s="1"/>
  <c r="G585" i="8"/>
  <c r="G587" i="8"/>
  <c r="G331" i="8"/>
  <c r="H1457" i="1"/>
  <c r="H330" i="8" s="1"/>
  <c r="G1563" i="1"/>
  <c r="G438" i="8" s="1"/>
  <c r="G1294" i="1"/>
  <c r="G1198" i="1"/>
  <c r="G2074" i="1"/>
  <c r="G1113" i="7" s="1"/>
  <c r="G1295" i="1"/>
  <c r="G1237" i="1"/>
  <c r="G640" i="7" s="1"/>
  <c r="G1196" i="1"/>
  <c r="G600" i="7" s="1"/>
  <c r="G1239" i="1"/>
  <c r="G812" i="7"/>
  <c r="G1678" i="1"/>
  <c r="G986" i="7" s="1"/>
  <c r="G1659" i="1"/>
  <c r="G967" i="7" s="1"/>
  <c r="G958" i="7"/>
  <c r="G1602" i="1"/>
  <c r="G510" i="8" s="1"/>
  <c r="F476" i="8"/>
  <c r="F941" i="7"/>
  <c r="F1658" i="1"/>
  <c r="F966" i="7" s="1"/>
  <c r="F1603" i="1"/>
  <c r="F961" i="7" s="1"/>
  <c r="H1870" i="1"/>
  <c r="H1868" i="1"/>
  <c r="H1855" i="1"/>
  <c r="H1872" i="1"/>
  <c r="H1859" i="1"/>
  <c r="J1913" i="1"/>
  <c r="J787" i="7"/>
  <c r="J1842" i="1"/>
  <c r="J1769" i="1"/>
  <c r="I2064" i="1"/>
  <c r="I795" i="7"/>
  <c r="I1444" i="1"/>
  <c r="I307" i="8" s="1"/>
  <c r="G785" i="8"/>
  <c r="H1287" i="1"/>
  <c r="H101" i="8" s="1"/>
  <c r="J946" i="7"/>
  <c r="J484" i="8"/>
  <c r="J1593" i="1"/>
  <c r="J495" i="8" s="1"/>
  <c r="G841" i="8"/>
  <c r="I1076" i="7"/>
  <c r="I1993" i="1"/>
  <c r="H1014" i="7"/>
  <c r="H1782" i="1"/>
  <c r="H1795" i="1"/>
  <c r="H1799" i="1"/>
  <c r="H1797" i="1"/>
  <c r="H1786" i="1"/>
  <c r="J1077" i="7"/>
  <c r="J1099" i="7"/>
  <c r="L218" i="1"/>
  <c r="L220" i="1" s="1"/>
  <c r="M219" i="1" s="1"/>
  <c r="G710" i="8"/>
  <c r="J277" i="8"/>
  <c r="I1269" i="1"/>
  <c r="I69" i="8" s="1"/>
  <c r="G858" i="8"/>
  <c r="H756" i="8"/>
  <c r="H829" i="8"/>
  <c r="H681" i="8"/>
  <c r="H1921" i="1"/>
  <c r="H806" i="7"/>
  <c r="H1454" i="1"/>
  <c r="H325" i="8" s="1"/>
  <c r="J167" i="8"/>
  <c r="I909" i="8"/>
  <c r="G708" i="8"/>
  <c r="G856" i="8"/>
  <c r="H2061" i="1"/>
  <c r="H1393" i="1"/>
  <c r="H187" i="8" s="1"/>
  <c r="H180" i="8"/>
  <c r="G777" i="8"/>
  <c r="P778" i="8" s="1"/>
  <c r="G783" i="8"/>
  <c r="J575" i="7"/>
  <c r="J1172" i="1"/>
  <c r="G693" i="8"/>
  <c r="Q174" i="1" l="1"/>
  <c r="Q45" i="8" s="1"/>
  <c r="G1238" i="1"/>
  <c r="G1197" i="1"/>
  <c r="K1157" i="1"/>
  <c r="K1153" i="1" s="1"/>
  <c r="K228" i="1"/>
  <c r="K1428" i="1" s="1"/>
  <c r="K2021" i="1"/>
  <c r="K2039" i="1" s="1"/>
  <c r="K2046" i="1" s="1"/>
  <c r="K1323" i="1"/>
  <c r="K168" i="8" s="1"/>
  <c r="K2022" i="1"/>
  <c r="K2040" i="1" s="1"/>
  <c r="K2047" i="1" s="1"/>
  <c r="G960" i="7"/>
  <c r="G1677" i="1"/>
  <c r="G985" i="7" s="1"/>
  <c r="G1679" i="1"/>
  <c r="G987" i="7" s="1"/>
  <c r="G1572" i="1"/>
  <c r="G456" i="8" s="1"/>
  <c r="G921" i="7"/>
  <c r="H329" i="8"/>
  <c r="H811" i="7"/>
  <c r="H2073" i="1"/>
  <c r="H1112" i="7" s="1"/>
  <c r="G437" i="8"/>
  <c r="G455" i="8" s="1"/>
  <c r="G939" i="8"/>
  <c r="K61" i="8"/>
  <c r="K167" i="8" s="1"/>
  <c r="K580" i="8" s="1"/>
  <c r="K912" i="8" s="1"/>
  <c r="J576" i="7"/>
  <c r="J1173" i="1"/>
  <c r="H1100" i="7"/>
  <c r="J177" i="8"/>
  <c r="J580" i="8"/>
  <c r="J912" i="8" s="1"/>
  <c r="J169" i="8"/>
  <c r="H808" i="7"/>
  <c r="H1456" i="1"/>
  <c r="H328" i="8" s="1"/>
  <c r="H1015" i="7"/>
  <c r="H1783" i="1"/>
  <c r="I301" i="8"/>
  <c r="J1002" i="7"/>
  <c r="H1873" i="1"/>
  <c r="H182" i="8"/>
  <c r="H691" i="8"/>
  <c r="I83" i="8"/>
  <c r="H1798" i="1"/>
  <c r="H1030" i="7"/>
  <c r="G850" i="8"/>
  <c r="P851" i="8" s="1"/>
  <c r="H1856" i="1"/>
  <c r="I1392" i="1"/>
  <c r="I185" i="8" s="1"/>
  <c r="H186" i="8"/>
  <c r="H502" i="8" s="1"/>
  <c r="H506" i="8" s="1"/>
  <c r="G567" i="8" s="1"/>
  <c r="H1598" i="1"/>
  <c r="H503" i="8" s="1"/>
  <c r="H321" i="8"/>
  <c r="H1019" i="7"/>
  <c r="H1787" i="1"/>
  <c r="O1788" i="1" s="1"/>
  <c r="H1032" i="7"/>
  <c r="H1800" i="1"/>
  <c r="J951" i="7"/>
  <c r="J494" i="8"/>
  <c r="H105" i="8"/>
  <c r="I1103" i="7"/>
  <c r="G702" i="8"/>
  <c r="P703" i="8" s="1"/>
  <c r="H1925" i="1"/>
  <c r="H766" i="8"/>
  <c r="J286" i="8"/>
  <c r="L221" i="1"/>
  <c r="H1028" i="7"/>
  <c r="I1083" i="7"/>
  <c r="J905" i="8"/>
  <c r="I798" i="7"/>
  <c r="I1771" i="1"/>
  <c r="I1844" i="1"/>
  <c r="I1915" i="1"/>
  <c r="I1385" i="1"/>
  <c r="I181" i="8" s="1"/>
  <c r="H1860" i="1"/>
  <c r="O1861" i="1" s="1"/>
  <c r="H1871" i="1"/>
  <c r="K278" i="8" l="1"/>
  <c r="K277" i="8" s="1"/>
  <c r="K286" i="8" s="1"/>
  <c r="K1389" i="1"/>
  <c r="K178" i="8" s="1"/>
  <c r="K693" i="7"/>
  <c r="K1324" i="1"/>
  <c r="K170" i="8" s="1"/>
  <c r="K561" i="7"/>
  <c r="K1672" i="1"/>
  <c r="K1996" i="1" s="1"/>
  <c r="K1086" i="7" s="1"/>
  <c r="K1433" i="1"/>
  <c r="K287" i="8" s="1"/>
  <c r="K782" i="7"/>
  <c r="H938" i="8"/>
  <c r="H118" i="8"/>
  <c r="G1674" i="1"/>
  <c r="G982" i="7" s="1"/>
  <c r="G930" i="7"/>
  <c r="G1583" i="1"/>
  <c r="G476" i="8" s="1"/>
  <c r="G1675" i="1"/>
  <c r="G983" i="7" s="1"/>
  <c r="G582" i="8"/>
  <c r="G583" i="8"/>
  <c r="G475" i="8"/>
  <c r="K177" i="8"/>
  <c r="K169" i="8"/>
  <c r="K925" i="8" s="1"/>
  <c r="I184" i="8"/>
  <c r="I1290" i="1"/>
  <c r="I106" i="8" s="1"/>
  <c r="I1452" i="1"/>
  <c r="I322" i="8" s="1"/>
  <c r="I1391" i="1"/>
  <c r="I183" i="8" s="1"/>
  <c r="I68" i="8"/>
  <c r="J827" i="8"/>
  <c r="J754" i="8"/>
  <c r="J679" i="8"/>
  <c r="H835" i="8"/>
  <c r="K557" i="7"/>
  <c r="K1588" i="1"/>
  <c r="K485" i="8" s="1"/>
  <c r="K1171" i="1"/>
  <c r="H509" i="8"/>
  <c r="H586" i="8"/>
  <c r="H100" i="8"/>
  <c r="H1016" i="7"/>
  <c r="H1792" i="1"/>
  <c r="O1793" i="1" s="1"/>
  <c r="H810" i="7"/>
  <c r="H2072" i="1"/>
  <c r="H1680" i="1"/>
  <c r="H1458" i="1"/>
  <c r="H332" i="8" s="1"/>
  <c r="K1660" i="1"/>
  <c r="K968" i="7" s="1"/>
  <c r="I1004" i="7"/>
  <c r="I1781" i="1"/>
  <c r="O1021" i="7"/>
  <c r="H1020" i="7"/>
  <c r="H1031" i="7"/>
  <c r="H705" i="8"/>
  <c r="H707" i="8"/>
  <c r="H692" i="8"/>
  <c r="H709" i="8"/>
  <c r="H696" i="8"/>
  <c r="H926" i="8"/>
  <c r="I929" i="8"/>
  <c r="J925" i="8"/>
  <c r="J578" i="8"/>
  <c r="J570" i="8"/>
  <c r="J903" i="8"/>
  <c r="J568" i="8"/>
  <c r="K980" i="7"/>
  <c r="J577" i="7"/>
  <c r="J1989" i="1"/>
  <c r="J1175" i="1"/>
  <c r="H1926" i="1"/>
  <c r="H1941" i="1"/>
  <c r="H1939" i="1"/>
  <c r="H1943" i="1"/>
  <c r="H1930" i="1"/>
  <c r="H956" i="7"/>
  <c r="H1600" i="1"/>
  <c r="H507" i="8" s="1"/>
  <c r="I1854" i="1"/>
  <c r="I306" i="8"/>
  <c r="L215" i="1"/>
  <c r="M217" i="1"/>
  <c r="H780" i="8"/>
  <c r="H784" i="8"/>
  <c r="H767" i="8"/>
  <c r="H782" i="8"/>
  <c r="H771" i="8"/>
  <c r="H1033" i="7"/>
  <c r="H1865" i="1"/>
  <c r="O1866" i="1" s="1"/>
  <c r="S173" i="1"/>
  <c r="H324" i="8"/>
  <c r="K754" i="8" l="1"/>
  <c r="K679" i="8"/>
  <c r="K827" i="8"/>
  <c r="K1987" i="1"/>
  <c r="K1077" i="7" s="1"/>
  <c r="K1842" i="1"/>
  <c r="K1913" i="1"/>
  <c r="K1670" i="1"/>
  <c r="K978" i="7" s="1"/>
  <c r="K694" i="7"/>
  <c r="K2060" i="1"/>
  <c r="K1099" i="7" s="1"/>
  <c r="K1662" i="1"/>
  <c r="K970" i="7" s="1"/>
  <c r="K1769" i="1"/>
  <c r="K1002" i="7" s="1"/>
  <c r="K787" i="7"/>
  <c r="K578" i="8"/>
  <c r="K568" i="8"/>
  <c r="K903" i="8"/>
  <c r="K570" i="8"/>
  <c r="F566" i="8"/>
  <c r="G511" i="8"/>
  <c r="G1603" i="1"/>
  <c r="G961" i="7" s="1"/>
  <c r="G1658" i="1"/>
  <c r="G966" i="7" s="1"/>
  <c r="G941" i="7"/>
  <c r="S45" i="8"/>
  <c r="S174" i="1"/>
  <c r="I2061" i="1"/>
  <c r="I1393" i="1"/>
  <c r="I187" i="8" s="1"/>
  <c r="H708" i="8"/>
  <c r="H1111" i="7"/>
  <c r="O1026" i="7"/>
  <c r="H1025" i="7"/>
  <c r="K575" i="7"/>
  <c r="K1172" i="1"/>
  <c r="H839" i="8"/>
  <c r="I1921" i="1"/>
  <c r="I1925" i="1" s="1"/>
  <c r="I1930" i="1" s="1"/>
  <c r="I806" i="7"/>
  <c r="I1454" i="1"/>
  <c r="I325" i="8" s="1"/>
  <c r="H785" i="8"/>
  <c r="H958" i="7"/>
  <c r="H1659" i="1"/>
  <c r="H967" i="7" s="1"/>
  <c r="H1602" i="1"/>
  <c r="H510" i="8" s="1"/>
  <c r="H1678" i="1"/>
  <c r="H986" i="7" s="1"/>
  <c r="H1942" i="1"/>
  <c r="H693" i="8"/>
  <c r="H1236" i="1"/>
  <c r="H639" i="7" s="1"/>
  <c r="H988" i="7"/>
  <c r="H772" i="8"/>
  <c r="O773" i="8" s="1"/>
  <c r="H1931" i="1"/>
  <c r="O1932" i="1" s="1"/>
  <c r="H1927" i="1"/>
  <c r="J902" i="8"/>
  <c r="H697" i="8"/>
  <c r="O698" i="8" s="1"/>
  <c r="H783" i="8"/>
  <c r="M218" i="1"/>
  <c r="H1944" i="1"/>
  <c r="J579" i="7"/>
  <c r="J1277" i="1"/>
  <c r="J84" i="8" s="1"/>
  <c r="J1441" i="1"/>
  <c r="J302" i="8" s="1"/>
  <c r="K484" i="8"/>
  <c r="K946" i="7"/>
  <c r="K1593" i="1"/>
  <c r="K495" i="8" s="1"/>
  <c r="I180" i="8"/>
  <c r="I182" i="8" s="1"/>
  <c r="H327" i="8"/>
  <c r="I681" i="8"/>
  <c r="I756" i="8"/>
  <c r="I829" i="8"/>
  <c r="H768" i="8"/>
  <c r="L216" i="1"/>
  <c r="L62" i="8" s="1"/>
  <c r="L1157" i="1"/>
  <c r="L228" i="1"/>
  <c r="L1428" i="1" s="1"/>
  <c r="L278" i="8" s="1"/>
  <c r="L1323" i="1"/>
  <c r="L168" i="8" s="1"/>
  <c r="L2022" i="1"/>
  <c r="L2040" i="1" s="1"/>
  <c r="L2047" i="1" s="1"/>
  <c r="L2021" i="1"/>
  <c r="L2039" i="1" s="1"/>
  <c r="L2046" i="1" s="1"/>
  <c r="I1855" i="1"/>
  <c r="I1868" i="1"/>
  <c r="I1872" i="1"/>
  <c r="I1870" i="1"/>
  <c r="I1859" i="1"/>
  <c r="J1079" i="7"/>
  <c r="J1986" i="1"/>
  <c r="H710" i="8"/>
  <c r="I1799" i="1"/>
  <c r="I1014" i="7"/>
  <c r="I1795" i="1"/>
  <c r="I1797" i="1"/>
  <c r="I1782" i="1"/>
  <c r="I1786" i="1"/>
  <c r="H1198" i="1"/>
  <c r="H1294" i="1"/>
  <c r="H1239" i="1"/>
  <c r="H2074" i="1"/>
  <c r="H1113" i="7" s="1"/>
  <c r="H1295" i="1"/>
  <c r="H812" i="7"/>
  <c r="H1196" i="1"/>
  <c r="H600" i="7" s="1"/>
  <c r="H1563" i="1"/>
  <c r="H438" i="8" s="1"/>
  <c r="I1457" i="1"/>
  <c r="I330" i="8" s="1"/>
  <c r="H331" i="8"/>
  <c r="H1237" i="1"/>
  <c r="H640" i="7" s="1"/>
  <c r="H585" i="8"/>
  <c r="H587" i="8"/>
  <c r="I1287" i="1"/>
  <c r="I101" i="8" s="1"/>
  <c r="L61" i="8" l="1"/>
  <c r="L167" i="8" s="1"/>
  <c r="L580" i="8" s="1"/>
  <c r="L912" i="8" s="1"/>
  <c r="H921" i="7"/>
  <c r="H1572" i="1"/>
  <c r="H456" i="8" s="1"/>
  <c r="I1030" i="7"/>
  <c r="I1798" i="1"/>
  <c r="J1076" i="7"/>
  <c r="J1993" i="1"/>
  <c r="I1873" i="1"/>
  <c r="I1028" i="7"/>
  <c r="L693" i="7"/>
  <c r="L1389" i="1"/>
  <c r="L178" i="8" s="1"/>
  <c r="L1324" i="1"/>
  <c r="L170" i="8" s="1"/>
  <c r="L1672" i="1"/>
  <c r="I766" i="8"/>
  <c r="J909" i="8"/>
  <c r="H853" i="8"/>
  <c r="H857" i="8"/>
  <c r="H855" i="8"/>
  <c r="H840" i="8"/>
  <c r="H844" i="8"/>
  <c r="H1238" i="1"/>
  <c r="H939" i="8"/>
  <c r="H1197" i="1"/>
  <c r="H437" i="8"/>
  <c r="H455" i="8" s="1"/>
  <c r="I1856" i="1"/>
  <c r="L782" i="7"/>
  <c r="L277" i="8"/>
  <c r="L1433" i="1"/>
  <c r="L287" i="8" s="1"/>
  <c r="H777" i="8"/>
  <c r="O778" i="8" s="1"/>
  <c r="I691" i="8"/>
  <c r="K905" i="8"/>
  <c r="K902" i="8" s="1"/>
  <c r="K909" i="8" s="1"/>
  <c r="M220" i="1"/>
  <c r="N219" i="1" s="1"/>
  <c r="H1936" i="1"/>
  <c r="O1937" i="1" s="1"/>
  <c r="H960" i="7"/>
  <c r="H1677" i="1"/>
  <c r="H985" i="7" s="1"/>
  <c r="H1679" i="1"/>
  <c r="H987" i="7" s="1"/>
  <c r="I321" i="8"/>
  <c r="I1100" i="7"/>
  <c r="I105" i="8"/>
  <c r="H588" i="8"/>
  <c r="H937" i="8"/>
  <c r="J1269" i="1"/>
  <c r="J69" i="8" s="1"/>
  <c r="H702" i="8"/>
  <c r="O703" i="8" s="1"/>
  <c r="I808" i="7"/>
  <c r="I1456" i="1"/>
  <c r="I328" i="8" s="1"/>
  <c r="I811" i="7"/>
  <c r="I2073" i="1"/>
  <c r="I1112" i="7" s="1"/>
  <c r="I329" i="8"/>
  <c r="I1015" i="7"/>
  <c r="I1783" i="1"/>
  <c r="I1032" i="7"/>
  <c r="I1800" i="1"/>
  <c r="I1871" i="1"/>
  <c r="L561" i="7"/>
  <c r="L1153" i="1"/>
  <c r="I926" i="8"/>
  <c r="K576" i="7"/>
  <c r="K1173" i="1"/>
  <c r="I1019" i="7"/>
  <c r="I1787" i="1"/>
  <c r="N1788" i="1" s="1"/>
  <c r="I1860" i="1"/>
  <c r="N1861" i="1" s="1"/>
  <c r="K951" i="7"/>
  <c r="K494" i="8"/>
  <c r="J795" i="7"/>
  <c r="J2064" i="1"/>
  <c r="J1444" i="1"/>
  <c r="J307" i="8" s="1"/>
  <c r="I1931" i="1"/>
  <c r="N1932" i="1" s="1"/>
  <c r="I1926" i="1"/>
  <c r="I1941" i="1"/>
  <c r="I1939" i="1"/>
  <c r="I1943" i="1"/>
  <c r="J1392" i="1"/>
  <c r="J185" i="8" s="1"/>
  <c r="I1598" i="1"/>
  <c r="I503" i="8" s="1"/>
  <c r="I186" i="8"/>
  <c r="I502" i="8" s="1"/>
  <c r="I506" i="8" s="1"/>
  <c r="L177" i="8" l="1"/>
  <c r="L169" i="8"/>
  <c r="L925" i="8" s="1"/>
  <c r="J1385" i="1"/>
  <c r="J181" i="8" s="1"/>
  <c r="I1680" i="1"/>
  <c r="I988" i="7" s="1"/>
  <c r="J184" i="8"/>
  <c r="M221" i="1"/>
  <c r="N217" i="1" s="1"/>
  <c r="I1944" i="1"/>
  <c r="J1103" i="7"/>
  <c r="L694" i="7"/>
  <c r="L2060" i="1"/>
  <c r="L1099" i="7" s="1"/>
  <c r="L1662" i="1"/>
  <c r="L970" i="7" s="1"/>
  <c r="L1670" i="1"/>
  <c r="L978" i="7" s="1"/>
  <c r="L1987" i="1"/>
  <c r="L1660" i="1"/>
  <c r="L968" i="7" s="1"/>
  <c r="I100" i="8"/>
  <c r="I2072" i="1"/>
  <c r="I810" i="7"/>
  <c r="I1458" i="1"/>
  <c r="I332" i="8" s="1"/>
  <c r="J83" i="8"/>
  <c r="I709" i="8"/>
  <c r="I692" i="8"/>
  <c r="I705" i="8"/>
  <c r="I707" i="8"/>
  <c r="I696" i="8"/>
  <c r="L286" i="8"/>
  <c r="H841" i="8"/>
  <c r="H1675" i="1"/>
  <c r="H983" i="7" s="1"/>
  <c r="H930" i="7"/>
  <c r="H1583" i="1"/>
  <c r="H476" i="8" s="1"/>
  <c r="H1674" i="1"/>
  <c r="H982" i="7" s="1"/>
  <c r="I956" i="7"/>
  <c r="I1600" i="1"/>
  <c r="I507" i="8" s="1"/>
  <c r="L1842" i="1"/>
  <c r="L1913" i="1"/>
  <c r="L787" i="7"/>
  <c r="L1769" i="1"/>
  <c r="L568" i="8"/>
  <c r="I1942" i="1"/>
  <c r="J798" i="7"/>
  <c r="J1771" i="1"/>
  <c r="J1844" i="1"/>
  <c r="J1915" i="1"/>
  <c r="K577" i="7"/>
  <c r="K1175" i="1"/>
  <c r="K1989" i="1"/>
  <c r="I1016" i="7"/>
  <c r="I1792" i="1"/>
  <c r="N1793" i="1" s="1"/>
  <c r="I938" i="8"/>
  <c r="I118" i="8"/>
  <c r="I835" i="8"/>
  <c r="I839" i="8" s="1"/>
  <c r="I844" i="8" s="1"/>
  <c r="H583" i="8"/>
  <c r="H475" i="8"/>
  <c r="H582" i="8"/>
  <c r="H856" i="8"/>
  <c r="I767" i="8"/>
  <c r="I780" i="8"/>
  <c r="I784" i="8"/>
  <c r="I782" i="8"/>
  <c r="I771" i="8"/>
  <c r="I1033" i="7"/>
  <c r="H845" i="8"/>
  <c r="O846" i="8" s="1"/>
  <c r="J1083" i="7"/>
  <c r="I509" i="8"/>
  <c r="I586" i="8"/>
  <c r="H567" i="8"/>
  <c r="J301" i="8"/>
  <c r="I1020" i="7"/>
  <c r="N1021" i="7"/>
  <c r="L557" i="7"/>
  <c r="L1588" i="1"/>
  <c r="L485" i="8" s="1"/>
  <c r="L1171" i="1"/>
  <c r="I324" i="8"/>
  <c r="I1927" i="1"/>
  <c r="I1865" i="1"/>
  <c r="N1866" i="1" s="1"/>
  <c r="H858" i="8"/>
  <c r="L980" i="7"/>
  <c r="L1996" i="1"/>
  <c r="L1086" i="7" s="1"/>
  <c r="I1031" i="7"/>
  <c r="J1452" i="1" l="1"/>
  <c r="J322" i="8" s="1"/>
  <c r="J1290" i="1"/>
  <c r="J106" i="8" s="1"/>
  <c r="N218" i="1"/>
  <c r="J1391" i="1"/>
  <c r="J183" i="8" s="1"/>
  <c r="L903" i="8"/>
  <c r="L570" i="8"/>
  <c r="L578" i="8"/>
  <c r="I1236" i="1"/>
  <c r="I639" i="7" s="1"/>
  <c r="M215" i="1"/>
  <c r="M2022" i="1" s="1"/>
  <c r="M2040" i="1" s="1"/>
  <c r="M2047" i="1" s="1"/>
  <c r="I772" i="8"/>
  <c r="N773" i="8" s="1"/>
  <c r="J306" i="8"/>
  <c r="I1936" i="1"/>
  <c r="N1937" i="1" s="1"/>
  <c r="L575" i="7"/>
  <c r="L1172" i="1"/>
  <c r="I840" i="8"/>
  <c r="I841" i="8" s="1"/>
  <c r="I853" i="8"/>
  <c r="I857" i="8"/>
  <c r="I855" i="8"/>
  <c r="I1025" i="7"/>
  <c r="N1026" i="7"/>
  <c r="I710" i="8"/>
  <c r="I1295" i="1"/>
  <c r="I2074" i="1"/>
  <c r="I1113" i="7" s="1"/>
  <c r="I1294" i="1"/>
  <c r="I1239" i="1"/>
  <c r="I1198" i="1"/>
  <c r="I812" i="7"/>
  <c r="I1237" i="1"/>
  <c r="I640" i="7" s="1"/>
  <c r="I1196" i="1"/>
  <c r="I600" i="7" s="1"/>
  <c r="I1563" i="1"/>
  <c r="I438" i="8" s="1"/>
  <c r="I331" i="8"/>
  <c r="J1457" i="1"/>
  <c r="J330" i="8" s="1"/>
  <c r="J180" i="8"/>
  <c r="J182" i="8" s="1"/>
  <c r="I327" i="8"/>
  <c r="I588" i="8" s="1"/>
  <c r="I785" i="8"/>
  <c r="K579" i="7"/>
  <c r="K1277" i="1"/>
  <c r="K84" i="8" s="1"/>
  <c r="K1441" i="1"/>
  <c r="K302" i="8" s="1"/>
  <c r="I768" i="8"/>
  <c r="H511" i="8"/>
  <c r="G566" i="8"/>
  <c r="J1854" i="1"/>
  <c r="L1002" i="7"/>
  <c r="L754" i="8"/>
  <c r="L679" i="8"/>
  <c r="L827" i="8"/>
  <c r="I708" i="8"/>
  <c r="I845" i="8"/>
  <c r="N846" i="8" s="1"/>
  <c r="I693" i="8"/>
  <c r="L946" i="7"/>
  <c r="L484" i="8"/>
  <c r="L1593" i="1"/>
  <c r="L495" i="8" s="1"/>
  <c r="J929" i="8"/>
  <c r="I587" i="8"/>
  <c r="I585" i="8"/>
  <c r="I783" i="8"/>
  <c r="K1079" i="7"/>
  <c r="K1986" i="1"/>
  <c r="J1004" i="7"/>
  <c r="J1781" i="1"/>
  <c r="I1659" i="1"/>
  <c r="I967" i="7" s="1"/>
  <c r="I958" i="7"/>
  <c r="I1602" i="1"/>
  <c r="I510" i="8" s="1"/>
  <c r="I1678" i="1"/>
  <c r="I986" i="7" s="1"/>
  <c r="H941" i="7"/>
  <c r="H1658" i="1"/>
  <c r="H966" i="7" s="1"/>
  <c r="H1603" i="1"/>
  <c r="H850" i="8"/>
  <c r="O851" i="8" s="1"/>
  <c r="I697" i="8"/>
  <c r="N698" i="8" s="1"/>
  <c r="I1111" i="7"/>
  <c r="J1921" i="1"/>
  <c r="J1925" i="1" s="1"/>
  <c r="J806" i="7"/>
  <c r="J1454" i="1"/>
  <c r="J325" i="8" s="1"/>
  <c r="L1077" i="7"/>
  <c r="J68" i="8"/>
  <c r="J1287" i="1" l="1"/>
  <c r="J101" i="8" s="1"/>
  <c r="N220" i="1"/>
  <c r="O219" i="1" s="1"/>
  <c r="J2061" i="1"/>
  <c r="J1100" i="7" s="1"/>
  <c r="J1393" i="1"/>
  <c r="M1323" i="1"/>
  <c r="M168" i="8" s="1"/>
  <c r="M2021" i="1"/>
  <c r="M2039" i="1" s="1"/>
  <c r="M2046" i="1" s="1"/>
  <c r="M228" i="1"/>
  <c r="M1428" i="1" s="1"/>
  <c r="M1157" i="1"/>
  <c r="M561" i="7" s="1"/>
  <c r="M216" i="1"/>
  <c r="J1939" i="1"/>
  <c r="J1941" i="1"/>
  <c r="J1926" i="1"/>
  <c r="J1927" i="1" s="1"/>
  <c r="J1943" i="1"/>
  <c r="J1930" i="1"/>
  <c r="L905" i="8"/>
  <c r="L902" i="8" s="1"/>
  <c r="L909" i="8" s="1"/>
  <c r="K83" i="8"/>
  <c r="K1269" i="1"/>
  <c r="K69" i="8" s="1"/>
  <c r="J811" i="7"/>
  <c r="J2073" i="1"/>
  <c r="J1112" i="7" s="1"/>
  <c r="J329" i="8"/>
  <c r="I856" i="8"/>
  <c r="L576" i="7"/>
  <c r="L1173" i="1"/>
  <c r="J1855" i="1"/>
  <c r="J1856" i="1" s="1"/>
  <c r="J1868" i="1"/>
  <c r="J1872" i="1"/>
  <c r="J1870" i="1"/>
  <c r="J1859" i="1"/>
  <c r="I777" i="8"/>
  <c r="N778" i="8" s="1"/>
  <c r="I937" i="8"/>
  <c r="I939" i="8"/>
  <c r="I1197" i="1"/>
  <c r="I437" i="8"/>
  <c r="I455" i="8" s="1"/>
  <c r="I1238" i="1"/>
  <c r="I858" i="8"/>
  <c r="J681" i="8"/>
  <c r="J829" i="8"/>
  <c r="J756" i="8"/>
  <c r="J321" i="8"/>
  <c r="K1993" i="1"/>
  <c r="K1083" i="7" s="1"/>
  <c r="K1076" i="7"/>
  <c r="I960" i="7"/>
  <c r="I1679" i="1"/>
  <c r="I987" i="7" s="1"/>
  <c r="I1677" i="1"/>
  <c r="I985" i="7" s="1"/>
  <c r="J105" i="8"/>
  <c r="I921" i="7"/>
  <c r="I1572" i="1"/>
  <c r="I456" i="8" s="1"/>
  <c r="H961" i="7"/>
  <c r="J808" i="7"/>
  <c r="J1456" i="1"/>
  <c r="J328" i="8" s="1"/>
  <c r="I850" i="8"/>
  <c r="N851" i="8" s="1"/>
  <c r="J1799" i="1"/>
  <c r="J1014" i="7"/>
  <c r="J1795" i="1"/>
  <c r="J1782" i="1"/>
  <c r="J1797" i="1"/>
  <c r="J1786" i="1"/>
  <c r="L951" i="7"/>
  <c r="L494" i="8"/>
  <c r="I702" i="8"/>
  <c r="N703" i="8" s="1"/>
  <c r="K301" i="8"/>
  <c r="K929" i="8" s="1"/>
  <c r="K2064" i="1"/>
  <c r="K1103" i="7" s="1"/>
  <c r="K795" i="7"/>
  <c r="K1444" i="1"/>
  <c r="K307" i="8" s="1"/>
  <c r="J926" i="8"/>
  <c r="M1389" i="1" l="1"/>
  <c r="M178" i="8" s="1"/>
  <c r="M278" i="8"/>
  <c r="M277" i="8" s="1"/>
  <c r="M286" i="8" s="1"/>
  <c r="M62" i="8"/>
  <c r="M61" i="8" s="1"/>
  <c r="M167" i="8" s="1"/>
  <c r="J187" i="8"/>
  <c r="J186" i="8" s="1"/>
  <c r="J502" i="8" s="1"/>
  <c r="J506" i="8" s="1"/>
  <c r="N221" i="1"/>
  <c r="M1153" i="1"/>
  <c r="M557" i="7" s="1"/>
  <c r="K1392" i="1"/>
  <c r="M1672" i="1"/>
  <c r="M980" i="7" s="1"/>
  <c r="M1433" i="1"/>
  <c r="M287" i="8" s="1"/>
  <c r="M782" i="7"/>
  <c r="M1324" i="1"/>
  <c r="M170" i="8" s="1"/>
  <c r="M693" i="7"/>
  <c r="J1598" i="1"/>
  <c r="J503" i="8" s="1"/>
  <c r="K1385" i="1"/>
  <c r="K306" i="8"/>
  <c r="K68" i="8"/>
  <c r="J1680" i="1"/>
  <c r="J988" i="7" s="1"/>
  <c r="J810" i="7"/>
  <c r="J2072" i="1"/>
  <c r="J1458" i="1"/>
  <c r="J332" i="8" s="1"/>
  <c r="J766" i="8"/>
  <c r="J100" i="8"/>
  <c r="L577" i="7"/>
  <c r="L1989" i="1"/>
  <c r="L1175" i="1"/>
  <c r="I567" i="8"/>
  <c r="J1944" i="1"/>
  <c r="M1660" i="1"/>
  <c r="M968" i="7" s="1"/>
  <c r="J1030" i="7"/>
  <c r="J1798" i="1"/>
  <c r="J1032" i="7"/>
  <c r="J1800" i="1"/>
  <c r="M568" i="8"/>
  <c r="J1865" i="1"/>
  <c r="M1866" i="1" s="1"/>
  <c r="J118" i="8"/>
  <c r="J938" i="8"/>
  <c r="J1931" i="1"/>
  <c r="M1932" i="1" s="1"/>
  <c r="J1936" i="1"/>
  <c r="M1937" i="1" s="1"/>
  <c r="K798" i="7"/>
  <c r="K1771" i="1"/>
  <c r="K1915" i="1"/>
  <c r="K1844" i="1"/>
  <c r="K1854" i="1" s="1"/>
  <c r="K1859" i="1" s="1"/>
  <c r="J1019" i="7"/>
  <c r="J1787" i="1"/>
  <c r="J1015" i="7"/>
  <c r="J1783" i="1"/>
  <c r="J324" i="8"/>
  <c r="I1675" i="1"/>
  <c r="I983" i="7" s="1"/>
  <c r="I1583" i="1"/>
  <c r="I476" i="8" s="1"/>
  <c r="I930" i="7"/>
  <c r="I1674" i="1"/>
  <c r="I982" i="7" s="1"/>
  <c r="J835" i="8"/>
  <c r="J839" i="8" s="1"/>
  <c r="J691" i="8"/>
  <c r="I583" i="8"/>
  <c r="I475" i="8"/>
  <c r="I582" i="8"/>
  <c r="J1871" i="1"/>
  <c r="J1942" i="1"/>
  <c r="J1028" i="7"/>
  <c r="J1860" i="1"/>
  <c r="M1861" i="1" s="1"/>
  <c r="J1873" i="1"/>
  <c r="J586" i="8" l="1"/>
  <c r="J509" i="8"/>
  <c r="J587" i="8" s="1"/>
  <c r="M580" i="8"/>
  <c r="M912" i="8" s="1"/>
  <c r="M169" i="8"/>
  <c r="M570" i="8" s="1"/>
  <c r="M177" i="8"/>
  <c r="M827" i="8"/>
  <c r="M754" i="8"/>
  <c r="M679" i="8"/>
  <c r="M1842" i="1"/>
  <c r="N215" i="1"/>
  <c r="O217" i="1"/>
  <c r="K184" i="8"/>
  <c r="K185" i="8"/>
  <c r="K181" i="8"/>
  <c r="K180" i="8" s="1"/>
  <c r="K182" i="8" s="1"/>
  <c r="K926" i="8" s="1"/>
  <c r="M1171" i="1"/>
  <c r="M1588" i="1"/>
  <c r="M1996" i="1"/>
  <c r="M1086" i="7" s="1"/>
  <c r="M1662" i="1"/>
  <c r="M970" i="7" s="1"/>
  <c r="M1670" i="1"/>
  <c r="M978" i="7" s="1"/>
  <c r="M1987" i="1"/>
  <c r="M1077" i="7" s="1"/>
  <c r="M2060" i="1"/>
  <c r="M1099" i="7" s="1"/>
  <c r="M1769" i="1"/>
  <c r="M1002" i="7" s="1"/>
  <c r="M787" i="7"/>
  <c r="J956" i="7"/>
  <c r="M1913" i="1"/>
  <c r="J1600" i="1"/>
  <c r="J507" i="8" s="1"/>
  <c r="M694" i="7"/>
  <c r="J1236" i="1"/>
  <c r="J639" i="7" s="1"/>
  <c r="K1391" i="1"/>
  <c r="K183" i="8" s="1"/>
  <c r="K1290" i="1"/>
  <c r="K1452" i="1"/>
  <c r="J855" i="8"/>
  <c r="J853" i="8"/>
  <c r="J840" i="8"/>
  <c r="J841" i="8" s="1"/>
  <c r="J857" i="8"/>
  <c r="J844" i="8"/>
  <c r="J705" i="8"/>
  <c r="J692" i="8"/>
  <c r="J693" i="8" s="1"/>
  <c r="J707" i="8"/>
  <c r="J709" i="8"/>
  <c r="J696" i="8"/>
  <c r="J1020" i="7"/>
  <c r="M1788" i="1"/>
  <c r="M1021" i="7" s="1"/>
  <c r="K1004" i="7"/>
  <c r="K1781" i="1"/>
  <c r="I511" i="8"/>
  <c r="H566" i="8"/>
  <c r="K681" i="8"/>
  <c r="K691" i="8" s="1"/>
  <c r="K756" i="8"/>
  <c r="K766" i="8" s="1"/>
  <c r="K829" i="8"/>
  <c r="J1031" i="7"/>
  <c r="L579" i="7"/>
  <c r="L1277" i="1"/>
  <c r="L84" i="8" s="1"/>
  <c r="L1441" i="1"/>
  <c r="L302" i="8" s="1"/>
  <c r="J1294" i="1"/>
  <c r="J1198" i="1"/>
  <c r="J1237" i="1"/>
  <c r="J640" i="7" s="1"/>
  <c r="J1295" i="1"/>
  <c r="J1239" i="1"/>
  <c r="J812" i="7"/>
  <c r="J2074" i="1"/>
  <c r="J1113" i="7" s="1"/>
  <c r="K1457" i="1"/>
  <c r="K330" i="8" s="1"/>
  <c r="J331" i="8"/>
  <c r="J1563" i="1"/>
  <c r="J438" i="8" s="1"/>
  <c r="J1196" i="1"/>
  <c r="J600" i="7" s="1"/>
  <c r="J1792" i="1"/>
  <c r="J1016" i="7"/>
  <c r="K1860" i="1"/>
  <c r="L1861" i="1" s="1"/>
  <c r="K1872" i="1"/>
  <c r="K1873" i="1" s="1"/>
  <c r="K1855" i="1"/>
  <c r="K1856" i="1" s="1"/>
  <c r="K1868" i="1"/>
  <c r="K1870" i="1"/>
  <c r="K1871" i="1" s="1"/>
  <c r="J1033" i="7"/>
  <c r="J585" i="8"/>
  <c r="L1079" i="7"/>
  <c r="L1986" i="1"/>
  <c r="J1111" i="7"/>
  <c r="M575" i="7"/>
  <c r="M1172" i="1"/>
  <c r="I941" i="7"/>
  <c r="I1603" i="1"/>
  <c r="I1658" i="1"/>
  <c r="I966" i="7" s="1"/>
  <c r="J327" i="8"/>
  <c r="J588" i="8" s="1"/>
  <c r="J767" i="8"/>
  <c r="J768" i="8" s="1"/>
  <c r="J780" i="8"/>
  <c r="J784" i="8"/>
  <c r="J782" i="8"/>
  <c r="J771" i="8"/>
  <c r="M903" i="8" l="1"/>
  <c r="M925" i="8"/>
  <c r="M578" i="8"/>
  <c r="O218" i="1"/>
  <c r="K106" i="8"/>
  <c r="K105" i="8" s="1"/>
  <c r="N216" i="1"/>
  <c r="N62" i="8" s="1"/>
  <c r="N61" i="8" s="1"/>
  <c r="N167" i="8" s="1"/>
  <c r="N1323" i="1"/>
  <c r="N1157" i="1"/>
  <c r="N1153" i="1" s="1"/>
  <c r="N2022" i="1"/>
  <c r="N2040" i="1" s="1"/>
  <c r="N2047" i="1" s="1"/>
  <c r="N228" i="1"/>
  <c r="N1428" i="1" s="1"/>
  <c r="N2021" i="1"/>
  <c r="N2039" i="1" s="1"/>
  <c r="N2046" i="1" s="1"/>
  <c r="K322" i="8"/>
  <c r="K321" i="8" s="1"/>
  <c r="K835" i="8" s="1"/>
  <c r="K839" i="8" s="1"/>
  <c r="K844" i="8" s="1"/>
  <c r="M485" i="8"/>
  <c r="M484" i="8" s="1"/>
  <c r="M905" i="8" s="1"/>
  <c r="M902" i="8" s="1"/>
  <c r="M909" i="8" s="1"/>
  <c r="M1593" i="1"/>
  <c r="M495" i="8" s="1"/>
  <c r="M494" i="8" s="1"/>
  <c r="M946" i="7"/>
  <c r="J1678" i="1"/>
  <c r="J986" i="7" s="1"/>
  <c r="J1659" i="1"/>
  <c r="J967" i="7" s="1"/>
  <c r="J958" i="7"/>
  <c r="J1602" i="1"/>
  <c r="J510" i="8" s="1"/>
  <c r="K1287" i="1"/>
  <c r="K1393" i="1"/>
  <c r="K2061" i="1"/>
  <c r="K1100" i="7" s="1"/>
  <c r="K806" i="7"/>
  <c r="K1454" i="1"/>
  <c r="K1921" i="1"/>
  <c r="K1925" i="1" s="1"/>
  <c r="K1941" i="1" s="1"/>
  <c r="K1942" i="1" s="1"/>
  <c r="J1197" i="1"/>
  <c r="J939" i="8"/>
  <c r="J1238" i="1"/>
  <c r="J437" i="8"/>
  <c r="J455" i="8" s="1"/>
  <c r="J858" i="8"/>
  <c r="J783" i="8"/>
  <c r="N693" i="7"/>
  <c r="J1025" i="7"/>
  <c r="M1793" i="1"/>
  <c r="M1026" i="7" s="1"/>
  <c r="K2073" i="1"/>
  <c r="K1112" i="7" s="1"/>
  <c r="K811" i="7"/>
  <c r="K329" i="8"/>
  <c r="L2064" i="1"/>
  <c r="L1103" i="7" s="1"/>
  <c r="L795" i="7"/>
  <c r="L301" i="8"/>
  <c r="L929" i="8" s="1"/>
  <c r="L1444" i="1"/>
  <c r="L307" i="8" s="1"/>
  <c r="K780" i="8"/>
  <c r="K767" i="8"/>
  <c r="K768" i="8" s="1"/>
  <c r="K784" i="8"/>
  <c r="K785" i="8" s="1"/>
  <c r="K782" i="8"/>
  <c r="K783" i="8" s="1"/>
  <c r="J710" i="8"/>
  <c r="J845" i="8"/>
  <c r="M846" i="8" s="1"/>
  <c r="J850" i="8"/>
  <c r="M851" i="8" s="1"/>
  <c r="J772" i="8"/>
  <c r="M773" i="8" s="1"/>
  <c r="K771" i="8"/>
  <c r="J785" i="8"/>
  <c r="I961" i="7"/>
  <c r="J937" i="8"/>
  <c r="L1269" i="1"/>
  <c r="L69" i="8" s="1"/>
  <c r="L83" i="8"/>
  <c r="K705" i="8"/>
  <c r="K709" i="8"/>
  <c r="K710" i="8" s="1"/>
  <c r="K692" i="8"/>
  <c r="K693" i="8" s="1"/>
  <c r="K707" i="8"/>
  <c r="K708" i="8" s="1"/>
  <c r="K1014" i="7"/>
  <c r="K1797" i="1"/>
  <c r="K1795" i="1"/>
  <c r="K1028" i="7" s="1"/>
  <c r="K1782" i="1"/>
  <c r="K1799" i="1"/>
  <c r="K1786" i="1"/>
  <c r="J697" i="8"/>
  <c r="M698" i="8" s="1"/>
  <c r="K696" i="8"/>
  <c r="J708" i="8"/>
  <c r="J777" i="8"/>
  <c r="M778" i="8" s="1"/>
  <c r="M576" i="7"/>
  <c r="M1173" i="1"/>
  <c r="L1076" i="7"/>
  <c r="L1993" i="1"/>
  <c r="L1083" i="7" s="1"/>
  <c r="N561" i="7"/>
  <c r="N782" i="7"/>
  <c r="K1865" i="1"/>
  <c r="L1866" i="1" s="1"/>
  <c r="J921" i="7"/>
  <c r="J1572" i="1"/>
  <c r="J456" i="8" s="1"/>
  <c r="J702" i="8"/>
  <c r="M703" i="8" s="1"/>
  <c r="J856" i="8"/>
  <c r="J1679" i="1" l="1"/>
  <c r="J987" i="7" s="1"/>
  <c r="M951" i="7"/>
  <c r="K101" i="8"/>
  <c r="K100" i="8" s="1"/>
  <c r="N278" i="8"/>
  <c r="N277" i="8" s="1"/>
  <c r="N286" i="8" s="1"/>
  <c r="N1433" i="1"/>
  <c r="N177" i="8"/>
  <c r="N169" i="8"/>
  <c r="N580" i="8"/>
  <c r="N912" i="8" s="1"/>
  <c r="K187" i="8"/>
  <c r="K186" i="8" s="1"/>
  <c r="K502" i="8" s="1"/>
  <c r="K506" i="8" s="1"/>
  <c r="N168" i="8"/>
  <c r="N1389" i="1"/>
  <c r="N178" i="8" s="1"/>
  <c r="N1324" i="1"/>
  <c r="N1672" i="1"/>
  <c r="N1996" i="1" s="1"/>
  <c r="N1588" i="1"/>
  <c r="N1171" i="1"/>
  <c r="N1172" i="1" s="1"/>
  <c r="N1173" i="1" s="1"/>
  <c r="K325" i="8"/>
  <c r="K324" i="8" s="1"/>
  <c r="K327" i="8" s="1"/>
  <c r="O220" i="1"/>
  <c r="P219" i="1" s="1"/>
  <c r="J1677" i="1"/>
  <c r="J985" i="7" s="1"/>
  <c r="J960" i="7"/>
  <c r="L1392" i="1"/>
  <c r="K1598" i="1"/>
  <c r="K503" i="8" s="1"/>
  <c r="K808" i="7"/>
  <c r="K1930" i="1"/>
  <c r="K1931" i="1" s="1"/>
  <c r="L1932" i="1" s="1"/>
  <c r="K1926" i="1"/>
  <c r="K1927" i="1" s="1"/>
  <c r="K1936" i="1" s="1"/>
  <c r="L1937" i="1" s="1"/>
  <c r="L68" i="8"/>
  <c r="K1939" i="1"/>
  <c r="K1943" i="1"/>
  <c r="K1944" i="1" s="1"/>
  <c r="K1456" i="1"/>
  <c r="K328" i="8" s="1"/>
  <c r="K777" i="8"/>
  <c r="L778" i="8" s="1"/>
  <c r="K938" i="8"/>
  <c r="K118" i="8"/>
  <c r="K697" i="8"/>
  <c r="L698" i="8" s="1"/>
  <c r="K1015" i="7"/>
  <c r="K1783" i="1"/>
  <c r="N978" i="7"/>
  <c r="N694" i="7"/>
  <c r="N970" i="7"/>
  <c r="N1099" i="7"/>
  <c r="N968" i="7"/>
  <c r="J583" i="8"/>
  <c r="J475" i="8"/>
  <c r="J582" i="8"/>
  <c r="N787" i="7"/>
  <c r="K1032" i="7"/>
  <c r="K1800" i="1"/>
  <c r="K1033" i="7" s="1"/>
  <c r="K772" i="8"/>
  <c r="L773" i="8" s="1"/>
  <c r="K845" i="8"/>
  <c r="L846" i="8" s="1"/>
  <c r="N980" i="7"/>
  <c r="N1086" i="7"/>
  <c r="K840" i="8"/>
  <c r="K841" i="8" s="1"/>
  <c r="K853" i="8"/>
  <c r="K855" i="8"/>
  <c r="K856" i="8" s="1"/>
  <c r="K857" i="8"/>
  <c r="K858" i="8" s="1"/>
  <c r="J567" i="8"/>
  <c r="K702" i="8"/>
  <c r="L703" i="8" s="1"/>
  <c r="J1675" i="1"/>
  <c r="J983" i="7" s="1"/>
  <c r="J930" i="7"/>
  <c r="J1583" i="1"/>
  <c r="J476" i="8" s="1"/>
  <c r="J1674" i="1"/>
  <c r="J982" i="7" s="1"/>
  <c r="N557" i="7"/>
  <c r="M577" i="7"/>
  <c r="M1989" i="1"/>
  <c r="M1175" i="1"/>
  <c r="K1019" i="7"/>
  <c r="K1787" i="1"/>
  <c r="K1030" i="7"/>
  <c r="K1798" i="1"/>
  <c r="K1031" i="7" s="1"/>
  <c r="L798" i="7"/>
  <c r="L1844" i="1"/>
  <c r="L1854" i="1" s="1"/>
  <c r="L306" i="8"/>
  <c r="L1915" i="1"/>
  <c r="L1771" i="1"/>
  <c r="L1385" i="1"/>
  <c r="L181" i="8" s="1"/>
  <c r="K586" i="8" l="1"/>
  <c r="K509" i="8"/>
  <c r="K585" i="8" s="1"/>
  <c r="K937" i="8"/>
  <c r="K588" i="8"/>
  <c r="N2060" i="1"/>
  <c r="N1987" i="1"/>
  <c r="N170" i="8"/>
  <c r="N1662" i="1"/>
  <c r="N1670" i="1"/>
  <c r="N925" i="8"/>
  <c r="N903" i="8"/>
  <c r="N570" i="8"/>
  <c r="N578" i="8"/>
  <c r="L185" i="8"/>
  <c r="L184" i="8" s="1"/>
  <c r="N1989" i="1"/>
  <c r="N1175" i="1"/>
  <c r="N1842" i="1"/>
  <c r="N1769" i="1"/>
  <c r="N1913" i="1"/>
  <c r="N287" i="8"/>
  <c r="N827" i="8"/>
  <c r="N679" i="8"/>
  <c r="N754" i="8"/>
  <c r="N485" i="8"/>
  <c r="N484" i="8" s="1"/>
  <c r="N905" i="8" s="1"/>
  <c r="N1593" i="1"/>
  <c r="O221" i="1"/>
  <c r="K1600" i="1"/>
  <c r="K507" i="8" s="1"/>
  <c r="K956" i="7"/>
  <c r="K1680" i="1"/>
  <c r="K2072" i="1"/>
  <c r="K1111" i="7" s="1"/>
  <c r="K1458" i="1"/>
  <c r="K810" i="7"/>
  <c r="M579" i="7"/>
  <c r="M1277" i="1"/>
  <c r="M84" i="8" s="1"/>
  <c r="M1441" i="1"/>
  <c r="M302" i="8" s="1"/>
  <c r="J511" i="8"/>
  <c r="I566" i="8"/>
  <c r="N1077" i="7"/>
  <c r="N946" i="7"/>
  <c r="J941" i="7"/>
  <c r="J1658" i="1"/>
  <c r="J966" i="7" s="1"/>
  <c r="J1603" i="1"/>
  <c r="L829" i="8"/>
  <c r="L681" i="8"/>
  <c r="L691" i="8" s="1"/>
  <c r="L756" i="8"/>
  <c r="L766" i="8" s="1"/>
  <c r="L1872" i="1"/>
  <c r="L1873" i="1" s="1"/>
  <c r="L1868" i="1"/>
  <c r="L1855" i="1"/>
  <c r="L1856" i="1" s="1"/>
  <c r="L1870" i="1"/>
  <c r="L1871" i="1" s="1"/>
  <c r="L1859" i="1"/>
  <c r="K1020" i="7"/>
  <c r="L1788" i="1"/>
  <c r="L1021" i="7" s="1"/>
  <c r="K850" i="8"/>
  <c r="L851" i="8" s="1"/>
  <c r="N1002" i="7"/>
  <c r="L180" i="8"/>
  <c r="L182" i="8" s="1"/>
  <c r="L926" i="8" s="1"/>
  <c r="L1290" i="1"/>
  <c r="L106" i="8" s="1"/>
  <c r="L1452" i="1"/>
  <c r="L322" i="8" s="1"/>
  <c r="L1391" i="1"/>
  <c r="L183" i="8" s="1"/>
  <c r="M1079" i="7"/>
  <c r="M1986" i="1"/>
  <c r="K1016" i="7"/>
  <c r="K1792" i="1"/>
  <c r="L1004" i="7"/>
  <c r="L1781" i="1"/>
  <c r="N575" i="7"/>
  <c r="K587" i="8" l="1"/>
  <c r="N495" i="8"/>
  <c r="N494" i="8" s="1"/>
  <c r="O215" i="1"/>
  <c r="P217" i="1"/>
  <c r="N1277" i="1"/>
  <c r="N1441" i="1"/>
  <c r="N902" i="8"/>
  <c r="N909" i="8" s="1"/>
  <c r="N1986" i="1"/>
  <c r="N1993" i="1" s="1"/>
  <c r="K332" i="8"/>
  <c r="K331" i="8" s="1"/>
  <c r="K1238" i="1" s="1"/>
  <c r="K1602" i="1"/>
  <c r="K510" i="8" s="1"/>
  <c r="K1678" i="1"/>
  <c r="K986" i="7" s="1"/>
  <c r="K1659" i="1"/>
  <c r="K967" i="7" s="1"/>
  <c r="K958" i="7"/>
  <c r="K812" i="7"/>
  <c r="K1563" i="1"/>
  <c r="K438" i="8" s="1"/>
  <c r="K988" i="7"/>
  <c r="K1236" i="1"/>
  <c r="K639" i="7" s="1"/>
  <c r="K1294" i="1"/>
  <c r="K2074" i="1"/>
  <c r="K1113" i="7" s="1"/>
  <c r="L1457" i="1"/>
  <c r="K1196" i="1"/>
  <c r="K600" i="7" s="1"/>
  <c r="K1237" i="1"/>
  <c r="K640" i="7" s="1"/>
  <c r="K1239" i="1"/>
  <c r="K1198" i="1"/>
  <c r="K1295" i="1"/>
  <c r="N576" i="7"/>
  <c r="K1025" i="7"/>
  <c r="L1793" i="1"/>
  <c r="L1026" i="7" s="1"/>
  <c r="L2061" i="1"/>
  <c r="L1100" i="7" s="1"/>
  <c r="L1393" i="1"/>
  <c r="L187" i="8" s="1"/>
  <c r="O693" i="7"/>
  <c r="L1865" i="1"/>
  <c r="K1866" i="1" s="1"/>
  <c r="J961" i="7"/>
  <c r="L1014" i="7"/>
  <c r="L1782" i="1"/>
  <c r="L1795" i="1"/>
  <c r="L1028" i="7" s="1"/>
  <c r="L1799" i="1"/>
  <c r="L1797" i="1"/>
  <c r="L1786" i="1"/>
  <c r="L1921" i="1"/>
  <c r="L1925" i="1" s="1"/>
  <c r="L806" i="7"/>
  <c r="L321" i="8"/>
  <c r="L835" i="8" s="1"/>
  <c r="L839" i="8" s="1"/>
  <c r="L1454" i="1"/>
  <c r="L325" i="8" s="1"/>
  <c r="L767" i="8"/>
  <c r="L768" i="8" s="1"/>
  <c r="L784" i="8"/>
  <c r="L785" i="8" s="1"/>
  <c r="L780" i="8"/>
  <c r="L782" i="8"/>
  <c r="L783" i="8" s="1"/>
  <c r="L771" i="8"/>
  <c r="N951" i="7"/>
  <c r="M795" i="7"/>
  <c r="M1444" i="1"/>
  <c r="M307" i="8" s="1"/>
  <c r="M301" i="8"/>
  <c r="M929" i="8" s="1"/>
  <c r="M2064" i="1"/>
  <c r="M1103" i="7" s="1"/>
  <c r="M1076" i="7"/>
  <c r="M1993" i="1"/>
  <c r="M1083" i="7" s="1"/>
  <c r="L1287" i="1"/>
  <c r="L101" i="8" s="1"/>
  <c r="L105" i="8"/>
  <c r="O561" i="7"/>
  <c r="O782" i="7"/>
  <c r="L1860" i="1"/>
  <c r="K1861" i="1" s="1"/>
  <c r="L692" i="8"/>
  <c r="L693" i="8" s="1"/>
  <c r="L705" i="8"/>
  <c r="L709" i="8"/>
  <c r="L710" i="8" s="1"/>
  <c r="L707" i="8"/>
  <c r="L708" i="8" s="1"/>
  <c r="L696" i="8"/>
  <c r="M1269" i="1"/>
  <c r="M69" i="8" s="1"/>
  <c r="M83" i="8"/>
  <c r="N2064" i="1" l="1"/>
  <c r="N302" i="8"/>
  <c r="N301" i="8" s="1"/>
  <c r="N929" i="8" s="1"/>
  <c r="N1444" i="1"/>
  <c r="N84" i="8"/>
  <c r="N83" i="8" s="1"/>
  <c r="N1269" i="1"/>
  <c r="N69" i="8" s="1"/>
  <c r="N68" i="8" s="1"/>
  <c r="O216" i="1"/>
  <c r="O62" i="8" s="1"/>
  <c r="O61" i="8" s="1"/>
  <c r="O167" i="8" s="1"/>
  <c r="O228" i="1"/>
  <c r="O1428" i="1" s="1"/>
  <c r="O1323" i="1"/>
  <c r="O1157" i="1"/>
  <c r="O1153" i="1" s="1"/>
  <c r="O2022" i="1"/>
  <c r="O2040" i="1" s="1"/>
  <c r="O2047" i="1" s="1"/>
  <c r="O2021" i="1"/>
  <c r="O2039" i="1" s="1"/>
  <c r="O2046" i="1" s="1"/>
  <c r="P218" i="1"/>
  <c r="P220" i="1" s="1"/>
  <c r="Q219" i="1" s="1"/>
  <c r="K437" i="8"/>
  <c r="K455" i="8" s="1"/>
  <c r="K583" i="8" s="1"/>
  <c r="L330" i="8"/>
  <c r="L329" i="8" s="1"/>
  <c r="K939" i="8"/>
  <c r="K1197" i="1"/>
  <c r="K960" i="7"/>
  <c r="K1679" i="1"/>
  <c r="K987" i="7" s="1"/>
  <c r="K1677" i="1"/>
  <c r="K985" i="7" s="1"/>
  <c r="K1572" i="1"/>
  <c r="K456" i="8" s="1"/>
  <c r="K921" i="7"/>
  <c r="L2073" i="1"/>
  <c r="L1112" i="7" s="1"/>
  <c r="M68" i="8"/>
  <c r="L811" i="7"/>
  <c r="L100" i="8"/>
  <c r="L857" i="8"/>
  <c r="L858" i="8" s="1"/>
  <c r="L840" i="8"/>
  <c r="L841" i="8" s="1"/>
  <c r="L853" i="8"/>
  <c r="L855" i="8"/>
  <c r="L856" i="8" s="1"/>
  <c r="L844" i="8"/>
  <c r="L772" i="8"/>
  <c r="K773" i="8" s="1"/>
  <c r="L777" i="8"/>
  <c r="K778" i="8" s="1"/>
  <c r="L1943" i="1"/>
  <c r="L1944" i="1" s="1"/>
  <c r="L1926" i="1"/>
  <c r="L1927" i="1" s="1"/>
  <c r="L1939" i="1"/>
  <c r="L1941" i="1"/>
  <c r="L1942" i="1" s="1"/>
  <c r="L1930" i="1"/>
  <c r="O787" i="7"/>
  <c r="M1771" i="1"/>
  <c r="M798" i="7"/>
  <c r="M1915" i="1"/>
  <c r="M306" i="8"/>
  <c r="M1844" i="1"/>
  <c r="M1854" i="1" s="1"/>
  <c r="L808" i="7"/>
  <c r="L324" i="8"/>
  <c r="L327" i="8" s="1"/>
  <c r="L1456" i="1"/>
  <c r="L328" i="8" s="1"/>
  <c r="L1019" i="7"/>
  <c r="L1787" i="1"/>
  <c r="L1015" i="7"/>
  <c r="L1783" i="1"/>
  <c r="O978" i="7"/>
  <c r="O1099" i="7"/>
  <c r="O694" i="7"/>
  <c r="O970" i="7"/>
  <c r="O968" i="7"/>
  <c r="N577" i="7"/>
  <c r="L1032" i="7"/>
  <c r="L1800" i="1"/>
  <c r="L1033" i="7" s="1"/>
  <c r="L697" i="8"/>
  <c r="K698" i="8" s="1"/>
  <c r="L702" i="8"/>
  <c r="K703" i="8" s="1"/>
  <c r="O557" i="7"/>
  <c r="L1030" i="7"/>
  <c r="L1798" i="1"/>
  <c r="L1031" i="7" s="1"/>
  <c r="O980" i="7"/>
  <c r="O1086" i="7"/>
  <c r="M1385" i="1"/>
  <c r="M181" i="8" s="1"/>
  <c r="M1392" i="1"/>
  <c r="M185" i="8" s="1"/>
  <c r="L1598" i="1"/>
  <c r="L503" i="8" s="1"/>
  <c r="L186" i="8"/>
  <c r="L502" i="8" s="1"/>
  <c r="L506" i="8" s="1"/>
  <c r="K582" i="8" l="1"/>
  <c r="K475" i="8"/>
  <c r="L938" i="8"/>
  <c r="L118" i="8"/>
  <c r="O1588" i="1"/>
  <c r="O1171" i="1"/>
  <c r="O1172" i="1" s="1"/>
  <c r="O1173" i="1" s="1"/>
  <c r="O177" i="8"/>
  <c r="O169" i="8"/>
  <c r="O580" i="8"/>
  <c r="O912" i="8" s="1"/>
  <c r="O278" i="8"/>
  <c r="O277" i="8" s="1"/>
  <c r="O286" i="8" s="1"/>
  <c r="O1433" i="1"/>
  <c r="N1844" i="1"/>
  <c r="N1854" i="1" s="1"/>
  <c r="N1771" i="1"/>
  <c r="N1781" i="1" s="1"/>
  <c r="N1915" i="1"/>
  <c r="N307" i="8"/>
  <c r="N306" i="8" s="1"/>
  <c r="O168" i="8"/>
  <c r="O1389" i="1"/>
  <c r="O178" i="8" s="1"/>
  <c r="O1672" i="1"/>
  <c r="O1996" i="1" s="1"/>
  <c r="O1324" i="1"/>
  <c r="P221" i="1"/>
  <c r="K1674" i="1"/>
  <c r="K982" i="7" s="1"/>
  <c r="K1583" i="1"/>
  <c r="K476" i="8" s="1"/>
  <c r="K930" i="7"/>
  <c r="K1675" i="1"/>
  <c r="K983" i="7" s="1"/>
  <c r="L1680" i="1"/>
  <c r="L1236" i="1" s="1"/>
  <c r="L639" i="7" s="1"/>
  <c r="M184" i="8"/>
  <c r="L937" i="8"/>
  <c r="L588" i="8"/>
  <c r="M1290" i="1"/>
  <c r="M106" i="8" s="1"/>
  <c r="M180" i="8"/>
  <c r="M182" i="8" s="1"/>
  <c r="M926" i="8" s="1"/>
  <c r="M1452" i="1"/>
  <c r="M322" i="8" s="1"/>
  <c r="M1391" i="1"/>
  <c r="M183" i="8" s="1"/>
  <c r="M681" i="8"/>
  <c r="M691" i="8" s="1"/>
  <c r="M829" i="8"/>
  <c r="M756" i="8"/>
  <c r="M766" i="8" s="1"/>
  <c r="L509" i="8"/>
  <c r="L586" i="8"/>
  <c r="K567" i="8"/>
  <c r="L810" i="7"/>
  <c r="L2072" i="1"/>
  <c r="L1111" i="7" s="1"/>
  <c r="L1458" i="1"/>
  <c r="L332" i="8" s="1"/>
  <c r="O1002" i="7"/>
  <c r="L1931" i="1"/>
  <c r="K1932" i="1" s="1"/>
  <c r="O575" i="7"/>
  <c r="N1079" i="7"/>
  <c r="O1077" i="7"/>
  <c r="L956" i="7"/>
  <c r="L1600" i="1"/>
  <c r="L507" i="8" s="1"/>
  <c r="O946" i="7"/>
  <c r="L1020" i="7"/>
  <c r="K1788" i="1"/>
  <c r="K1021" i="7" s="1"/>
  <c r="L850" i="8"/>
  <c r="K851" i="8" s="1"/>
  <c r="K511" i="8"/>
  <c r="J566" i="8"/>
  <c r="N579" i="7"/>
  <c r="L1792" i="1"/>
  <c r="L1016" i="7"/>
  <c r="M1868" i="1"/>
  <c r="M1855" i="1"/>
  <c r="M1856" i="1" s="1"/>
  <c r="M1870" i="1"/>
  <c r="M1871" i="1" s="1"/>
  <c r="M1872" i="1"/>
  <c r="M1873" i="1" s="1"/>
  <c r="M1859" i="1"/>
  <c r="M1004" i="7"/>
  <c r="M1781" i="1"/>
  <c r="L1936" i="1"/>
  <c r="K1937" i="1" s="1"/>
  <c r="L845" i="8"/>
  <c r="K846" i="8" s="1"/>
  <c r="O2060" i="1" l="1"/>
  <c r="O1987" i="1"/>
  <c r="O170" i="8"/>
  <c r="O1662" i="1"/>
  <c r="O1670" i="1"/>
  <c r="O903" i="8"/>
  <c r="O925" i="8"/>
  <c r="O570" i="8"/>
  <c r="O578" i="8"/>
  <c r="N1799" i="1"/>
  <c r="N1800" i="1" s="1"/>
  <c r="N1782" i="1"/>
  <c r="N1795" i="1"/>
  <c r="N1797" i="1"/>
  <c r="N1798" i="1" s="1"/>
  <c r="O1769" i="1"/>
  <c r="O1913" i="1"/>
  <c r="O1842" i="1"/>
  <c r="O287" i="8"/>
  <c r="O1989" i="1"/>
  <c r="O1175" i="1"/>
  <c r="N1872" i="1"/>
  <c r="N1873" i="1" s="1"/>
  <c r="N1870" i="1"/>
  <c r="N1871" i="1" s="1"/>
  <c r="N1868" i="1"/>
  <c r="N1855" i="1"/>
  <c r="N1856" i="1" s="1"/>
  <c r="O485" i="8"/>
  <c r="O484" i="8" s="1"/>
  <c r="O905" i="8" s="1"/>
  <c r="O1593" i="1"/>
  <c r="O827" i="8"/>
  <c r="O679" i="8"/>
  <c r="O754" i="8"/>
  <c r="N1859" i="1"/>
  <c r="P215" i="1"/>
  <c r="Q217" i="1"/>
  <c r="N829" i="8"/>
  <c r="N681" i="8"/>
  <c r="N691" i="8" s="1"/>
  <c r="N756" i="8"/>
  <c r="N766" i="8" s="1"/>
  <c r="K1603" i="1"/>
  <c r="K961" i="7" s="1"/>
  <c r="K1658" i="1"/>
  <c r="K966" i="7" s="1"/>
  <c r="K941" i="7"/>
  <c r="L988" i="7"/>
  <c r="M2061" i="1"/>
  <c r="M1100" i="7" s="1"/>
  <c r="M1393" i="1"/>
  <c r="L1198" i="1"/>
  <c r="L1294" i="1"/>
  <c r="L1239" i="1"/>
  <c r="L1295" i="1"/>
  <c r="L812" i="7"/>
  <c r="L2074" i="1"/>
  <c r="L1113" i="7" s="1"/>
  <c r="L1237" i="1"/>
  <c r="L640" i="7" s="1"/>
  <c r="L1196" i="1"/>
  <c r="L600" i="7" s="1"/>
  <c r="M1457" i="1"/>
  <c r="L1563" i="1"/>
  <c r="L438" i="8" s="1"/>
  <c r="L331" i="8"/>
  <c r="P561" i="7"/>
  <c r="O951" i="7"/>
  <c r="L1025" i="7"/>
  <c r="K1793" i="1"/>
  <c r="K1026" i="7" s="1"/>
  <c r="M767" i="8"/>
  <c r="M768" i="8" s="1"/>
  <c r="M780" i="8"/>
  <c r="M782" i="8"/>
  <c r="M783" i="8" s="1"/>
  <c r="M784" i="8"/>
  <c r="M785" i="8" s="1"/>
  <c r="M771" i="8"/>
  <c r="M1921" i="1"/>
  <c r="M1925" i="1" s="1"/>
  <c r="M806" i="7"/>
  <c r="M321" i="8"/>
  <c r="M835" i="8" s="1"/>
  <c r="M839" i="8" s="1"/>
  <c r="M1454" i="1"/>
  <c r="M325" i="8" s="1"/>
  <c r="P693" i="7"/>
  <c r="M1860" i="1"/>
  <c r="J1861" i="1" s="1"/>
  <c r="N795" i="7"/>
  <c r="N1103" i="7"/>
  <c r="O576" i="7"/>
  <c r="L585" i="8"/>
  <c r="L587" i="8"/>
  <c r="M1014" i="7"/>
  <c r="M1795" i="1"/>
  <c r="M1028" i="7" s="1"/>
  <c r="M1797" i="1"/>
  <c r="M1782" i="1"/>
  <c r="M1799" i="1"/>
  <c r="M1786" i="1"/>
  <c r="N1786" i="1" s="1"/>
  <c r="N1083" i="7"/>
  <c r="N1076" i="7"/>
  <c r="M1865" i="1"/>
  <c r="J1866" i="1" s="1"/>
  <c r="P782" i="7"/>
  <c r="L958" i="7"/>
  <c r="L1659" i="1"/>
  <c r="L967" i="7" s="1"/>
  <c r="L1678" i="1"/>
  <c r="L986" i="7" s="1"/>
  <c r="L1602" i="1"/>
  <c r="L510" i="8" s="1"/>
  <c r="M692" i="8"/>
  <c r="M693" i="8" s="1"/>
  <c r="M709" i="8"/>
  <c r="M710" i="8" s="1"/>
  <c r="M705" i="8"/>
  <c r="M707" i="8"/>
  <c r="M708" i="8" s="1"/>
  <c r="M696" i="8"/>
  <c r="M1287" i="1"/>
  <c r="M101" i="8" s="1"/>
  <c r="M105" i="8"/>
  <c r="N696" i="8" l="1"/>
  <c r="N697" i="8" s="1"/>
  <c r="N771" i="8"/>
  <c r="N772" i="8" s="1"/>
  <c r="O1986" i="1"/>
  <c r="O1993" i="1" s="1"/>
  <c r="N1860" i="1"/>
  <c r="O495" i="8"/>
  <c r="O494" i="8" s="1"/>
  <c r="N780" i="8"/>
  <c r="N784" i="8"/>
  <c r="N785" i="8" s="1"/>
  <c r="N782" i="8"/>
  <c r="N783" i="8" s="1"/>
  <c r="N767" i="8"/>
  <c r="N768" i="8" s="1"/>
  <c r="N707" i="8"/>
  <c r="N708" i="8" s="1"/>
  <c r="N705" i="8"/>
  <c r="N692" i="8"/>
  <c r="N693" i="8" s="1"/>
  <c r="N709" i="8"/>
  <c r="N710" i="8" s="1"/>
  <c r="M330" i="8"/>
  <c r="M329" i="8" s="1"/>
  <c r="N1385" i="1"/>
  <c r="P216" i="1"/>
  <c r="P62" i="8" s="1"/>
  <c r="P61" i="8" s="1"/>
  <c r="P167" i="8" s="1"/>
  <c r="P1323" i="1"/>
  <c r="P2021" i="1"/>
  <c r="P2039" i="1" s="1"/>
  <c r="P2046" i="1" s="1"/>
  <c r="P1157" i="1"/>
  <c r="P1153" i="1" s="1"/>
  <c r="P228" i="1"/>
  <c r="P1428" i="1" s="1"/>
  <c r="P2022" i="1"/>
  <c r="P2040" i="1" s="1"/>
  <c r="P2047" i="1" s="1"/>
  <c r="N1787" i="1"/>
  <c r="N1865" i="1"/>
  <c r="N1392" i="1"/>
  <c r="N185" i="8" s="1"/>
  <c r="N184" i="8" s="1"/>
  <c r="M187" i="8"/>
  <c r="O902" i="8"/>
  <c r="O909" i="8" s="1"/>
  <c r="Q218" i="1"/>
  <c r="S217" i="1"/>
  <c r="O1441" i="1"/>
  <c r="O1277" i="1"/>
  <c r="M186" i="8"/>
  <c r="M502" i="8" s="1"/>
  <c r="M506" i="8" s="1"/>
  <c r="M100" i="8"/>
  <c r="M853" i="8"/>
  <c r="M857" i="8"/>
  <c r="M858" i="8" s="1"/>
  <c r="M840" i="8"/>
  <c r="M841" i="8" s="1"/>
  <c r="M855" i="8"/>
  <c r="M856" i="8" s="1"/>
  <c r="M844" i="8"/>
  <c r="P787" i="7"/>
  <c r="M1032" i="7"/>
  <c r="M1800" i="1"/>
  <c r="M1033" i="7" s="1"/>
  <c r="O577" i="7"/>
  <c r="M811" i="7"/>
  <c r="M2073" i="1"/>
  <c r="M1112" i="7" s="1"/>
  <c r="M697" i="8"/>
  <c r="J698" i="8" s="1"/>
  <c r="M702" i="8"/>
  <c r="J703" i="8" s="1"/>
  <c r="M1015" i="7"/>
  <c r="M1783" i="1"/>
  <c r="N1783" i="1" s="1"/>
  <c r="P1099" i="7"/>
  <c r="P694" i="7"/>
  <c r="P970" i="7"/>
  <c r="P978" i="7"/>
  <c r="P968" i="7"/>
  <c r="M1926" i="1"/>
  <c r="M1927" i="1" s="1"/>
  <c r="M1941" i="1"/>
  <c r="M1942" i="1" s="1"/>
  <c r="M1939" i="1"/>
  <c r="M1943" i="1"/>
  <c r="M1944" i="1" s="1"/>
  <c r="M1930" i="1"/>
  <c r="M1598" i="1"/>
  <c r="M503" i="8" s="1"/>
  <c r="L960" i="7"/>
  <c r="L1679" i="1"/>
  <c r="L987" i="7" s="1"/>
  <c r="L1677" i="1"/>
  <c r="L985" i="7" s="1"/>
  <c r="M1030" i="7"/>
  <c r="M1798" i="1"/>
  <c r="M1031" i="7" s="1"/>
  <c r="P980" i="7"/>
  <c r="P1086" i="7"/>
  <c r="M808" i="7"/>
  <c r="M324" i="8"/>
  <c r="M327" i="8" s="1"/>
  <c r="M1456" i="1"/>
  <c r="M328" i="8" s="1"/>
  <c r="M772" i="8"/>
  <c r="J773" i="8" s="1"/>
  <c r="M777" i="8"/>
  <c r="J778" i="8" s="1"/>
  <c r="P557" i="7"/>
  <c r="L939" i="8"/>
  <c r="L1238" i="1"/>
  <c r="L1197" i="1"/>
  <c r="L437" i="8"/>
  <c r="L455" i="8" s="1"/>
  <c r="M1019" i="7"/>
  <c r="M1787" i="1"/>
  <c r="N798" i="7"/>
  <c r="L921" i="7"/>
  <c r="L1572" i="1"/>
  <c r="L456" i="8" s="1"/>
  <c r="N702" i="8" l="1"/>
  <c r="O84" i="8"/>
  <c r="O83" i="8" s="1"/>
  <c r="O1269" i="1"/>
  <c r="O69" i="8" s="1"/>
  <c r="O68" i="8" s="1"/>
  <c r="O2064" i="1"/>
  <c r="O302" i="8"/>
  <c r="O301" i="8" s="1"/>
  <c r="O929" i="8" s="1"/>
  <c r="O1444" i="1"/>
  <c r="P278" i="8"/>
  <c r="P277" i="8" s="1"/>
  <c r="P286" i="8" s="1"/>
  <c r="P1433" i="1"/>
  <c r="N1452" i="1"/>
  <c r="N1290" i="1"/>
  <c r="N181" i="8"/>
  <c r="N180" i="8" s="1"/>
  <c r="N182" i="8" s="1"/>
  <c r="N926" i="8" s="1"/>
  <c r="N1391" i="1"/>
  <c r="P1588" i="1"/>
  <c r="P1171" i="1"/>
  <c r="P1172" i="1" s="1"/>
  <c r="P1173" i="1" s="1"/>
  <c r="Q220" i="1"/>
  <c r="Q221" i="1" s="1"/>
  <c r="Q215" i="1" s="1"/>
  <c r="N777" i="8"/>
  <c r="P168" i="8"/>
  <c r="P1389" i="1"/>
  <c r="P178" i="8" s="1"/>
  <c r="P1672" i="1"/>
  <c r="P1996" i="1" s="1"/>
  <c r="P1324" i="1"/>
  <c r="N1792" i="1"/>
  <c r="P177" i="8"/>
  <c r="P169" i="8"/>
  <c r="P580" i="8"/>
  <c r="P912" i="8" s="1"/>
  <c r="M1680" i="1"/>
  <c r="M988" i="7" s="1"/>
  <c r="M937" i="8"/>
  <c r="M588" i="8"/>
  <c r="O579" i="7"/>
  <c r="J1788" i="1"/>
  <c r="J1021" i="7" s="1"/>
  <c r="M1020" i="7"/>
  <c r="M2072" i="1"/>
  <c r="M1111" i="7" s="1"/>
  <c r="M810" i="7"/>
  <c r="M1458" i="1"/>
  <c r="M1931" i="1"/>
  <c r="J1932" i="1" s="1"/>
  <c r="M1936" i="1"/>
  <c r="J1937" i="1" s="1"/>
  <c r="O1079" i="7"/>
  <c r="P1002" i="7"/>
  <c r="M850" i="8"/>
  <c r="J851" i="8" s="1"/>
  <c r="P575" i="7"/>
  <c r="N1004" i="7"/>
  <c r="M509" i="8"/>
  <c r="M586" i="8"/>
  <c r="L567" i="8"/>
  <c r="P1077" i="7"/>
  <c r="M938" i="8"/>
  <c r="M118" i="8"/>
  <c r="L1675" i="1"/>
  <c r="L983" i="7" s="1"/>
  <c r="L930" i="7"/>
  <c r="L1583" i="1"/>
  <c r="L476" i="8" s="1"/>
  <c r="L1674" i="1"/>
  <c r="L982" i="7" s="1"/>
  <c r="L583" i="8"/>
  <c r="L475" i="8"/>
  <c r="L582" i="8"/>
  <c r="P946" i="7"/>
  <c r="M956" i="7"/>
  <c r="M1600" i="1"/>
  <c r="M507" i="8" s="1"/>
  <c r="M1016" i="7"/>
  <c r="M1792" i="1"/>
  <c r="M845" i="8"/>
  <c r="J846" i="8" s="1"/>
  <c r="Q216" i="1" l="1"/>
  <c r="Q1157" i="1"/>
  <c r="Q228" i="1"/>
  <c r="Q1323" i="1"/>
  <c r="Q2021" i="1"/>
  <c r="Q2022" i="1"/>
  <c r="S215" i="1"/>
  <c r="P1989" i="1"/>
  <c r="P1175" i="1"/>
  <c r="P2060" i="1"/>
  <c r="P1987" i="1"/>
  <c r="P170" i="8"/>
  <c r="P1662" i="1"/>
  <c r="P1670" i="1"/>
  <c r="P679" i="8"/>
  <c r="P754" i="8"/>
  <c r="P827" i="8"/>
  <c r="P485" i="8"/>
  <c r="P484" i="8" s="1"/>
  <c r="P905" i="8" s="1"/>
  <c r="P1593" i="1"/>
  <c r="P925" i="8"/>
  <c r="P903" i="8"/>
  <c r="P570" i="8"/>
  <c r="P578" i="8"/>
  <c r="N1457" i="1"/>
  <c r="M332" i="8"/>
  <c r="M331" i="8" s="1"/>
  <c r="O1771" i="1"/>
  <c r="O1781" i="1" s="1"/>
  <c r="O1915" i="1"/>
  <c r="O1844" i="1"/>
  <c r="O1854" i="1" s="1"/>
  <c r="O307" i="8"/>
  <c r="O306" i="8" s="1"/>
  <c r="N106" i="8"/>
  <c r="N105" i="8" s="1"/>
  <c r="N1287" i="1"/>
  <c r="N101" i="8" s="1"/>
  <c r="N100" i="8" s="1"/>
  <c r="N1921" i="1"/>
  <c r="N1925" i="1" s="1"/>
  <c r="N322" i="8"/>
  <c r="N321" i="8" s="1"/>
  <c r="N835" i="8" s="1"/>
  <c r="N839" i="8" s="1"/>
  <c r="N1454" i="1"/>
  <c r="P1842" i="1"/>
  <c r="P1913" i="1"/>
  <c r="P1769" i="1"/>
  <c r="P287" i="8"/>
  <c r="N2061" i="1"/>
  <c r="N183" i="8"/>
  <c r="N1393" i="1"/>
  <c r="M1236" i="1"/>
  <c r="M639" i="7" s="1"/>
  <c r="I1861" i="1"/>
  <c r="M587" i="8"/>
  <c r="M585" i="8"/>
  <c r="M958" i="7"/>
  <c r="M1659" i="1"/>
  <c r="M967" i="7" s="1"/>
  <c r="M1678" i="1"/>
  <c r="M986" i="7" s="1"/>
  <c r="M1602" i="1"/>
  <c r="M510" i="8" s="1"/>
  <c r="O1083" i="7"/>
  <c r="O1076" i="7"/>
  <c r="O795" i="7"/>
  <c r="O1103" i="7"/>
  <c r="N806" i="7"/>
  <c r="N1028" i="7"/>
  <c r="N1014" i="7"/>
  <c r="Q968" i="7"/>
  <c r="P576" i="7"/>
  <c r="N1100" i="7"/>
  <c r="P951" i="7"/>
  <c r="L511" i="8"/>
  <c r="K566" i="8"/>
  <c r="I1866" i="1"/>
  <c r="L1603" i="1"/>
  <c r="L961" i="7" s="1"/>
  <c r="L941" i="7"/>
  <c r="L1658" i="1"/>
  <c r="L966" i="7" s="1"/>
  <c r="M1239" i="1"/>
  <c r="M1295" i="1"/>
  <c r="M1237" i="1"/>
  <c r="M640" i="7" s="1"/>
  <c r="M1198" i="1"/>
  <c r="M1294" i="1"/>
  <c r="M812" i="7"/>
  <c r="M1196" i="1"/>
  <c r="M600" i="7" s="1"/>
  <c r="M1563" i="1"/>
  <c r="M438" i="8" s="1"/>
  <c r="M2074" i="1"/>
  <c r="M1113" i="7" s="1"/>
  <c r="M1025" i="7"/>
  <c r="J1793" i="1"/>
  <c r="J1026" i="7" s="1"/>
  <c r="P1986" i="1" l="1"/>
  <c r="P1993" i="1" s="1"/>
  <c r="O1870" i="1"/>
  <c r="O1871" i="1" s="1"/>
  <c r="O1868" i="1"/>
  <c r="O1855" i="1"/>
  <c r="O1856" i="1" s="1"/>
  <c r="O1872" i="1"/>
  <c r="O1873" i="1" s="1"/>
  <c r="O1859" i="1"/>
  <c r="O1797" i="1"/>
  <c r="O1798" i="1" s="1"/>
  <c r="O1795" i="1"/>
  <c r="O1782" i="1"/>
  <c r="O1783" i="1" s="1"/>
  <c r="O1799" i="1"/>
  <c r="O1800" i="1" s="1"/>
  <c r="O1786" i="1"/>
  <c r="Q2040" i="1"/>
  <c r="S2022" i="1"/>
  <c r="O1392" i="1"/>
  <c r="O185" i="8" s="1"/>
  <c r="O184" i="8" s="1"/>
  <c r="N1598" i="1"/>
  <c r="N187" i="8"/>
  <c r="N186" i="8" s="1"/>
  <c r="N502" i="8" s="1"/>
  <c r="N506" i="8" s="1"/>
  <c r="O756" i="8"/>
  <c r="O766" i="8" s="1"/>
  <c r="O681" i="8"/>
  <c r="O691" i="8" s="1"/>
  <c r="O829" i="8"/>
  <c r="Q2039" i="1"/>
  <c r="S2021" i="1"/>
  <c r="N2073" i="1"/>
  <c r="N330" i="8"/>
  <c r="N329" i="8" s="1"/>
  <c r="O1385" i="1"/>
  <c r="Q168" i="8"/>
  <c r="S168" i="8" s="1"/>
  <c r="Q1389" i="1"/>
  <c r="Q1672" i="1"/>
  <c r="Q1324" i="1"/>
  <c r="Q693" i="7"/>
  <c r="S1323" i="1"/>
  <c r="S693" i="7" s="1"/>
  <c r="P495" i="8"/>
  <c r="P494" i="8" s="1"/>
  <c r="N325" i="8"/>
  <c r="N324" i="8" s="1"/>
  <c r="N327" i="8" s="1"/>
  <c r="N1456" i="1"/>
  <c r="N1680" i="1" s="1"/>
  <c r="N1236" i="1" s="1"/>
  <c r="Q1428" i="1"/>
  <c r="S228" i="1"/>
  <c r="N853" i="8"/>
  <c r="N840" i="8"/>
  <c r="N841" i="8" s="1"/>
  <c r="N857" i="8"/>
  <c r="N858" i="8" s="1"/>
  <c r="N855" i="8"/>
  <c r="N856" i="8" s="1"/>
  <c r="N844" i="8"/>
  <c r="Q1153" i="1"/>
  <c r="Q561" i="7"/>
  <c r="P1277" i="1"/>
  <c r="P1441" i="1"/>
  <c r="N1943" i="1"/>
  <c r="N1944" i="1" s="1"/>
  <c r="N1926" i="1"/>
  <c r="N1927" i="1" s="1"/>
  <c r="N1939" i="1"/>
  <c r="N1941" i="1"/>
  <c r="N1942" i="1" s="1"/>
  <c r="N1930" i="1"/>
  <c r="P902" i="8"/>
  <c r="P909" i="8" s="1"/>
  <c r="Q62" i="8"/>
  <c r="S216" i="1"/>
  <c r="N1112" i="7"/>
  <c r="N811" i="7"/>
  <c r="M1238" i="1"/>
  <c r="M939" i="8"/>
  <c r="M1197" i="1"/>
  <c r="M437" i="8"/>
  <c r="M455" i="8" s="1"/>
  <c r="N1015" i="7"/>
  <c r="N1019" i="7"/>
  <c r="N1030" i="7"/>
  <c r="N1031" i="7"/>
  <c r="N808" i="7"/>
  <c r="O798" i="7"/>
  <c r="M960" i="7"/>
  <c r="M1679" i="1"/>
  <c r="M987" i="7" s="1"/>
  <c r="M1677" i="1"/>
  <c r="M985" i="7" s="1"/>
  <c r="P577" i="7"/>
  <c r="M921" i="7"/>
  <c r="M1572" i="1"/>
  <c r="M456" i="8" s="1"/>
  <c r="I773" i="8"/>
  <c r="I778" i="8"/>
  <c r="N1032" i="7"/>
  <c r="N1033" i="7"/>
  <c r="I698" i="8"/>
  <c r="I703" i="8"/>
  <c r="N937" i="8" l="1"/>
  <c r="N588" i="8"/>
  <c r="P84" i="8"/>
  <c r="P83" i="8" s="1"/>
  <c r="P1269" i="1"/>
  <c r="P69" i="8" s="1"/>
  <c r="P68" i="8" s="1"/>
  <c r="Q2047" i="1"/>
  <c r="S2047" i="1" s="1"/>
  <c r="B2050" i="1" s="1"/>
  <c r="S2040" i="1"/>
  <c r="Q2046" i="1"/>
  <c r="S2046" i="1" s="1"/>
  <c r="B2049" i="1" s="1"/>
  <c r="S2039" i="1"/>
  <c r="N1931" i="1"/>
  <c r="I1932" i="1" s="1"/>
  <c r="O709" i="8"/>
  <c r="O710" i="8" s="1"/>
  <c r="O705" i="8"/>
  <c r="O707" i="8"/>
  <c r="O708" i="8" s="1"/>
  <c r="O692" i="8"/>
  <c r="O693" i="8" s="1"/>
  <c r="O696" i="8"/>
  <c r="Q1588" i="1"/>
  <c r="Q1171" i="1"/>
  <c r="Q557" i="7"/>
  <c r="N850" i="8"/>
  <c r="Q2060" i="1"/>
  <c r="Q1987" i="1"/>
  <c r="Q170" i="8"/>
  <c r="S170" i="8" s="1"/>
  <c r="Q1662" i="1"/>
  <c r="Q970" i="7" s="1"/>
  <c r="Q1670" i="1"/>
  <c r="Q978" i="7" s="1"/>
  <c r="Q694" i="7"/>
  <c r="S1324" i="1"/>
  <c r="S694" i="7" s="1"/>
  <c r="O780" i="8"/>
  <c r="O767" i="8"/>
  <c r="O768" i="8" s="1"/>
  <c r="O782" i="8"/>
  <c r="O783" i="8" s="1"/>
  <c r="O784" i="8"/>
  <c r="O785" i="8" s="1"/>
  <c r="O771" i="8"/>
  <c r="O1860" i="1"/>
  <c r="N845" i="8"/>
  <c r="I846" i="8" s="1"/>
  <c r="O1792" i="1"/>
  <c r="N586" i="8"/>
  <c r="N509" i="8"/>
  <c r="Q1996" i="1"/>
  <c r="Q980" i="7"/>
  <c r="N1936" i="1"/>
  <c r="I1937" i="1" s="1"/>
  <c r="Q278" i="8"/>
  <c r="Q1433" i="1"/>
  <c r="Q782" i="7"/>
  <c r="S1428" i="1"/>
  <c r="S782" i="7" s="1"/>
  <c r="Q178" i="8"/>
  <c r="S178" i="8" s="1"/>
  <c r="S1389" i="1"/>
  <c r="N503" i="8"/>
  <c r="N1600" i="1"/>
  <c r="O1865" i="1"/>
  <c r="O1787" i="1"/>
  <c r="Q61" i="8"/>
  <c r="S62" i="8"/>
  <c r="N1458" i="1"/>
  <c r="N2072" i="1"/>
  <c r="N328" i="8"/>
  <c r="N118" i="8"/>
  <c r="N938" i="8"/>
  <c r="P2064" i="1"/>
  <c r="P302" i="8"/>
  <c r="P301" i="8" s="1"/>
  <c r="P929" i="8" s="1"/>
  <c r="P1444" i="1"/>
  <c r="O1290" i="1"/>
  <c r="O1452" i="1"/>
  <c r="O181" i="8"/>
  <c r="O180" i="8" s="1"/>
  <c r="O182" i="8" s="1"/>
  <c r="O926" i="8" s="1"/>
  <c r="O1391" i="1"/>
  <c r="N988" i="7"/>
  <c r="N639" i="7"/>
  <c r="P579" i="7"/>
  <c r="O1004" i="7"/>
  <c r="I851" i="8"/>
  <c r="M930" i="7"/>
  <c r="M1675" i="1"/>
  <c r="M983" i="7" s="1"/>
  <c r="M1583" i="1"/>
  <c r="M476" i="8" s="1"/>
  <c r="M1674" i="1"/>
  <c r="M982" i="7" s="1"/>
  <c r="N1020" i="7"/>
  <c r="I1788" i="1"/>
  <c r="I1021" i="7" s="1"/>
  <c r="N956" i="7"/>
  <c r="P1079" i="7"/>
  <c r="N810" i="7"/>
  <c r="N1111" i="7"/>
  <c r="M567" i="8"/>
  <c r="M583" i="8"/>
  <c r="M475" i="8"/>
  <c r="M582" i="8"/>
  <c r="N1016" i="7"/>
  <c r="O106" i="8" l="1"/>
  <c r="O105" i="8" s="1"/>
  <c r="O1287" i="1"/>
  <c r="O101" i="8" s="1"/>
  <c r="O100" i="8" s="1"/>
  <c r="S2060" i="1"/>
  <c r="S1099" i="7" s="1"/>
  <c r="Q1099" i="7"/>
  <c r="Q485" i="8"/>
  <c r="Q484" i="8" s="1"/>
  <c r="Q905" i="8" s="1"/>
  <c r="S905" i="8" s="1"/>
  <c r="Q1593" i="1"/>
  <c r="Q946" i="7"/>
  <c r="O1921" i="1"/>
  <c r="O1925" i="1" s="1"/>
  <c r="O322" i="8"/>
  <c r="O321" i="8" s="1"/>
  <c r="O835" i="8" s="1"/>
  <c r="O839" i="8" s="1"/>
  <c r="O1454" i="1"/>
  <c r="N1659" i="1"/>
  <c r="N507" i="8"/>
  <c r="N1678" i="1"/>
  <c r="N1602" i="1"/>
  <c r="Q1172" i="1"/>
  <c r="Q575" i="7"/>
  <c r="N1295" i="1"/>
  <c r="N1237" i="1"/>
  <c r="N1198" i="1"/>
  <c r="N2074" i="1"/>
  <c r="N1294" i="1"/>
  <c r="N1196" i="1"/>
  <c r="N1563" i="1"/>
  <c r="O1457" i="1"/>
  <c r="N1239" i="1"/>
  <c r="N332" i="8"/>
  <c r="N331" i="8" s="1"/>
  <c r="O772" i="8"/>
  <c r="O777" i="8"/>
  <c r="O2061" i="1"/>
  <c r="O183" i="8"/>
  <c r="O1393" i="1"/>
  <c r="Q1842" i="1"/>
  <c r="S1842" i="1" s="1"/>
  <c r="Q1769" i="1"/>
  <c r="Q1913" i="1"/>
  <c r="S1913" i="1" s="1"/>
  <c r="Q287" i="8"/>
  <c r="S287" i="8" s="1"/>
  <c r="Q787" i="7"/>
  <c r="S1433" i="1"/>
  <c r="S787" i="7" s="1"/>
  <c r="O702" i="8"/>
  <c r="S1987" i="1"/>
  <c r="S1077" i="7" s="1"/>
  <c r="Q1077" i="7"/>
  <c r="P1844" i="1"/>
  <c r="P1854" i="1" s="1"/>
  <c r="P1915" i="1"/>
  <c r="P1771" i="1"/>
  <c r="P1781" i="1" s="1"/>
  <c r="P307" i="8"/>
  <c r="P306" i="8" s="1"/>
  <c r="Q1086" i="7"/>
  <c r="B1995" i="1"/>
  <c r="N585" i="8"/>
  <c r="N587" i="8"/>
  <c r="Q167" i="8"/>
  <c r="S61" i="8"/>
  <c r="Q277" i="8"/>
  <c r="S278" i="8"/>
  <c r="O697" i="8"/>
  <c r="N1025" i="7"/>
  <c r="I1793" i="1"/>
  <c r="I1026" i="7" s="1"/>
  <c r="N812" i="7"/>
  <c r="N600" i="7"/>
  <c r="N1113" i="7"/>
  <c r="N640" i="7"/>
  <c r="M941" i="7"/>
  <c r="M1658" i="1"/>
  <c r="M966" i="7" s="1"/>
  <c r="M1603" i="1"/>
  <c r="M961" i="7" s="1"/>
  <c r="O1014" i="7"/>
  <c r="O1028" i="7"/>
  <c r="P1076" i="7"/>
  <c r="P1083" i="7"/>
  <c r="N967" i="7"/>
  <c r="N958" i="7"/>
  <c r="N986" i="7"/>
  <c r="H1866" i="1"/>
  <c r="O1100" i="7"/>
  <c r="M511" i="8"/>
  <c r="L566" i="8"/>
  <c r="H1861" i="1"/>
  <c r="P795" i="7"/>
  <c r="P1103" i="7"/>
  <c r="O806" i="7"/>
  <c r="N1572" i="1" l="1"/>
  <c r="N438" i="8"/>
  <c r="P1782" i="1"/>
  <c r="P1783" i="1" s="1"/>
  <c r="P1799" i="1"/>
  <c r="P1800" i="1" s="1"/>
  <c r="P1797" i="1"/>
  <c r="P1798" i="1" s="1"/>
  <c r="P1795" i="1"/>
  <c r="P1786" i="1"/>
  <c r="P1855" i="1"/>
  <c r="P1856" i="1" s="1"/>
  <c r="P1872" i="1"/>
  <c r="P1873" i="1" s="1"/>
  <c r="P1870" i="1"/>
  <c r="P1871" i="1" s="1"/>
  <c r="P1868" i="1"/>
  <c r="P1859" i="1"/>
  <c r="O325" i="8"/>
  <c r="O324" i="8" s="1"/>
  <c r="O327" i="8" s="1"/>
  <c r="O1456" i="1"/>
  <c r="O1680" i="1" s="1"/>
  <c r="O1236" i="1" s="1"/>
  <c r="O1598" i="1"/>
  <c r="P1392" i="1"/>
  <c r="P185" i="8" s="1"/>
  <c r="P184" i="8" s="1"/>
  <c r="O187" i="8"/>
  <c r="O186" i="8" s="1"/>
  <c r="O502" i="8" s="1"/>
  <c r="O506" i="8" s="1"/>
  <c r="O1941" i="1"/>
  <c r="O1942" i="1" s="1"/>
  <c r="O1939" i="1"/>
  <c r="O1926" i="1"/>
  <c r="O1927" i="1" s="1"/>
  <c r="O1943" i="1"/>
  <c r="O1944" i="1" s="1"/>
  <c r="O1930" i="1"/>
  <c r="Q177" i="8"/>
  <c r="S177" i="8" s="1"/>
  <c r="Q580" i="8"/>
  <c r="Q912" i="8" s="1"/>
  <c r="B911" i="8" s="1"/>
  <c r="B913" i="8" s="1"/>
  <c r="Q169" i="8"/>
  <c r="S167" i="8"/>
  <c r="Q495" i="8"/>
  <c r="Q494" i="8" s="1"/>
  <c r="Q951" i="7"/>
  <c r="B1085" i="7"/>
  <c r="B1997" i="1"/>
  <c r="B1087" i="7" s="1"/>
  <c r="Q1173" i="1"/>
  <c r="Q576" i="7"/>
  <c r="O2073" i="1"/>
  <c r="O330" i="8"/>
  <c r="O329" i="8" s="1"/>
  <c r="P1385" i="1"/>
  <c r="Q286" i="8"/>
  <c r="S277" i="8"/>
  <c r="N437" i="8"/>
  <c r="N455" i="8" s="1"/>
  <c r="N939" i="8"/>
  <c r="N1238" i="1"/>
  <c r="N1197" i="1"/>
  <c r="N1679" i="1"/>
  <c r="N1677" i="1"/>
  <c r="N510" i="8"/>
  <c r="Q1002" i="7"/>
  <c r="S1769" i="1"/>
  <c r="S1002" i="7" s="1"/>
  <c r="O853" i="8"/>
  <c r="O857" i="8"/>
  <c r="O858" i="8" s="1"/>
  <c r="O855" i="8"/>
  <c r="O856" i="8" s="1"/>
  <c r="O840" i="8"/>
  <c r="O841" i="8" s="1"/>
  <c r="O844" i="8"/>
  <c r="P681" i="8"/>
  <c r="P691" i="8" s="1"/>
  <c r="P756" i="8"/>
  <c r="P766" i="8" s="1"/>
  <c r="P829" i="8"/>
  <c r="O1030" i="7"/>
  <c r="O1031" i="7"/>
  <c r="H703" i="8"/>
  <c r="H778" i="8"/>
  <c r="O1019" i="7"/>
  <c r="O1033" i="7"/>
  <c r="O1032" i="7"/>
  <c r="N987" i="7"/>
  <c r="N960" i="7"/>
  <c r="N985" i="7"/>
  <c r="O1015" i="7"/>
  <c r="N921" i="7"/>
  <c r="H698" i="8"/>
  <c r="O808" i="7"/>
  <c r="P798" i="7"/>
  <c r="H773" i="8"/>
  <c r="O811" i="7"/>
  <c r="O1112" i="7"/>
  <c r="O937" i="8" l="1"/>
  <c r="O588" i="8"/>
  <c r="O1931" i="1"/>
  <c r="Q827" i="8"/>
  <c r="S827" i="8" s="1"/>
  <c r="Q679" i="8"/>
  <c r="S679" i="8" s="1"/>
  <c r="Q754" i="8"/>
  <c r="S754" i="8" s="1"/>
  <c r="S286" i="8"/>
  <c r="O845" i="8"/>
  <c r="H846" i="8" s="1"/>
  <c r="O586" i="8"/>
  <c r="O509" i="8"/>
  <c r="N567" i="8"/>
  <c r="P1452" i="1"/>
  <c r="P1290" i="1"/>
  <c r="P181" i="8"/>
  <c r="P180" i="8" s="1"/>
  <c r="P182" i="8" s="1"/>
  <c r="P926" i="8" s="1"/>
  <c r="P1391" i="1"/>
  <c r="O118" i="8"/>
  <c r="O938" i="8"/>
  <c r="Q925" i="8"/>
  <c r="S925" i="8" s="1"/>
  <c r="Q903" i="8"/>
  <c r="Q570" i="8"/>
  <c r="Q578" i="8"/>
  <c r="S169" i="8"/>
  <c r="O2072" i="1"/>
  <c r="O1458" i="1"/>
  <c r="O328" i="8"/>
  <c r="P1792" i="1"/>
  <c r="Q1175" i="1"/>
  <c r="Q1989" i="1"/>
  <c r="Q577" i="7"/>
  <c r="P1787" i="1"/>
  <c r="P784" i="8"/>
  <c r="P785" i="8" s="1"/>
  <c r="P782" i="8"/>
  <c r="P783" i="8" s="1"/>
  <c r="P780" i="8"/>
  <c r="P767" i="8"/>
  <c r="P768" i="8" s="1"/>
  <c r="P771" i="8"/>
  <c r="P705" i="8"/>
  <c r="P707" i="8"/>
  <c r="P708" i="8" s="1"/>
  <c r="P709" i="8"/>
  <c r="P710" i="8" s="1"/>
  <c r="P692" i="8"/>
  <c r="P693" i="8" s="1"/>
  <c r="P696" i="8"/>
  <c r="O1936" i="1"/>
  <c r="H1937" i="1" s="1"/>
  <c r="P1865" i="1"/>
  <c r="O850" i="8"/>
  <c r="H851" i="8" s="1"/>
  <c r="N475" i="8"/>
  <c r="N583" i="8"/>
  <c r="N582" i="8"/>
  <c r="O503" i="8"/>
  <c r="O1600" i="1"/>
  <c r="P1860" i="1"/>
  <c r="N1675" i="1"/>
  <c r="N1583" i="1"/>
  <c r="N456" i="8"/>
  <c r="N1674" i="1"/>
  <c r="O988" i="7"/>
  <c r="O639" i="7"/>
  <c r="O1020" i="7"/>
  <c r="H1788" i="1"/>
  <c r="H1021" i="7" s="1"/>
  <c r="O1016" i="7"/>
  <c r="N983" i="7"/>
  <c r="N930" i="7"/>
  <c r="N982" i="7"/>
  <c r="P1004" i="7"/>
  <c r="O1111" i="7"/>
  <c r="O810" i="7"/>
  <c r="H1932" i="1"/>
  <c r="O956" i="7"/>
  <c r="Q902" i="8" l="1"/>
  <c r="S903" i="8"/>
  <c r="O1659" i="1"/>
  <c r="O507" i="8"/>
  <c r="O1678" i="1"/>
  <c r="O1602" i="1"/>
  <c r="O1196" i="1"/>
  <c r="O1563" i="1"/>
  <c r="O1237" i="1"/>
  <c r="O2074" i="1"/>
  <c r="O1294" i="1"/>
  <c r="O1239" i="1"/>
  <c r="O1295" i="1"/>
  <c r="O1198" i="1"/>
  <c r="P1457" i="1"/>
  <c r="O332" i="8"/>
  <c r="O331" i="8" s="1"/>
  <c r="P106" i="8"/>
  <c r="P105" i="8" s="1"/>
  <c r="P1287" i="1"/>
  <c r="P101" i="8" s="1"/>
  <c r="P100" i="8" s="1"/>
  <c r="Q1986" i="1"/>
  <c r="S1989" i="1"/>
  <c r="S1079" i="7" s="1"/>
  <c r="Q1079" i="7"/>
  <c r="P772" i="8"/>
  <c r="P1921" i="1"/>
  <c r="P1925" i="1" s="1"/>
  <c r="P322" i="8"/>
  <c r="P321" i="8" s="1"/>
  <c r="P835" i="8" s="1"/>
  <c r="P839" i="8" s="1"/>
  <c r="P1454" i="1"/>
  <c r="P697" i="8"/>
  <c r="Q1441" i="1"/>
  <c r="Q1277" i="1"/>
  <c r="Q579" i="7"/>
  <c r="P777" i="8"/>
  <c r="N1603" i="1"/>
  <c r="N1658" i="1"/>
  <c r="N476" i="8"/>
  <c r="P2061" i="1"/>
  <c r="P183" i="8"/>
  <c r="P1393" i="1"/>
  <c r="O587" i="8"/>
  <c r="O585" i="8"/>
  <c r="P702" i="8"/>
  <c r="N511" i="8"/>
  <c r="N941" i="7"/>
  <c r="N966" i="7"/>
  <c r="N961" i="7"/>
  <c r="M566" i="8"/>
  <c r="P1100" i="7"/>
  <c r="G1866" i="1"/>
  <c r="P806" i="7"/>
  <c r="O1025" i="7"/>
  <c r="H1793" i="1"/>
  <c r="H1026" i="7" s="1"/>
  <c r="O958" i="7"/>
  <c r="O967" i="7"/>
  <c r="O986" i="7"/>
  <c r="G1861" i="1"/>
  <c r="O812" i="7"/>
  <c r="O640" i="7"/>
  <c r="O1113" i="7"/>
  <c r="O600" i="7"/>
  <c r="P1014" i="7"/>
  <c r="P1028" i="7"/>
  <c r="O1677" i="1" l="1"/>
  <c r="O1679" i="1"/>
  <c r="O510" i="8"/>
  <c r="O1572" i="1"/>
  <c r="O438" i="8"/>
  <c r="Q2064" i="1"/>
  <c r="Q302" i="8"/>
  <c r="Q1444" i="1"/>
  <c r="Q1385" i="1" s="1"/>
  <c r="Q795" i="7"/>
  <c r="S1441" i="1"/>
  <c r="S795" i="7" s="1"/>
  <c r="O437" i="8"/>
  <c r="O455" i="8" s="1"/>
  <c r="O939" i="8"/>
  <c r="O1238" i="1"/>
  <c r="O1197" i="1"/>
  <c r="P1926" i="1"/>
  <c r="P1927" i="1" s="1"/>
  <c r="P1939" i="1"/>
  <c r="P1943" i="1"/>
  <c r="P1944" i="1" s="1"/>
  <c r="P1941" i="1"/>
  <c r="P1942" i="1" s="1"/>
  <c r="P1930" i="1"/>
  <c r="Q1993" i="1"/>
  <c r="S1986" i="1"/>
  <c r="S1076" i="7" s="1"/>
  <c r="Q1076" i="7"/>
  <c r="Q84" i="8"/>
  <c r="Q1269" i="1"/>
  <c r="S1277" i="1"/>
  <c r="Q1392" i="1"/>
  <c r="Q185" i="8" s="1"/>
  <c r="Q184" i="8" s="1"/>
  <c r="P1598" i="1"/>
  <c r="P187" i="8"/>
  <c r="P186" i="8" s="1"/>
  <c r="P502" i="8" s="1"/>
  <c r="P506" i="8" s="1"/>
  <c r="P2073" i="1"/>
  <c r="P330" i="8"/>
  <c r="P329" i="8" s="1"/>
  <c r="P325" i="8"/>
  <c r="P324" i="8" s="1"/>
  <c r="P327" i="8" s="1"/>
  <c r="P1456" i="1"/>
  <c r="P1680" i="1" s="1"/>
  <c r="P1236" i="1" s="1"/>
  <c r="P840" i="8"/>
  <c r="P841" i="8" s="1"/>
  <c r="P857" i="8"/>
  <c r="P858" i="8" s="1"/>
  <c r="P855" i="8"/>
  <c r="P856" i="8" s="1"/>
  <c r="P853" i="8"/>
  <c r="P844" i="8"/>
  <c r="Q909" i="8"/>
  <c r="S909" i="8" s="1"/>
  <c r="B915" i="8" s="1"/>
  <c r="S902" i="8"/>
  <c r="G703" i="8"/>
  <c r="P1015" i="7"/>
  <c r="P808" i="7"/>
  <c r="P1032" i="7"/>
  <c r="P1033" i="7"/>
  <c r="P1112" i="7"/>
  <c r="P811" i="7"/>
  <c r="O960" i="7"/>
  <c r="O987" i="7"/>
  <c r="O985" i="7"/>
  <c r="G698" i="8"/>
  <c r="P1030" i="7"/>
  <c r="P1031" i="7"/>
  <c r="G778" i="8"/>
  <c r="G773" i="8"/>
  <c r="O921" i="7"/>
  <c r="P1019" i="7"/>
  <c r="P937" i="8" l="1"/>
  <c r="P588" i="8"/>
  <c r="P118" i="8"/>
  <c r="P938" i="8"/>
  <c r="P1931" i="1"/>
  <c r="G1932" i="1" s="1"/>
  <c r="Q1103" i="7"/>
  <c r="S2064" i="1"/>
  <c r="S1103" i="7" s="1"/>
  <c r="O583" i="8"/>
  <c r="O475" i="8"/>
  <c r="O582" i="8"/>
  <c r="P509" i="8"/>
  <c r="P586" i="8"/>
  <c r="O567" i="8"/>
  <c r="P2072" i="1"/>
  <c r="P1458" i="1"/>
  <c r="P328" i="8"/>
  <c r="Q301" i="8"/>
  <c r="S302" i="8"/>
  <c r="P503" i="8"/>
  <c r="P1600" i="1"/>
  <c r="O1675" i="1"/>
  <c r="O1583" i="1"/>
  <c r="O456" i="8"/>
  <c r="O1674" i="1"/>
  <c r="Q69" i="8"/>
  <c r="S1269" i="1"/>
  <c r="P850" i="8"/>
  <c r="Q1452" i="1"/>
  <c r="Q1290" i="1"/>
  <c r="Q181" i="8"/>
  <c r="Q180" i="8" s="1"/>
  <c r="Q182" i="8" s="1"/>
  <c r="Q926" i="8" s="1"/>
  <c r="Q1391" i="1"/>
  <c r="P1936" i="1"/>
  <c r="G1937" i="1" s="1"/>
  <c r="Q83" i="8"/>
  <c r="S83" i="8" s="1"/>
  <c r="S84" i="8"/>
  <c r="Q1844" i="1"/>
  <c r="Q1915" i="1"/>
  <c r="Q1771" i="1"/>
  <c r="Q307" i="8"/>
  <c r="S1444" i="1"/>
  <c r="S798" i="7" s="1"/>
  <c r="Q798" i="7"/>
  <c r="P845" i="8"/>
  <c r="G846" i="8" s="1"/>
  <c r="Q1083" i="7"/>
  <c r="S1993" i="1"/>
  <c r="P988" i="7"/>
  <c r="P639" i="7"/>
  <c r="O930" i="7"/>
  <c r="O983" i="7"/>
  <c r="O982" i="7"/>
  <c r="P1020" i="7"/>
  <c r="G1788" i="1"/>
  <c r="G1021" i="7" s="1"/>
  <c r="P810" i="7"/>
  <c r="P1111" i="7"/>
  <c r="P956" i="7"/>
  <c r="G851" i="8"/>
  <c r="S1385" i="1"/>
  <c r="P1016" i="7"/>
  <c r="S1083" i="7" l="1"/>
  <c r="B1999" i="1"/>
  <c r="B1089" i="7" s="1"/>
  <c r="Q1921" i="1"/>
  <c r="Q322" i="8"/>
  <c r="Q321" i="8" s="1"/>
  <c r="Q835" i="8" s="1"/>
  <c r="Q1454" i="1"/>
  <c r="Q929" i="8"/>
  <c r="S929" i="8" s="1"/>
  <c r="S301" i="8"/>
  <c r="P587" i="8"/>
  <c r="P585" i="8"/>
  <c r="P1659" i="1"/>
  <c r="P507" i="8"/>
  <c r="P1602" i="1"/>
  <c r="P1678" i="1"/>
  <c r="Q106" i="8"/>
  <c r="Q105" i="8" s="1"/>
  <c r="Q1287" i="1"/>
  <c r="Q101" i="8" s="1"/>
  <c r="Q100" i="8" s="1"/>
  <c r="O1658" i="1"/>
  <c r="O1603" i="1"/>
  <c r="O476" i="8"/>
  <c r="O511" i="8"/>
  <c r="N566" i="8"/>
  <c r="S1771" i="1"/>
  <c r="S1004" i="7" s="1"/>
  <c r="Q1004" i="7"/>
  <c r="P1239" i="1"/>
  <c r="P1237" i="1"/>
  <c r="Q1457" i="1"/>
  <c r="P1196" i="1"/>
  <c r="P2074" i="1"/>
  <c r="P1563" i="1"/>
  <c r="P1295" i="1"/>
  <c r="P1198" i="1"/>
  <c r="P1294" i="1"/>
  <c r="P332" i="8"/>
  <c r="P331" i="8" s="1"/>
  <c r="Q306" i="8"/>
  <c r="S307" i="8"/>
  <c r="Q1925" i="1"/>
  <c r="S1915" i="1"/>
  <c r="Q2061" i="1"/>
  <c r="Q183" i="8"/>
  <c r="S183" i="8" s="1"/>
  <c r="Q1393" i="1"/>
  <c r="S1844" i="1"/>
  <c r="Q68" i="8"/>
  <c r="S68" i="8" s="1"/>
  <c r="S69" i="8"/>
  <c r="G1793" i="1"/>
  <c r="G1026" i="7" s="1"/>
  <c r="P1025" i="7"/>
  <c r="S181" i="8"/>
  <c r="P812" i="7"/>
  <c r="P1113" i="7"/>
  <c r="P640" i="7"/>
  <c r="P600" i="7"/>
  <c r="O966" i="7"/>
  <c r="O941" i="7"/>
  <c r="O961" i="7"/>
  <c r="S1391" i="1"/>
  <c r="Q806" i="7"/>
  <c r="S1452" i="1"/>
  <c r="S806" i="7" s="1"/>
  <c r="P958" i="7"/>
  <c r="P967" i="7"/>
  <c r="P986" i="7"/>
  <c r="Q829" i="8" l="1"/>
  <c r="Q756" i="8"/>
  <c r="Q681" i="8"/>
  <c r="S306" i="8"/>
  <c r="P1572" i="1"/>
  <c r="P438" i="8"/>
  <c r="Q1598" i="1"/>
  <c r="Q187" i="8"/>
  <c r="Q186" i="8" s="1"/>
  <c r="Q502" i="8" s="1"/>
  <c r="Q506" i="8" s="1"/>
  <c r="Q325" i="8"/>
  <c r="Q324" i="8" s="1"/>
  <c r="Q327" i="8" s="1"/>
  <c r="Q1456" i="1"/>
  <c r="Q1680" i="1" s="1"/>
  <c r="Q1236" i="1" s="1"/>
  <c r="P939" i="8"/>
  <c r="P437" i="8"/>
  <c r="P455" i="8" s="1"/>
  <c r="P1197" i="1"/>
  <c r="P1238" i="1"/>
  <c r="P1677" i="1"/>
  <c r="P1679" i="1"/>
  <c r="P510" i="8"/>
  <c r="Q2073" i="1"/>
  <c r="Q1112" i="7" s="1"/>
  <c r="Q330" i="8"/>
  <c r="Q329" i="8" s="1"/>
  <c r="Q1926" i="1"/>
  <c r="Q1927" i="1" s="1"/>
  <c r="Q1936" i="1" s="1"/>
  <c r="Q1943" i="1"/>
  <c r="Q1944" i="1" s="1"/>
  <c r="Q1941" i="1"/>
  <c r="Q1942" i="1" s="1"/>
  <c r="Q1939" i="1"/>
  <c r="Q1930" i="1"/>
  <c r="Q1931" i="1" s="1"/>
  <c r="Q811" i="7"/>
  <c r="P921" i="7"/>
  <c r="S105" i="8"/>
  <c r="S106" i="8"/>
  <c r="P960" i="7"/>
  <c r="P985" i="7"/>
  <c r="P987" i="7"/>
  <c r="S1921" i="1"/>
  <c r="S1287" i="1"/>
  <c r="Q808" i="7"/>
  <c r="S1454" i="1"/>
  <c r="S808" i="7" s="1"/>
  <c r="S322" i="8"/>
  <c r="Q1100" i="7"/>
  <c r="S2061" i="1"/>
  <c r="S1100" i="7" s="1"/>
  <c r="S180" i="8"/>
  <c r="Q937" i="8" l="1"/>
  <c r="Q588" i="8"/>
  <c r="Q2072" i="1"/>
  <c r="Q1458" i="1"/>
  <c r="Q328" i="8"/>
  <c r="S328" i="8" s="1"/>
  <c r="Q567" i="8"/>
  <c r="Q509" i="8"/>
  <c r="Q586" i="8"/>
  <c r="P567" i="8"/>
  <c r="P1583" i="1"/>
  <c r="P1675" i="1"/>
  <c r="P456" i="8"/>
  <c r="P1674" i="1"/>
  <c r="Q938" i="8"/>
  <c r="Q118" i="8"/>
  <c r="Q503" i="8"/>
  <c r="Q1600" i="1"/>
  <c r="P583" i="8"/>
  <c r="P475" i="8"/>
  <c r="P582" i="8"/>
  <c r="S681" i="8"/>
  <c r="S756" i="8"/>
  <c r="Q839" i="8"/>
  <c r="S829" i="8"/>
  <c r="Q988" i="7"/>
  <c r="Q639" i="7"/>
  <c r="S100" i="8"/>
  <c r="S101" i="8"/>
  <c r="S926" i="8"/>
  <c r="S182" i="8"/>
  <c r="E1938" i="1"/>
  <c r="B1938" i="1" s="1"/>
  <c r="B2090" i="1" s="1"/>
  <c r="B1129" i="7" s="1"/>
  <c r="S1925" i="1"/>
  <c r="E1946" i="1"/>
  <c r="B1946" i="1" s="1"/>
  <c r="F1932" i="1"/>
  <c r="E1931" i="1" s="1"/>
  <c r="B1929" i="1" s="1"/>
  <c r="C1929" i="1" s="1"/>
  <c r="P930" i="7"/>
  <c r="P983" i="7"/>
  <c r="P982" i="7"/>
  <c r="S321" i="8"/>
  <c r="S325" i="8"/>
  <c r="Q810" i="7"/>
  <c r="S1456" i="1"/>
  <c r="S810" i="7" s="1"/>
  <c r="B119" i="8"/>
  <c r="Q956" i="7"/>
  <c r="P511" i="8" l="1"/>
  <c r="O566" i="8"/>
  <c r="Q1659" i="1"/>
  <c r="Q967" i="7" s="1"/>
  <c r="Q507" i="8"/>
  <c r="Q1602" i="1"/>
  <c r="Q1678" i="1"/>
  <c r="Q986" i="7" s="1"/>
  <c r="Q587" i="8"/>
  <c r="Q585" i="8"/>
  <c r="P1658" i="1"/>
  <c r="P1603" i="1"/>
  <c r="P476" i="8"/>
  <c r="Q1239" i="1"/>
  <c r="Q1295" i="1"/>
  <c r="Q1237" i="1"/>
  <c r="Q1198" i="1"/>
  <c r="Q1563" i="1"/>
  <c r="Q1852" i="1" s="1"/>
  <c r="Q1854" i="1" s="1"/>
  <c r="Q1196" i="1"/>
  <c r="Q600" i="7" s="1"/>
  <c r="Q2074" i="1"/>
  <c r="Q1113" i="7" s="1"/>
  <c r="Q1294" i="1"/>
  <c r="B1296" i="1" s="1"/>
  <c r="Q332" i="8"/>
  <c r="Q331" i="8" s="1"/>
  <c r="Q853" i="8"/>
  <c r="Q857" i="8"/>
  <c r="Q858" i="8" s="1"/>
  <c r="Q855" i="8"/>
  <c r="Q856" i="8" s="1"/>
  <c r="Q840" i="8"/>
  <c r="Q841" i="8" s="1"/>
  <c r="Q850" i="8" s="1"/>
  <c r="Q844" i="8"/>
  <c r="Q845" i="8" s="1"/>
  <c r="Q1111" i="7"/>
  <c r="S2072" i="1"/>
  <c r="S1111" i="7" s="1"/>
  <c r="S835" i="8"/>
  <c r="S1944" i="1"/>
  <c r="S1943" i="1"/>
  <c r="Q958" i="7"/>
  <c r="S1942" i="1"/>
  <c r="S1941" i="1"/>
  <c r="Q640" i="7"/>
  <c r="Q812" i="7"/>
  <c r="S324" i="8"/>
  <c r="P961" i="7"/>
  <c r="P941" i="7"/>
  <c r="P966" i="7"/>
  <c r="S1926" i="1"/>
  <c r="B1934" i="1" s="1"/>
  <c r="F1937" i="1"/>
  <c r="E1936" i="1" s="1"/>
  <c r="B1935" i="1" s="1"/>
  <c r="Q1855" i="1" l="1"/>
  <c r="Q1856" i="1" s="1"/>
  <c r="Q1865" i="1" s="1"/>
  <c r="Q1870" i="1"/>
  <c r="Q1871" i="1" s="1"/>
  <c r="Q1868" i="1"/>
  <c r="Q1872" i="1"/>
  <c r="Q1873" i="1" s="1"/>
  <c r="Q1859" i="1"/>
  <c r="Q1860" i="1" s="1"/>
  <c r="Q1779" i="1"/>
  <c r="Q1781" i="1" s="1"/>
  <c r="Q939" i="8"/>
  <c r="Q437" i="8"/>
  <c r="Q1238" i="1"/>
  <c r="Q1197" i="1"/>
  <c r="Q1572" i="1"/>
  <c r="Q438" i="8"/>
  <c r="Q1679" i="1"/>
  <c r="Q987" i="7" s="1"/>
  <c r="Q1677" i="1"/>
  <c r="Q985" i="7" s="1"/>
  <c r="Q510" i="8"/>
  <c r="S937" i="8"/>
  <c r="S327" i="8"/>
  <c r="C1935" i="1"/>
  <c r="C2089" i="1" s="1"/>
  <c r="C1128" i="7" s="1"/>
  <c r="B2089" i="1"/>
  <c r="B1128" i="7" s="1"/>
  <c r="Q921" i="7"/>
  <c r="Q960" i="7"/>
  <c r="B1940" i="1"/>
  <c r="E852" i="8"/>
  <c r="B852" i="8" s="1"/>
  <c r="B955" i="8" s="1"/>
  <c r="E860" i="8"/>
  <c r="B860" i="8" s="1"/>
  <c r="S839" i="8"/>
  <c r="F846" i="8"/>
  <c r="E845" i="8" s="1"/>
  <c r="B843" i="8" s="1"/>
  <c r="C843" i="8" s="1"/>
  <c r="Q455" i="8" l="1"/>
  <c r="Q764" i="8"/>
  <c r="Q766" i="8" s="1"/>
  <c r="Q689" i="8"/>
  <c r="Q691" i="8" s="1"/>
  <c r="Q1012" i="7"/>
  <c r="S1779" i="1"/>
  <c r="S1012" i="7" s="1"/>
  <c r="Q1782" i="1"/>
  <c r="Q1783" i="1" s="1"/>
  <c r="Q1792" i="1" s="1"/>
  <c r="Q1797" i="1"/>
  <c r="Q1798" i="1" s="1"/>
  <c r="Q1795" i="1"/>
  <c r="Q1799" i="1"/>
  <c r="Q1800" i="1" s="1"/>
  <c r="Q1786" i="1"/>
  <c r="Q1787" i="1" s="1"/>
  <c r="Q1583" i="1"/>
  <c r="Q1675" i="1"/>
  <c r="Q983" i="7" s="1"/>
  <c r="Q456" i="8"/>
  <c r="Q1674" i="1"/>
  <c r="Q982" i="7" s="1"/>
  <c r="S840" i="8"/>
  <c r="B848" i="8" s="1"/>
  <c r="F851" i="8"/>
  <c r="E850" i="8" s="1"/>
  <c r="B849" i="8" s="1"/>
  <c r="S1852" i="1"/>
  <c r="S856" i="8"/>
  <c r="S855" i="8"/>
  <c r="Q1014" i="7"/>
  <c r="S1781" i="1"/>
  <c r="S1014" i="7" s="1"/>
  <c r="E1802" i="1"/>
  <c r="S858" i="8"/>
  <c r="S857" i="8"/>
  <c r="Q930" i="7"/>
  <c r="Q1603" i="1" l="1"/>
  <c r="Q1658" i="1"/>
  <c r="Q966" i="7" s="1"/>
  <c r="Q476" i="8"/>
  <c r="Q692" i="8"/>
  <c r="Q693" i="8" s="1"/>
  <c r="Q702" i="8" s="1"/>
  <c r="Q705" i="8"/>
  <c r="Q709" i="8"/>
  <c r="Q710" i="8" s="1"/>
  <c r="Q707" i="8"/>
  <c r="Q708" i="8" s="1"/>
  <c r="Q696" i="8"/>
  <c r="Q697" i="8" s="1"/>
  <c r="Q782" i="8"/>
  <c r="Q783" i="8" s="1"/>
  <c r="Q767" i="8"/>
  <c r="Q768" i="8" s="1"/>
  <c r="Q777" i="8" s="1"/>
  <c r="Q780" i="8"/>
  <c r="Q784" i="8"/>
  <c r="Q785" i="8" s="1"/>
  <c r="Q771" i="8"/>
  <c r="Q772" i="8" s="1"/>
  <c r="Q475" i="8"/>
  <c r="Q583" i="8"/>
  <c r="Q582" i="8"/>
  <c r="B854" i="8"/>
  <c r="S764" i="8"/>
  <c r="S689" i="8"/>
  <c r="Q1028" i="7"/>
  <c r="E1794" i="1"/>
  <c r="E1867" i="1"/>
  <c r="B1867" i="1" s="1"/>
  <c r="B2085" i="1" s="1"/>
  <c r="B1124" i="7" s="1"/>
  <c r="E1875" i="1"/>
  <c r="B1875" i="1" s="1"/>
  <c r="S1854" i="1"/>
  <c r="F1861" i="1"/>
  <c r="E1860" i="1" s="1"/>
  <c r="B1858" i="1" s="1"/>
  <c r="C1858" i="1" s="1"/>
  <c r="Q941" i="7"/>
  <c r="Q1015" i="7"/>
  <c r="S1782" i="1"/>
  <c r="Q1019" i="7"/>
  <c r="Q1032" i="7"/>
  <c r="S1799" i="1"/>
  <c r="S1032" i="7" s="1"/>
  <c r="B954" i="8"/>
  <c r="C849" i="8"/>
  <c r="C954" i="8" s="1"/>
  <c r="E1035" i="7"/>
  <c r="B1802" i="1"/>
  <c r="B1035" i="7" s="1"/>
  <c r="Q1030" i="7"/>
  <c r="S1797" i="1"/>
  <c r="S1030" i="7" s="1"/>
  <c r="Q566" i="8" l="1"/>
  <c r="Q511" i="8"/>
  <c r="B511" i="8" s="1"/>
  <c r="P566" i="8"/>
  <c r="Q1020" i="7"/>
  <c r="F1788" i="1"/>
  <c r="S1871" i="1"/>
  <c r="S1870" i="1"/>
  <c r="Q961" i="7"/>
  <c r="B1603" i="1"/>
  <c r="B961" i="7" s="1"/>
  <c r="S1873" i="1"/>
  <c r="S1872" i="1"/>
  <c r="E1027" i="7"/>
  <c r="B1794" i="1"/>
  <c r="E779" i="8"/>
  <c r="B779" i="8" s="1"/>
  <c r="B950" i="8" s="1"/>
  <c r="E787" i="8"/>
  <c r="B787" i="8" s="1"/>
  <c r="S766" i="8"/>
  <c r="F773" i="8"/>
  <c r="E772" i="8" s="1"/>
  <c r="B770" i="8" s="1"/>
  <c r="C770" i="8" s="1"/>
  <c r="E704" i="8"/>
  <c r="B704" i="8" s="1"/>
  <c r="B944" i="8" s="1"/>
  <c r="S691" i="8"/>
  <c r="E712" i="8"/>
  <c r="B712" i="8" s="1"/>
  <c r="F698" i="8"/>
  <c r="E697" i="8" s="1"/>
  <c r="B695" i="8" s="1"/>
  <c r="C695" i="8" s="1"/>
  <c r="Q1016" i="7"/>
  <c r="Q1031" i="7"/>
  <c r="S1798" i="1"/>
  <c r="S1031" i="7" s="1"/>
  <c r="Q1033" i="7"/>
  <c r="S1800" i="1"/>
  <c r="S1015" i="7"/>
  <c r="B1790" i="1"/>
  <c r="S1855" i="1"/>
  <c r="B1863" i="1" s="1"/>
  <c r="B2083" i="1" s="1"/>
  <c r="B1122" i="7" s="1"/>
  <c r="F1866" i="1"/>
  <c r="E1865" i="1" s="1"/>
  <c r="B1864" i="1" s="1"/>
  <c r="B1869" i="1" l="1"/>
  <c r="B2086" i="1" s="1"/>
  <c r="B1125" i="7" s="1"/>
  <c r="S710" i="8"/>
  <c r="S709" i="8"/>
  <c r="S785" i="8"/>
  <c r="S784" i="8"/>
  <c r="S708" i="8"/>
  <c r="S707" i="8"/>
  <c r="S783" i="8"/>
  <c r="S782" i="8"/>
  <c r="B1023" i="7"/>
  <c r="B2077" i="1"/>
  <c r="B1116" i="7" s="1"/>
  <c r="S1033" i="7"/>
  <c r="B1796" i="1"/>
  <c r="F1793" i="1"/>
  <c r="Q1025" i="7"/>
  <c r="S692" i="8"/>
  <c r="B700" i="8" s="1"/>
  <c r="B942" i="8" s="1"/>
  <c r="F703" i="8"/>
  <c r="E702" i="8" s="1"/>
  <c r="B701" i="8" s="1"/>
  <c r="B2079" i="1"/>
  <c r="B1118" i="7" s="1"/>
  <c r="B1027" i="7"/>
  <c r="E1787" i="1"/>
  <c r="F1021" i="7"/>
  <c r="B2084" i="1"/>
  <c r="B1123" i="7" s="1"/>
  <c r="C1864" i="1"/>
  <c r="C2084" i="1" s="1"/>
  <c r="C1123" i="7" s="1"/>
  <c r="S767" i="8"/>
  <c r="B775" i="8" s="1"/>
  <c r="B948" i="8" s="1"/>
  <c r="F778" i="8"/>
  <c r="E777" i="8" s="1"/>
  <c r="B776" i="8" s="1"/>
  <c r="C701" i="8" l="1"/>
  <c r="C943" i="8" s="1"/>
  <c r="B943" i="8"/>
  <c r="E1020" i="7"/>
  <c r="B1785" i="1"/>
  <c r="B781" i="8"/>
  <c r="B951" i="8" s="1"/>
  <c r="B949" i="8"/>
  <c r="C776" i="8"/>
  <c r="C949" i="8" s="1"/>
  <c r="B1029" i="7"/>
  <c r="B2080" i="1"/>
  <c r="B1119" i="7" s="1"/>
  <c r="F1026" i="7"/>
  <c r="E1792" i="1"/>
  <c r="B706" i="8"/>
  <c r="B945" i="8" s="1"/>
  <c r="B1018" i="7" l="1"/>
  <c r="C1785" i="1"/>
  <c r="C1018" i="7" s="1"/>
  <c r="E1025" i="7"/>
  <c r="B1791" i="1"/>
  <c r="B1024" i="7" l="1"/>
  <c r="C1791" i="1"/>
  <c r="B2078" i="1"/>
  <c r="B1117" i="7" s="1"/>
  <c r="C1024" i="7" l="1"/>
  <c r="C2078" i="1"/>
  <c r="C1117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Евгений</author>
  </authors>
  <commentList>
    <comment ref="A680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Евгений:</t>
        </r>
        <r>
          <rPr>
            <sz val="9"/>
            <color indexed="81"/>
            <rFont val="Tahoma"/>
            <family val="2"/>
            <charset val="204"/>
          </rPr>
          <t xml:space="preserve">
Поделить на производительность в час</t>
        </r>
      </text>
    </comment>
    <comment ref="A682" authorId="0" shapeId="0" xr:uid="{486E2960-1034-4C35-A552-0926D6A2123C}">
      <text>
        <r>
          <rPr>
            <b/>
            <sz val="9"/>
            <color indexed="81"/>
            <rFont val="Tahoma"/>
            <family val="2"/>
            <charset val="204"/>
          </rPr>
          <t>Евгений:</t>
        </r>
        <r>
          <rPr>
            <sz val="9"/>
            <color indexed="81"/>
            <rFont val="Tahoma"/>
            <family val="2"/>
            <charset val="204"/>
          </rPr>
          <t xml:space="preserve">
Поделить на производительность в час</t>
        </r>
      </text>
    </comment>
    <comment ref="A684" authorId="0" shapeId="0" xr:uid="{5F4A37E8-0AB1-4753-9AA9-C6CFDAB2472D}">
      <text>
        <r>
          <rPr>
            <b/>
            <sz val="9"/>
            <color indexed="81"/>
            <rFont val="Tahoma"/>
            <family val="2"/>
            <charset val="204"/>
          </rPr>
          <t>Евгений:</t>
        </r>
        <r>
          <rPr>
            <sz val="9"/>
            <color indexed="81"/>
            <rFont val="Tahoma"/>
            <family val="2"/>
            <charset val="204"/>
          </rPr>
          <t xml:space="preserve">
Поделить на производительность в час</t>
        </r>
      </text>
    </comment>
    <comment ref="A686" authorId="0" shapeId="0" xr:uid="{BF9EEBA3-F631-4172-A50C-958A75695BC9}">
      <text>
        <r>
          <rPr>
            <b/>
            <sz val="9"/>
            <color indexed="81"/>
            <rFont val="Tahoma"/>
            <family val="2"/>
            <charset val="204"/>
          </rPr>
          <t>Евгений:</t>
        </r>
        <r>
          <rPr>
            <sz val="9"/>
            <color indexed="81"/>
            <rFont val="Tahoma"/>
            <family val="2"/>
            <charset val="204"/>
          </rPr>
          <t xml:space="preserve">
Поделить на производительность в час</t>
        </r>
      </text>
    </comment>
    <comment ref="A688" authorId="0" shapeId="0" xr:uid="{88F66177-AE39-48A8-BA94-AEA4EF059B38}">
      <text>
        <r>
          <rPr>
            <b/>
            <sz val="9"/>
            <color indexed="81"/>
            <rFont val="Tahoma"/>
            <family val="2"/>
            <charset val="204"/>
          </rPr>
          <t>Евгений:</t>
        </r>
        <r>
          <rPr>
            <sz val="9"/>
            <color indexed="81"/>
            <rFont val="Tahoma"/>
            <family val="2"/>
            <charset val="204"/>
          </rPr>
          <t xml:space="preserve">
Поделить на производительность в час</t>
        </r>
      </text>
    </comment>
    <comment ref="A689" authorId="0" shapeId="0" xr:uid="{9BC5EFB4-165A-4DA8-BFA0-80D28F9B239C}">
      <text>
        <r>
          <rPr>
            <b/>
            <sz val="9"/>
            <color indexed="81"/>
            <rFont val="Tahoma"/>
            <family val="2"/>
            <charset val="204"/>
          </rPr>
          <t>Евгений:</t>
        </r>
        <r>
          <rPr>
            <sz val="9"/>
            <color indexed="81"/>
            <rFont val="Tahoma"/>
            <family val="2"/>
            <charset val="204"/>
          </rPr>
          <t xml:space="preserve">
Поделить на производительность в час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Дмитрий Рябых</author>
    <author>Jonas .</author>
  </authors>
  <commentList>
    <comment ref="A39" authorId="0" shapeId="0" xr:uid="{00000000-0006-0000-0500-000001000000}">
      <text>
        <r>
          <rPr>
            <b/>
            <sz val="9"/>
            <color indexed="81"/>
            <rFont val="Tahoma"/>
            <family val="2"/>
            <charset val="204"/>
          </rPr>
          <t xml:space="preserve">Список валют.
</t>
        </r>
        <r>
          <rPr>
            <sz val="9"/>
            <color indexed="81"/>
            <rFont val="Tahoma"/>
            <family val="2"/>
            <charset val="204"/>
          </rPr>
          <t>Можно редактировать, но следите за именем области</t>
        </r>
      </text>
    </comment>
    <comment ref="D329" authorId="1" shapeId="0" xr:uid="{00000000-0006-0000-0500-000002000000}">
      <text>
        <r>
          <rPr>
            <b/>
            <sz val="9"/>
            <color indexed="81"/>
            <rFont val="Arial Cyr"/>
          </rPr>
          <t>Jonas .:</t>
        </r>
        <r>
          <rPr>
            <sz val="9"/>
            <color indexed="81"/>
            <rFont val="Arial Cyr"/>
          </rPr>
          <t xml:space="preserve">
Used English version - "end of the period" </t>
        </r>
      </text>
    </comment>
    <comment ref="D406" authorId="1" shapeId="0" xr:uid="{00000000-0006-0000-0500-000003000000}">
      <text>
        <r>
          <rPr>
            <b/>
            <sz val="9"/>
            <color indexed="81"/>
            <rFont val="Arial"/>
            <family val="2"/>
          </rPr>
          <t>Jonas .:</t>
        </r>
        <r>
          <rPr>
            <sz val="9"/>
            <color indexed="81"/>
            <rFont val="Arial"/>
            <family val="2"/>
          </rPr>
          <t xml:space="preserve">
Translated</t>
        </r>
      </text>
    </comment>
    <comment ref="D687" authorId="1" shapeId="0" xr:uid="{00000000-0006-0000-0500-000004000000}">
      <text>
        <r>
          <rPr>
            <b/>
            <sz val="9"/>
            <color indexed="81"/>
            <rFont val="Arial"/>
            <family val="2"/>
          </rPr>
          <t>Jonas .:</t>
        </r>
        <r>
          <rPr>
            <sz val="9"/>
            <color indexed="81"/>
            <rFont val="Arial"/>
            <family val="2"/>
          </rPr>
          <t xml:space="preserve">
Changed</t>
        </r>
      </text>
    </comment>
  </commentList>
</comments>
</file>

<file path=xl/sharedStrings.xml><?xml version="1.0" encoding="utf-8"?>
<sst xmlns="http://schemas.openxmlformats.org/spreadsheetml/2006/main" count="3947" uniqueCount="2704">
  <si>
    <t>Paskolos grąžinimas</t>
  </si>
  <si>
    <t>Sukauptos palūkanos</t>
  </si>
  <si>
    <t>Sumokėtos palūkanos</t>
  </si>
  <si>
    <t>Paskolos likutis laikotarpio pradžioje</t>
  </si>
  <si>
    <t>Paskolos likutis laikotarpio pabaigoje</t>
  </si>
  <si>
    <t xml:space="preserve">    iš kurių palūkanos</t>
  </si>
  <si>
    <t xml:space="preserve">    laikotarpis, per kurį buvo panaudota paskola</t>
  </si>
  <si>
    <t xml:space="preserve">    sukauptos palūkanos</t>
  </si>
  <si>
    <t xml:space="preserve"> = Viso: Gautos paskolos</t>
  </si>
  <si>
    <t xml:space="preserve"> = Viso: Grąžintos paskolos</t>
  </si>
  <si>
    <t xml:space="preserve"> = Viso: Sukauptos palūkanos</t>
  </si>
  <si>
    <t xml:space="preserve"> = Viso: Sumokėtos palūkanos</t>
  </si>
  <si>
    <t xml:space="preserve"> = Viso: Paskolos likutis</t>
  </si>
  <si>
    <t xml:space="preserve">    paskolų apyvartiniam kapitalui likutis</t>
  </si>
  <si>
    <t xml:space="preserve">    investicinių paskolų likutis</t>
  </si>
  <si>
    <t>Paskola apyvartiniam kapitalui</t>
  </si>
  <si>
    <t>Investicinė paskola</t>
  </si>
  <si>
    <t>Centrinės valdžios investicinė paskola</t>
  </si>
  <si>
    <t>Regioninės savivaldos investicinė paskola</t>
  </si>
  <si>
    <t>Paskolų padengimo rodiklis</t>
  </si>
  <si>
    <t xml:space="preserve">         PRICE OF RAW MATERIALS &amp; SUPPLIES (per unit, including VAT)</t>
  </si>
  <si>
    <t xml:space="preserve">          Žaliavų ir atsargų kaina (už vienetą su PVM)</t>
  </si>
  <si>
    <t xml:space="preserve">    на основе циклов оборачиваемости (c НДС на аванс)</t>
  </si>
  <si>
    <t>Мало!</t>
  </si>
  <si>
    <t>Too small!</t>
  </si>
  <si>
    <t>NPV федерального бюджета</t>
  </si>
  <si>
    <t>NPV территориального бюджета</t>
  </si>
  <si>
    <t>NPV for federal government</t>
  </si>
  <si>
    <t>NPV for regional and local governments</t>
  </si>
  <si>
    <t>_NPV1</t>
  </si>
  <si>
    <t>_NPV2</t>
  </si>
  <si>
    <t>_NPV3</t>
  </si>
  <si>
    <t>Net operating profit less adjusted taxes</t>
  </si>
  <si>
    <t>Discounted terminal value</t>
  </si>
  <si>
    <t>Total value</t>
  </si>
  <si>
    <t xml:space="preserve">         EFFICIENCY FOR THE GOVERNMENT</t>
  </si>
  <si>
    <t>federal</t>
  </si>
  <si>
    <t>regional / local</t>
  </si>
  <si>
    <t>Tax revenues to various governments</t>
  </si>
  <si>
    <t>Value Added Tax (VAT)</t>
  </si>
  <si>
    <t>Individual income tax</t>
  </si>
  <si>
    <t>Unified tax on imputed income</t>
  </si>
  <si>
    <t>Simplified taxation system</t>
  </si>
  <si>
    <t>Individual income tax rate</t>
  </si>
  <si>
    <t>Taxes received by federal government</t>
  </si>
  <si>
    <t>Taxes received by regional and local governments</t>
  </si>
  <si>
    <t>Financing provided by governments</t>
  </si>
  <si>
    <t>Federal government</t>
  </si>
  <si>
    <t xml:space="preserve">    grants</t>
  </si>
  <si>
    <t xml:space="preserve">    loans provided</t>
  </si>
  <si>
    <t xml:space="preserve">    loans repayment</t>
  </si>
  <si>
    <t xml:space="preserve">    interest</t>
  </si>
  <si>
    <t>Regional and local governments</t>
  </si>
  <si>
    <t>Total cash flow for federal government</t>
  </si>
  <si>
    <t>Total cash flow for regional and local governments</t>
  </si>
  <si>
    <t>Discount rate</t>
  </si>
  <si>
    <t xml:space="preserve">    discount ratio</t>
  </si>
  <si>
    <t>Discounted cash flow for federal government</t>
  </si>
  <si>
    <t>Discounted flow for regional and local governments</t>
  </si>
  <si>
    <t xml:space="preserve">  gamybos darbuotojų ir pagalbinių darbininkų atlyginimai</t>
  </si>
  <si>
    <t xml:space="preserve">  Kitos gamybos sąnaudos</t>
  </si>
  <si>
    <t>Bendrasis pelnas</t>
  </si>
  <si>
    <t>Administracijos, pardavimų ir marketingo darbuotojų atlyginimai</t>
  </si>
  <si>
    <t>Mokesčiai nemažinantys pelno mokesčio</t>
  </si>
  <si>
    <t>Ilgalaikio turto pardavimo pelnas (nuostolis)</t>
  </si>
  <si>
    <t>Statybų veiklos pelnas (nuostolis)</t>
  </si>
  <si>
    <t>Pelnas (nuostolis) dėl valiutų kursų svyravimo</t>
  </si>
  <si>
    <t>Kitos pajamos</t>
  </si>
  <si>
    <t>Kitas nuostolis</t>
  </si>
  <si>
    <t>Pelnas prieš palūkanas, mokesčius, nusidėvėjimą ir amortizaciją (EBITDA)</t>
  </si>
  <si>
    <t>Pelnas prieš palūkanas ir mokesčius (EBIT)</t>
  </si>
  <si>
    <t>Palūkanos</t>
  </si>
  <si>
    <t>Pelnas prieš mokesčius</t>
  </si>
  <si>
    <t>Grynasis pelnas (nuostolis)</t>
  </si>
  <si>
    <t>Diagrama: Grynasis pelnas</t>
  </si>
  <si>
    <t>Kitos pajamos (be PVM)</t>
  </si>
  <si>
    <t>Kiti netekimai/nuostoliai (be PVM)</t>
  </si>
  <si>
    <t>Nepaskirstytasis pelnas (per laikotarpį)</t>
  </si>
  <si>
    <t>Nepaskirstytasis pelnas (laikotarpio pradžioje, sukauptas)</t>
  </si>
  <si>
    <t>Darbo užmokestis įskaitant mokesčius</t>
  </si>
  <si>
    <t>Kitos kintamos išlaidos</t>
  </si>
  <si>
    <t>Tiesioginė gamybos savikaina</t>
  </si>
  <si>
    <t>Netiesioginė gamybos savikaina</t>
  </si>
  <si>
    <t>Bendrosios ir administracinės sąnaudos</t>
  </si>
  <si>
    <t>Pardavimų ir marketingo sąnaudos</t>
  </si>
  <si>
    <t>Pardavimų ir marketingo sąnaudos (kaip % nuo pardavimo pajamų)</t>
  </si>
  <si>
    <t xml:space="preserve">  Gamybos savikaina</t>
  </si>
  <si>
    <t xml:space="preserve">     be PVM</t>
  </si>
  <si>
    <t xml:space="preserve">     PVM</t>
  </si>
  <si>
    <t xml:space="preserve">  Administracinės sąnaudos</t>
  </si>
  <si>
    <t xml:space="preserve">  Pardavimų ir marketingo sąnaudos</t>
  </si>
  <si>
    <t>Žaliavų ir komponentų kaštai</t>
  </si>
  <si>
    <t>Gamybos darbuotojų darbo užmokestis</t>
  </si>
  <si>
    <t>Su gamybos darbuotojų darbo užmokesčiu susiję mokesčiai</t>
  </si>
  <si>
    <t>Pagalbinių darbuotojų darbo užmokestis</t>
  </si>
  <si>
    <t>Su pagalbinių darbuotojų darbo užmokesčiu susiję mokesčiai</t>
  </si>
  <si>
    <t>Pardavimų ir marketingo darbuotojų darbo užmokestis</t>
  </si>
  <si>
    <t>Зачет лизинговых платежей в себестоимости (с НДС)</t>
  </si>
  <si>
    <t>зачет лизинговых платежей (без НДС)</t>
  </si>
  <si>
    <t xml:space="preserve">         INFLATION AND MACROECONOMIC FORECASTS</t>
  </si>
  <si>
    <t xml:space="preserve"> = VISO TURTO</t>
  </si>
  <si>
    <t xml:space="preserve">  tiekėjams už žaliavas ir komponentus</t>
  </si>
  <si>
    <t xml:space="preserve">  tiekėjams už ilgalaikį turtą</t>
  </si>
  <si>
    <t>Mokėtini mokesčiai</t>
  </si>
  <si>
    <t>Trumpalaikės paskolos</t>
  </si>
  <si>
    <t>Kiti trumpalaikiai įsipareigojimai</t>
  </si>
  <si>
    <t>Ilgalaikiai įsipareigojimai</t>
  </si>
  <si>
    <t>Alcininkų nuosavybė/nuosavas kapitalas</t>
  </si>
  <si>
    <t>Nepaskirstytasis pelnas</t>
  </si>
  <si>
    <t>Kitas kapitalas</t>
  </si>
  <si>
    <t>Viso nuosavo kapitalo</t>
  </si>
  <si>
    <t xml:space="preserve"> = VISO ĮSIPAREIGOJIMŲ IR NUOSAVO KAPITALO</t>
  </si>
  <si>
    <t>Balanso patikrinimas</t>
  </si>
  <si>
    <t>Dėmesio! Balansas nesubalansuotas!</t>
  </si>
  <si>
    <t>Diagrama: Projekto turtas</t>
  </si>
  <si>
    <t>Diagrama: Projekto įsipareigojimai ir nuosavas kapitalas</t>
  </si>
  <si>
    <t>Turto grąža</t>
  </si>
  <si>
    <t>Kapitalo grąža</t>
  </si>
  <si>
    <t>Ilgalaikio turto grąža</t>
  </si>
  <si>
    <t>Parduotos produkcijos savikaina/pardavimai</t>
  </si>
  <si>
    <t>Bendrojo pelno norma</t>
  </si>
  <si>
    <t>Nekintamos išlaidos/parduotų prekių savikaina</t>
  </si>
  <si>
    <t>Lūžio taškas</t>
  </si>
  <si>
    <t>"Nenuostolingumo taškas"</t>
  </si>
  <si>
    <t>EBITDA norma</t>
  </si>
  <si>
    <t>EBIT norma</t>
  </si>
  <si>
    <t>Grynojo pelno marža</t>
  </si>
  <si>
    <t>Efektyvus pelno mokesčio tarifas</t>
  </si>
  <si>
    <t>Bendrasis likvidumo rodiklis</t>
  </si>
  <si>
    <t>Grynasis apyvartinis kapitalas</t>
  </si>
  <si>
    <t>Mokumo rodiklis</t>
  </si>
  <si>
    <t>Nuosavo ir skolinto kapitalo santykis</t>
  </si>
  <si>
    <t>Times interest earned</t>
  </si>
  <si>
    <t>Chart: Profitability</t>
  </si>
  <si>
    <t>Chart: Gross margin</t>
  </si>
  <si>
    <t>Chart: EBIT margin</t>
  </si>
  <si>
    <t xml:space="preserve">         INVESTMENT EFFICIENCY</t>
  </si>
  <si>
    <t>(real — without inflation)</t>
  </si>
  <si>
    <t>(nominal — with inflation)</t>
  </si>
  <si>
    <t>Include prior period investments</t>
  </si>
  <si>
    <t>Include residual value of project assets</t>
  </si>
  <si>
    <t>Currency of calculation:</t>
  </si>
  <si>
    <t>Annualized discount rate:</t>
  </si>
  <si>
    <t xml:space="preserve">    discount rate per period</t>
  </si>
  <si>
    <t xml:space="preserve">    discount ratio at the beginning of period</t>
  </si>
  <si>
    <t xml:space="preserve">    discount ratio at the end of period</t>
  </si>
  <si>
    <t>Cash flows included:</t>
  </si>
  <si>
    <t xml:space="preserve">    excluding interest </t>
  </si>
  <si>
    <t>Residual value of project assets</t>
  </si>
  <si>
    <t>Net cash flow</t>
  </si>
  <si>
    <t>Discounted net cash flow</t>
  </si>
  <si>
    <t>Discounted net cash flow, cumulative</t>
  </si>
  <si>
    <t>Simple payback period</t>
  </si>
  <si>
    <t xml:space="preserve">    undiscounted cash flow, cumulative</t>
  </si>
  <si>
    <t xml:space="preserve">    sign of the cash at the end of period</t>
  </si>
  <si>
    <t>Net Present Value (NPV)</t>
  </si>
  <si>
    <t>Discounted Payback Period (PBP)</t>
  </si>
  <si>
    <t xml:space="preserve">    sign of the discounted cash at the end of period</t>
  </si>
  <si>
    <t>Internal Rate of Return (IRR)</t>
  </si>
  <si>
    <t>Profitability Index (PI)</t>
  </si>
  <si>
    <t xml:space="preserve">    inflows</t>
  </si>
  <si>
    <t xml:space="preserve">    discounted inflows</t>
  </si>
  <si>
    <t>Modified Internal Rate of Return (MIRR)</t>
  </si>
  <si>
    <t>Reinvestment rate</t>
  </si>
  <si>
    <t>Discount rate for investments</t>
  </si>
  <si>
    <t>Chart: Net Present Value of Cash Flows (total investment)</t>
  </si>
  <si>
    <t xml:space="preserve">         RETURN ON EQUITY</t>
  </si>
  <si>
    <t>Chart: Net Present Value of Cash Flows (equity)</t>
  </si>
  <si>
    <t>Курс валюты</t>
  </si>
  <si>
    <t>для иностранной валюты</t>
  </si>
  <si>
    <t>Множитель прироста цен для иностранной валюты</t>
  </si>
  <si>
    <t>Ставка рефинансирования ЦБ</t>
  </si>
  <si>
    <t>Ставка процентов по кредитам, в пределах которой</t>
  </si>
  <si>
    <t>уменьшается налогооблагаемая прибыль:</t>
  </si>
  <si>
    <t>основная валюта</t>
  </si>
  <si>
    <t>иностранная валюта</t>
  </si>
  <si>
    <t>int_avg</t>
  </si>
  <si>
    <t>%</t>
  </si>
  <si>
    <t xml:space="preserve">  (отключен)</t>
  </si>
  <si>
    <t xml:space="preserve">  (включен)</t>
  </si>
  <si>
    <t>Здания и сооружения</t>
  </si>
  <si>
    <t>Земельные участки</t>
  </si>
  <si>
    <t>Нематериальные активы</t>
  </si>
  <si>
    <t>Оборудование и другие активы</t>
  </si>
  <si>
    <t>Расходы будущих периодов</t>
  </si>
  <si>
    <t>Наименование</t>
  </si>
  <si>
    <t>Валюта</t>
  </si>
  <si>
    <t>ИТОГО</t>
  </si>
  <si>
    <t>1_01</t>
  </si>
  <si>
    <t xml:space="preserve">    сумма платежей без НДС</t>
  </si>
  <si>
    <t xml:space="preserve">    ранее осуществленные инвестиции (без НДС)</t>
  </si>
  <si>
    <t xml:space="preserve">    общая стоимость актива (без НДС)</t>
  </si>
  <si>
    <t xml:space="preserve">    поставить на баланс с</t>
  </si>
  <si>
    <t xml:space="preserve">    полная сумма вложений в актив (без НДС)</t>
  </si>
  <si>
    <t xml:space="preserve">    полная балансовая стоимость</t>
  </si>
  <si>
    <t xml:space="preserve">    незавершенные инвестиции</t>
  </si>
  <si>
    <t xml:space="preserve">    кредиторская задолженность</t>
  </si>
  <si>
    <t xml:space="preserve">    амортизация (ускоренная),    для срока использования:</t>
  </si>
  <si>
    <t xml:space="preserve">    накопленная амортизация</t>
  </si>
  <si>
    <t xml:space="preserve">    остаточная стоимость</t>
  </si>
  <si>
    <t xml:space="preserve">    выплаченный НДС</t>
  </si>
  <si>
    <t xml:space="preserve">    НДС к ранее осуществленным инвестициям</t>
  </si>
  <si>
    <t xml:space="preserve">    зачет НДС</t>
  </si>
  <si>
    <t xml:space="preserve">    реализация актива (без НДС)</t>
  </si>
  <si>
    <t xml:space="preserve">    прибыль/убыток от реализации актива</t>
  </si>
  <si>
    <t xml:space="preserve">    НДС к выручке от реализации актива</t>
  </si>
  <si>
    <t xml:space="preserve">   в том числе</t>
  </si>
  <si>
    <t>Существующие внеоборотные активы</t>
  </si>
  <si>
    <t xml:space="preserve">   - здания и сооружения</t>
  </si>
  <si>
    <t xml:space="preserve">   - земельные участки</t>
  </si>
  <si>
    <t xml:space="preserve">   - нематериальные активы</t>
  </si>
  <si>
    <t xml:space="preserve">   - оборудование и другие активы</t>
  </si>
  <si>
    <t xml:space="preserve">    тип лизинга</t>
  </si>
  <si>
    <t xml:space="preserve">    № периода ввода в действие оборудования</t>
  </si>
  <si>
    <t xml:space="preserve">    срок лизинга</t>
  </si>
  <si>
    <t>Стоимость объекта (с НДС)</t>
  </si>
  <si>
    <t xml:space="preserve">    амортизационные отчисления</t>
  </si>
  <si>
    <t xml:space="preserve">    остаточная стоимость (без НДС)</t>
  </si>
  <si>
    <t>Valstybinės mokestinės pajamos</t>
  </si>
  <si>
    <t xml:space="preserve">  palūkanos</t>
  </si>
  <si>
    <t>Regioninės savivaldos</t>
  </si>
  <si>
    <t xml:space="preserve">         BASIC PROJECT PARAMETERS</t>
  </si>
  <si>
    <t>Sales (net of VAT)</t>
  </si>
  <si>
    <t>Production costs (net of VAT)</t>
  </si>
  <si>
    <t>Investment in fixed assets</t>
  </si>
  <si>
    <t>Equity investment and grants</t>
  </si>
  <si>
    <t>Loans provided</t>
  </si>
  <si>
    <t>Loans repayment</t>
  </si>
  <si>
    <t>Investment efficiency</t>
  </si>
  <si>
    <t>Return on lender(s)</t>
  </si>
  <si>
    <t xml:space="preserve">        SENSITIVITY ANALYSIS</t>
  </si>
  <si>
    <t>Company projects portfolio</t>
  </si>
  <si>
    <t xml:space="preserve">         PORTFOLIO STRUCTURE</t>
  </si>
  <si>
    <t>Company name:</t>
  </si>
  <si>
    <t>Unnamed company</t>
  </si>
  <si>
    <t>Include?</t>
  </si>
  <si>
    <t>Source</t>
  </si>
  <si>
    <t>Last update from external workbooks:</t>
  </si>
  <si>
    <t>Projects portfolio budget parameters</t>
  </si>
  <si>
    <t xml:space="preserve">  diskonto daugiklis</t>
  </si>
  <si>
    <t>Budget start month</t>
  </si>
  <si>
    <t xml:space="preserve">         INCOME TAX RECALCULATION</t>
  </si>
  <si>
    <t>Recalculate tax</t>
  </si>
  <si>
    <t>Do not recalculate tax</t>
  </si>
  <si>
    <t>Chart: Projects income</t>
  </si>
  <si>
    <t>Income tax on consolidated basis</t>
  </si>
  <si>
    <t>Income tax rate</t>
  </si>
  <si>
    <t xml:space="preserve">         CONSOLIDATED INCOME STATEMENT</t>
  </si>
  <si>
    <t xml:space="preserve">         CONSOLIDATED CASH FLOW STATEMENT</t>
  </si>
  <si>
    <t>Chart: Consolidated equity and liabilities</t>
  </si>
  <si>
    <t xml:space="preserve">         CONSOLIDATED FINANCIAL RATIOS</t>
  </si>
  <si>
    <t>Chart: Net present value of consolidated cash flows (total investment)</t>
  </si>
  <si>
    <t>Chart: Net present value of consolidated cash Flows (equity)</t>
  </si>
  <si>
    <t>Chart: Net present value of consolidated cash flows (debt)</t>
  </si>
  <si>
    <t xml:space="preserve">         CONSOLIDATED BASIC PROJECTS PARAMETERS</t>
  </si>
  <si>
    <t xml:space="preserve">   лизинговые платежи для  расчета графика платежей</t>
  </si>
  <si>
    <t>Laikotarpių pavadinimai (santykinė laiko skalė)</t>
  </si>
  <si>
    <t>Laikotarpio pradžios data</t>
  </si>
  <si>
    <t>Laikotarpių pavadinimai (absoliuti laiko skalė)</t>
  </si>
  <si>
    <t>Perskaičiuoti mokesčius</t>
  </si>
  <si>
    <t>Neperskaičiuoti mokesčių</t>
  </si>
  <si>
    <t>Diagrama: Projektų pajamos ir išlaidos</t>
  </si>
  <si>
    <t>Diagrama: Projektų pelnas</t>
  </si>
  <si>
    <t>Konsolioduotas pelno mokestis</t>
  </si>
  <si>
    <t>Pelno mokesčio norma</t>
  </si>
  <si>
    <t>Diagrama: Konsoliduotas turtas</t>
  </si>
  <si>
    <t>Diagrama: Konsoliduotas akcinis kapitalas ir įsipareigojimai</t>
  </si>
  <si>
    <t>Diagrama: Grynoji dabartinė konsoliduotų pinigų srautų vertė (visų investicijų)</t>
  </si>
  <si>
    <t>Diagrama: Grynoji dabartinė konsoliduotų pinigų srautų vertė (akcinio kapitalo)</t>
  </si>
  <si>
    <t>Diagrama: Grynoji dabartinė konsoliduotų pinigų srautų vertė (skolinto kapitalo)</t>
  </si>
  <si>
    <t>Parametrų pokytis</t>
  </si>
  <si>
    <t>Intervale</t>
  </si>
  <si>
    <t>Nuo:</t>
  </si>
  <si>
    <t xml:space="preserve">su žingsniu/etapu: </t>
  </si>
  <si>
    <t>Bendras indeksas</t>
  </si>
  <si>
    <t>Apskaičiuotų verčių lentelė</t>
  </si>
  <si>
    <t>Reikšmė</t>
  </si>
  <si>
    <t>Rezultatas</t>
  </si>
  <si>
    <t>Grafikas: Jautrumo analizė</t>
  </si>
  <si>
    <t>Jautrumo analizės rodikliai</t>
  </si>
  <si>
    <t>Gamybos ir pardavimo apimtis (produkcijos vienetais)</t>
  </si>
  <si>
    <t>Pardavimo kaina</t>
  </si>
  <si>
    <t>Pradinių investicijų vertė</t>
  </si>
  <si>
    <t>&lt;Kintamų paramentrų sąrašo pabaiga&gt;</t>
  </si>
  <si>
    <t>Visų investicijų grynoji dabartinė vertė</t>
  </si>
  <si>
    <t>Akcinio kapitalo grynoji dabartinė vertė</t>
  </si>
  <si>
    <t>Skolinto kapitalo grynoji dabartinė vertė</t>
  </si>
  <si>
    <t>Viso grynasis pelnas</t>
  </si>
  <si>
    <t>&lt;analizuojamų parametrų sąrašo pabaiga&gt;</t>
  </si>
  <si>
    <t>Regionas</t>
  </si>
  <si>
    <t>nuo planuojamo dydžio</t>
  </si>
  <si>
    <t>Įskaičiuoti</t>
  </si>
  <si>
    <t>Balansas nesubalansuotas!</t>
  </si>
  <si>
    <t>Diagrama: EBITDA</t>
  </si>
  <si>
    <t>Базовый язык интерфейса?</t>
  </si>
  <si>
    <t>Сейчас будет собрана модификация:</t>
  </si>
  <si>
    <t>СБОРКА ДИСТРИБУТИВА</t>
  </si>
  <si>
    <t>0 - нет, 1 - да</t>
  </si>
  <si>
    <t>0 - рабочая, 1 - демо, 2 - пробная</t>
  </si>
  <si>
    <t>1 - русский, 2 - английский</t>
  </si>
  <si>
    <t>Демо или пробная версия?</t>
  </si>
  <si>
    <t>Параметры программы</t>
  </si>
  <si>
    <t>Внимание! Измение этих параметров вручную приведет к неправильной работе ряда формул и макросов</t>
  </si>
  <si>
    <t>Общая величина инвестиций</t>
  </si>
  <si>
    <t>Total CAPEX</t>
  </si>
  <si>
    <t>Затраты на строительство объекта</t>
  </si>
  <si>
    <t>Construction costs</t>
  </si>
  <si>
    <r>
      <t>1 m</t>
    </r>
    <r>
      <rPr>
        <sz val="8"/>
        <rFont val="Arial Cyr"/>
      </rPr>
      <t>2 kaštai (įskaitant PVM)</t>
    </r>
  </si>
  <si>
    <t>Statybos kaštai</t>
  </si>
  <si>
    <t>Est?</t>
  </si>
  <si>
    <t>Доходы от продажи дольщикам</t>
  </si>
  <si>
    <t>Construction co-investors</t>
  </si>
  <si>
    <t>Construction sales at completion</t>
  </si>
  <si>
    <t>Незавершенные инвестиции в стартовом балансе</t>
  </si>
  <si>
    <t>ПРОЧИЕ НАЛОГИ</t>
  </si>
  <si>
    <t>OTHER TAXES</t>
  </si>
  <si>
    <t>KITOS MOKESČIAI</t>
  </si>
  <si>
    <t xml:space="preserve">    - на зарплату административного персонала</t>
  </si>
  <si>
    <t xml:space="preserve">    - на зарплату коммерческого персонала</t>
  </si>
  <si>
    <t xml:space="preserve">         СТРОИТЕЛЬСТВО: ХАРАКТЕРИСТИКИ ОБЪЕКТА</t>
  </si>
  <si>
    <t>начало работ</t>
  </si>
  <si>
    <t>конец работ</t>
  </si>
  <si>
    <t xml:space="preserve">    вознаграждение лизингодателю</t>
  </si>
  <si>
    <t xml:space="preserve">    Оплата труда (вкл. ЕСН и страхование)</t>
  </si>
  <si>
    <t xml:space="preserve">    НДС к платежам</t>
  </si>
  <si>
    <t xml:space="preserve">    авансы, уплаченные лизингодателю</t>
  </si>
  <si>
    <t xml:space="preserve">    арендованные основные средства (ост. стоимость)</t>
  </si>
  <si>
    <t xml:space="preserve">    налогооблагаемое имущество</t>
  </si>
  <si>
    <t>Выкуп основных средств по остаточной стоимости</t>
  </si>
  <si>
    <t xml:space="preserve">    балансовая стоимость после выкупа</t>
  </si>
  <si>
    <t xml:space="preserve">    остаточная стоимость после выкупа</t>
  </si>
  <si>
    <t xml:space="preserve">    амортизация средств у лизингополучателя после выкупа</t>
  </si>
  <si>
    <t xml:space="preserve">    НДС уплаченный при выкупе </t>
  </si>
  <si>
    <t xml:space="preserve"> = Итого лизинговые платежи, начисленные, без НДС</t>
  </si>
  <si>
    <t xml:space="preserve"> = Итого лизинговые платежи, уплаченные, с НДС</t>
  </si>
  <si>
    <t xml:space="preserve"> = Итого выкуп основных средств, с НДС</t>
  </si>
  <si>
    <t xml:space="preserve">    арендованные основные средства </t>
  </si>
  <si>
    <t>с выкупом (учет на балансе лизингодателя)</t>
  </si>
  <si>
    <t>с выкупом (учет на балансе лизингополучателя)</t>
  </si>
  <si>
    <t xml:space="preserve"> = Итого лизинговые платежи, начисленные, с НДС</t>
  </si>
  <si>
    <t>ЗАПАСЫ</t>
  </si>
  <si>
    <t xml:space="preserve">    минимальные остатки на складе, на</t>
  </si>
  <si>
    <t xml:space="preserve">    среднее время хранения</t>
  </si>
  <si>
    <t>Незавершенное производство</t>
  </si>
  <si>
    <t xml:space="preserve">    длительность производственного цикла</t>
  </si>
  <si>
    <t xml:space="preserve">    периодичность отгрузки</t>
  </si>
  <si>
    <t>РАСЧЕТЫ С ПОКУПАТЕЛЯМИ</t>
  </si>
  <si>
    <t>Поступления денег от продаж:</t>
  </si>
  <si>
    <t xml:space="preserve">    немедленная оплата</t>
  </si>
  <si>
    <t xml:space="preserve">    продажи с предоплатой</t>
  </si>
  <si>
    <t xml:space="preserve">    продажи в кредит</t>
  </si>
  <si>
    <t>Сумма счетов к получению</t>
  </si>
  <si>
    <t xml:space="preserve">    на основе циклов оборачиваемости</t>
  </si>
  <si>
    <t xml:space="preserve">    в соответствии с графиком оплаты продукции</t>
  </si>
  <si>
    <t>Сумма полученных авансов</t>
  </si>
  <si>
    <t>РАСЧЕТЫ С ПОСТАВЩИКАМИ</t>
  </si>
  <si>
    <t>Оплата материалов и комплектующих:</t>
  </si>
  <si>
    <t xml:space="preserve">    авансовая оплата</t>
  </si>
  <si>
    <t xml:space="preserve">    оплата в кредит</t>
  </si>
  <si>
    <t>Сумма счетов к оплате</t>
  </si>
  <si>
    <t xml:space="preserve">    в соответствии с графиком оплаты материалов</t>
  </si>
  <si>
    <t>Сумма уплаченных авансов</t>
  </si>
  <si>
    <t>РАСЧЕТЫ С БЮДЖЕТОМ</t>
  </si>
  <si>
    <t>По НДС</t>
  </si>
  <si>
    <t>По акцизам и экспортным пошлинам</t>
  </si>
  <si>
    <t>По импортным пошлинам</t>
  </si>
  <si>
    <t>По налогу на прибыль</t>
  </si>
  <si>
    <t>По прочим налогам и платежам</t>
  </si>
  <si>
    <t>РАСЧЕТЫ С ПЕРСОНАЛОМ</t>
  </si>
  <si>
    <t>Текущая задолженность по заработной плате</t>
  </si>
  <si>
    <t xml:space="preserve">    частота выплаты заработной платы</t>
  </si>
  <si>
    <t>РЕЗЕРВ ДЕНЕЖНЫХ СРЕДСТВ</t>
  </si>
  <si>
    <t>Резерв средств на обеспечение текущих расчетов</t>
  </si>
  <si>
    <t xml:space="preserve">    создавать?</t>
  </si>
  <si>
    <t xml:space="preserve">    покрытие потребности</t>
  </si>
  <si>
    <t>Итого текущих активов</t>
  </si>
  <si>
    <t>Итого текущих обязательств</t>
  </si>
  <si>
    <t>Оборотный капитал компании</t>
  </si>
  <si>
    <t>Прирост, учтенный в операционных денежных потоках</t>
  </si>
  <si>
    <t>Инвестиции в чистый оборотный капитал</t>
  </si>
  <si>
    <t>доля</t>
  </si>
  <si>
    <t>срок, дн.</t>
  </si>
  <si>
    <t>-</t>
  </si>
  <si>
    <t>Создавать резерв</t>
  </si>
  <si>
    <t>int_end</t>
  </si>
  <si>
    <t>Наименование продукта</t>
  </si>
  <si>
    <t>Номинальный объем</t>
  </si>
  <si>
    <t>ед.</t>
  </si>
  <si>
    <t>Средний коэффициент загрузки производства</t>
  </si>
  <si>
    <t xml:space="preserve">    цена без НДС и акцизов</t>
  </si>
  <si>
    <t xml:space="preserve">    акцизы</t>
  </si>
  <si>
    <t xml:space="preserve">    налог с продаж</t>
  </si>
  <si>
    <t xml:space="preserve">    НДС</t>
  </si>
  <si>
    <t>Адвалорные</t>
  </si>
  <si>
    <t>Твердые</t>
  </si>
  <si>
    <t xml:space="preserve">    к оплате от покупателей (без НДС)</t>
  </si>
  <si>
    <t xml:space="preserve">    в т.ч. акцизов, налогов и пошлин</t>
  </si>
  <si>
    <t xml:space="preserve">    НДС на поставленную продукцию</t>
  </si>
  <si>
    <t xml:space="preserve">    график оплаты (без НДС)</t>
  </si>
  <si>
    <t xml:space="preserve">    полученный НДС</t>
  </si>
  <si>
    <t xml:space="preserve">    дебиторская задолженность</t>
  </si>
  <si>
    <t xml:space="preserve">    полученные авансы</t>
  </si>
  <si>
    <t xml:space="preserve"> = Итого</t>
  </si>
  <si>
    <t xml:space="preserve">    цена без НДС</t>
  </si>
  <si>
    <t xml:space="preserve">    в том числе импортная пошлина</t>
  </si>
  <si>
    <t xml:space="preserve">    затраты на сырье и материалы без НДС</t>
  </si>
  <si>
    <t xml:space="preserve">    закуплено сырья и материалов на сумму (без НДС)</t>
  </si>
  <si>
    <t>Годовая процентная ставка</t>
  </si>
  <si>
    <t>Отсрочка выплаты процентов</t>
  </si>
  <si>
    <t>Поступление денег от кредита</t>
  </si>
  <si>
    <t>Погашение основного долга</t>
  </si>
  <si>
    <t>Выплаченные проценты</t>
  </si>
  <si>
    <t>Задолженность на конец текущего периода</t>
  </si>
  <si>
    <t xml:space="preserve">    проценты, выплачиваемые из прибыли</t>
  </si>
  <si>
    <t xml:space="preserve"> = Итого: Поступления от кредитов</t>
  </si>
  <si>
    <t xml:space="preserve"> = Итого: Погашение кредитов</t>
  </si>
  <si>
    <t xml:space="preserve"> = Итого: Выплата процентов</t>
  </si>
  <si>
    <t>Месячный оклад</t>
  </si>
  <si>
    <t>Количество</t>
  </si>
  <si>
    <t>Начисленный ЕСН и страхование</t>
  </si>
  <si>
    <t xml:space="preserve">    - на зарплату основного произв. персонала</t>
  </si>
  <si>
    <t xml:space="preserve">    - на зарплату вспомогательного произв. персонала</t>
  </si>
  <si>
    <t xml:space="preserve"> = ИТОГО ПАССИВОВ</t>
  </si>
  <si>
    <t>Контроль сходимости баланса</t>
  </si>
  <si>
    <t xml:space="preserve">    земельные участки</t>
  </si>
  <si>
    <t xml:space="preserve">    нематериальные активы</t>
  </si>
  <si>
    <t xml:space="preserve">    за внеоборотные активы</t>
  </si>
  <si>
    <t>Нераспределенная прибыль (+) / убыток (-)</t>
  </si>
  <si>
    <t>Финансовые вложения</t>
  </si>
  <si>
    <t>Существующие финансовые вложения</t>
  </si>
  <si>
    <t>периода</t>
  </si>
  <si>
    <t>Административные расходы</t>
  </si>
  <si>
    <t>Коммерческие расходы</t>
  </si>
  <si>
    <t>Коммерческие расходы как % от продаж</t>
  </si>
  <si>
    <t xml:space="preserve">    Производственные расходы</t>
  </si>
  <si>
    <t xml:space="preserve">        сумма без НДС</t>
  </si>
  <si>
    <t xml:space="preserve">        НДС</t>
  </si>
  <si>
    <t xml:space="preserve">    Административные расходы</t>
  </si>
  <si>
    <t xml:space="preserve">    Коммерческие расходы</t>
  </si>
  <si>
    <t>Расходы на материалы и комплектующие</t>
  </si>
  <si>
    <t>Зарплата основного производственного персонала</t>
  </si>
  <si>
    <t>ЕСН на зарплату основного произв. персонала</t>
  </si>
  <si>
    <t>Авансы выданные</t>
  </si>
  <si>
    <t>1_27</t>
  </si>
  <si>
    <t>Не создавать резерв</t>
  </si>
  <si>
    <t>Система налогообложения</t>
  </si>
  <si>
    <t>Налог на прибыль (общий налоговый режим)</t>
  </si>
  <si>
    <t>Единый налог на вмененный доход (специальный налоговый режим)</t>
  </si>
  <si>
    <t>Упрощенная система налогообложения (специальный налоговый режим)</t>
  </si>
  <si>
    <t>ЕДИНЫЙ НАЛОГ НА ВМЕНЕННЫЙ ДОХОД</t>
  </si>
  <si>
    <t>Физический показатель доходности</t>
  </si>
  <si>
    <t>Базовая доходность</t>
  </si>
  <si>
    <t>Коэффициент-дефлятор К1</t>
  </si>
  <si>
    <t>Корректирующий коэффициент К2</t>
  </si>
  <si>
    <t>Величина вмененного дохода</t>
  </si>
  <si>
    <t>Взносы на обязательное пенсионное страхование</t>
  </si>
  <si>
    <t>СПЕЦИАЛЬНЫЕ РЕЖИМЫ НАЛОГООБЛОЖЕНИЯ</t>
  </si>
  <si>
    <t xml:space="preserve">    облагаемая база</t>
  </si>
  <si>
    <t xml:space="preserve">    величина платежа</t>
  </si>
  <si>
    <t>Начисленный налог на вмененный доход</t>
  </si>
  <si>
    <t>УПРОЩЕННАЯ СИСТЕМА НАЛОГООБЛОЖЕНИЯ</t>
  </si>
  <si>
    <t>Объект налогообложения</t>
  </si>
  <si>
    <t>Доходы</t>
  </si>
  <si>
    <t>Доходы, уменьшенные на величину расходов</t>
  </si>
  <si>
    <t>Число строк из проекта на листе Портфель</t>
  </si>
  <si>
    <t xml:space="preserve">    расчетная величина лизинговых платежей (c НДС)</t>
  </si>
  <si>
    <t xml:space="preserve">    от продажи активов</t>
  </si>
  <si>
    <t xml:space="preserve">    от прочей деятельности</t>
  </si>
  <si>
    <t>НДС уплаченный</t>
  </si>
  <si>
    <t xml:space="preserve">    при оплате материалов и комплектующих</t>
  </si>
  <si>
    <t xml:space="preserve">    при оплате текущих затрат</t>
  </si>
  <si>
    <t>НДС к ранее осуществленным инвестициям, включаемый в затраты</t>
  </si>
  <si>
    <t>VAT on prior period investments, written off against costs</t>
  </si>
  <si>
    <t>Платежи НДС в бюджет (или возврат из бюджета)</t>
  </si>
  <si>
    <t xml:space="preserve">    выплаченный, но еще не зачтенный НДС</t>
  </si>
  <si>
    <t xml:space="preserve">    НДС к уплате в бюджет (или к возврату из бюджета)</t>
  </si>
  <si>
    <t xml:space="preserve">    отложенный возврат НДС из бюджета</t>
  </si>
  <si>
    <t>Начисления на заработную плату</t>
  </si>
  <si>
    <t xml:space="preserve">    Единый социальный налог (ЕСН)</t>
  </si>
  <si>
    <t xml:space="preserve">        ставка</t>
  </si>
  <si>
    <t xml:space="preserve">        период уплаты</t>
  </si>
  <si>
    <t xml:space="preserve">    Страхование</t>
  </si>
  <si>
    <t>Земельный налог</t>
  </si>
  <si>
    <t xml:space="preserve">    ставка (на тыс. кв. м )</t>
  </si>
  <si>
    <t xml:space="preserve">    площадь к налогообложению</t>
  </si>
  <si>
    <t>Другие налоги, относимые на текущие затраты</t>
  </si>
  <si>
    <t>Другие налоги с продаж</t>
  </si>
  <si>
    <t xml:space="preserve">    налогооблагаемая база</t>
  </si>
  <si>
    <t>Налог на имущество</t>
  </si>
  <si>
    <t xml:space="preserve">    средняя стоимость имущества за период</t>
  </si>
  <si>
    <t xml:space="preserve">    стоимость имущества, освобождаемого от налога</t>
  </si>
  <si>
    <t>Другие налоги, относимые на финансовые результаты</t>
  </si>
  <si>
    <t>Начисленный налог на прибыль</t>
  </si>
  <si>
    <t xml:space="preserve">    прибыль до налогообложения</t>
  </si>
  <si>
    <t xml:space="preserve">    проценты по кредиту, выплачиваемые из прибыли</t>
  </si>
  <si>
    <t xml:space="preserve">    льготы по налогу на прибыль</t>
  </si>
  <si>
    <t xml:space="preserve">    накопленная прибыль/убытки текущего года</t>
  </si>
  <si>
    <t xml:space="preserve">    списано убытков предыдущих лет</t>
  </si>
  <si>
    <t xml:space="preserve">    прибыль, на которую начисляется налог</t>
  </si>
  <si>
    <t>Суммарные налоговые выплаты</t>
  </si>
  <si>
    <t>дней</t>
  </si>
  <si>
    <t>возвращается из бюджета</t>
  </si>
  <si>
    <t>зачитывается при будущих расчетах</t>
  </si>
  <si>
    <t>сразу после постановки на баланс</t>
  </si>
  <si>
    <t>Период уплаты</t>
  </si>
  <si>
    <t xml:space="preserve"> НАЛОГ НА ДОБАВЛЕННУЮ СТОИМОСТЬ</t>
  </si>
  <si>
    <t>НАЛОГИ, ОТНОСИМЫЕ НА ФИНАНСОВЫЕ РЕЗУЛЬТАТЫ</t>
  </si>
  <si>
    <t>НАЛОГ НА ПРИБЫЛЬ</t>
  </si>
  <si>
    <t xml:space="preserve">    прямое возмещение налога через</t>
  </si>
  <si>
    <t>периодов</t>
  </si>
  <si>
    <t>тыс. кв. м</t>
  </si>
  <si>
    <t>Наименование налога</t>
  </si>
  <si>
    <t>Средства собственников</t>
  </si>
  <si>
    <t>Собственник 1</t>
  </si>
  <si>
    <t>Собственник 2</t>
  </si>
  <si>
    <t>Собственник 3</t>
  </si>
  <si>
    <t>Собственник 4</t>
  </si>
  <si>
    <t>Собственник 5</t>
  </si>
  <si>
    <t>Средства от инвесторов строительства</t>
  </si>
  <si>
    <t>Справка: Остаток средств на счете (текущий проект)</t>
  </si>
  <si>
    <t>Справка: Остаток средств на счете (портфель проектов)</t>
  </si>
  <si>
    <t>Тип кредита</t>
  </si>
  <si>
    <t>Валюта кредита</t>
  </si>
  <si>
    <t>Объем выполненных работ</t>
  </si>
  <si>
    <t>Оплата работ</t>
  </si>
  <si>
    <t>Итого: объем выполненных работ</t>
  </si>
  <si>
    <t xml:space="preserve">   НДС</t>
  </si>
  <si>
    <t>Итого: оплата работ</t>
  </si>
  <si>
    <t>Авансы подрядчикам (с НДС)</t>
  </si>
  <si>
    <t>Кредиторская задолженность подрядчикам (с НДС)</t>
  </si>
  <si>
    <t>НДС к ранее осуществленным инвестициям</t>
  </si>
  <si>
    <t>Рыночная стоимость недостроенного объекта</t>
  </si>
  <si>
    <t>Очередь строительства №1</t>
  </si>
  <si>
    <t>Конец строительства очереди</t>
  </si>
  <si>
    <t>Категории площадей:</t>
  </si>
  <si>
    <t>Полезная площадь очереди</t>
  </si>
  <si>
    <t>Общая площадь очереди</t>
  </si>
  <si>
    <t>Итого: полезная площадь</t>
  </si>
  <si>
    <t>Итого: общая площадь</t>
  </si>
  <si>
    <t>Внимание! Общая площадь не может быть меньше полезной площади!</t>
  </si>
  <si>
    <t>График привлечения дольщиков / соинвесторов</t>
  </si>
  <si>
    <t>График оплаты площадей</t>
  </si>
  <si>
    <t>Стоимость 1 кв. м (без НДС)</t>
  </si>
  <si>
    <t xml:space="preserve">    в том числе вознаграждение заказчику</t>
  </si>
  <si>
    <t>Поступление финансирования</t>
  </si>
  <si>
    <t xml:space="preserve">    вариант зачета НДС</t>
  </si>
  <si>
    <t>по мере оплаты актива</t>
  </si>
  <si>
    <t>после постановки актива на баланс</t>
  </si>
  <si>
    <t xml:space="preserve">    величина платежей</t>
  </si>
  <si>
    <t>1_15</t>
  </si>
  <si>
    <t xml:space="preserve">    импорт?</t>
  </si>
  <si>
    <t xml:space="preserve">    пересечение границы при импорте</t>
  </si>
  <si>
    <t>период</t>
  </si>
  <si>
    <t>нет</t>
  </si>
  <si>
    <t>да</t>
  </si>
  <si>
    <t>6.04</t>
  </si>
  <si>
    <t>Прибыльность продаж</t>
  </si>
  <si>
    <t>Доля постоянных  затрат</t>
  </si>
  <si>
    <t>Точка безубыточности</t>
  </si>
  <si>
    <t>"Запас прочности"</t>
  </si>
  <si>
    <t xml:space="preserve">Рентабельность по чистой прибыли </t>
  </si>
  <si>
    <t>Коэффициент общей ликвидности</t>
  </si>
  <si>
    <t>Чистый оборотный капитал</t>
  </si>
  <si>
    <t>Коэффициент общей платежеспособности</t>
  </si>
  <si>
    <t>Коэффициент автономии</t>
  </si>
  <si>
    <t>Доля долгосрочных кредитов в валюте баланса</t>
  </si>
  <si>
    <t>Покрытие процентов по кредитам</t>
  </si>
  <si>
    <t>Рентабельность внеоборотных активов</t>
  </si>
  <si>
    <t>Изменение чистого оборотного капитала</t>
  </si>
  <si>
    <t>1_25</t>
  </si>
  <si>
    <t>Авансы полученные</t>
  </si>
  <si>
    <t>Кредиторская задолженность перед персоналом</t>
  </si>
  <si>
    <t>1_26</t>
  </si>
  <si>
    <t>Денежные потоки от финансовой деятельности</t>
  </si>
  <si>
    <t>Суммарный денежный поток за период</t>
  </si>
  <si>
    <t>Начисленный налог</t>
  </si>
  <si>
    <t xml:space="preserve">   задолженность перед бюджетом</t>
  </si>
  <si>
    <t>1_02;int_end</t>
  </si>
  <si>
    <t>Внимание! Баланс не сходится!</t>
  </si>
  <si>
    <t>Существующие расходы будущих периодов</t>
  </si>
  <si>
    <t xml:space="preserve">    первоначальная стоимость</t>
  </si>
  <si>
    <t xml:space="preserve">    прямое возмещение НДС из бюджета</t>
  </si>
  <si>
    <t xml:space="preserve">    запасы на основе периодов оборота</t>
  </si>
  <si>
    <t xml:space="preserve">    запасы на основе графика оплаты</t>
  </si>
  <si>
    <t xml:space="preserve">     НДС к ранее осуществленным инвестициям</t>
  </si>
  <si>
    <t>Выплаченный, но не зачтенный НДС</t>
  </si>
  <si>
    <t xml:space="preserve">   - land</t>
  </si>
  <si>
    <t xml:space="preserve">   - intangible assets</t>
  </si>
  <si>
    <t xml:space="preserve">   - equipment and other assets</t>
  </si>
  <si>
    <t>Investments in process</t>
  </si>
  <si>
    <t>Financial investments</t>
  </si>
  <si>
    <t>Raw materials and components</t>
  </si>
  <si>
    <t>Work-in-progress</t>
  </si>
  <si>
    <t>Finished goods</t>
  </si>
  <si>
    <t>Accounts receivable from customers</t>
  </si>
  <si>
    <t>Advance payments to suppliers</t>
  </si>
  <si>
    <t>Deferred expenses</t>
  </si>
  <si>
    <t>VAT as assets</t>
  </si>
  <si>
    <t>Other debtors</t>
  </si>
  <si>
    <t>Cash</t>
  </si>
  <si>
    <t>Total assets</t>
  </si>
  <si>
    <t>Equity</t>
  </si>
  <si>
    <t>Retained earnings (+) / losses (-)</t>
  </si>
  <si>
    <t>Grants</t>
  </si>
  <si>
    <t>Loans</t>
  </si>
  <si>
    <t>Accounts payable to suppliers</t>
  </si>
  <si>
    <t>Accounts payable to budget</t>
  </si>
  <si>
    <t>Accounts payable to personnel</t>
  </si>
  <si>
    <t>Advances received</t>
  </si>
  <si>
    <t>Other creditors</t>
  </si>
  <si>
    <t>Total liabilities and equity</t>
  </si>
  <si>
    <t>Balance check</t>
  </si>
  <si>
    <t>Lithuanian</t>
  </si>
  <si>
    <t>Suma</t>
  </si>
  <si>
    <t>Neklinojamasis turtas</t>
  </si>
  <si>
    <t>Demo</t>
  </si>
  <si>
    <t>Bandomoji versija</t>
  </si>
  <si>
    <t>Apie</t>
  </si>
  <si>
    <t>Projektas</t>
  </si>
  <si>
    <t>Akcijų portfelis</t>
  </si>
  <si>
    <t>График: Окупаемость проекта (для полных инвестиционных затрат)</t>
  </si>
  <si>
    <t>График: Окупаемость проекта (для собственного капитала)</t>
  </si>
  <si>
    <t>График: Окупаемость проекта (для банка)</t>
  </si>
  <si>
    <t xml:space="preserve">    то же, в основной валюте</t>
  </si>
  <si>
    <t>Денежный поток для собственного капитала</t>
  </si>
  <si>
    <t>Долгосрочные темпы роста в постпрогнозный период</t>
  </si>
  <si>
    <t>Чистая прибыль</t>
  </si>
  <si>
    <t>Инвестиции</t>
  </si>
  <si>
    <t>Изменение долгосрочной задолженности</t>
  </si>
  <si>
    <t xml:space="preserve">    незавершенное производство</t>
  </si>
  <si>
    <t>Доли налоговых поступлений в бюджеты разных уровней</t>
  </si>
  <si>
    <t>федеральный</t>
  </si>
  <si>
    <t>территории</t>
  </si>
  <si>
    <t>Налог на добавленную стоимость</t>
  </si>
  <si>
    <t xml:space="preserve">Начисления на заработную плату </t>
  </si>
  <si>
    <t>Импортная пошлина</t>
  </si>
  <si>
    <t>Подоходный налог</t>
  </si>
  <si>
    <t>Ставка налога на доходы физических лиц</t>
  </si>
  <si>
    <t>Налоговые поступления в федеральный бюджет</t>
  </si>
  <si>
    <t>Налоговые поступления в территориальный бюджет</t>
  </si>
  <si>
    <t>Бюджетное финансирование</t>
  </si>
  <si>
    <t>Федеральный бюджет</t>
  </si>
  <si>
    <t xml:space="preserve">    целевое финансирование</t>
  </si>
  <si>
    <t xml:space="preserve">    кредиты выданные</t>
  </si>
  <si>
    <t>Название компании:</t>
  </si>
  <si>
    <t>Компания без названия</t>
  </si>
  <si>
    <t xml:space="preserve">         ПАРАМЕТРЫ ПРОЕКТА</t>
  </si>
  <si>
    <t xml:space="preserve">         СТАРТОВОЕ СОСТОЯНИЕ ПРОЕКТА</t>
  </si>
  <si>
    <t xml:space="preserve">         ИНФЛЯЦИЯ И МАКРОЭКОНОМИЧЕСКИЕ ПРОГНОЗЫ</t>
  </si>
  <si>
    <t xml:space="preserve">         НАЛОГИ И ПЛАТЕЖИ В ФОНДЫ</t>
  </si>
  <si>
    <t xml:space="preserve">         СТРОИТЕЛЬСТВО: ИСПОЛЬЗОВАНИЕ ОБЪЕКТА</t>
  </si>
  <si>
    <t xml:space="preserve">         СТРОИТЕЛЬСТВО: ЗАТРАТЫ НА ОБЪЕКТ</t>
  </si>
  <si>
    <t xml:space="preserve">         СТРОИТЕЛЬСТВО: ПРИВЛЕЧЕНИЕ ДОЛЬЩИКОВ / СОИНВЕСТОРОВ</t>
  </si>
  <si>
    <t xml:space="preserve">         СТРОИТЕЛЬСТВО: ПРОДАЖА ГОТОВЫХ ПЛОЩАДЕЙ</t>
  </si>
  <si>
    <t xml:space="preserve">         СТРОИТЕЛЬСТВО: БАЛАНС ПО ОБЪЕКТУ</t>
  </si>
  <si>
    <t xml:space="preserve">         СУЩЕСТВУЮЩИЕ АКТИВЫ ПРОЕКТА</t>
  </si>
  <si>
    <t xml:space="preserve">         ИНВЕСТИЦИИ ПРОЕКТА</t>
  </si>
  <si>
    <t>База, на которую начисляется налог</t>
  </si>
  <si>
    <t>Минимальный налог</t>
  </si>
  <si>
    <t xml:space="preserve">    при оплате лизинга</t>
  </si>
  <si>
    <t xml:space="preserve">    при выкупе арендованных активов</t>
  </si>
  <si>
    <t xml:space="preserve">    НДС к лизинговым платежам</t>
  </si>
  <si>
    <t xml:space="preserve">    НДС к выкупу</t>
  </si>
  <si>
    <t>Внимание! Конец стадии не может быть позднее конца строительства очереди!</t>
  </si>
  <si>
    <t>Продажа объекта после собственной эксплуатации (без НДС)</t>
  </si>
  <si>
    <t>1_01;int_end</t>
  </si>
  <si>
    <t xml:space="preserve">    инвестиционная фаза заканчивается с начала</t>
  </si>
  <si>
    <t xml:space="preserve">    при оплате прочих расходов</t>
  </si>
  <si>
    <t xml:space="preserve">    коэффициент дисконта для потока на конец периода</t>
  </si>
  <si>
    <t xml:space="preserve">    коэффициент дисконта для потока на начало периода</t>
  </si>
  <si>
    <t>Дисконтированный денежный поток</t>
  </si>
  <si>
    <t>Продленная стоимость проекта</t>
  </si>
  <si>
    <t>Дисконтированная продленная стоимость</t>
  </si>
  <si>
    <t>Итого стоимость бизнеса</t>
  </si>
  <si>
    <t>Посленалоговая операционная прибыль (NOPLAT)</t>
  </si>
  <si>
    <t>summprj;int_start</t>
  </si>
  <si>
    <t xml:space="preserve">         GAMYBOS APIMTIS (VIENETAIS)</t>
  </si>
  <si>
    <t xml:space="preserve">         ŽALIAVOS IR ATSARGOS (vienetais)</t>
  </si>
  <si>
    <t xml:space="preserve">         ŽALIAVŲ IR KOMPONENTŲ SAVIKAINA</t>
  </si>
  <si>
    <t xml:space="preserve">         KITOS KINTAMOS IŠLAIDOS</t>
  </si>
  <si>
    <t xml:space="preserve">         PERSONALO IŠLAIDOS IR DARBO UŽMOKESTIS</t>
  </si>
  <si>
    <t xml:space="preserve">         VEIKLOS SĄNAUDOS</t>
  </si>
  <si>
    <t xml:space="preserve">         NUOSAVAS KAPITALAS</t>
  </si>
  <si>
    <t xml:space="preserve">         PASKOLOS</t>
  </si>
  <si>
    <t xml:space="preserve">         INVESTICIJŲ SUVESTINĖ</t>
  </si>
  <si>
    <t xml:space="preserve">         ПЕРЕСЧЕТ НАЛОГА НА ПРИБЫЛЬ</t>
  </si>
  <si>
    <t xml:space="preserve">         ОТЧЕТ О ПРИБЫЛЯХ И УБЫТКАХ</t>
  </si>
  <si>
    <t>Advances to contractors (including VAT)</t>
  </si>
  <si>
    <t xml:space="preserve">    including VAT</t>
  </si>
  <si>
    <t>Payable to contractors (including VAT)</t>
  </si>
  <si>
    <t>Prior period investments</t>
  </si>
  <si>
    <t xml:space="preserve">         PELNO (NUOSTOLIO) ATASKAITA</t>
  </si>
  <si>
    <t xml:space="preserve">         PELNO (NUOSTOLIO) ATASKAITOS PRIEDAS</t>
  </si>
  <si>
    <t xml:space="preserve">         PINIGŲ SRAUTŲ ATASKAITA</t>
  </si>
  <si>
    <t xml:space="preserve">         BALANSAS</t>
  </si>
  <si>
    <t xml:space="preserve">         FINANSINIAI RODIKLIAI</t>
  </si>
  <si>
    <t xml:space="preserve">         INVESTICIJŲ EFEKTYVUMAS</t>
  </si>
  <si>
    <t xml:space="preserve">         AKCINIO KAPITALO GRĄŽA</t>
  </si>
  <si>
    <t xml:space="preserve">         SKOLINTO KAPITALO GRĄŽA</t>
  </si>
  <si>
    <t xml:space="preserve">         VERSLO VERTINIMAS</t>
  </si>
  <si>
    <t xml:space="preserve">         EFEKTYVUMAS BIUDŽETO ATŽVILGIU</t>
  </si>
  <si>
    <t xml:space="preserve">         JAUTRUMO ANALIZĖ</t>
  </si>
  <si>
    <t xml:space="preserve">         PORTFELIO STRUKTŪRA</t>
  </si>
  <si>
    <t xml:space="preserve">         PELNO MOKESČIŲ PERSKAIČIAVIMAS</t>
  </si>
  <si>
    <t xml:space="preserve">         KONSOLIDUOTA PELNO (NUOSTOLIO) ATASKAITA</t>
  </si>
  <si>
    <t xml:space="preserve">         KONSOLIDUOTA PINIGŲ SRAUTŲ ATASKAITA</t>
  </si>
  <si>
    <t xml:space="preserve">         KONSOLIDUOTAS BALANSAS</t>
  </si>
  <si>
    <t xml:space="preserve">         KONSOLIDUOTI FINANSINIAI RODIKLIAI</t>
  </si>
  <si>
    <t xml:space="preserve">         KONSOLIDUOTI PROJEKTŲ PAGRINDINIAI PARAMETRAI</t>
  </si>
  <si>
    <t xml:space="preserve">         PROJEKTO PARAMETRAI</t>
  </si>
  <si>
    <t>for the foreign currency</t>
  </si>
  <si>
    <t>Display absolute dates in the table headers</t>
  </si>
  <si>
    <t>mo.</t>
  </si>
  <si>
    <t>Q</t>
  </si>
  <si>
    <t>H</t>
  </si>
  <si>
    <t>yr.</t>
  </si>
  <si>
    <t>month</t>
  </si>
  <si>
    <t>quarter</t>
  </si>
  <si>
    <t>6 months</t>
  </si>
  <si>
    <t>year</t>
  </si>
  <si>
    <t>d.</t>
  </si>
  <si>
    <t>rub.</t>
  </si>
  <si>
    <t>UAH</t>
  </si>
  <si>
    <t>LVL</t>
  </si>
  <si>
    <t>KZT</t>
  </si>
  <si>
    <t>rub. 000</t>
  </si>
  <si>
    <t>$ 000</t>
  </si>
  <si>
    <t>EUR 000</t>
  </si>
  <si>
    <t>GBP 000</t>
  </si>
  <si>
    <t>UAH 000</t>
  </si>
  <si>
    <t>LVL 000</t>
  </si>
  <si>
    <t>KZT 000</t>
  </si>
  <si>
    <t>lei</t>
  </si>
  <si>
    <t>lei 000</t>
  </si>
  <si>
    <t>On</t>
  </si>
  <si>
    <t>Off</t>
  </si>
  <si>
    <t>Yes</t>
  </si>
  <si>
    <t>No</t>
  </si>
  <si>
    <t>Project start year</t>
  </si>
  <si>
    <t>Project start month</t>
  </si>
  <si>
    <t>Period numbers</t>
  </si>
  <si>
    <t>Period names (relative time scale)</t>
  </si>
  <si>
    <t>Period start date</t>
  </si>
  <si>
    <t>Period names (absolute time scale)</t>
  </si>
  <si>
    <t xml:space="preserve">         INITIAL PROJECT STATUS</t>
  </si>
  <si>
    <t>Currency</t>
  </si>
  <si>
    <t>Fixed assets</t>
  </si>
  <si>
    <t xml:space="preserve">   including:</t>
  </si>
  <si>
    <t xml:space="preserve">   - buildings and structures</t>
  </si>
  <si>
    <t xml:space="preserve">    tax rate</t>
  </si>
  <si>
    <t xml:space="preserve">    payment period</t>
  </si>
  <si>
    <t xml:space="preserve">    offset method for overpaid VAT</t>
  </si>
  <si>
    <t xml:space="preserve">    direct VAT repayment in</t>
  </si>
  <si>
    <t>periods</t>
  </si>
  <si>
    <t>VAT received</t>
  </si>
  <si>
    <t xml:space="preserve">    from customers</t>
  </si>
  <si>
    <t xml:space="preserve">    on deposition of fixed assets</t>
  </si>
  <si>
    <t xml:space="preserve">    from other activities</t>
  </si>
  <si>
    <t>VAT paid</t>
  </si>
  <si>
    <t xml:space="preserve">    included in price of raw materials and components</t>
  </si>
  <si>
    <t xml:space="preserve">    included in current expenses</t>
  </si>
  <si>
    <t xml:space="preserve">    included in other expenses</t>
  </si>
  <si>
    <t>Объем реализации (в единицах продукции)</t>
  </si>
  <si>
    <t xml:space="preserve">    included in leasing payments</t>
  </si>
  <si>
    <t xml:space="preserve">    included in price of assets purchased at the end of lease term</t>
  </si>
  <si>
    <t xml:space="preserve">    included in price of fixed assets</t>
  </si>
  <si>
    <t>VAT paid (received)</t>
  </si>
  <si>
    <t xml:space="preserve">    VAT offset on fixed assets</t>
  </si>
  <si>
    <t xml:space="preserve">    VAT paid but not yet recognized</t>
  </si>
  <si>
    <t xml:space="preserve">    VAT payable (receivable)</t>
  </si>
  <si>
    <t xml:space="preserve">    direct VAT repayment</t>
  </si>
  <si>
    <t xml:space="preserve">    deferred VAT repayment</t>
  </si>
  <si>
    <t>Payroll taxes</t>
  </si>
  <si>
    <t xml:space="preserve">    Unified social tax</t>
  </si>
  <si>
    <t xml:space="preserve">        tax rate</t>
  </si>
  <si>
    <t xml:space="preserve">        payment period</t>
  </si>
  <si>
    <t xml:space="preserve">    Insurance</t>
  </si>
  <si>
    <t xml:space="preserve">        insurance rate</t>
  </si>
  <si>
    <t>Land tax</t>
  </si>
  <si>
    <t xml:space="preserve">    tax rate (per 1,000 sq. m)</t>
  </si>
  <si>
    <t xml:space="preserve">    taxable area</t>
  </si>
  <si>
    <t>Other taxes deductible for income tax purposes</t>
  </si>
  <si>
    <t>Other sales taxes</t>
  </si>
  <si>
    <t xml:space="preserve">    rate</t>
  </si>
  <si>
    <t>Начисленные налоги специальных режимов обложения</t>
  </si>
  <si>
    <t>Пересчитать налог</t>
  </si>
  <si>
    <t xml:space="preserve">    tax base</t>
  </si>
  <si>
    <t xml:space="preserve">   taxes payable</t>
  </si>
  <si>
    <t>TAXES NOT DEDUCTIBLE FOR INCOME TAX PURPOSES</t>
  </si>
  <si>
    <t>Property tax</t>
  </si>
  <si>
    <t xml:space="preserve">    average property value</t>
  </si>
  <si>
    <t>Ataskaita</t>
  </si>
  <si>
    <t>Projekto aprašymas</t>
  </si>
  <si>
    <t>Projekto pavadinimas:</t>
  </si>
  <si>
    <t>Projektas nr. 1</t>
  </si>
  <si>
    <t>Projekto pradžios data</t>
  </si>
  <si>
    <t>Projekto trukmė</t>
  </si>
  <si>
    <t>Planavimo laikotarpis (planavimo žingsnis)</t>
  </si>
  <si>
    <t>Planavimo laikotarpio trukmė</t>
  </si>
  <si>
    <t>Pagrindinė valiuta</t>
  </si>
  <si>
    <t>Užsienio valiuta</t>
  </si>
  <si>
    <t>Finansinių ataskaitų valiuta</t>
  </si>
  <si>
    <t>Skaičiavimo metodas</t>
  </si>
  <si>
    <t>Pastovios (nominalios) kainos (neįvertinant infliacijos įtakos)</t>
  </si>
  <si>
    <t>Palyginamosios kainos (įvertinant infliacijos įtaką)</t>
  </si>
  <si>
    <t>Kalba</t>
  </si>
  <si>
    <t>Apsauga</t>
  </si>
  <si>
    <t>Rodyti datas lentelių antraštėse</t>
  </si>
  <si>
    <t>mėn.</t>
  </si>
  <si>
    <t>ketv.</t>
  </si>
  <si>
    <t>pusm.</t>
  </si>
  <si>
    <t>m.</t>
  </si>
  <si>
    <t>mėnuo</t>
  </si>
  <si>
    <t>ketvirtis</t>
  </si>
  <si>
    <t>pusmetis</t>
  </si>
  <si>
    <t>metai</t>
  </si>
  <si>
    <t>tūkst. rub.</t>
  </si>
  <si>
    <t xml:space="preserve">    возврат кредитов</t>
  </si>
  <si>
    <t xml:space="preserve">    проценты по выданным кредитам</t>
  </si>
  <si>
    <t>Территориальный бюджет</t>
  </si>
  <si>
    <t>Доходы бюджетов</t>
  </si>
  <si>
    <t>Суммарные денежные потоки федерального бюджета</t>
  </si>
  <si>
    <t>Суммарные денежные потоки территориального бюджета</t>
  </si>
  <si>
    <t>Единый налог на вмененный доход</t>
  </si>
  <si>
    <t>Упрощенная система налогообложения</t>
  </si>
  <si>
    <t>Дисконтированные потоки федерального бюджета</t>
  </si>
  <si>
    <t>Дисконтированные потоки территориального бюджета</t>
  </si>
  <si>
    <t>Выручка от реализации (без НДС)</t>
  </si>
  <si>
    <t>Затраты на производство (без НДС)</t>
  </si>
  <si>
    <t>Инвестции во внеоборотные активы</t>
  </si>
  <si>
    <t>Собственные средства и целевое финансирование</t>
  </si>
  <si>
    <t>Привлечение кредитов</t>
  </si>
  <si>
    <t>Погашение кредитов</t>
  </si>
  <si>
    <t>Эффективность полных инвестиционных затрат</t>
  </si>
  <si>
    <t>Эффективность для собственного капитала</t>
  </si>
  <si>
    <t>Эффективность для банка</t>
  </si>
  <si>
    <t>Облагаемая база до списания убытков</t>
  </si>
  <si>
    <t xml:space="preserve">         STATYBOS: INVESTUOTOJŲ / DALININKŲ PRITRAUKIMAS</t>
  </si>
  <si>
    <t xml:space="preserve">         STATYBOS: PARDAVIMAS</t>
  </si>
  <si>
    <t xml:space="preserve">         STATYBOS: NUOMA</t>
  </si>
  <si>
    <t xml:space="preserve">         STATYBOS: TURTO BALANSO ATASKAITA</t>
  </si>
  <si>
    <t xml:space="preserve">         DABARTINIS PROJEKTO TURTAS</t>
  </si>
  <si>
    <t xml:space="preserve">         PROJEKTO INVESTICIJOS</t>
  </si>
  <si>
    <t xml:space="preserve">         IŠPERKAMOJI NUOMA</t>
  </si>
  <si>
    <t xml:space="preserve">         APYVARTINIS KAPITALAS</t>
  </si>
  <si>
    <t xml:space="preserve">         PARDAVIMŲ PROGNOZĖS</t>
  </si>
  <si>
    <t xml:space="preserve">         PARDAVIMO PAJAMOS</t>
  </si>
  <si>
    <t xml:space="preserve">         PARDAVIMŲ APIMTIS (vienetais)</t>
  </si>
  <si>
    <t xml:space="preserve">         PARDAVIMŲ KAINA (už vienetą su PVM)</t>
  </si>
  <si>
    <t>end of the step</t>
  </si>
  <si>
    <t>Areas to which the step pertains</t>
  </si>
  <si>
    <t>Cost per square meter (including VAT)</t>
  </si>
  <si>
    <t>Cost of work performed</t>
  </si>
  <si>
    <t>Payments for work performed</t>
  </si>
  <si>
    <t>Total: work performed</t>
  </si>
  <si>
    <t>Total: payments for work performed</t>
  </si>
  <si>
    <t>End of the phase construction</t>
  </si>
  <si>
    <t>Area by category:</t>
  </si>
  <si>
    <t>Usable area of the phase</t>
  </si>
  <si>
    <t>Gross area of the phase</t>
  </si>
  <si>
    <t>Total: usable area</t>
  </si>
  <si>
    <t>Total: gross area</t>
  </si>
  <si>
    <t xml:space="preserve">         CONSTRUCTION: USE</t>
  </si>
  <si>
    <t>Transfer to co-investors</t>
  </si>
  <si>
    <t>Sale at completion</t>
  </si>
  <si>
    <t>Internal use</t>
  </si>
  <si>
    <t>TOTAL</t>
  </si>
  <si>
    <t xml:space="preserve">         CONSTRUCTION: COSTS</t>
  </si>
  <si>
    <t>Attention: step cannot go beyond the end of the phase!</t>
  </si>
  <si>
    <t>Construction step 1</t>
  </si>
  <si>
    <t>beginning of the step</t>
  </si>
  <si>
    <t>Не обнулять баланс проекта после его окончания</t>
  </si>
  <si>
    <t>Do not clear project's balance after its end</t>
  </si>
  <si>
    <t>Да, не обнулять</t>
  </si>
  <si>
    <t>Нет, обнулять</t>
  </si>
  <si>
    <t>Yes, don't clear</t>
  </si>
  <si>
    <t>No, clear</t>
  </si>
  <si>
    <t>Iš viso: naudingas plotas</t>
  </si>
  <si>
    <t>Iš viso: bendras plotas</t>
  </si>
  <si>
    <t>Investuotojų / dalininkų pritraukimas</t>
  </si>
  <si>
    <t>Pardavimas pabaigus statybas</t>
  </si>
  <si>
    <t>Naudojimas vidinėms reikmėms</t>
  </si>
  <si>
    <t>IŠ VISO</t>
  </si>
  <si>
    <t xml:space="preserve">         PRADINĖ PROJEKTO BŪSENA</t>
  </si>
  <si>
    <t xml:space="preserve">         INFLIACIJA IR MAKROEKONOMINĖS PROGNOZĖS</t>
  </si>
  <si>
    <t>LTL</t>
  </si>
  <si>
    <t>лат</t>
  </si>
  <si>
    <t>лит</t>
  </si>
  <si>
    <t>LTL 000</t>
  </si>
  <si>
    <t>tūkst. LTL</t>
  </si>
  <si>
    <t>тыс. лат</t>
  </si>
  <si>
    <t>тыс. лит</t>
  </si>
  <si>
    <t>Mokėtinos sumos darbuotojams</t>
  </si>
  <si>
    <t>Gauti avansai</t>
  </si>
  <si>
    <t>Kiti kreditoriai</t>
  </si>
  <si>
    <t>Exchange rate for the foreign currency</t>
  </si>
  <si>
    <t>Inflation multiplier for the foreign currency</t>
  </si>
  <si>
    <t>Central bank's discount rate</t>
  </si>
  <si>
    <t>Tax-deductible interest rate ceiling:</t>
  </si>
  <si>
    <t>primary currency</t>
  </si>
  <si>
    <t>foreign currency</t>
  </si>
  <si>
    <t xml:space="preserve">         TAXES AND DUTIES</t>
  </si>
  <si>
    <t>Taxation system</t>
  </si>
  <si>
    <t>Income tax (general tax treatment)</t>
  </si>
  <si>
    <t>Unified tax on imputed income (special tax treatment)</t>
  </si>
  <si>
    <t>Simplified taxation system (special tax treatment)</t>
  </si>
  <si>
    <t>Excise taxes and export duties</t>
  </si>
  <si>
    <t>Import duties</t>
  </si>
  <si>
    <t xml:space="preserve"> VALUE ADDED TAX</t>
  </si>
  <si>
    <t>Užsienio valiutos duomenys</t>
  </si>
  <si>
    <t>Metinis kurso kilimas</t>
  </si>
  <si>
    <t>užsienio valiutai</t>
  </si>
  <si>
    <t>Užsienio valiutos kursas</t>
  </si>
  <si>
    <t>Infliacijos koeficientas užsienio valiutai</t>
  </si>
  <si>
    <t>Centrinio banko palūkanų norma</t>
  </si>
  <si>
    <t xml:space="preserve">Mokėtinos paskolos palūkanos, mažinančios </t>
  </si>
  <si>
    <t>apmokestinamojo pelno dydį:</t>
  </si>
  <si>
    <t>pagrindinė valiuta</t>
  </si>
  <si>
    <t>užsienio valiuta</t>
  </si>
  <si>
    <t>Mokesčių sistema</t>
  </si>
  <si>
    <t>Pelno mokestis</t>
  </si>
  <si>
    <t>Bendrieji pelno mokesčiai (specialusis mokesčių režimas)</t>
  </si>
  <si>
    <t>Supaprastinta mokesčių sistema (specialusis mokesčių režimas)</t>
  </si>
  <si>
    <t>Akcizai ir eksporto muitai</t>
  </si>
  <si>
    <t>Importo muitai</t>
  </si>
  <si>
    <t xml:space="preserve">  PRIDĖTINĖS VERTĖS MOKESTIS (PVM)</t>
  </si>
  <si>
    <t xml:space="preserve">    mokesčio dydis (%)</t>
  </si>
  <si>
    <t xml:space="preserve">    mokestinis periodas</t>
  </si>
  <si>
    <t xml:space="preserve">    grąžintinas PVM</t>
  </si>
  <si>
    <t xml:space="preserve">    tiesioginis PVM grąžintinas</t>
  </si>
  <si>
    <t>periodais</t>
  </si>
  <si>
    <t>gautas PVM</t>
  </si>
  <si>
    <t xml:space="preserve">   iš klientų</t>
  </si>
  <si>
    <t xml:space="preserve">   iš ilgalaikio turto pardavimo</t>
  </si>
  <si>
    <t xml:space="preserve">   iš kitų veiklų</t>
  </si>
  <si>
    <t>sumokėtas PVM</t>
  </si>
  <si>
    <t xml:space="preserve">   įtrauktas į žaliavų ir komponentų kainas</t>
  </si>
  <si>
    <t xml:space="preserve">   įtrauktas į veiklos sąnaudas</t>
  </si>
  <si>
    <t xml:space="preserve">   įtrauktas į kitas sąnaudas</t>
  </si>
  <si>
    <t xml:space="preserve">   įtrauktas į lizingo mokėjimus</t>
  </si>
  <si>
    <t xml:space="preserve">   įtrauktas į lizinguoto turto įsigijimą, pasibaigos lizingo terminui</t>
  </si>
  <si>
    <t xml:space="preserve">   įtrauktas į ilgalaikio turto kainą</t>
  </si>
  <si>
    <t>sumokėtas (gautas) PVM</t>
  </si>
  <si>
    <t xml:space="preserve">PVM kompensacija dėl ilgaliakio turto </t>
  </si>
  <si>
    <t>sumokėtas, bet neapskaitytas PVM</t>
  </si>
  <si>
    <t>mokėtinas (gautinas) PVM</t>
  </si>
  <si>
    <t>tiesioginė PVM kompensacija</t>
  </si>
  <si>
    <t>atidėta PVM  kompensacija</t>
  </si>
  <si>
    <t>Darbo užmokesčio mokesčiai</t>
  </si>
  <si>
    <t>Bendrasis socialinis mokestis</t>
  </si>
  <si>
    <t xml:space="preserve">   mokesčio dydis (%)</t>
  </si>
  <si>
    <t xml:space="preserve">   mokestinis periodas</t>
  </si>
  <si>
    <t xml:space="preserve"> Draudimas</t>
  </si>
  <si>
    <t xml:space="preserve">   draudimo dydis </t>
  </si>
  <si>
    <t>Žemės mokestis</t>
  </si>
  <si>
    <r>
      <t xml:space="preserve">   mokesčio dydis (už 1000 m</t>
    </r>
    <r>
      <rPr>
        <sz val="10"/>
        <rFont val="Arial Cyr"/>
      </rPr>
      <t>2</t>
    </r>
    <r>
      <rPr>
        <sz val="10"/>
        <rFont val="Arial Cyr"/>
      </rPr>
      <t>)</t>
    </r>
  </si>
  <si>
    <t xml:space="preserve">   apmokestinamas plotas</t>
  </si>
  <si>
    <t>Kiti mokesčiai, mažinantys pelno mokestį</t>
  </si>
  <si>
    <t xml:space="preserve">Kiti pardavimo/prekybos mokesčiai </t>
  </si>
  <si>
    <t xml:space="preserve">   dydis (%)</t>
  </si>
  <si>
    <t xml:space="preserve">   mokestinė bazė</t>
  </si>
  <si>
    <t xml:space="preserve">   mokėtini mokesčiai </t>
  </si>
  <si>
    <t>Pelno mokesčio nemažinantys mokesčiai</t>
  </si>
  <si>
    <t>Turto mokesčiai</t>
  </si>
  <si>
    <t xml:space="preserve">  vidutinė turto vertė</t>
  </si>
  <si>
    <t>tūkst. $</t>
  </si>
  <si>
    <t>tūkst. EUR</t>
  </si>
  <si>
    <t>tūkst. GBP</t>
  </si>
  <si>
    <t>tūkst. UAH</t>
  </si>
  <si>
    <t>tūkst. LVL</t>
  </si>
  <si>
    <t>tūkst. KZT</t>
  </si>
  <si>
    <t>lėja</t>
  </si>
  <si>
    <t>tūkst. lėjų</t>
  </si>
  <si>
    <t>Įjungta</t>
  </si>
  <si>
    <t>Išjungta</t>
  </si>
  <si>
    <t>Taip</t>
  </si>
  <si>
    <t>Ne</t>
  </si>
  <si>
    <t>Projekto pradžios metai</t>
  </si>
  <si>
    <t>Projekto pradžios mėnuo</t>
  </si>
  <si>
    <t>Periodų skaičius</t>
  </si>
  <si>
    <t>Periodo pavadinimai (santykinė laiko skalė)</t>
  </si>
  <si>
    <t>Periodo pradžios data</t>
  </si>
  <si>
    <t>Periodo pavadinimai (absoliutinė laiko skalė)</t>
  </si>
  <si>
    <t>Valiuta</t>
  </si>
  <si>
    <t>Ilgalaikis turtas</t>
  </si>
  <si>
    <t xml:space="preserve">   įskaitant:</t>
  </si>
  <si>
    <t xml:space="preserve">   - pastatai ir statiniai</t>
  </si>
  <si>
    <t xml:space="preserve">   - žemė</t>
  </si>
  <si>
    <t xml:space="preserve">   - nematerialusis turtas</t>
  </si>
  <si>
    <t xml:space="preserve">   - įrengimai ir kitas turtas</t>
  </si>
  <si>
    <t>Nebaigtos investicijos</t>
  </si>
  <si>
    <t>Finansinės investicijos</t>
  </si>
  <si>
    <t>Žaliavos ir komponentai</t>
  </si>
  <si>
    <t>Nebaigta gamyba</t>
  </si>
  <si>
    <t>Pagaminta produkcija</t>
  </si>
  <si>
    <t>Gautinos sumos</t>
  </si>
  <si>
    <t>Išankstiniai mokėjimai tiekėjams</t>
  </si>
  <si>
    <t>Atidėtos išlaidos</t>
  </si>
  <si>
    <t>Gautinas PVM</t>
  </si>
  <si>
    <t>Kiti skolininkai</t>
  </si>
  <si>
    <t>Pinigai</t>
  </si>
  <si>
    <t>Iš viso turto</t>
  </si>
  <si>
    <t>Akcininkų nuosavybė</t>
  </si>
  <si>
    <t>Nepaskirstytas pelnas (+) / nuostoliai (-)</t>
  </si>
  <si>
    <t>Dotacijos</t>
  </si>
  <si>
    <t>Paskolos</t>
  </si>
  <si>
    <t>Annual inflation rate assumption</t>
  </si>
  <si>
    <t>for the primary currency</t>
  </si>
  <si>
    <t>The above, recalculated per project step</t>
  </si>
  <si>
    <t>Inflation multiplier for the primary currency</t>
  </si>
  <si>
    <t xml:space="preserve">  (off)</t>
  </si>
  <si>
    <t xml:space="preserve">  (on)</t>
  </si>
  <si>
    <t>Foreign currency data</t>
  </si>
  <si>
    <t xml:space="preserve">         MOKESČIAI IR RINKLIAVOS</t>
  </si>
  <si>
    <t xml:space="preserve">         STATYBOS: PROJEKTO PARAMETRAI</t>
  </si>
  <si>
    <t xml:space="preserve">         STATYBOS: PANAUDOJIMAS</t>
  </si>
  <si>
    <t xml:space="preserve">         STATYBOS: KAŠTAI</t>
  </si>
  <si>
    <t>Turimi finansiniai įdėjimai</t>
  </si>
  <si>
    <t>Investicijos</t>
  </si>
  <si>
    <t>Beginning of the phase construction</t>
  </si>
  <si>
    <t>Compulsory pension insurance fees</t>
  </si>
  <si>
    <t xml:space="preserve">    insurance rate</t>
  </si>
  <si>
    <t xml:space="preserve">    insurance base</t>
  </si>
  <si>
    <t xml:space="preserve">    fee value</t>
  </si>
  <si>
    <t>SIMPLIFIED TAXATION SYSTEM</t>
  </si>
  <si>
    <t>Revenue</t>
  </si>
  <si>
    <t>Revenue, reduced by the amount of expenses</t>
  </si>
  <si>
    <t>Object of taxation</t>
  </si>
  <si>
    <t>Tax accrued</t>
  </si>
  <si>
    <t>Tax base</t>
  </si>
  <si>
    <t>Minimum tax</t>
  </si>
  <si>
    <t>Total tax payments</t>
  </si>
  <si>
    <t>days</t>
  </si>
  <si>
    <t>returned by tax authorities</t>
  </si>
  <si>
    <t>used to offset future payments</t>
  </si>
  <si>
    <t>immediately after start of operations</t>
  </si>
  <si>
    <t>Payment period</t>
  </si>
  <si>
    <t>1000 sq. m</t>
  </si>
  <si>
    <t>Tax name</t>
  </si>
  <si>
    <t xml:space="preserve">         CONSTRUCTION: PROJECT PARAMETERS</t>
  </si>
  <si>
    <t>Площадь, к которой относятся работы</t>
  </si>
  <si>
    <t>Attention! Gross area cannot be less than usable area!</t>
  </si>
  <si>
    <t>period</t>
  </si>
  <si>
    <t>sq. m</t>
  </si>
  <si>
    <t>Area</t>
  </si>
  <si>
    <t>Construction phase 1</t>
  </si>
  <si>
    <t>Mokesčio pavadinimas</t>
  </si>
  <si>
    <t>Dėmesio! Bendras plotas negali būti mažesnis už naudingą plotą</t>
  </si>
  <si>
    <t>periodas</t>
  </si>
  <si>
    <r>
      <t>m</t>
    </r>
    <r>
      <rPr>
        <sz val="10"/>
        <rFont val="Arial Cyr"/>
      </rPr>
      <t>2</t>
    </r>
  </si>
  <si>
    <t>Plotas</t>
  </si>
  <si>
    <t>Statybų etapas nr. 1</t>
  </si>
  <si>
    <t>Statybų etapo pradžia</t>
  </si>
  <si>
    <t>Statybų etapo pabaiga</t>
  </si>
  <si>
    <t>Plotas pagal paskirtį:</t>
  </si>
  <si>
    <t>Gyvenamasis plotas</t>
  </si>
  <si>
    <t>Naudingas etapo plotas</t>
  </si>
  <si>
    <t>Bendras etapo plotas</t>
  </si>
  <si>
    <t>Minimalūs mokesčiai</t>
  </si>
  <si>
    <t>Iš viso mokesčių</t>
  </si>
  <si>
    <t>dienos</t>
  </si>
  <si>
    <t>grąžinami mokesčiai</t>
  </si>
  <si>
    <t>panaudojami būsimųjų mokėjimų užskaitoms</t>
  </si>
  <si>
    <t>iškart po operacijos pradžios</t>
  </si>
  <si>
    <t>Mokestinis periodas</t>
  </si>
  <si>
    <r>
      <t>1000 m</t>
    </r>
    <r>
      <rPr>
        <sz val="10"/>
        <rFont val="Arial Cyr"/>
      </rPr>
      <t>2</t>
    </r>
  </si>
  <si>
    <t>Equipment and other assets</t>
  </si>
  <si>
    <t>Present deferred expenses</t>
  </si>
  <si>
    <t>Present financial assets</t>
  </si>
  <si>
    <t>Market value of construction in progress</t>
  </si>
  <si>
    <t xml:space="preserve">         CONSTRUCTION: CO-INVESTORS</t>
  </si>
  <si>
    <t>Schedule of co-investors entry</t>
  </si>
  <si>
    <t>Schedule of payment of the areas</t>
  </si>
  <si>
    <t>Cost per square meter (excluding VAT)</t>
  </si>
  <si>
    <t xml:space="preserve">         PROJECT INVESTMENTS</t>
  </si>
  <si>
    <t>according to schedule of payments for the asset</t>
  </si>
  <si>
    <t>after start of operations</t>
  </si>
  <si>
    <t>yes</t>
  </si>
  <si>
    <t>no</t>
  </si>
  <si>
    <t>Name</t>
  </si>
  <si>
    <t xml:space="preserve">    payments</t>
  </si>
  <si>
    <t xml:space="preserve">    payments (including VAT)</t>
  </si>
  <si>
    <t xml:space="preserve">    prior period investments (net of VAT)</t>
  </si>
  <si>
    <t xml:space="preserve">    operational since</t>
  </si>
  <si>
    <t xml:space="preserve">    payments amount (net of VAT)</t>
  </si>
  <si>
    <t xml:space="preserve">    total asset cost (net of VAT)</t>
  </si>
  <si>
    <t xml:space="preserve">    total cost of asset acquisition (net of VAT)</t>
  </si>
  <si>
    <t xml:space="preserve">    investments in progress</t>
  </si>
  <si>
    <t xml:space="preserve">    accounts payable</t>
  </si>
  <si>
    <t xml:space="preserve">    depreciation (accelerated),          for useful life:</t>
  </si>
  <si>
    <t xml:space="preserve">    VAT on prior period investments</t>
  </si>
  <si>
    <t xml:space="preserve">  įskaitant PVM</t>
  </si>
  <si>
    <t>Mokėtinos sumos rangovams pagal sutartis (įskainat PVM)</t>
  </si>
  <si>
    <t>Ankstesnio laikotarpio investicijos</t>
  </si>
  <si>
    <t>Ankstesnio laikotarpio investicijų PVM</t>
  </si>
  <si>
    <t>Nebaigtų statybų rinkos vertė</t>
  </si>
  <si>
    <t>Investuotojų / dalininkų prisijungimo grafikas</t>
  </si>
  <si>
    <t>Mokėjimų grafikas pagal plotus</t>
  </si>
  <si>
    <t>1 kv.m. kaštai (įskaitant PVM)</t>
  </si>
  <si>
    <t xml:space="preserve">  įskaitant projekto valdytojo atlygį</t>
  </si>
  <si>
    <t>Gaunamas finansavimas</t>
  </si>
  <si>
    <t>Perdavimo grafikas</t>
  </si>
  <si>
    <t xml:space="preserve">  perdavimo grafikas</t>
  </si>
  <si>
    <t>Viso: gaunamas finansavimas</t>
  </si>
  <si>
    <t>Viso: perduotų plotų vertė</t>
  </si>
  <si>
    <t xml:space="preserve">  perduota plotų, m2</t>
  </si>
  <si>
    <t>Pardavimo grafikas</t>
  </si>
  <si>
    <t>Mokėjimų už plotus grafikas</t>
  </si>
  <si>
    <t>1 kv.m. kaina (su PVM)</t>
  </si>
  <si>
    <t>Parduotų plotų perdavimas pirkėjams (kv.m.)</t>
  </si>
  <si>
    <t>Pardavimo pajamos</t>
  </si>
  <si>
    <t>Piniginės įplaukos</t>
  </si>
  <si>
    <t>Perduoto turto vertė</t>
  </si>
  <si>
    <t>Plotas, kuriam netaikomas PVM (%)</t>
  </si>
  <si>
    <t>Viso: pardavimo pajamos</t>
  </si>
  <si>
    <t>Viso: perduoto turto vertė</t>
  </si>
  <si>
    <t>Perduoto turto plotas</t>
  </si>
  <si>
    <t>1 kv.m.kaina metams (su PVM)</t>
  </si>
  <si>
    <t>Nuomai skirtas plotas</t>
  </si>
  <si>
    <t>Išnuomota</t>
  </si>
  <si>
    <t>Nuomos pajamos</t>
  </si>
  <si>
    <t>Viso: nuomos pajamos</t>
  </si>
  <si>
    <t>Dėmesio! Parduoto turto % negali viršyti 100%</t>
  </si>
  <si>
    <t>Statybų sąnaudos</t>
  </si>
  <si>
    <t xml:space="preserve">  sąnaudos be PVM</t>
  </si>
  <si>
    <t xml:space="preserve">  PVM</t>
  </si>
  <si>
    <t xml:space="preserve">  atvirkštinio apmokestinimo PVM</t>
  </si>
  <si>
    <t>Užbaigti darbai</t>
  </si>
  <si>
    <t xml:space="preserve">  vertė be PVM</t>
  </si>
  <si>
    <t xml:space="preserve">  PVM užskaita</t>
  </si>
  <si>
    <t>Avansai rangovams pagal sutartis (be PVM)</t>
  </si>
  <si>
    <t>Mokėtinios sumos rangovams pagal sutartis (be PVM)</t>
  </si>
  <si>
    <t>Užbaigto turto vertė</t>
  </si>
  <si>
    <t xml:space="preserve">    vertė be PVM</t>
  </si>
  <si>
    <t>kitiems investuotojams perduodamo turto dalis (%)</t>
  </si>
  <si>
    <t>parduodamo turto dalis (%)</t>
  </si>
  <si>
    <t>Справка: Остаток средств на счете (без учета операционной деятельности)</t>
  </si>
  <si>
    <t>Info: Cash at the end of period (without cash flow from operating activities)</t>
  </si>
  <si>
    <t>Info: grynieji pinigai laikotrapio pabaigai (be pinigų srautai iš pagrindinės veiklos)</t>
  </si>
  <si>
    <t>WAGES AND SALARIES</t>
  </si>
  <si>
    <t>Wages and salaries payable</t>
  </si>
  <si>
    <t xml:space="preserve">    payday periodicity</t>
  </si>
  <si>
    <t>CASH RESERVES</t>
  </si>
  <si>
    <t>Cash reserves for short-term needs</t>
  </si>
  <si>
    <t xml:space="preserve">    create?</t>
  </si>
  <si>
    <t xml:space="preserve">    coverage ratio</t>
  </si>
  <si>
    <t>Total current assets</t>
  </si>
  <si>
    <t>Total current liabilities</t>
  </si>
  <si>
    <t>Net working capital</t>
  </si>
  <si>
    <t>Change in net working capital</t>
  </si>
  <si>
    <t>PVM užskaita</t>
  </si>
  <si>
    <t>Naudoto turto pardavimas (be PVM)</t>
  </si>
  <si>
    <t xml:space="preserve">  parduoto turto % negali viršyti 100%</t>
  </si>
  <si>
    <t xml:space="preserve">  pardavimo pelnas (nuostolis)</t>
  </si>
  <si>
    <t>Percentage of area exempt from VAT</t>
  </si>
  <si>
    <t>Total: sales</t>
  </si>
  <si>
    <t>Area of transferred property</t>
  </si>
  <si>
    <t xml:space="preserve">        CONSTRUCTION: LEASE AT COMPLETION</t>
  </si>
  <si>
    <t>Rate per sq. m per year (including VAT)</t>
  </si>
  <si>
    <t>Area available for lease</t>
  </si>
  <si>
    <t>Leased</t>
  </si>
  <si>
    <t>Lease revenue</t>
  </si>
  <si>
    <t>Total: lease revenue</t>
  </si>
  <si>
    <t xml:space="preserve">         CONSTRUCTION: PROPERTY BALANCE SHEET</t>
  </si>
  <si>
    <t>Attention! % of area sold cannot exceed 100%</t>
  </si>
  <si>
    <t>years</t>
  </si>
  <si>
    <t>Construction cost</t>
  </si>
  <si>
    <t xml:space="preserve">    cost net of VAT</t>
  </si>
  <si>
    <t xml:space="preserve">    VAT</t>
  </si>
  <si>
    <t xml:space="preserve">    reverse charge VAT</t>
  </si>
  <si>
    <t>Work completed</t>
  </si>
  <si>
    <t xml:space="preserve">    VAT offset</t>
  </si>
  <si>
    <t>Advances to contractors (excluding VAT)</t>
  </si>
  <si>
    <t>Payable to contractors (excluding VAT)</t>
  </si>
  <si>
    <t>Cost of completed property</t>
  </si>
  <si>
    <t>% of area to be transferred to co-investors</t>
  </si>
  <si>
    <t>% of area to be sold</t>
  </si>
  <si>
    <t xml:space="preserve">         UNIT PRODUCTION</t>
  </si>
  <si>
    <t xml:space="preserve">    production schedule</t>
  </si>
  <si>
    <t xml:space="preserve">    sales forecast</t>
  </si>
  <si>
    <t xml:space="preserve">    goods finished but not sold</t>
  </si>
  <si>
    <t xml:space="preserve">    work-in-progress</t>
  </si>
  <si>
    <t xml:space="preserve">         RAW MATERIALS AND SUPPLIES (units)</t>
  </si>
  <si>
    <t>Planned use per production unit</t>
  </si>
  <si>
    <t xml:space="preserve">  mokėtinas PVM pardavus turtą</t>
  </si>
  <si>
    <t>Avansai suteikti rangovams</t>
  </si>
  <si>
    <t>Avansai gauti iš rangovų</t>
  </si>
  <si>
    <t>Kitiems investuotojams perduodamo turto plotas</t>
  </si>
  <si>
    <t>Pastatai ir statiniai balanse</t>
  </si>
  <si>
    <t>Sumokėtas, bet dar nepripažintas PVM</t>
  </si>
  <si>
    <t>Perduoto ploto nurašymas:</t>
  </si>
  <si>
    <t xml:space="preserve">  einamuoju laikotarpiu perduoto turto dalis (%)</t>
  </si>
  <si>
    <t xml:space="preserve">  buhalterinė vertė</t>
  </si>
  <si>
    <t>Likusio turto vertė laikotarpio pabaigoje:</t>
  </si>
  <si>
    <t xml:space="preserve">  neparduoto turto dalis (%)</t>
  </si>
  <si>
    <t>Piniginės įplaukos už parduotą turtą</t>
  </si>
  <si>
    <t xml:space="preserve">  pajamos be PVM</t>
  </si>
  <si>
    <t>Perduodamas parduotas turtas</t>
  </si>
  <si>
    <t xml:space="preserve">   perdavimas be PVM</t>
  </si>
  <si>
    <t>Parduoto turto savikaina</t>
  </si>
  <si>
    <t xml:space="preserve">  mokėtinas PVM už gautus avansus</t>
  </si>
  <si>
    <t xml:space="preserve">  sumokėtas PVM</t>
  </si>
  <si>
    <t>Turto apskaita trumpalaikiame turte</t>
  </si>
  <si>
    <t>Nebaigtos statybos</t>
  </si>
  <si>
    <t>Ankstesnio laikotarpio investicijų PVM, įtrauktas į sąnaudas</t>
  </si>
  <si>
    <t>Dabartinis ilgalaikis turtas</t>
  </si>
  <si>
    <t xml:space="preserve">Pastatai ir statiniai </t>
  </si>
  <si>
    <t xml:space="preserve">  pradinė vertė</t>
  </si>
  <si>
    <t xml:space="preserve">    gain (loss) on disposal</t>
  </si>
  <si>
    <t xml:space="preserve">    VAT payable on disposal</t>
  </si>
  <si>
    <t>Advances to contractors</t>
  </si>
  <si>
    <t>Grynieji pinigai trumpalaikiams poreikiams</t>
  </si>
  <si>
    <t xml:space="preserve">  sudaryti?</t>
  </si>
  <si>
    <t xml:space="preserve">  poreikio padengimo koeficientas</t>
  </si>
  <si>
    <t>Viso trumpalaikio turto</t>
  </si>
  <si>
    <t>Viso trumpalaikių įsipareigojimų</t>
  </si>
  <si>
    <t>Grynoji apyvartinio kapitalo vertė</t>
  </si>
  <si>
    <t>Grynojo apyvartinio kapitalo pokytis</t>
  </si>
  <si>
    <t>Dėmesio! Stadija negali būti po etapo pabaigos!</t>
  </si>
  <si>
    <t>Statybų stadija Nr. 1</t>
  </si>
  <si>
    <t>stadijos pradžia</t>
  </si>
  <si>
    <t>stadijos pabaiga</t>
  </si>
  <si>
    <t xml:space="preserve">Sritys, su kuriomis stadija yra susijusi </t>
  </si>
  <si>
    <t>Atliktų darbų kaštai</t>
  </si>
  <si>
    <t>Atlyginimai už atliktą darbą</t>
  </si>
  <si>
    <t>Viso: atliktų darbų apimtis</t>
  </si>
  <si>
    <t>Viso: atlyginimai už atliktą darbą</t>
  </si>
  <si>
    <t>Avansai rangovams pagal sutartys (su PVM)</t>
  </si>
  <si>
    <t>VAT on prior period investments</t>
  </si>
  <si>
    <t>Iš viso turto ir įsipareigojimų</t>
  </si>
  <si>
    <t>Balanso kontrolė</t>
  </si>
  <si>
    <t>Metinė infliacija</t>
  </si>
  <si>
    <t>pagrindinei valiutai</t>
  </si>
  <si>
    <t>perskaičiuota vienai projekto laikotarpio atkarpai</t>
  </si>
  <si>
    <t>Infliacijos koeficientas pagrindinei valiutai</t>
  </si>
  <si>
    <t xml:space="preserve">  (įjungta)</t>
  </si>
  <si>
    <t xml:space="preserve">  (išjungta)</t>
  </si>
  <si>
    <t>Вычитать</t>
  </si>
  <si>
    <t>Учитывать</t>
  </si>
  <si>
    <t xml:space="preserve">    including project manager's remuneration</t>
  </si>
  <si>
    <t>Incoming financing</t>
  </si>
  <si>
    <t>Transfer schedule</t>
  </si>
  <si>
    <t xml:space="preserve">    transfer schedule</t>
  </si>
  <si>
    <t>Total: incoming financing</t>
  </si>
  <si>
    <t>Total: value of property transferred</t>
  </si>
  <si>
    <t xml:space="preserve">    area of transferred property</t>
  </si>
  <si>
    <t>Schedule of sales</t>
  </si>
  <si>
    <t>Price per square meter (including VAT)</t>
  </si>
  <si>
    <t>Transfer of completed properties to buyers (sq.m)</t>
  </si>
  <si>
    <t>Sales</t>
  </si>
  <si>
    <t>Cash received</t>
  </si>
  <si>
    <t>Value of property transferred</t>
  </si>
  <si>
    <t>Mokėtinos sumos tiekėjams</t>
  </si>
  <si>
    <t>Mokėtinos sumos biudžetui</t>
  </si>
  <si>
    <t>Savo poreikiams naudojamo turto plotas</t>
  </si>
  <si>
    <t>Neužbaigtos investicijos</t>
  </si>
  <si>
    <t>Nusidėvėjimo laikotarpis</t>
  </si>
  <si>
    <t xml:space="preserve">  bendroji buhalterinė vertė</t>
  </si>
  <si>
    <t xml:space="preserve">  nusidėvėjimas per laikotarpį</t>
  </si>
  <si>
    <t xml:space="preserve">  sukauptas nusidėvėjimas</t>
  </si>
  <si>
    <t xml:space="preserve">  grynoji buhalterinė vertė</t>
  </si>
  <si>
    <t xml:space="preserve">  neapmokestinama turto vertė</t>
  </si>
  <si>
    <t xml:space="preserve">  mokesčio dydis (%)</t>
  </si>
  <si>
    <t xml:space="preserve">  mokestinis periodas</t>
  </si>
  <si>
    <t>Kiti pelno mokesčio nemažinantys mokesčiai</t>
  </si>
  <si>
    <t xml:space="preserve">  mokestinė bazė</t>
  </si>
  <si>
    <t>Sukauptas pelno mokestis</t>
  </si>
  <si>
    <t>sukauptas pelno mokestis finansinės atskaitomybės valiuta</t>
  </si>
  <si>
    <t>pelnas prieš mokesčius</t>
  </si>
  <si>
    <t>sumokėtų palūkanų dalis viršijanti limitą, mažinantį pelno mokestį</t>
  </si>
  <si>
    <t xml:space="preserve">  neapmokestinamos pajamos</t>
  </si>
  <si>
    <t xml:space="preserve">    value of tax-exempt property </t>
  </si>
  <si>
    <t>Other taxes not deductible for income tax purposes</t>
  </si>
  <si>
    <t>INCOME TAX</t>
  </si>
  <si>
    <t>Income tax accrued</t>
  </si>
  <si>
    <t xml:space="preserve">         the above, in terms of financial report currency</t>
  </si>
  <si>
    <t xml:space="preserve">    income before tax</t>
  </si>
  <si>
    <t xml:space="preserve">    interest paid in excess of tax-deductible limit</t>
  </si>
  <si>
    <t xml:space="preserve">    exempt income</t>
  </si>
  <si>
    <t xml:space="preserve">    accumulated profit (loss) of current year</t>
  </si>
  <si>
    <t xml:space="preserve">    prior period losses written off</t>
  </si>
  <si>
    <t xml:space="preserve">    taxable income</t>
  </si>
  <si>
    <t>SPECIAL TAX TREATMENTS</t>
  </si>
  <si>
    <t>UNIFIED TAX ON IMPUTED INCOME</t>
  </si>
  <si>
    <t>times</t>
  </si>
  <si>
    <t>Accrued unified tax on imputed income</t>
  </si>
  <si>
    <t>Natural index unit</t>
  </si>
  <si>
    <t>Base yield</t>
  </si>
  <si>
    <t>K1 deflator coefficient</t>
  </si>
  <si>
    <t>K2 correcting coefficient</t>
  </si>
  <si>
    <t>Imputed income value</t>
  </si>
  <si>
    <t>Area to be used internally</t>
  </si>
  <si>
    <t>Investments in progress</t>
  </si>
  <si>
    <t>Depreciation period</t>
  </si>
  <si>
    <t xml:space="preserve">    gross book value</t>
  </si>
  <si>
    <t xml:space="preserve">    current period depreciation</t>
  </si>
  <si>
    <t xml:space="preserve">    accumulated depreciation</t>
  </si>
  <si>
    <t xml:space="preserve">    net book value</t>
  </si>
  <si>
    <t>VAT offset</t>
  </si>
  <si>
    <t>Sale of property after operating it (excluding VAT)</t>
  </si>
  <si>
    <t xml:space="preserve">    % of area sold cannot exceed 100%</t>
  </si>
  <si>
    <t xml:space="preserve">  sukauptas einamųjų metų pelnas (nuostolis) </t>
  </si>
  <si>
    <t xml:space="preserve">  ankstesnio laikotarpio nuostoliai</t>
  </si>
  <si>
    <t xml:space="preserve">  nurašyti ankstesnio laikotarpio nuostoliai</t>
  </si>
  <si>
    <t xml:space="preserve">  apmokestinamos pajamos</t>
  </si>
  <si>
    <t>Specialusis mokesčių režimas</t>
  </si>
  <si>
    <t>Bendrasis pelno mokestis</t>
  </si>
  <si>
    <t>kartai</t>
  </si>
  <si>
    <t>Sukauptas bendrasis pelno mokestis</t>
  </si>
  <si>
    <t>Tikrasis pelningumo indeksas</t>
  </si>
  <si>
    <t>Bazinis pelningumas</t>
  </si>
  <si>
    <t xml:space="preserve">Defliatoriaus koeficientas K1 </t>
  </si>
  <si>
    <t>Korekcijos koeficientas K2</t>
  </si>
  <si>
    <t>Sąlyginio uždarbio vertė</t>
  </si>
  <si>
    <t>Pirvalomojo pensijų draudimo mokesčiai</t>
  </si>
  <si>
    <t xml:space="preserve">  draudimo mokesčio dydis (%)</t>
  </si>
  <si>
    <t xml:space="preserve">  mokestinė draudimo bazė</t>
  </si>
  <si>
    <t xml:space="preserve">  mokestinė draudimo bazė/įvertintoji bazė</t>
  </si>
  <si>
    <t xml:space="preserve">  mokesčio dydis</t>
  </si>
  <si>
    <t xml:space="preserve">Supaprastinta mokesčių sistema </t>
  </si>
  <si>
    <t>Pajamos</t>
  </si>
  <si>
    <t>Pajamos, sumažintos išlaidų dydžiu</t>
  </si>
  <si>
    <t>Mokesčių objektas</t>
  </si>
  <si>
    <t>Sukaupti mokesčiai</t>
  </si>
  <si>
    <t>Mokestinė bazė iki nuostolių nurašymo</t>
  </si>
  <si>
    <t>Mokestinė bazė</t>
  </si>
  <si>
    <t>Area to be transferred to co-investors</t>
  </si>
  <si>
    <t>Buildings and structures on the balance sheet</t>
  </si>
  <si>
    <t>VAT paid but not yet recognized</t>
  </si>
  <si>
    <t>Writing off the transferred area:</t>
  </si>
  <si>
    <t xml:space="preserve">    % of area transferred in the current period</t>
  </si>
  <si>
    <t xml:space="preserve">    book value</t>
  </si>
  <si>
    <t xml:space="preserve">    % of area unsold </t>
  </si>
  <si>
    <t>Существующие активы</t>
  </si>
  <si>
    <t>Present assets</t>
  </si>
  <si>
    <t>Dabartinis turtas</t>
  </si>
  <si>
    <t>Cost of properties sold</t>
  </si>
  <si>
    <t xml:space="preserve">    VAT payable on advances</t>
  </si>
  <si>
    <t xml:space="preserve">    VAT paid</t>
  </si>
  <si>
    <t>Accounts receivable</t>
  </si>
  <si>
    <t xml:space="preserve">   revenue net of VAT</t>
  </si>
  <si>
    <t>The property is treated as a current asset</t>
  </si>
  <si>
    <t xml:space="preserve">         PRESENT PROJECT ASSETS</t>
  </si>
  <si>
    <t>Present fixed assets</t>
  </si>
  <si>
    <t>Buildings and structures</t>
  </si>
  <si>
    <t xml:space="preserve">    initial value</t>
  </si>
  <si>
    <t xml:space="preserve">    depreciation (straight-line),          for useful life:</t>
  </si>
  <si>
    <t xml:space="preserve">    sale of asset (net of VAT)</t>
  </si>
  <si>
    <t xml:space="preserve">    gain / loss from sale of asset</t>
  </si>
  <si>
    <t xml:space="preserve">    VAT payable on proceeds from sale of asset</t>
  </si>
  <si>
    <t>Land</t>
  </si>
  <si>
    <t>Intangible assets</t>
  </si>
  <si>
    <t>Neužbaigtos investicijos remiantis pradiniu balansu</t>
  </si>
  <si>
    <t xml:space="preserve">  ankstesniojo laikotarpio investicijų PVM</t>
  </si>
  <si>
    <t>Neužbaigtos investicijos remiantis skaičiavimo lentelėmis</t>
  </si>
  <si>
    <t>Ansktesniojo laikotarpio investicijos efektyvumo vertinimui</t>
  </si>
  <si>
    <t xml:space="preserve"> = Viso: Žemė</t>
  </si>
  <si>
    <t xml:space="preserve"> = Viso: Pastatai ir statiniai</t>
  </si>
  <si>
    <t xml:space="preserve">  avansiniai mokėjimai</t>
  </si>
  <si>
    <t xml:space="preserve">  nusidėvėjimas</t>
  </si>
  <si>
    <t xml:space="preserve">  pelnas (nuostolis) iš statybų veiklos</t>
  </si>
  <si>
    <t xml:space="preserve"> = Viso: Įranga ir kiti įrengimai</t>
  </si>
  <si>
    <t xml:space="preserve"> = Viso: nematerialusis turtas</t>
  </si>
  <si>
    <t xml:space="preserve"> = Viso: finansinis turtas</t>
  </si>
  <si>
    <t xml:space="preserve">    imported?</t>
  </si>
  <si>
    <t xml:space="preserve">    date of importing</t>
  </si>
  <si>
    <t xml:space="preserve">    import customs duty</t>
  </si>
  <si>
    <t>Financial assets</t>
  </si>
  <si>
    <t xml:space="preserve">    financial assets yield</t>
  </si>
  <si>
    <t xml:space="preserve">    advances paid</t>
  </si>
  <si>
    <t>Interest paid during the investment stage</t>
  </si>
  <si>
    <t xml:space="preserve">    investment stage ends in the</t>
  </si>
  <si>
    <t>Total prior period investments</t>
  </si>
  <si>
    <t>Investments in progress according to the initial balance sheet</t>
  </si>
  <si>
    <t>Investments in progress according to calculation tables</t>
  </si>
  <si>
    <t>Prior period investments for efficiency assessment</t>
  </si>
  <si>
    <t xml:space="preserve">         СТРОИТЕЛЬСТВО: СДАЧА ПЛОЩАДЕЙ В АРЕНДУ</t>
  </si>
  <si>
    <t xml:space="preserve">         АНАЛИЗ ЧУВСТВИТЕЛЬНОСТИ</t>
  </si>
  <si>
    <t xml:space="preserve"> = Total: Land</t>
  </si>
  <si>
    <t xml:space="preserve">    advanced payments</t>
  </si>
  <si>
    <t xml:space="preserve">    depreciation</t>
  </si>
  <si>
    <t xml:space="preserve">    gain (loss) from construction activities</t>
  </si>
  <si>
    <t xml:space="preserve"> = Total: Equipment and other assets</t>
  </si>
  <si>
    <t xml:space="preserve"> = Total: Intangible assets</t>
  </si>
  <si>
    <t xml:space="preserve"> = Total: Financial assets</t>
  </si>
  <si>
    <t xml:space="preserve"> = Total: Deferred expenses</t>
  </si>
  <si>
    <t xml:space="preserve"> = Total: ALL ASSETS</t>
  </si>
  <si>
    <t xml:space="preserve">         LEASING</t>
  </si>
  <si>
    <t xml:space="preserve">    type of lease</t>
  </si>
  <si>
    <t xml:space="preserve">    No. of period in which equipment operation started</t>
  </si>
  <si>
    <t xml:space="preserve">    leasing term</t>
  </si>
  <si>
    <t>Equipment cost (including VAT)</t>
  </si>
  <si>
    <t xml:space="preserve">    net book value (net of VAT)</t>
  </si>
  <si>
    <t xml:space="preserve">    lessor's remuneration</t>
  </si>
  <si>
    <t xml:space="preserve">    anticipated leasing payments (net of VAT)</t>
  </si>
  <si>
    <t xml:space="preserve">    anticipated leasing payments (including VAT)</t>
  </si>
  <si>
    <t>Advance payment (including VAT)</t>
  </si>
  <si>
    <t>Actual leasing payments (including VAT)</t>
  </si>
  <si>
    <t xml:space="preserve">    advances paid to lessor</t>
  </si>
  <si>
    <t xml:space="preserve">    rented fixed assets (net book value)</t>
  </si>
  <si>
    <t xml:space="preserve">    taxable property</t>
  </si>
  <si>
    <t>Asset purchase at the end of lease term at net book value</t>
  </si>
  <si>
    <t xml:space="preserve">    gross book value after purchase</t>
  </si>
  <si>
    <t xml:space="preserve">    net book value after purchase</t>
  </si>
  <si>
    <t xml:space="preserve">    depreciation charges after purchase</t>
  </si>
  <si>
    <t xml:space="preserve">    VAT paid at purchase</t>
  </si>
  <si>
    <t xml:space="preserve"> = Total leasing payments, accrued, net of VAT</t>
  </si>
  <si>
    <t xml:space="preserve"> = Total leasing payments, accrued, including VAT</t>
  </si>
  <si>
    <t xml:space="preserve"> = Total leasing payments, paid, including VAT</t>
  </si>
  <si>
    <t>Changes included in operating cash flows</t>
  </si>
  <si>
    <t>Investment in working capital</t>
  </si>
  <si>
    <t>percentage of total</t>
  </si>
  <si>
    <t>term, days</t>
  </si>
  <si>
    <t>Create reserves</t>
  </si>
  <si>
    <t>Do not create reserves</t>
  </si>
  <si>
    <t xml:space="preserve">         SALES FORECAST</t>
  </si>
  <si>
    <t>Product (service) name</t>
  </si>
  <si>
    <t>Nominal volume</t>
  </si>
  <si>
    <t>unit</t>
  </si>
  <si>
    <t>Average capacity utilization</t>
  </si>
  <si>
    <t xml:space="preserve">         UNIT SALES</t>
  </si>
  <si>
    <t xml:space="preserve">         SALES PRICE (per unit, including VAT)</t>
  </si>
  <si>
    <t xml:space="preserve">    price net of VAT and excise taxes</t>
  </si>
  <si>
    <t xml:space="preserve">    excise taxes</t>
  </si>
  <si>
    <t xml:space="preserve">    sales tax</t>
  </si>
  <si>
    <t>Ad valorem</t>
  </si>
  <si>
    <t>Fixed</t>
  </si>
  <si>
    <t xml:space="preserve">         SALES</t>
  </si>
  <si>
    <t xml:space="preserve">    sales (net of VAT)</t>
  </si>
  <si>
    <t xml:space="preserve">    of which taxes and duties</t>
  </si>
  <si>
    <t xml:space="preserve">    VAT accrued</t>
  </si>
  <si>
    <t xml:space="preserve">    payments (net of VAT)</t>
  </si>
  <si>
    <t xml:space="preserve">    VAT received</t>
  </si>
  <si>
    <t xml:space="preserve">    accounts receivable</t>
  </si>
  <si>
    <t xml:space="preserve">    advances</t>
  </si>
  <si>
    <t xml:space="preserve"> = Total</t>
  </si>
  <si>
    <t>VAT</t>
  </si>
  <si>
    <t>Income tax</t>
  </si>
  <si>
    <t>Other taxes</t>
  </si>
  <si>
    <t xml:space="preserve">  gauti išankstiniai apmokėjimai</t>
  </si>
  <si>
    <t xml:space="preserve">  pardavimai su pikėjų įsiskolonimu</t>
  </si>
  <si>
    <t xml:space="preserve">  remiantis apyvartumo rodikliu</t>
  </si>
  <si>
    <t xml:space="preserve">  remiantis gautinų sumų apmokėjimo grafiku</t>
  </si>
  <si>
    <t>Gauti išankstiniai mokėjimai</t>
  </si>
  <si>
    <t>MOKĖJIMAI TIEKĖJAMS</t>
  </si>
  <si>
    <t>Mokėjimai už žaliavas ir komponentus</t>
  </si>
  <si>
    <t xml:space="preserve">  sumokėtos sumos</t>
  </si>
  <si>
    <t xml:space="preserve">  sumokėti išankstiniai mokėjimai</t>
  </si>
  <si>
    <t xml:space="preserve">  skolos tiekėjams</t>
  </si>
  <si>
    <t>Mokėtinos sumos</t>
  </si>
  <si>
    <t xml:space="preserve">  remiantis mokėtinų sumų apmokėjimo grafiku</t>
  </si>
  <si>
    <t>Išankstiniai mokėjimai</t>
  </si>
  <si>
    <t>MOKĖTINI MOKESČIAI</t>
  </si>
  <si>
    <t>PVM</t>
  </si>
  <si>
    <t>Akcizų ir eksporto muitų mokesčiai</t>
  </si>
  <si>
    <t>Importo muito mokesčiai</t>
  </si>
  <si>
    <t>Kiti mokesčiai</t>
  </si>
  <si>
    <t>DARBO UŽMOKESTIS</t>
  </si>
  <si>
    <t>Mokėtinas darbo užmokestis</t>
  </si>
  <si>
    <t xml:space="preserve">  mokėjimo dienos periodiškumas</t>
  </si>
  <si>
    <t>GRYNIEJI PINIGAI</t>
  </si>
  <si>
    <t>Earnings before interest, taxes, depreciation and amortization (EBITDA)</t>
  </si>
  <si>
    <t>Earnings before interest and taxes (EBIT)</t>
  </si>
  <si>
    <t>Interest</t>
  </si>
  <si>
    <t>Earnings before income tax</t>
  </si>
  <si>
    <t>Net income (loss)</t>
  </si>
  <si>
    <t xml:space="preserve">         INCOME STATEMENT ADDENDUM</t>
  </si>
  <si>
    <t>Investicijos į apyvartinį kapitalą</t>
  </si>
  <si>
    <t>procentais nuo viso</t>
  </si>
  <si>
    <t>terminas, dienos</t>
  </si>
  <si>
    <t>Sudaryti rezervą</t>
  </si>
  <si>
    <t>Nesudaryti rezervo</t>
  </si>
  <si>
    <t>Prekės (paslaugos) pavadinimas</t>
  </si>
  <si>
    <t>Nominali apimtis</t>
  </si>
  <si>
    <t>vienetas</t>
  </si>
  <si>
    <t>Vidutinis pajėgumų naudojimas</t>
  </si>
  <si>
    <t xml:space="preserve">  kaina be PVM ir be akcizo</t>
  </si>
  <si>
    <t xml:space="preserve">  akcizai</t>
  </si>
  <si>
    <t xml:space="preserve">  pardavimo mokesčiai</t>
  </si>
  <si>
    <t>Advalioriniai muitai (% nuo kainos)</t>
  </si>
  <si>
    <t>Fiksuoto dydžio</t>
  </si>
  <si>
    <t xml:space="preserve">  nusidėvėjimas (tiesioginiu metodu),     dėl naudingo tarnavimo laiko: </t>
  </si>
  <si>
    <t xml:space="preserve">  turto pardavimas (be PVM)</t>
  </si>
  <si>
    <t xml:space="preserve">  pelnas/nuostolis dėl turto pardavimo</t>
  </si>
  <si>
    <t xml:space="preserve">  mokėtinas PVM nuo turto pardavimo pajamų</t>
  </si>
  <si>
    <t>Žemė</t>
  </si>
  <si>
    <t>Nematerialusis turtas</t>
  </si>
  <si>
    <t>Незавершенные инвестиции по данным текущей таблицы</t>
  </si>
  <si>
    <t>Total short-term liabilities</t>
  </si>
  <si>
    <t>Long-term liabilities</t>
  </si>
  <si>
    <t xml:space="preserve"> pardavimo pajamos (be PVM)</t>
  </si>
  <si>
    <t xml:space="preserve">  iš kurių mokesčiai ir muitai</t>
  </si>
  <si>
    <t xml:space="preserve">  sukauptas PVM</t>
  </si>
  <si>
    <t xml:space="preserve">  mokėjimų grafikas (be PVM)</t>
  </si>
  <si>
    <t xml:space="preserve">  gautas PVM</t>
  </si>
  <si>
    <t xml:space="preserve">  gautinos sumos</t>
  </si>
  <si>
    <t xml:space="preserve">  išankstiniai mokėjimai</t>
  </si>
  <si>
    <t xml:space="preserve"> = Viso</t>
  </si>
  <si>
    <t xml:space="preserve">  gamybos grafikas</t>
  </si>
  <si>
    <t xml:space="preserve">  pardavimų prognozė</t>
  </si>
  <si>
    <t xml:space="preserve">  pagaminta, bet neparduota produkcija</t>
  </si>
  <si>
    <t xml:space="preserve">  nebaigta gamyba</t>
  </si>
  <si>
    <t>Dėmesio! Pardavimai viršija gamybą ir atsargas!</t>
  </si>
  <si>
    <t>Žaliavos arba komponentų pavadinimas</t>
  </si>
  <si>
    <t>Suplanuotas poreikis vienam produkcijos vienetui</t>
  </si>
  <si>
    <t xml:space="preserve">  kaina be PVM</t>
  </si>
  <si>
    <t xml:space="preserve">  su importo muitais</t>
  </si>
  <si>
    <t xml:space="preserve">    price net of VAT</t>
  </si>
  <si>
    <t xml:space="preserve">    including import duties</t>
  </si>
  <si>
    <t xml:space="preserve">         COST OF RAW MATERIALS AND COMPONENTS</t>
  </si>
  <si>
    <t xml:space="preserve">    raw materials and supplies purchased (net of VAT)</t>
  </si>
  <si>
    <t xml:space="preserve">    inventories, based on turnover ratio</t>
  </si>
  <si>
    <t xml:space="preserve">    inventories, based on detailed payment schedule</t>
  </si>
  <si>
    <t xml:space="preserve">    raw materials and supplies paid for (net of VAT)</t>
  </si>
  <si>
    <t xml:space="preserve">    costs written off against sales</t>
  </si>
  <si>
    <t xml:space="preserve">    remainder costs in inventory</t>
  </si>
  <si>
    <t xml:space="preserve">    remainder costs in work-in-progress</t>
  </si>
  <si>
    <t xml:space="preserve">         OTHER VARIABLE COSTS</t>
  </si>
  <si>
    <t xml:space="preserve">    costs net of VAT</t>
  </si>
  <si>
    <t>Use per period</t>
  </si>
  <si>
    <t xml:space="preserve">    costs paid for (net of VAT)</t>
  </si>
  <si>
    <t xml:space="preserve">         PERSONNEL AND WAGES</t>
  </si>
  <si>
    <t>Production personnel headcount</t>
  </si>
  <si>
    <t>Support personnel headcount</t>
  </si>
  <si>
    <t xml:space="preserve">  mokėjimai (be PVM)</t>
  </si>
  <si>
    <t xml:space="preserve">    величина платежей (без НДС)</t>
  </si>
  <si>
    <t>žmonės</t>
  </si>
  <si>
    <t>Apskaičiuoti mokesčiai, susiję su darbo užmokesčiu</t>
  </si>
  <si>
    <t>Accrued payroll taxes</t>
  </si>
  <si>
    <t xml:space="preserve">    - production personnel</t>
  </si>
  <si>
    <t xml:space="preserve">    - support personnel</t>
  </si>
  <si>
    <t xml:space="preserve">    - administrative personnel</t>
  </si>
  <si>
    <t xml:space="preserve">    - sales and marketing personnel</t>
  </si>
  <si>
    <t>Wages and salaries including payroll taxes</t>
  </si>
  <si>
    <t xml:space="preserve">         OPERATING COSTS</t>
  </si>
  <si>
    <t>Other variable costs</t>
  </si>
  <si>
    <t>Direct production costs</t>
  </si>
  <si>
    <t>Indirect production costs</t>
  </si>
  <si>
    <t>General and administrative expenses</t>
  </si>
  <si>
    <t>Sales and marketing expenses</t>
  </si>
  <si>
    <t>Sales and marketing expenses as % of sales</t>
  </si>
  <si>
    <t xml:space="preserve">    Production costs</t>
  </si>
  <si>
    <t xml:space="preserve">        net of VAT</t>
  </si>
  <si>
    <t xml:space="preserve">        VAT</t>
  </si>
  <si>
    <t xml:space="preserve">    Administrative expenses</t>
  </si>
  <si>
    <t xml:space="preserve">    Sales and marketing expenses</t>
  </si>
  <si>
    <t>Cost of raw materials and components</t>
  </si>
  <si>
    <t>Production personnel wages and salaries</t>
  </si>
  <si>
    <t>Production personnel payroll taxes</t>
  </si>
  <si>
    <t>Support personnel wages and salaries</t>
  </si>
  <si>
    <t>Support personnel payroll taxes</t>
  </si>
  <si>
    <t>Sales and marketing personnel wages and salaries</t>
  </si>
  <si>
    <t>Sales and marketing personnel payroll taxes</t>
  </si>
  <si>
    <t>Administrative personnel wages and salaries</t>
  </si>
  <si>
    <t>Administrative personnel payroll taxes</t>
  </si>
  <si>
    <t>of which VAT</t>
  </si>
  <si>
    <t>be įsigijimo/ veiklos (turtas - nuomotojo nuosavybė)</t>
  </si>
  <si>
    <t>be įsigijimo/ veiklos (turtas - nuomininko nuosavybė)</t>
  </si>
  <si>
    <t>ATSARGOS</t>
  </si>
  <si>
    <t xml:space="preserve">  vidutiniškai atsargų saugojimo trukmė (dienomis)</t>
  </si>
  <si>
    <t xml:space="preserve">  produkcijos gamybos ciklo trukmė</t>
  </si>
  <si>
    <t xml:space="preserve">  išsiuntimo periodiškumas</t>
  </si>
  <si>
    <t xml:space="preserve">  minimalus atsargų likutis</t>
  </si>
  <si>
    <t xml:space="preserve">   vidutiniškai atsargų saugojimo trukmė (dienomis)</t>
  </si>
  <si>
    <t>PIRKĖJŲ MOKĖJIMAI</t>
  </si>
  <si>
    <t>Pardavimai:</t>
  </si>
  <si>
    <t xml:space="preserve">  pardavimai už grynuosius pinigus</t>
  </si>
  <si>
    <t>Investment in intangible assets</t>
  </si>
  <si>
    <t>Investment in financial assets</t>
  </si>
  <si>
    <t>Investment in buildings and structures</t>
  </si>
  <si>
    <t>Investment in equipment and other assets</t>
  </si>
  <si>
    <t>Investment in deferred expenses</t>
  </si>
  <si>
    <t>Proceeds from financing</t>
  </si>
  <si>
    <t>Repayment of financing</t>
  </si>
  <si>
    <t>Dividends</t>
  </si>
  <si>
    <t>Lease payments</t>
  </si>
  <si>
    <t>Repayment of debt</t>
  </si>
  <si>
    <t>Minimum cash at the beginning of period</t>
  </si>
  <si>
    <t xml:space="preserve">         INCOME STATEMENT</t>
  </si>
  <si>
    <t>Net sales</t>
  </si>
  <si>
    <t>including:</t>
  </si>
  <si>
    <t>Financing from construction co-investors</t>
  </si>
  <si>
    <t>Info: Cash at the end of period (current project)</t>
  </si>
  <si>
    <t>Info: Cash at the end of period (project portfolio)</t>
  </si>
  <si>
    <t xml:space="preserve">         LOANS</t>
  </si>
  <si>
    <t>Žemės mokesčiai ir kiti mokesčiai mažinantys pelno mokestį</t>
  </si>
  <si>
    <t xml:space="preserve"> = Viso: išlaidų Pelno (nuostolio) ataskaitoje</t>
  </si>
  <si>
    <t xml:space="preserve">  žaliavos ir komponentai</t>
  </si>
  <si>
    <t xml:space="preserve">  kitos kintamos išlaidos</t>
  </si>
  <si>
    <t xml:space="preserve">  darbo užmokestis</t>
  </si>
  <si>
    <t>Outstanding debt at the end of the current period</t>
  </si>
  <si>
    <t xml:space="preserve">    of which interest</t>
  </si>
  <si>
    <t xml:space="preserve">    period in which the loan was disbursed</t>
  </si>
  <si>
    <t xml:space="preserve">    interest accrued</t>
  </si>
  <si>
    <t xml:space="preserve"> = Total: Loans received</t>
  </si>
  <si>
    <t xml:space="preserve"> = Total: Loans repaid</t>
  </si>
  <si>
    <t xml:space="preserve"> = Total: Interest accrued</t>
  </si>
  <si>
    <t xml:space="preserve"> = Total: Interest paid</t>
  </si>
  <si>
    <t xml:space="preserve"> = Total: Outstanding debt</t>
  </si>
  <si>
    <t xml:space="preserve">    outstanding working capital loans</t>
  </si>
  <si>
    <t xml:space="preserve">    outstanding investment loans</t>
  </si>
  <si>
    <t>Working capital loan</t>
  </si>
  <si>
    <t>Investment loan</t>
  </si>
  <si>
    <t>Investment loan from federal government</t>
  </si>
  <si>
    <t>Investment loan from regional government</t>
  </si>
  <si>
    <t>Debt service coverage</t>
  </si>
  <si>
    <t>Prior period loans</t>
  </si>
  <si>
    <t>New loans</t>
  </si>
  <si>
    <t xml:space="preserve">    interest accrued on new loans</t>
  </si>
  <si>
    <t xml:space="preserve">         SUMMARY OF INVESTMENTS</t>
  </si>
  <si>
    <t>Investment requirements</t>
  </si>
  <si>
    <t>Investment in land</t>
  </si>
  <si>
    <t>Paskolos valiuta</t>
  </si>
  <si>
    <t>Palūkanų norma (metinė)</t>
  </si>
  <si>
    <t>Palūkanų mokėjimų atidėjimo laikotarpis</t>
  </si>
  <si>
    <t>Paskolos ėmimas</t>
  </si>
  <si>
    <t>Pokyčiai, įtraukti į veiklos pinigų srautus</t>
  </si>
  <si>
    <t>Payable to contractors</t>
  </si>
  <si>
    <t>Sale proceeds</t>
  </si>
  <si>
    <t>Payments for property sold</t>
  </si>
  <si>
    <t xml:space="preserve">   proceeds net of VAT</t>
  </si>
  <si>
    <t>Transfer of sold properties</t>
  </si>
  <si>
    <t xml:space="preserve">    transfer net of VAT</t>
  </si>
  <si>
    <t>Įranga ir kitas turtas</t>
  </si>
  <si>
    <t>Būsimųjų laikotarpių išlaidos</t>
  </si>
  <si>
    <t>Finansinis turtas</t>
  </si>
  <si>
    <t>VISO</t>
  </si>
  <si>
    <t>pagal atsiskaitymų už turtą grafiką</t>
  </si>
  <si>
    <t>po operacijų pradžios</t>
  </si>
  <si>
    <t>taip</t>
  </si>
  <si>
    <t>ne</t>
  </si>
  <si>
    <t>laikotarpio</t>
  </si>
  <si>
    <t>laikotarpis</t>
  </si>
  <si>
    <t>Pavadinimas</t>
  </si>
  <si>
    <t xml:space="preserve">  mokėjimai</t>
  </si>
  <si>
    <t xml:space="preserve">  mokėjimai (su PVM)</t>
  </si>
  <si>
    <t xml:space="preserve">  ansktesniojo laikotarpio investicijos (be PVM)</t>
  </si>
  <si>
    <t xml:space="preserve">  balanse nuo</t>
  </si>
  <si>
    <t xml:space="preserve">  mokėjimų suma (be PVM)</t>
  </si>
  <si>
    <t xml:space="preserve">  bendroji turto savikaina (be PVM)</t>
  </si>
  <si>
    <t>Iš viso: turto įsigijimo savikaina (be PVM)</t>
  </si>
  <si>
    <t xml:space="preserve">  neužbaigtos investicijos</t>
  </si>
  <si>
    <t xml:space="preserve">  mokėtinos sumos</t>
  </si>
  <si>
    <t>Pastatai ir statiniai</t>
  </si>
  <si>
    <t xml:space="preserve">  nusidėvėjimas (pagreitintas),     dėl naudingo tarnavimo laiko: </t>
  </si>
  <si>
    <t xml:space="preserve">  grąžintinas PVM</t>
  </si>
  <si>
    <t xml:space="preserve">  ankstesnio laikotarpio investicijų PVM</t>
  </si>
  <si>
    <t xml:space="preserve">  mokėtinas PVM už parduotą turtą</t>
  </si>
  <si>
    <t xml:space="preserve">  importuoti?</t>
  </si>
  <si>
    <t xml:space="preserve">  importo data</t>
  </si>
  <si>
    <t xml:space="preserve">  importo muito mokesčiai</t>
  </si>
  <si>
    <t xml:space="preserve">  finansinio turto pelningumas</t>
  </si>
  <si>
    <t xml:space="preserve">  sumokėti avansai</t>
  </si>
  <si>
    <t>Palūkanos sumokėtos investiciniu laikotrapiu</t>
  </si>
  <si>
    <t xml:space="preserve">  investicinė stadijas baigiasi nuo</t>
  </si>
  <si>
    <t>Iš viso ankstesniojo laikotarpio investicijos</t>
  </si>
  <si>
    <t>Administrative personnel headcount</t>
  </si>
  <si>
    <t>Sales and marketing personnel headcount</t>
  </si>
  <si>
    <t>Total</t>
  </si>
  <si>
    <t>Monthly wages and salaries</t>
  </si>
  <si>
    <t>Headcount</t>
  </si>
  <si>
    <t>persons</t>
  </si>
  <si>
    <t xml:space="preserve"> = Viso: būsimų laikotarpių išlaidos</t>
  </si>
  <si>
    <t xml:space="preserve"> = Viso: TURTAS</t>
  </si>
  <si>
    <t xml:space="preserve">  Išperkamosios nuomos rūšis</t>
  </si>
  <si>
    <t xml:space="preserve">  Periodo numeris, kuriame pradėta naudoti įranga</t>
  </si>
  <si>
    <t xml:space="preserve">  išperkamosios nuomos laikotarpis</t>
  </si>
  <si>
    <t>Įrangos savikaina (su PVM)</t>
  </si>
  <si>
    <t xml:space="preserve">  grynoji buhalterinė vertė (be PVM)</t>
  </si>
  <si>
    <t xml:space="preserve">  nuomotojo atlygis</t>
  </si>
  <si>
    <t xml:space="preserve">  laukiami išperkamosios nuomos mokėjimai (be PVM)</t>
  </si>
  <si>
    <t xml:space="preserve">  laukiami išperkamosios nuomos mokėjimai (su PVM)</t>
  </si>
  <si>
    <t>Išankstiniai mokėjimai (su PVM)</t>
  </si>
  <si>
    <t>Faktiniai nuomos mokėjimai (su PVM)</t>
  </si>
  <si>
    <t xml:space="preserve">  išankstiniai mokėjimai nuomotojui</t>
  </si>
  <si>
    <t xml:space="preserve">  išnuomotas ilgalaikis turtas (grynoji buhalterinė vertė)</t>
  </si>
  <si>
    <t xml:space="preserve">  apmokestinamas turtas</t>
  </si>
  <si>
    <t>Išperkamosios nuomos termino pabaigoje įsigyjamo turto grynoji buhalterinė vertė</t>
  </si>
  <si>
    <t xml:space="preserve">  bendroji buhalterinė vertė po įsigijimo</t>
  </si>
  <si>
    <t xml:space="preserve">  grynoji buhalterinė vertė po įsigijimo</t>
  </si>
  <si>
    <t xml:space="preserve">  nusidėvėjimo sąnaudos po įsigijimo</t>
  </si>
  <si>
    <t xml:space="preserve">  įsigijimo metu sumokėtas PVM</t>
  </si>
  <si>
    <t xml:space="preserve"> = Iš viso sukaupti išperkamosios nuomos mokėjimai be PVM</t>
  </si>
  <si>
    <t xml:space="preserve"> = Iš viso sukaupti išperkamosios nuomos mokėjimai su PVM</t>
  </si>
  <si>
    <t xml:space="preserve"> = Iš viso sumokėti išperkamosios nuomos mokėjimai su PVM</t>
  </si>
  <si>
    <t xml:space="preserve"> = Iš viso kaina išperkamosios nuomos termino pabaigoje su PVM</t>
  </si>
  <si>
    <t xml:space="preserve">  su išperkamosios nuomos mokėjimais sumokėtas PVM</t>
  </si>
  <si>
    <t>su įsigijimo galimybe (turtas - nuomotojo nuosavybė)</t>
  </si>
  <si>
    <t>su įsigijimo galimybe (turtas - nuomininko nuosavybė)</t>
  </si>
  <si>
    <t xml:space="preserve"> = Total purchase at the end of lease term, including VAT</t>
  </si>
  <si>
    <t xml:space="preserve">    VAT paid on leasing payments</t>
  </si>
  <si>
    <t xml:space="preserve">    VAT paid on purchase</t>
  </si>
  <si>
    <t>with purchase option (lessor carries the asset)</t>
  </si>
  <si>
    <t>with purchase option (lessee carries the asset)</t>
  </si>
  <si>
    <t>operating (lessor carries the asset)</t>
  </si>
  <si>
    <t>operating (lessee carries the asset)</t>
  </si>
  <si>
    <t xml:space="preserve">         WORKING CAPITAL</t>
  </si>
  <si>
    <t>INVENTORIES</t>
  </si>
  <si>
    <t xml:space="preserve">    average days in inventory</t>
  </si>
  <si>
    <t xml:space="preserve">    production cycle</t>
  </si>
  <si>
    <t xml:space="preserve">    shipping periodicity</t>
  </si>
  <si>
    <t xml:space="preserve">    minimum required inventory, as of</t>
  </si>
  <si>
    <t>PAYMENTS FROM CUSTOMERS</t>
  </si>
  <si>
    <t>Sales:</t>
  </si>
  <si>
    <t xml:space="preserve">    cash sales</t>
  </si>
  <si>
    <t xml:space="preserve">    advances received</t>
  </si>
  <si>
    <t xml:space="preserve">    sales on credit</t>
  </si>
  <si>
    <t xml:space="preserve">    based on turnover ratio</t>
  </si>
  <si>
    <t xml:space="preserve">    based on detailed payment schedule</t>
  </si>
  <si>
    <t>PAYMENTS TO SUPPLIERS</t>
  </si>
  <si>
    <t>Payments for raw materials and components:</t>
  </si>
  <si>
    <t xml:space="preserve">    cash purchases</t>
  </si>
  <si>
    <t xml:space="preserve">    purchases on credit</t>
  </si>
  <si>
    <t>Accounts payable</t>
  </si>
  <si>
    <t>Advances paid</t>
  </si>
  <si>
    <t>TAXES PAYABLE</t>
  </si>
  <si>
    <t>Construction</t>
  </si>
  <si>
    <t xml:space="preserve">   Raw materials and components</t>
  </si>
  <si>
    <t xml:space="preserve">   Other variable costs</t>
  </si>
  <si>
    <t xml:space="preserve">   Wages and salaries of production and support personnel</t>
  </si>
  <si>
    <t xml:space="preserve">    Leasing expenses</t>
  </si>
  <si>
    <t xml:space="preserve">    Other production costs</t>
  </si>
  <si>
    <t>Gross profit</t>
  </si>
  <si>
    <t>Wages and salaries of administrative, sales and marketing personnel</t>
  </si>
  <si>
    <t>Operating income</t>
  </si>
  <si>
    <t>Taxes not deductible for income tax purposes</t>
  </si>
  <si>
    <t>Gain (loss) from sale of fixed assets</t>
  </si>
  <si>
    <t>Gain (loss) from construction activities</t>
  </si>
  <si>
    <t>Gain (loss) from exchange rate fluctuations</t>
  </si>
  <si>
    <t>Other income</t>
  </si>
  <si>
    <t>Other loss</t>
  </si>
  <si>
    <t>Type of loan</t>
  </si>
  <si>
    <t>Loan currency</t>
  </si>
  <si>
    <t>Interest rate (annualized)</t>
  </si>
  <si>
    <t>Grace period on interest payments</t>
  </si>
  <si>
    <t>Proceeds from loan disbursement</t>
  </si>
  <si>
    <t>Repayment of principal</t>
  </si>
  <si>
    <t>Interest accrued</t>
  </si>
  <si>
    <t>Interest paid</t>
  </si>
  <si>
    <t>Outstanding debt at the beginning of the current period</t>
  </si>
  <si>
    <t>Other income (net of VAT)</t>
  </si>
  <si>
    <t xml:space="preserve">   VAT</t>
  </si>
  <si>
    <t>Other loss (net of VAT)</t>
  </si>
  <si>
    <t>Retained earnings (per period)</t>
  </si>
  <si>
    <t>Retained earnings (at the beginning of period, accumulated)</t>
  </si>
  <si>
    <t>Retained earnings (at the end of period, accumulated)</t>
  </si>
  <si>
    <t xml:space="preserve">         CASH FLOW STATEMENT</t>
  </si>
  <si>
    <t>Cash received from customers</t>
  </si>
  <si>
    <t>Cash paid to suppliers</t>
  </si>
  <si>
    <t>Cash paid to employees</t>
  </si>
  <si>
    <t>General expenses</t>
  </si>
  <si>
    <t>Taxes</t>
  </si>
  <si>
    <t>Other cash inflows</t>
  </si>
  <si>
    <t>Other cash outflows</t>
  </si>
  <si>
    <t>Cash flow from operating activities</t>
  </si>
  <si>
    <t>Proceeds from sale of fixed assets</t>
  </si>
  <si>
    <t>Cash flow from investing activities</t>
  </si>
  <si>
    <t>Equity inflow</t>
  </si>
  <si>
    <t>Proceeds from borrowing</t>
  </si>
  <si>
    <t>Dividends paid</t>
  </si>
  <si>
    <t>Cash flow from financing activities</t>
  </si>
  <si>
    <t>Change in cash</t>
  </si>
  <si>
    <t>Cash at the beginning of period</t>
  </si>
  <si>
    <t>Cash at the end of period</t>
  </si>
  <si>
    <t>Chart: Cash flows</t>
  </si>
  <si>
    <t>Chart: Cash</t>
  </si>
  <si>
    <t xml:space="preserve">         BALANCE SHEET</t>
  </si>
  <si>
    <t>Other current assets</t>
  </si>
  <si>
    <t xml:space="preserve">    land</t>
  </si>
  <si>
    <t xml:space="preserve">    buildings and structures</t>
  </si>
  <si>
    <t xml:space="preserve">    intangible assets</t>
  </si>
  <si>
    <t xml:space="preserve">    equipment and other assets</t>
  </si>
  <si>
    <t>Total fixed assets</t>
  </si>
  <si>
    <t xml:space="preserve"> = TOTAL ASSETS</t>
  </si>
  <si>
    <t xml:space="preserve">    to suppliers of raw materials and components</t>
  </si>
  <si>
    <t xml:space="preserve">    to suppliers of fixed assets</t>
  </si>
  <si>
    <t>Taxes payable</t>
  </si>
  <si>
    <t>Short-term loans</t>
  </si>
  <si>
    <t>Other short-term liabilities</t>
  </si>
  <si>
    <t>Leasing payments schedule (including VAT)</t>
  </si>
  <si>
    <t>Leasing payments offset to cost (including VAT)</t>
  </si>
  <si>
    <t>leasing payments offset (net of VAT)</t>
  </si>
  <si>
    <t xml:space="preserve">   leasing payments for schedule calculation</t>
  </si>
  <si>
    <t>Ankstesniojo laikotarpio paskolos</t>
  </si>
  <si>
    <t>Naujos paskolos</t>
  </si>
  <si>
    <t xml:space="preserve">  sukauptos palūkanos už naujas paskolas</t>
  </si>
  <si>
    <t>Investicijos į žemę</t>
  </si>
  <si>
    <t>Investicijos į nematerialųjį turtą</t>
  </si>
  <si>
    <t>Investicijos į finansinį turtą</t>
  </si>
  <si>
    <t>Investicijos į pastatus ir statinius</t>
  </si>
  <si>
    <t>Investicijos į įrangą ir kitą turtą</t>
  </si>
  <si>
    <t>Investicijos į būsimųjų laikotarpių išlaidas</t>
  </si>
  <si>
    <t>Finansavimo įplaukos</t>
  </si>
  <si>
    <t>Finansavimo grąžinimas</t>
  </si>
  <si>
    <t>Dividendai</t>
  </si>
  <si>
    <t>Išperkamosios nuomos mokėjimai</t>
  </si>
  <si>
    <t>Minimalūs grynieji pinigai laikotarpio pradžioje</t>
  </si>
  <si>
    <t>Grynosios pardavimų pajamos</t>
  </si>
  <si>
    <t>įskaitant:</t>
  </si>
  <si>
    <t>Owners' equity</t>
  </si>
  <si>
    <t>Retained earnings</t>
  </si>
  <si>
    <t>Other equity</t>
  </si>
  <si>
    <t>Total equity</t>
  </si>
  <si>
    <t xml:space="preserve"> = TOTAL LIABILITIES AND EQUITY</t>
  </si>
  <si>
    <t>Attention! Balance sheet is unbalanced!</t>
  </si>
  <si>
    <t>Chart: Project assets</t>
  </si>
  <si>
    <t>Chart: Project liabilities and equity</t>
  </si>
  <si>
    <t xml:space="preserve">         FINANCIAL RATIOS</t>
  </si>
  <si>
    <t>Return on assets</t>
  </si>
  <si>
    <t>Return on equity</t>
  </si>
  <si>
    <t>Return on fixed assets</t>
  </si>
  <si>
    <t xml:space="preserve">COGS / sales </t>
  </si>
  <si>
    <t>Gross margin</t>
  </si>
  <si>
    <t>Fixed costs / COGS</t>
  </si>
  <si>
    <t>Break-even point</t>
  </si>
  <si>
    <t>"Margin of safety"</t>
  </si>
  <si>
    <t>EBITDA margin</t>
  </si>
  <si>
    <t>EBIT margin</t>
  </si>
  <si>
    <t>Net margin</t>
  </si>
  <si>
    <t>Effective income tax rate</t>
  </si>
  <si>
    <t>Current ratio</t>
  </si>
  <si>
    <t>Solvency ratio</t>
  </si>
  <si>
    <t>Gearing ratio</t>
  </si>
  <si>
    <t>Long-term debt to total liabilities</t>
  </si>
  <si>
    <t xml:space="preserve">  įsigytos žaliavos ir atsargos (be PVM)</t>
  </si>
  <si>
    <t xml:space="preserve">  atsargos remiantis apyvartumo rodikliu</t>
  </si>
  <si>
    <t xml:space="preserve">  atsargos remiantis apmokėjimo už atsargas grafiku</t>
  </si>
  <si>
    <t xml:space="preserve">  apmokėtos žaliavos ir atsargos (be PVM) </t>
  </si>
  <si>
    <t xml:space="preserve">  kaštai įtraukti į realizuotą produkciją</t>
  </si>
  <si>
    <t xml:space="preserve">  kaštai įtraukti į pagamintą produkciją</t>
  </si>
  <si>
    <t xml:space="preserve">  kaštai įtraukti į nebaigtą gamybą</t>
  </si>
  <si>
    <t>Išlaidų rūšis</t>
  </si>
  <si>
    <t xml:space="preserve">  išlaidos be PVM</t>
  </si>
  <si>
    <t>Planuojamas poreikis vienam produkcijos vienetui</t>
  </si>
  <si>
    <t>Poreikis periodui</t>
  </si>
  <si>
    <t xml:space="preserve">  apmokėtos išlaidos (be PVM)</t>
  </si>
  <si>
    <t>Darbuotojų gamyboje skaičius</t>
  </si>
  <si>
    <t>Pagalbinių darbuotojų skaičius</t>
  </si>
  <si>
    <t xml:space="preserve">  -gamybos darbuotojų</t>
  </si>
  <si>
    <t xml:space="preserve">  -pagalbinių darbuotojų</t>
  </si>
  <si>
    <t xml:space="preserve">  -administracijos darbuotojų</t>
  </si>
  <si>
    <t xml:space="preserve">  -pardavimo ir marketingo darbuotojų</t>
  </si>
  <si>
    <t>Depreciation</t>
  </si>
  <si>
    <t>Land tax and other taxes deductible for income tax purposes</t>
  </si>
  <si>
    <t xml:space="preserve"> = Total: cost on income statement</t>
  </si>
  <si>
    <t xml:space="preserve">    raw materials and components</t>
  </si>
  <si>
    <t xml:space="preserve">    other variable costs</t>
  </si>
  <si>
    <t xml:space="preserve">    wages and salaries</t>
  </si>
  <si>
    <t xml:space="preserve">    taxes deductible for income tax purposes</t>
  </si>
  <si>
    <t xml:space="preserve">    production costs</t>
  </si>
  <si>
    <t xml:space="preserve">    leasing expenses</t>
  </si>
  <si>
    <t xml:space="preserve">    administrative expenses</t>
  </si>
  <si>
    <t xml:space="preserve">    sales and marketing expenses</t>
  </si>
  <si>
    <t xml:space="preserve"> = Total: current expenses</t>
  </si>
  <si>
    <t xml:space="preserve">    Raw materials and components</t>
  </si>
  <si>
    <t xml:space="preserve">    Wages and salaries (including payroll taxes and insurance)</t>
  </si>
  <si>
    <t xml:space="preserve">         EQUITY</t>
  </si>
  <si>
    <t>Owners' contribution</t>
  </si>
  <si>
    <t>Owner 1</t>
  </si>
  <si>
    <t>Owner 2</t>
  </si>
  <si>
    <t>Owner 3</t>
  </si>
  <si>
    <t>Owner 4</t>
  </si>
  <si>
    <t>Owner 5</t>
  </si>
  <si>
    <t>Financing from current business operation</t>
  </si>
  <si>
    <t xml:space="preserve">    the above, in terms of primary currency</t>
  </si>
  <si>
    <t xml:space="preserve">         CONSOLIDATED SUMMARY OF INVESTMENTS</t>
  </si>
  <si>
    <t>Su pardavimų ir marketingo darbuotojų darbo užmokesčiu susiję mokesčiai</t>
  </si>
  <si>
    <t>Administracijos darbuotojų darbo užmokestis</t>
  </si>
  <si>
    <t>Su administracijos darbuotojų darbo užmokesčiu susiję mokesčiai</t>
  </si>
  <si>
    <t>iš kurių PVM</t>
  </si>
  <si>
    <t>Nusidėvėjimas</t>
  </si>
  <si>
    <t>Paskolų grąžinimas</t>
  </si>
  <si>
    <t>Nuomos mokėjimai</t>
  </si>
  <si>
    <t>Sumokėti dividendai</t>
  </si>
  <si>
    <t>Pinigų srautai iš finansinės veiklos</t>
  </si>
  <si>
    <t>Grynųjų pinigų pokytis</t>
  </si>
  <si>
    <t>Grynieji pinigai laikotarpio pradžioje</t>
  </si>
  <si>
    <t>Grynieji pinigai laikotarpio pabaigoje</t>
  </si>
  <si>
    <t>Diagrama: Pinigų srautai</t>
  </si>
  <si>
    <t>Diagrama: grynieji pinigai</t>
  </si>
  <si>
    <t>Grynieji pinigai</t>
  </si>
  <si>
    <t>Sumokėtas PVM</t>
  </si>
  <si>
    <t>Kitas trumpalaikis turtas</t>
  </si>
  <si>
    <t xml:space="preserve">  žemė</t>
  </si>
  <si>
    <t xml:space="preserve">  pastatai ir statiniai</t>
  </si>
  <si>
    <t xml:space="preserve">  nematerialusis turtas</t>
  </si>
  <si>
    <t xml:space="preserve">  įranga ir kitas turtas</t>
  </si>
  <si>
    <t>Viso ilgalaikio turto</t>
  </si>
  <si>
    <t xml:space="preserve">  mokesčiai mažinantys pelno mokestį</t>
  </si>
  <si>
    <t xml:space="preserve">  išperkamosios nuomos sąnaudos</t>
  </si>
  <si>
    <t xml:space="preserve">  nusidėvejimas</t>
  </si>
  <si>
    <t xml:space="preserve">  adminitracinės sąnaudos</t>
  </si>
  <si>
    <t xml:space="preserve"> = Viso: einamosios išlaidos</t>
  </si>
  <si>
    <t xml:space="preserve">   be PVM</t>
  </si>
  <si>
    <t xml:space="preserve">   PVM</t>
  </si>
  <si>
    <t xml:space="preserve">   Administracinės sąnaudos</t>
  </si>
  <si>
    <t xml:space="preserve">   Pardavimų ir marketingo sąnaudos</t>
  </si>
  <si>
    <t xml:space="preserve">   Žaliavos ir komponentai</t>
  </si>
  <si>
    <t xml:space="preserve">   Darbo užmokesčio sąnaudos (įskaitant su darbo užmokesčiu susijusius mokesčius ir draudimą)</t>
  </si>
  <si>
    <t>Įstatinis kapitalas/Akcininkų įnašai</t>
  </si>
  <si>
    <t>Savininko 1</t>
  </si>
  <si>
    <t>Savininko 2</t>
  </si>
  <si>
    <t>Savininko 3</t>
  </si>
  <si>
    <t>Savininko 4</t>
  </si>
  <si>
    <t>Savininko 5</t>
  </si>
  <si>
    <t>Finansavimas iš dabartinės ūkinės veiklos</t>
  </si>
  <si>
    <t xml:space="preserve">    Finansavimas iš dabartinės ūkinės veiklos finansinės atsakitomybės valiuta</t>
  </si>
  <si>
    <t>Finansavimas iš investuotojų į statybas</t>
  </si>
  <si>
    <t>Info: grynieji pinigai laikotrapio pabaigai (dabartinis projektas)</t>
  </si>
  <si>
    <t>Info: grynieji pinigai laikotrapio pabaigai (visų projektų)</t>
  </si>
  <si>
    <t>Paskolos rūšis</t>
  </si>
  <si>
    <t>Прирост чистого оборотного капитала</t>
  </si>
  <si>
    <t>График: Движение денег по кредитам</t>
  </si>
  <si>
    <t>Chart: Debt cash flows</t>
  </si>
  <si>
    <t>График: Остаток задолженности по кредитам</t>
  </si>
  <si>
    <t>Chart: Outstanding debt</t>
  </si>
  <si>
    <t>График: Поступления от продаж</t>
  </si>
  <si>
    <t>Chart: Cash received from customers</t>
  </si>
  <si>
    <t>График: Выручка</t>
  </si>
  <si>
    <t>Chart: Net Sales</t>
  </si>
  <si>
    <t>График: Чистая прибыль</t>
  </si>
  <si>
    <t>Chart: Net Profit</t>
  </si>
  <si>
    <t>График: EBITDA</t>
  </si>
  <si>
    <t>Chart: EBITDA</t>
  </si>
  <si>
    <t>График: Суммарная выручка проектов</t>
  </si>
  <si>
    <t>Chart: Total Net Sales</t>
  </si>
  <si>
    <t>Себестоимость</t>
  </si>
  <si>
    <t>Cost of goods sold</t>
  </si>
  <si>
    <t>Прибыль (убыток) от операционной деятельности</t>
  </si>
  <si>
    <t>Оплата административного и коммерческого персонала</t>
  </si>
  <si>
    <t>Справочно:</t>
  </si>
  <si>
    <t xml:space="preserve">    Сырье и материалы</t>
  </si>
  <si>
    <t xml:space="preserve">    Прочие переменные расходы</t>
  </si>
  <si>
    <t xml:space="preserve">    Оплата производственного персонала</t>
  </si>
  <si>
    <t xml:space="preserve">    Лизинговые платежи</t>
  </si>
  <si>
    <t xml:space="preserve">    Прочие производственные расходы</t>
  </si>
  <si>
    <t xml:space="preserve">    Амортизация</t>
  </si>
  <si>
    <t>Прибыль до налога, процентов и амортизации (EBITDA)</t>
  </si>
  <si>
    <t>Прибыль до процентов и налога (EBIT)</t>
  </si>
  <si>
    <t>Налоги, кроме налога на прибыль</t>
  </si>
  <si>
    <t>Taxes, excl. income tax</t>
  </si>
  <si>
    <t xml:space="preserve">         RETURN ON LENDER(S)</t>
  </si>
  <si>
    <t>Chart: Net Present Value of Cash Flows (debt)</t>
  </si>
  <si>
    <t xml:space="preserve">         BUSINESS VALUATION</t>
  </si>
  <si>
    <t xml:space="preserve">    discount ratio in the middle of period</t>
  </si>
  <si>
    <t>Long-term growth rate</t>
  </si>
  <si>
    <t xml:space="preserve">    the above, recalculated per project step</t>
  </si>
  <si>
    <t>Cash flow for equity</t>
  </si>
  <si>
    <t>Net income</t>
  </si>
  <si>
    <t>Investment</t>
  </si>
  <si>
    <t>Change in long-term debt</t>
  </si>
  <si>
    <t>Discounted cash flow</t>
  </si>
  <si>
    <t>Terminal value</t>
  </si>
  <si>
    <t>Оплата расходов будущих периодов</t>
  </si>
  <si>
    <t xml:space="preserve">  Амортизация</t>
  </si>
  <si>
    <t xml:space="preserve">  Depreciation</t>
  </si>
  <si>
    <t xml:space="preserve">  Nusidėvėjimas</t>
  </si>
  <si>
    <t xml:space="preserve">    finansinio turto pelningumas</t>
  </si>
  <si>
    <t>Diagrama: Pinigų srautų grynoji dabartinė vertė (skolinto kapitalo)</t>
  </si>
  <si>
    <t xml:space="preserve">  diskonto norma laikotarpio viduriui</t>
  </si>
  <si>
    <t>Ilgalaikio augimo norma</t>
  </si>
  <si>
    <t xml:space="preserve">  ilgalaikio augimo norma perskaičiuota projekto etapui</t>
  </si>
  <si>
    <t>Pinigų srautai akcinio kapitalo savininkams</t>
  </si>
  <si>
    <t>Grynasis pelnas</t>
  </si>
  <si>
    <t>Ilgalaikių paskolų pokytis</t>
  </si>
  <si>
    <t>Diskontuoti grynųjų pinigų srautai</t>
  </si>
  <si>
    <t>Galutinė projeko vertė</t>
  </si>
  <si>
    <t>Grynasis veiklos pelnas, sumažintas pakoreguotais mokesčiais</t>
  </si>
  <si>
    <t>Diskontuota galutinė projekto vertė</t>
  </si>
  <si>
    <t>Viso vertė</t>
  </si>
  <si>
    <t>valstybinis</t>
  </si>
  <si>
    <t>regioninis/vietinis</t>
  </si>
  <si>
    <t>Mokestinių įplaukų dalys skirtingų lygių biudžetams</t>
  </si>
  <si>
    <t xml:space="preserve">Mokesčiai, susiję su darbo užmokesčiu </t>
  </si>
  <si>
    <t>Gyventojų pajamų mokestis (GPM)</t>
  </si>
  <si>
    <t>Nekilnojamajo turto mokestis</t>
  </si>
  <si>
    <t>Bendrasis pajamų mokestis</t>
  </si>
  <si>
    <t>GMP dydis (%)</t>
  </si>
  <si>
    <t>Centrinės valdžios surenkami mokesčiai</t>
  </si>
  <si>
    <t>Regioninės savivaldos surenkami mokesčiai</t>
  </si>
  <si>
    <t>Vyriausybės suteiktas finansavimas</t>
  </si>
  <si>
    <t>Centrinės valdžios</t>
  </si>
  <si>
    <t xml:space="preserve">  dotacijos</t>
  </si>
  <si>
    <t xml:space="preserve">  paskolos</t>
  </si>
  <si>
    <t xml:space="preserve">  paskolų grąžinimas</t>
  </si>
  <si>
    <t>Nepaskirstytasis pelnas (laikotarpio pabaigoje, sukauptas)</t>
  </si>
  <si>
    <t>Pinigų srautai iš pirkėjų</t>
  </si>
  <si>
    <t>Mokėjimai tiekėjams</t>
  </si>
  <si>
    <t>Mokėjimai darbuotojams</t>
  </si>
  <si>
    <t>Bendrosios sąnaudos</t>
  </si>
  <si>
    <t>Mokesčiai</t>
  </si>
  <si>
    <t>Kitos piniginės įplaukos</t>
  </si>
  <si>
    <t>Kitos piniginės išlaidos</t>
  </si>
  <si>
    <t>Pinigų srautai iš pagrindinės veiklos</t>
  </si>
  <si>
    <t>Pinigų srautai iš ilgalaikio turto pardavimo</t>
  </si>
  <si>
    <t>Administracijos darbuotojų skaičius</t>
  </si>
  <si>
    <t>Pardavimų ir marketino darbuotojų skaičius</t>
  </si>
  <si>
    <t>Viso</t>
  </si>
  <si>
    <t>Mėnesio darbo užmokestis</t>
  </si>
  <si>
    <t>Žmonių skaičius</t>
  </si>
  <si>
    <t>Pinigų srautai iš investicinės veiklos</t>
  </si>
  <si>
    <t>Nuosavo kapitalo įplaukos</t>
  </si>
  <si>
    <t>Paskolų įplaukos</t>
  </si>
  <si>
    <t>Fist period start date</t>
  </si>
  <si>
    <t>Duration</t>
  </si>
  <si>
    <t>Projects execution periods</t>
  </si>
  <si>
    <t>from period</t>
  </si>
  <si>
    <t>till period</t>
  </si>
  <si>
    <t>Budget start year</t>
  </si>
  <si>
    <t>График лизинговых платежей (с НДС)</t>
  </si>
  <si>
    <t>Tax base before loss write-off</t>
  </si>
  <si>
    <t xml:space="preserve">         CONSTRUCTION: SALE AT COMPLETION</t>
  </si>
  <si>
    <t xml:space="preserve"> = Total: Buildings and structures</t>
  </si>
  <si>
    <t>Описание проекта</t>
  </si>
  <si>
    <t>Незавершенные инвестиции</t>
  </si>
  <si>
    <t>Кредиты</t>
  </si>
  <si>
    <t>Целевое финансирование</t>
  </si>
  <si>
    <t>Отчет</t>
  </si>
  <si>
    <t>Версия программы</t>
  </si>
  <si>
    <t>Показывать диалог "О программе"?</t>
  </si>
  <si>
    <t>Метка ESTATE (всегда должна быть равна 0)</t>
  </si>
  <si>
    <t>Дата сборки</t>
  </si>
  <si>
    <t>Это демоверсия?</t>
  </si>
  <si>
    <t>Это версия СУММ?</t>
  </si>
  <si>
    <t>Это версия Строительство?</t>
  </si>
  <si>
    <t>Это пробная версия?</t>
  </si>
  <si>
    <t>Сборка дистрибутива выполнена?</t>
  </si>
  <si>
    <t>О программе</t>
  </si>
  <si>
    <t>Проект</t>
  </si>
  <si>
    <t>Пр.</t>
  </si>
  <si>
    <t>Портфель</t>
  </si>
  <si>
    <t>Current Language</t>
  </si>
  <si>
    <t>Russian</t>
  </si>
  <si>
    <t>English</t>
  </si>
  <si>
    <t>About</t>
  </si>
  <si>
    <t>Project</t>
  </si>
  <si>
    <t>Pr.</t>
  </si>
  <si>
    <t>Portfolio</t>
  </si>
  <si>
    <t>Report</t>
  </si>
  <si>
    <t>Строительство?</t>
  </si>
  <si>
    <t>Сумм?</t>
  </si>
  <si>
    <t>Ilagalikių paskolų ir visų įsipareigojimų santykis</t>
  </si>
  <si>
    <t>EBIT arba EBITDA ir palūkanų santykis</t>
  </si>
  <si>
    <t>Diagrama: Pelningumas</t>
  </si>
  <si>
    <t>Diagrama: Bendrojo pelno norma</t>
  </si>
  <si>
    <t>Diagrama: EBIT norma</t>
  </si>
  <si>
    <t>Metai</t>
  </si>
  <si>
    <t>(realioji - be infliacijos)</t>
  </si>
  <si>
    <t>(nominalioji - su infliacija)</t>
  </si>
  <si>
    <t>Įtrauktos ankstesniojo laikotarpio investicijos</t>
  </si>
  <si>
    <t>Įtraukta likutinė projekto turto vertė</t>
  </si>
  <si>
    <t>Skaičiavimo valiuta:</t>
  </si>
  <si>
    <t>Metinė diskonto norma:</t>
  </si>
  <si>
    <t xml:space="preserve">  periodo diskonto norma</t>
  </si>
  <si>
    <t xml:space="preserve">  diskonto norma laikotarpio pradžioje</t>
  </si>
  <si>
    <t xml:space="preserve">  diskonto norma laikotarpio pabaigoje</t>
  </si>
  <si>
    <t>Pinigų srautai įskaičiuojant:</t>
  </si>
  <si>
    <t>Pinigų srautai iš įprastinės veiklos</t>
  </si>
  <si>
    <t xml:space="preserve">  atimant palūkanas</t>
  </si>
  <si>
    <t>Ankstesniojo laikotarpio investicijos</t>
  </si>
  <si>
    <t>Likutinė projekto turto vertė</t>
  </si>
  <si>
    <t>Grynieji pinigų srautai</t>
  </si>
  <si>
    <t>Diskontuoti grynieji pinigų srautai</t>
  </si>
  <si>
    <t>Diskontuoti grynieji pinigų srautai, sukaupti</t>
  </si>
  <si>
    <t>Paprastasis atsipirkimo laikotarpis</t>
  </si>
  <si>
    <t xml:space="preserve">   nediskontuoti pinigų srautai, sukaupti</t>
  </si>
  <si>
    <t xml:space="preserve">  grynųjų pinigų likučio ženklas</t>
  </si>
  <si>
    <t xml:space="preserve">  grynųjų pinigų likučio laikotarpio pabaigoje ženklas</t>
  </si>
  <si>
    <t>Grynoji dabartinė vertė</t>
  </si>
  <si>
    <t>Diskontuotas atsipirkimo laikotarpis</t>
  </si>
  <si>
    <t xml:space="preserve">  diskontuotų grynųjų pinigų likučio ženklas</t>
  </si>
  <si>
    <t xml:space="preserve">  diskontuotų grynųjų pinigų likučio laikotarpio pabaigoje ženklas</t>
  </si>
  <si>
    <t>Vidinė grąžos norma</t>
  </si>
  <si>
    <t>Pelningumo koeficinetas</t>
  </si>
  <si>
    <t xml:space="preserve">  įplaukos</t>
  </si>
  <si>
    <t xml:space="preserve">  diskontuotos įplaukos</t>
  </si>
  <si>
    <t xml:space="preserve">  išlaidos</t>
  </si>
  <si>
    <t xml:space="preserve">  diskontuotos išlaidos</t>
  </si>
  <si>
    <t>Modifikuota vidinė grąžos norma</t>
  </si>
  <si>
    <t>Reinvestavimo norma</t>
  </si>
  <si>
    <t>Investicijų diskonto norma</t>
  </si>
  <si>
    <t>Diagrama: Pinigų srautų grynoji dabartinė vertė (visų investicijų)</t>
  </si>
  <si>
    <t>Diagrama: Pinigų srautų grynoji dabartinė vertė (akcinio kapitalo)</t>
  </si>
  <si>
    <t>Собственный капитал</t>
  </si>
  <si>
    <t>Кредиторская задолженность перед поставщиками</t>
  </si>
  <si>
    <t>Кредиторская задолженность перед бюджетом</t>
  </si>
  <si>
    <t>Прочие кредиторы</t>
  </si>
  <si>
    <t>Дебиторская задолженность покупателей</t>
  </si>
  <si>
    <t>Прочие дебиторы</t>
  </si>
  <si>
    <t>Итого активы</t>
  </si>
  <si>
    <t>Итого пассивы</t>
  </si>
  <si>
    <t>Метод расчетов</t>
  </si>
  <si>
    <t>Денежные средства</t>
  </si>
  <si>
    <t>Предполагаемый темп годового роста цен</t>
  </si>
  <si>
    <t>для основной валюты</t>
  </si>
  <si>
    <t>То же, в пересчете на период, равный шагу проекта</t>
  </si>
  <si>
    <t>Множитель прироста цен для основной валюты</t>
  </si>
  <si>
    <t>Предполагаемый годовой темп прироста</t>
  </si>
  <si>
    <t>обменного курса иностранной валюты</t>
  </si>
  <si>
    <t xml:space="preserve">АЛЬТ-Инвест™ </t>
  </si>
  <si>
    <t xml:space="preserve">Сумм </t>
  </si>
  <si>
    <t xml:space="preserve">Строительство </t>
  </si>
  <si>
    <t xml:space="preserve">Демо </t>
  </si>
  <si>
    <t xml:space="preserve">Пробная версия </t>
  </si>
  <si>
    <t xml:space="preserve">ALT-Invest™ </t>
  </si>
  <si>
    <t xml:space="preserve">Summ </t>
  </si>
  <si>
    <t xml:space="preserve">Demo </t>
  </si>
  <si>
    <t xml:space="preserve">Trial </t>
  </si>
  <si>
    <t>Название проекта:</t>
  </si>
  <si>
    <t>Проект 1</t>
  </si>
  <si>
    <t>Дата начала проекта</t>
  </si>
  <si>
    <t>Срок жизни проекта</t>
  </si>
  <si>
    <t>Шаг планирования</t>
  </si>
  <si>
    <t>Длительность шага планирования</t>
  </si>
  <si>
    <t>Основная валюта расчета</t>
  </si>
  <si>
    <t>Иностранная валюта</t>
  </si>
  <si>
    <t>Валюта для отображения результатов</t>
  </si>
  <si>
    <t>год</t>
  </si>
  <si>
    <t>тыс. руб.</t>
  </si>
  <si>
    <t>$</t>
  </si>
  <si>
    <t>Язык интерфейса и таблиц</t>
  </si>
  <si>
    <t>Защита</t>
  </si>
  <si>
    <t>Показывать реальные даты в названиях периодов?</t>
  </si>
  <si>
    <t>Год начала проекта</t>
  </si>
  <si>
    <t>Месяц начала проекта</t>
  </si>
  <si>
    <t>Номера периодов</t>
  </si>
  <si>
    <t>Наименования периодов без учета дат</t>
  </si>
  <si>
    <t>Дата начала периода</t>
  </si>
  <si>
    <t>Наименования периодов с учетом дат</t>
  </si>
  <si>
    <t>мес.</t>
  </si>
  <si>
    <t>кв.</t>
  </si>
  <si>
    <t>пг.</t>
  </si>
  <si>
    <t>лет</t>
  </si>
  <si>
    <t>месяц</t>
  </si>
  <si>
    <t>квартал</t>
  </si>
  <si>
    <t>полугодие</t>
  </si>
  <si>
    <t>дн.</t>
  </si>
  <si>
    <t>руб.</t>
  </si>
  <si>
    <t>EUR</t>
  </si>
  <si>
    <t>GBP</t>
  </si>
  <si>
    <t>гр.</t>
  </si>
  <si>
    <t>тнг.</t>
  </si>
  <si>
    <t>тыс. $</t>
  </si>
  <si>
    <t>тыс. EUR</t>
  </si>
  <si>
    <t>тыс. GBP</t>
  </si>
  <si>
    <t>тыс. гр.</t>
  </si>
  <si>
    <t>тыс. тнг</t>
  </si>
  <si>
    <t>леи</t>
  </si>
  <si>
    <t>тыс. леев</t>
  </si>
  <si>
    <t>Русский</t>
  </si>
  <si>
    <t>Включена</t>
  </si>
  <si>
    <t>Выключена</t>
  </si>
  <si>
    <t>Да</t>
  </si>
  <si>
    <t>Нет</t>
  </si>
  <si>
    <t>int_start</t>
  </si>
  <si>
    <t>Внеоборотные активы</t>
  </si>
  <si>
    <t>Запасы сырья и материалов</t>
  </si>
  <si>
    <t>Запасы готовой продукции</t>
  </si>
  <si>
    <t>Viso pinigų srautai centrinei valdžiai</t>
  </si>
  <si>
    <t>Viso pinigų srautai regioninei savivaldai</t>
  </si>
  <si>
    <t>Diskonto norma</t>
  </si>
  <si>
    <t>Diskontuoti pinigų srautai centrinei valdžiai</t>
  </si>
  <si>
    <t>Diskontuoti pinigų srautai regioninei savivaldai</t>
  </si>
  <si>
    <t xml:space="preserve">Grynoji dabartinė pinigų srautų centrinei valdžiai vertė </t>
  </si>
  <si>
    <t xml:space="preserve">Grynoji dabartinė pinigų srautų regioninei savivaldai vertė </t>
  </si>
  <si>
    <t xml:space="preserve">    PAGRINDINIAI PROJEKTO PARAMETRAI</t>
  </si>
  <si>
    <t>Pardavimai (be PVM)</t>
  </si>
  <si>
    <t>Gamybos savikaina (be PVM)</t>
  </si>
  <si>
    <t>Investicijos į ilgalaikį turtą</t>
  </si>
  <si>
    <t>Investicijos į akcinį kapitalą ir dotacijos</t>
  </si>
  <si>
    <t xml:space="preserve">         CONSOLIDATED BALANCE SHEET</t>
  </si>
  <si>
    <t>Chart: Consolidated assets</t>
  </si>
  <si>
    <t xml:space="preserve">    расчетная величина лизинговых платежей (без НДС)</t>
  </si>
  <si>
    <t>Реальная величина лизинговых платежей (с НДС)</t>
  </si>
  <si>
    <t>Gautos paskolos</t>
  </si>
  <si>
    <t>Investicijų efektyvumas</t>
  </si>
  <si>
    <t>Akcinio kapitalo grąža</t>
  </si>
  <si>
    <t>Skolinto kapitalo grąža</t>
  </si>
  <si>
    <t>Kompanijos projektų portfelis</t>
  </si>
  <si>
    <t>Kompanijos pavadinimas:</t>
  </si>
  <si>
    <t>Kompanija be pavadinimo</t>
  </si>
  <si>
    <t>Projektų sąrašas</t>
  </si>
  <si>
    <t>Įskaičiuoti?</t>
  </si>
  <si>
    <t>Šaltinis</t>
  </si>
  <si>
    <t>Paskutinį kartą atnaujinta pagal išorės duomenis:</t>
  </si>
  <si>
    <t>Projektų portfelio biudžeto parametrai</t>
  </si>
  <si>
    <t>Pirmojo laikotarpio pradžios data</t>
  </si>
  <si>
    <t>Trukmė</t>
  </si>
  <si>
    <t>Planavimo žingsnis (mėnesis, ketvirtis, metai)</t>
  </si>
  <si>
    <t>Projektų vykdymo terminai</t>
  </si>
  <si>
    <t>nuo laikotarpio</t>
  </si>
  <si>
    <t>iki laikotrapio</t>
  </si>
  <si>
    <t>Biudžeto metų pradžia</t>
  </si>
  <si>
    <t>Biudžeto pradžios mėnuo</t>
  </si>
  <si>
    <t>Laikotarpių skaičius</t>
  </si>
  <si>
    <t>без выкупа (учет на балансе лизингодателя)</t>
  </si>
  <si>
    <t>без выкупа (учет на балансе лизингополучателя)</t>
  </si>
  <si>
    <t>Постоянные цены (без учета инфляции)</t>
  </si>
  <si>
    <t>Текущие цены (с учетом инфляции)</t>
  </si>
  <si>
    <t>Авансовый платеж (с НДС)</t>
  </si>
  <si>
    <t xml:space="preserve">    оплачено сырья и материалов (без НДС)</t>
  </si>
  <si>
    <t xml:space="preserve">    выплаченные авансы</t>
  </si>
  <si>
    <t>Основной производственный персонал</t>
  </si>
  <si>
    <t>Вспомогательный производственный персонал</t>
  </si>
  <si>
    <t>Административный персонал</t>
  </si>
  <si>
    <t>Коммерческий персонал</t>
  </si>
  <si>
    <t>Общая численность персонала</t>
  </si>
  <si>
    <t>Мес. оклад</t>
  </si>
  <si>
    <t>чел.</t>
  </si>
  <si>
    <t>qnt;int_avg</t>
  </si>
  <si>
    <t>summprj;int_sum</t>
  </si>
  <si>
    <t>summprj;int_end</t>
  </si>
  <si>
    <t>Общие производственные расходы</t>
  </si>
  <si>
    <t>Расходы на зарплату с учетом ЕСН и страхования</t>
  </si>
  <si>
    <t>Прямые производственные расходы</t>
  </si>
  <si>
    <t>Зарплата вспомогательного произв. персонала</t>
  </si>
  <si>
    <t>ЕСН на зарплату вспомогательного произв. персонала</t>
  </si>
  <si>
    <t>Зарплата коммерческого персонала</t>
  </si>
  <si>
    <t>ЕСН на зарплату коммерческого персонала</t>
  </si>
  <si>
    <t>Зарплата административного персонала</t>
  </si>
  <si>
    <t>ЕСН на зарплату административного персонала</t>
  </si>
  <si>
    <t>в том числе НДС</t>
  </si>
  <si>
    <t>Амортизация</t>
  </si>
  <si>
    <t>Земельный и другие налоги, относимые на текущие затраты</t>
  </si>
  <si>
    <t>1_02</t>
  </si>
  <si>
    <t xml:space="preserve"> = Итого: затраты в отчете о прибылях и убытках</t>
  </si>
  <si>
    <t xml:space="preserve">    материалы и комплектующие</t>
  </si>
  <si>
    <t xml:space="preserve">    оплата труда</t>
  </si>
  <si>
    <t xml:space="preserve">    налоги, относимые на текущие затраты</t>
  </si>
  <si>
    <t xml:space="preserve">    производственные расходы</t>
  </si>
  <si>
    <t xml:space="preserve">    начисленные лизинговые платежи</t>
  </si>
  <si>
    <t xml:space="preserve">    амортизация</t>
  </si>
  <si>
    <t xml:space="preserve">    коммерческие расходы</t>
  </si>
  <si>
    <t>Жилые площади</t>
  </si>
  <si>
    <t>Living area</t>
  </si>
  <si>
    <t xml:space="preserve">    административные расходы</t>
  </si>
  <si>
    <t xml:space="preserve"> = Итого: оплата текущих расходов</t>
  </si>
  <si>
    <t xml:space="preserve">    Материалы и комплектующие</t>
  </si>
  <si>
    <t>Денежные средства на конец периода</t>
  </si>
  <si>
    <t>Поступления собственного капитала</t>
  </si>
  <si>
    <t>Дебиторская задолженность</t>
  </si>
  <si>
    <t>Авансы уплаченные</t>
  </si>
  <si>
    <t>Готовая продукция</t>
  </si>
  <si>
    <t>Материалы и комплектующие</t>
  </si>
  <si>
    <t>НДС на приобретенные товары</t>
  </si>
  <si>
    <t>Прочие оборотные активы</t>
  </si>
  <si>
    <t>Суммарные оборотные активы</t>
  </si>
  <si>
    <t xml:space="preserve">    здания и сооружения</t>
  </si>
  <si>
    <t xml:space="preserve">    оборудование и прочие активы</t>
  </si>
  <si>
    <t>Незавершенные капиталовложения</t>
  </si>
  <si>
    <t>Суммарные внеоборотные активы</t>
  </si>
  <si>
    <t xml:space="preserve"> = ИТОГО АКТИВОВ</t>
  </si>
  <si>
    <t>Кредиторская задолженность</t>
  </si>
  <si>
    <t xml:space="preserve">    за поставленные товары</t>
  </si>
  <si>
    <t>Расчеты с бюджетом</t>
  </si>
  <si>
    <t>Расчеты с персоналом</t>
  </si>
  <si>
    <t>Авансы покупателей</t>
  </si>
  <si>
    <t>Краткосрочные кредиты</t>
  </si>
  <si>
    <t>Прочие краткосрочные обязательства</t>
  </si>
  <si>
    <t xml:space="preserve">    амортизация (линейная),       для срока использования:</t>
  </si>
  <si>
    <t xml:space="preserve">    импортная пошлина</t>
  </si>
  <si>
    <t xml:space="preserve">    доходность финансовых вложений</t>
  </si>
  <si>
    <t xml:space="preserve">    авансы выданные</t>
  </si>
  <si>
    <t>Учитывать при оценке эффективности в сумме</t>
  </si>
  <si>
    <t>1_03</t>
  </si>
  <si>
    <t>1_04</t>
  </si>
  <si>
    <t>1_11</t>
  </si>
  <si>
    <t>1_12</t>
  </si>
  <si>
    <t>1_13</t>
  </si>
  <si>
    <t>1_14</t>
  </si>
  <si>
    <t>1_05; int_end</t>
  </si>
  <si>
    <t>1_06; int_end</t>
  </si>
  <si>
    <t>1_09; int_end</t>
  </si>
  <si>
    <t>1_10; int_end</t>
  </si>
  <si>
    <t>1_07; int_end</t>
  </si>
  <si>
    <t>1_08; int_end</t>
  </si>
  <si>
    <t>1_16</t>
  </si>
  <si>
    <t>1_17; int_end</t>
  </si>
  <si>
    <t>1_18</t>
  </si>
  <si>
    <t>Инвестиции в здания и сооружения</t>
  </si>
  <si>
    <t xml:space="preserve">    затраты без НДС</t>
  </si>
  <si>
    <t>Прочие переменные затраты</t>
  </si>
  <si>
    <t xml:space="preserve">    прочие переменные затраты</t>
  </si>
  <si>
    <t>Акцизы и экспортные пошлины</t>
  </si>
  <si>
    <t>Импортные пошлины</t>
  </si>
  <si>
    <t xml:space="preserve">    ставка</t>
  </si>
  <si>
    <t xml:space="preserve">    период уплаты</t>
  </si>
  <si>
    <t xml:space="preserve">    способ зачета переплаченного НДС</t>
  </si>
  <si>
    <t>НДС полученный</t>
  </si>
  <si>
    <t xml:space="preserve">    от продажи товаров (работ, услуг)</t>
  </si>
  <si>
    <t xml:space="preserve">    investment stage starts in the</t>
  </si>
  <si>
    <t xml:space="preserve">    план реализации</t>
  </si>
  <si>
    <t xml:space="preserve">    склад готовой продукции</t>
  </si>
  <si>
    <t>Плановый расход на единицу продукции</t>
  </si>
  <si>
    <t xml:space="preserve">    списано затрат на реализованную продукцию</t>
  </si>
  <si>
    <t xml:space="preserve">    остаток затрат на складе готовой продукции</t>
  </si>
  <si>
    <t>Наименование материала</t>
  </si>
  <si>
    <t>Raw material or component name</t>
  </si>
  <si>
    <t>Name of cost</t>
  </si>
  <si>
    <t xml:space="preserve">    остаток затрат в незавершенном производстве</t>
  </si>
  <si>
    <t>Курсовые разницы</t>
  </si>
  <si>
    <t>Учитывать остаточную стоимость проекта</t>
  </si>
  <si>
    <t>Валюта расчетов:</t>
  </si>
  <si>
    <t>Годовая ставка дисконтирования:</t>
  </si>
  <si>
    <t xml:space="preserve">    ставка дисконтирования на расчетный период</t>
  </si>
  <si>
    <t xml:space="preserve">    коэффициент дисконта</t>
  </si>
  <si>
    <t>Учитываемые денежные потоки проекта:</t>
  </si>
  <si>
    <t xml:space="preserve">    за исключением процентов по кредитам</t>
  </si>
  <si>
    <t>Поступления целевого финансирования</t>
  </si>
  <si>
    <t>Ранее осуществленные инвестиции</t>
  </si>
  <si>
    <t>Остаточная стоимость проекта</t>
  </si>
  <si>
    <t>Чистый денежный поток</t>
  </si>
  <si>
    <t>Дисконтированный чистый денежный поток</t>
  </si>
  <si>
    <t>Дисконтированный поток нарастающим итогом</t>
  </si>
  <si>
    <t>Простой срок окупаемости</t>
  </si>
  <si>
    <t xml:space="preserve">    недисконтированный поток нарастающим итогом</t>
  </si>
  <si>
    <t xml:space="preserve">    знак остатка денежных средств</t>
  </si>
  <si>
    <t xml:space="preserve">    знак остатка денежных средств (с конца)</t>
  </si>
  <si>
    <t>Чистая приведенная стоимость (NPV)</t>
  </si>
  <si>
    <t>Дисконтированный срок окупаемости (PBP)</t>
  </si>
  <si>
    <t xml:space="preserve">    знак остатка дисконтированных денежных средств</t>
  </si>
  <si>
    <t xml:space="preserve">    знак остатка дисконтированных денежных средств (с конца)</t>
  </si>
  <si>
    <t>Внутренняя норма рентабельности (IRR)</t>
  </si>
  <si>
    <t>Модифицированная IRR (MIRR)</t>
  </si>
  <si>
    <t>Ставка реинвестирования доходов</t>
  </si>
  <si>
    <t>Начало строительства очереди</t>
  </si>
  <si>
    <t>Ставка дисконтирования инвестиционных затрат</t>
  </si>
  <si>
    <t>Учитывать ранее осуществленные инвестиции</t>
  </si>
  <si>
    <t xml:space="preserve">    в пересчете на период, равный шагу проекта</t>
  </si>
  <si>
    <t>Площадь</t>
  </si>
  <si>
    <t>кв. м</t>
  </si>
  <si>
    <t>Стадия строительства №1</t>
  </si>
  <si>
    <t>Стоимость одного кв. м (с НДС)</t>
  </si>
  <si>
    <t>Внимание! Сумма продаваемых долей не может превышать 100%</t>
  </si>
  <si>
    <t>Стоимость оставшейся доли объекта на начало периода:</t>
  </si>
  <si>
    <t>К оплате от покупателей</t>
  </si>
  <si>
    <t xml:space="preserve">    проценты по новым инвестиционным кредитам</t>
  </si>
  <si>
    <t>Прибыль / убыток от реализации внеоборотных активов</t>
  </si>
  <si>
    <t>Денежные средства на начало периода</t>
  </si>
  <si>
    <t xml:space="preserve">   НДС к зачету</t>
  </si>
  <si>
    <t xml:space="preserve">   НДС в бюджет</t>
  </si>
  <si>
    <t>Передача площадей</t>
  </si>
  <si>
    <t xml:space="preserve">    передача площадей</t>
  </si>
  <si>
    <t>Итого: Поступление финансирования</t>
  </si>
  <si>
    <t>Итого: Передано площадей на сумму</t>
  </si>
  <si>
    <t xml:space="preserve">    передано влощадей в кв. м</t>
  </si>
  <si>
    <t>Цены за кв. м (с НДС)</t>
  </si>
  <si>
    <t>Проценты по кредитам на инвестиционной фазе</t>
  </si>
  <si>
    <t>Общая величина ранее осуществленных инвестиций</t>
  </si>
  <si>
    <t xml:space="preserve">    в том числе НДС</t>
  </si>
  <si>
    <t xml:space="preserve"> = Итого: Здания и сооружения</t>
  </si>
  <si>
    <t xml:space="preserve">    балансовая стоимость</t>
  </si>
  <si>
    <t xml:space="preserve">    прибыль/убыток от реализации активов</t>
  </si>
  <si>
    <t xml:space="preserve"> = Итого: Земельные участки</t>
  </si>
  <si>
    <t xml:space="preserve"> = Итого: Нематериальные активы</t>
  </si>
  <si>
    <t xml:space="preserve"> = Итого: Финансовые вложения</t>
  </si>
  <si>
    <t xml:space="preserve"> = Итого: Оборудование и другие активы</t>
  </si>
  <si>
    <t xml:space="preserve"> = Итого: Расходы будущих периодов</t>
  </si>
  <si>
    <t xml:space="preserve"> = Итого: ВСЕ АКТИВЫ</t>
  </si>
  <si>
    <t>Рентабельность активов</t>
  </si>
  <si>
    <t>Рентабельность собственного капитала</t>
  </si>
  <si>
    <t xml:space="preserve"> = Итого: Начисление процентов</t>
  </si>
  <si>
    <t xml:space="preserve">    задолженность по кредитам на оборотный капитал</t>
  </si>
  <si>
    <t>Общий коэффициент покрытия долга</t>
  </si>
  <si>
    <t>разы</t>
  </si>
  <si>
    <t>Существующие кредиты</t>
  </si>
  <si>
    <t>Новые кредиты</t>
  </si>
  <si>
    <t>2/1_01</t>
  </si>
  <si>
    <t>2/1_02</t>
  </si>
  <si>
    <t>2/1_03</t>
  </si>
  <si>
    <t>2/1_07</t>
  </si>
  <si>
    <t>2/1_04;int_end</t>
  </si>
  <si>
    <t>Потребность в инвестициях</t>
  </si>
  <si>
    <t>Инвестиции в нематериальные активы</t>
  </si>
  <si>
    <t>Инвестиции в оборудование и прочие активы</t>
  </si>
  <si>
    <t>Инвестиции в оборотный капитал</t>
  </si>
  <si>
    <t>Инвестиции в земельные участки</t>
  </si>
  <si>
    <t>Средства от текущей деятельности</t>
  </si>
  <si>
    <t>Дивиденды</t>
  </si>
  <si>
    <t>Лизинговые платежи</t>
  </si>
  <si>
    <t>Возврат кредитов</t>
  </si>
  <si>
    <t>Минимальный остаток средств на счете</t>
  </si>
  <si>
    <t>Выручка (нетто)</t>
  </si>
  <si>
    <t>Валовая прибыль</t>
  </si>
  <si>
    <t>Проценты</t>
  </si>
  <si>
    <t>Налог на прибыль</t>
  </si>
  <si>
    <t>в том числе</t>
  </si>
  <si>
    <t>Чистая прибыль (убыток)</t>
  </si>
  <si>
    <t>Нераспределенная прибыль</t>
  </si>
  <si>
    <t>Налоги, относимые на финансовые результаты</t>
  </si>
  <si>
    <t>Поступления от продаж</t>
  </si>
  <si>
    <t>Затраты на материалы и комплектующие</t>
  </si>
  <si>
    <t>Зарплата</t>
  </si>
  <si>
    <t>Общие затраты</t>
  </si>
  <si>
    <t>Налоги</t>
  </si>
  <si>
    <t>Выплата процентов по кредитам</t>
  </si>
  <si>
    <t>Прочие поступления</t>
  </si>
  <si>
    <t>Прочие затраты</t>
  </si>
  <si>
    <t>Денежные потоки от операционной деятельности</t>
  </si>
  <si>
    <t>Выручка от реализации активов</t>
  </si>
  <si>
    <t>Денежные потоки от инвестиционной деятельности</t>
  </si>
  <si>
    <t>Поступления кредитов</t>
  </si>
  <si>
    <t>Выплата дивидендов</t>
  </si>
  <si>
    <t xml:space="preserve">         ЛИЗИНГ</t>
  </si>
  <si>
    <t xml:space="preserve">         ПЛАН РЕАЛИЗАЦИИ</t>
  </si>
  <si>
    <t>Суммарные краткосрочные обязательства</t>
  </si>
  <si>
    <t>Долгосрочные обязательства</t>
  </si>
  <si>
    <t>Прочие источники финансирования</t>
  </si>
  <si>
    <t>Суммарный собственный капитал</t>
  </si>
  <si>
    <t>Оплата строительства объекта</t>
  </si>
  <si>
    <t xml:space="preserve">    оплата без НДС</t>
  </si>
  <si>
    <t>Выполненный объем работ</t>
  </si>
  <si>
    <t xml:space="preserve">    работы без НДС</t>
  </si>
  <si>
    <t>Авансы подрядчикам (без НДС)</t>
  </si>
  <si>
    <t>Кредиторская задолженность подрядчикам (без НДС)</t>
  </si>
  <si>
    <t>Стоимость завершенного объекта</t>
  </si>
  <si>
    <t xml:space="preserve">    стоимость без НДС</t>
  </si>
  <si>
    <t>Доля площадей к передаче дольщикам / соинвесторам</t>
  </si>
  <si>
    <t>Доля площадей к продаже</t>
  </si>
  <si>
    <t>Учет доли объекта для собственного использования</t>
  </si>
  <si>
    <t>Здания и сооружения на балансе</t>
  </si>
  <si>
    <t>Срок амортизации</t>
  </si>
  <si>
    <t>Инвестиции в финансовые активы</t>
  </si>
  <si>
    <t xml:space="preserve">    при оплате инвестиционных вложений</t>
  </si>
  <si>
    <t xml:space="preserve">    зачтенный НДС на инвестиционные вложения</t>
  </si>
  <si>
    <t>НДС как актив</t>
  </si>
  <si>
    <t xml:space="preserve">    план производства</t>
  </si>
  <si>
    <t xml:space="preserve">    инвестиционная фаза начинается с начала</t>
  </si>
  <si>
    <t xml:space="preserve">         БЮДЖЕТНАЯ ЭФФЕКТИВНОСТЬ</t>
  </si>
  <si>
    <t xml:space="preserve">         ОСНОВНЫЕ ПОКАЗАТЕЛИ ПРОЕКТА</t>
  </si>
  <si>
    <t xml:space="preserve">         ПРИЛОЖЕНИЕ К ОТЧЕТУ О ПРИБЫЛЯХ И УБЫТКАХ</t>
  </si>
  <si>
    <t>Прочие доходы</t>
  </si>
  <si>
    <t>Прочие расходы</t>
  </si>
  <si>
    <t>Не пересчитывать налог</t>
  </si>
  <si>
    <t xml:space="preserve">         то же, в итоговой валюте</t>
  </si>
  <si>
    <t>Value of remaining property at the beginning of the period:</t>
  </si>
  <si>
    <t xml:space="preserve">    outflows</t>
  </si>
  <si>
    <t xml:space="preserve">    discounted outflows</t>
  </si>
  <si>
    <t>Parameter to be changed</t>
  </si>
  <si>
    <t>Range</t>
  </si>
  <si>
    <t>from:</t>
  </si>
  <si>
    <t>step:</t>
  </si>
  <si>
    <t>Resulting parameter</t>
  </si>
  <si>
    <t>Calculated values</t>
  </si>
  <si>
    <t>Result</t>
  </si>
  <si>
    <t>Chart: Sensitivity analysis</t>
  </si>
  <si>
    <t>Properties of calculation</t>
  </si>
  <si>
    <t>Sales volume (in pcs)</t>
  </si>
  <si>
    <t>Sales price</t>
  </si>
  <si>
    <t>&lt;end of list&gt;</t>
  </si>
  <si>
    <t>NPV</t>
  </si>
  <si>
    <t>NPV for equity investments</t>
  </si>
  <si>
    <t>NPV for banks</t>
  </si>
  <si>
    <t>Total net profit</t>
  </si>
  <si>
    <t>relative to planned value</t>
  </si>
  <si>
    <t>Accrued special taxes</t>
  </si>
  <si>
    <t>Use</t>
  </si>
  <si>
    <t>Don't use</t>
  </si>
  <si>
    <t>Subtract</t>
  </si>
  <si>
    <t>Баланс не сходится!</t>
  </si>
  <si>
    <t>Don't balance</t>
  </si>
  <si>
    <t xml:space="preserve">    амортизация за текущий период</t>
  </si>
  <si>
    <t>Зачет НДС</t>
  </si>
  <si>
    <t xml:space="preserve">    прибыль / убыток от продажи объекта</t>
  </si>
  <si>
    <t xml:space="preserve">    НДС к выручке от продажи объекта</t>
  </si>
  <si>
    <t>Авансы подрядчикам</t>
  </si>
  <si>
    <t>Кредиторская задолженность подрядчикам</t>
  </si>
  <si>
    <t>Учет доли к передаче дольщикам / соинвесторам</t>
  </si>
  <si>
    <t>Списание стоимости переданных площадей:</t>
  </si>
  <si>
    <t xml:space="preserve">    доля объекта, переданная в текущем периоде</t>
  </si>
  <si>
    <t xml:space="preserve">    непроданная доля объекта</t>
  </si>
  <si>
    <t>Доходы от продажи площадей</t>
  </si>
  <si>
    <t>Поступления от продажи площадей</t>
  </si>
  <si>
    <t xml:space="preserve">    доходы без НДС</t>
  </si>
  <si>
    <t>Передача проданных площадей</t>
  </si>
  <si>
    <t xml:space="preserve">    передача без НДС</t>
  </si>
  <si>
    <t>Себестоимость проданных площадей</t>
  </si>
  <si>
    <t>Полученные авансы</t>
  </si>
  <si>
    <t xml:space="preserve">   НДС с авансов</t>
  </si>
  <si>
    <t>Доходы от аренды</t>
  </si>
  <si>
    <t>Учет объекта в текущих активах</t>
  </si>
  <si>
    <t xml:space="preserve">     НДС к существующим активам</t>
  </si>
  <si>
    <t xml:space="preserve">    VAT on present assets</t>
  </si>
  <si>
    <t xml:space="preserve">  dabartinis turtas PVM</t>
  </si>
  <si>
    <t>График: Окупаемость проектов (для банка)</t>
  </si>
  <si>
    <t xml:space="preserve">         ОСНОВНЫЕ ПОКАЗАТЕЛИ ПРОЕКТОВ</t>
  </si>
  <si>
    <t>Прямые расходы к выручке от реализации</t>
  </si>
  <si>
    <t>Рентабельность по EBITDA</t>
  </si>
  <si>
    <t>Рентабельность по EBIT</t>
  </si>
  <si>
    <t>График: Рентабельность активов</t>
  </si>
  <si>
    <t>График: Прибыльность продаж</t>
  </si>
  <si>
    <t>График: Рентабельность по EBITDA</t>
  </si>
  <si>
    <t>Прибыль до налогообложения</t>
  </si>
  <si>
    <t>Project description</t>
  </si>
  <si>
    <t xml:space="preserve">         PROJECT SETTINGS</t>
  </si>
  <si>
    <t>Project title:</t>
  </si>
  <si>
    <t>Project 1</t>
  </si>
  <si>
    <t>Project start date</t>
  </si>
  <si>
    <t>Project duration</t>
  </si>
  <si>
    <t>Planning step</t>
  </si>
  <si>
    <t>Duration of planning step</t>
  </si>
  <si>
    <t>Primary currency</t>
  </si>
  <si>
    <t>Foreign currency</t>
  </si>
  <si>
    <t>Currency for financial reports</t>
  </si>
  <si>
    <t>Calculation method</t>
  </si>
  <si>
    <t>Constant prices (without inflation adjustment)</t>
  </si>
  <si>
    <t>Передано площадей на сумму</t>
  </si>
  <si>
    <t>Доля площадей, не облагаемых НДС</t>
  </si>
  <si>
    <t xml:space="preserve"> = Итого: Задолженность по кредитам</t>
  </si>
  <si>
    <t xml:space="preserve">    задолженность по инвестиционным кредитам</t>
  </si>
  <si>
    <t xml:space="preserve">    проценты начисленные</t>
  </si>
  <si>
    <t>Начисленные проценты</t>
  </si>
  <si>
    <t>int_rate;int_avg</t>
  </si>
  <si>
    <t>Инвестиционный кредит из федерального бюджета</t>
  </si>
  <si>
    <t>Инвестиционный кредит из регионального бюджета</t>
  </si>
  <si>
    <t>Кредит на пополнение оборотных средств</t>
  </si>
  <si>
    <t>Инвестиционный кредит</t>
  </si>
  <si>
    <t>autoloan_button</t>
  </si>
  <si>
    <t xml:space="preserve">    в том числе по процентам</t>
  </si>
  <si>
    <t>Задолженность на начало текущего периода</t>
  </si>
  <si>
    <t>График: Движение денежных средств</t>
  </si>
  <si>
    <t>График: Остаток денежных средств</t>
  </si>
  <si>
    <t>График: Активы проекта</t>
  </si>
  <si>
    <t>График: Пассивы проекта</t>
  </si>
  <si>
    <t>года</t>
  </si>
  <si>
    <t>(реальная - без учета инфляции)</t>
  </si>
  <si>
    <t>(номинальная - с учетом инфляции)</t>
  </si>
  <si>
    <t>Норма доходности дисконтированных затрат (PI)</t>
  </si>
  <si>
    <t xml:space="preserve">    притоки</t>
  </si>
  <si>
    <t xml:space="preserve">    дисконтированные притоки</t>
  </si>
  <si>
    <t xml:space="preserve">    оттоки</t>
  </si>
  <si>
    <t xml:space="preserve">    дисконтированные оттоки</t>
  </si>
  <si>
    <t>Итого - поступления от продаж</t>
  </si>
  <si>
    <t>ПРИВЛЕЧЕНИЕ ДОЛЬЩИКОВ/СОИНВЕСТОРОВ</t>
  </si>
  <si>
    <t>ПРОДАЖА ГОТОВЫХ ПЛОЩАДЕЙ (ПОКУПАТЕЛИ)</t>
  </si>
  <si>
    <t>СОБСТВЕННОЕ ИСПОЛЬЗОВАНИЕ ОБЪЕКТА</t>
  </si>
  <si>
    <t>Итого - стоимость переданных площадей</t>
  </si>
  <si>
    <t>Ставка, за кв. м в год (с НДС)</t>
  </si>
  <si>
    <t>Доступные для сдачи площади</t>
  </si>
  <si>
    <t>Сдано в аренду</t>
  </si>
  <si>
    <t>Поступления от аренды</t>
  </si>
  <si>
    <t>Прочие доходы (без НДС)</t>
  </si>
  <si>
    <t>Прочие расходы (без НДС)</t>
  </si>
  <si>
    <t>Данные для иностранной валюты</t>
  </si>
  <si>
    <t>Расход за период</t>
  </si>
  <si>
    <t xml:space="preserve">    оплачено расходов (без НДС)</t>
  </si>
  <si>
    <t>Привлечение финансирования</t>
  </si>
  <si>
    <t>Возврат финансирования</t>
  </si>
  <si>
    <t>ИТОГО ПО ОБЪЕКТУ</t>
  </si>
  <si>
    <t>График привлечения покупателей</t>
  </si>
  <si>
    <t>Передача проданных площадей покупателям</t>
  </si>
  <si>
    <t>Итого - поступления от аренды</t>
  </si>
  <si>
    <t xml:space="preserve">    продаваемая доля объекта</t>
  </si>
  <si>
    <t>Суммарная чистая прибыль</t>
  </si>
  <si>
    <t>&lt;конец списка анализируемых результатов&gt;</t>
  </si>
  <si>
    <t>Область</t>
  </si>
  <si>
    <t>%?</t>
  </si>
  <si>
    <t>от планового значения</t>
  </si>
  <si>
    <t>SENS_Sales</t>
  </si>
  <si>
    <t>SENS_Price</t>
  </si>
  <si>
    <t>SENS_Invest</t>
  </si>
  <si>
    <t>SENS_Discount</t>
  </si>
  <si>
    <t>TotalProfit</t>
  </si>
  <si>
    <t>График: Анализ чувствительности</t>
  </si>
  <si>
    <t>Список проектов</t>
  </si>
  <si>
    <t>List of projects</t>
  </si>
  <si>
    <t xml:space="preserve">         ОБЪЕМЫ РЕАЛИЗАЦИИ (в единицах)</t>
  </si>
  <si>
    <t xml:space="preserve">         ЦЕНА РЕАЛИЗАЦИИ (за единицу, с НДС)</t>
  </si>
  <si>
    <t xml:space="preserve">         ДОХОДЫ ОТ ПРОДАЖ</t>
  </si>
  <si>
    <t xml:space="preserve">         ОБЪЕМЫ ПРОИЗВОДСТВА (в единицах)</t>
  </si>
  <si>
    <t xml:space="preserve">         РАСХОД СЫРЬЯ И МАТЕРИАЛОВ (в единицах)</t>
  </si>
  <si>
    <t xml:space="preserve">         ЦЕНА СЫРЬЯ И МАТЕРИАЛОВ (за единицу, с НДС)</t>
  </si>
  <si>
    <t xml:space="preserve">         ЗАТРАТЫ НА СЫРЬЕ И МАТЕРИАЛЫ</t>
  </si>
  <si>
    <t xml:space="preserve">         ПРОЧИЕ ПЕРЕМЕННЫЕ ЗАТРАТЫ</t>
  </si>
  <si>
    <t xml:space="preserve">         ПЕРСОНАЛ И ЗАРАБОТНАЯ ПЛАТА</t>
  </si>
  <si>
    <t xml:space="preserve">         ТЕКУЩИЕ ЗАТРАТЫ</t>
  </si>
  <si>
    <t xml:space="preserve">         ОБОРОТНЫЙ КАПИТАЛ</t>
  </si>
  <si>
    <t xml:space="preserve">         СОБСТВЕННЫЙ КАПИТАЛ</t>
  </si>
  <si>
    <t xml:space="preserve">         КРЕДИТЫ</t>
  </si>
  <si>
    <t xml:space="preserve">         СВОДНЫЙ ОТЧЕТ ОБ ИНВЕСТИЦИЯХ В ПРОЕКТ</t>
  </si>
  <si>
    <t xml:space="preserve">         БАЛАНС</t>
  </si>
  <si>
    <t xml:space="preserve">         ПОКАЗАТЕЛИ ФИНАНСОВОЙ СОСТОЯТЕЛЬНОСТИ</t>
  </si>
  <si>
    <t xml:space="preserve">    убытки предыдущих периодов</t>
  </si>
  <si>
    <t xml:space="preserve">    prior period losses</t>
  </si>
  <si>
    <t xml:space="preserve">         ЭФФЕКТИВНОСТЬ ПОЛНЫХ ИНВЕСТИЦИОННЫХ ЗАТРАТ</t>
  </si>
  <si>
    <t xml:space="preserve">         ЭФФЕКТИВНОСТЬ ДЛЯ СОБСТВЕННОГО КАПИТАЛА</t>
  </si>
  <si>
    <t xml:space="preserve">         ЭФФЕКТИВНОСТЬ ДЛЯ БАНКА</t>
  </si>
  <si>
    <t xml:space="preserve">         ОЦЕНКА БИЗНЕСА</t>
  </si>
  <si>
    <t>Эффективная ставка налога на прибыль</t>
  </si>
  <si>
    <t>Портфель проектов компании</t>
  </si>
  <si>
    <t>Учитывать?</t>
  </si>
  <si>
    <t>Последнее обновление проектов из внешних книг:</t>
  </si>
  <si>
    <t>Параметры бюджета портфеля проектов</t>
  </si>
  <si>
    <t>Дата начала первого периода</t>
  </si>
  <si>
    <t>Длительность</t>
  </si>
  <si>
    <t>Периоды осуществления проектов</t>
  </si>
  <si>
    <t>с периода</t>
  </si>
  <si>
    <t>по период</t>
  </si>
  <si>
    <t>Год начала бюджета</t>
  </si>
  <si>
    <t>Месяц начала бюджета</t>
  </si>
  <si>
    <t>Налог на прибыль по консолидированной отчетности</t>
  </si>
  <si>
    <t>Источник</t>
  </si>
  <si>
    <t xml:space="preserve">         СОСТАВ ПОРТФЕЛЯ</t>
  </si>
  <si>
    <t>Ставка налога на прибыль</t>
  </si>
  <si>
    <t>График: Прибыль проектов</t>
  </si>
  <si>
    <t>Прибыль / убыток от строительной деятельности</t>
  </si>
  <si>
    <t xml:space="preserve">    прибыль/убыток от строительной деятельности</t>
  </si>
  <si>
    <t xml:space="preserve">    величина платежей (с НДС)</t>
  </si>
  <si>
    <t>Нераспределенная прибыль (за период)</t>
  </si>
  <si>
    <t>Нераспределенная прибыль (на начало периода, нарастающим итогом)</t>
  </si>
  <si>
    <t>Нераспределенная прибыль (на конец периода, нарастающим итогом)</t>
  </si>
  <si>
    <t xml:space="preserve">    коэффициент дисконта на середину периода</t>
  </si>
  <si>
    <t xml:space="preserve">         СВОДНЫЙ ОТЧЕТ О ПРИБЫЛЯХ И УБЫТКАХ</t>
  </si>
  <si>
    <t xml:space="preserve">         СВОДНЫЙ ОТЧЕТ О ДВИЖЕНИИ ДЕНЕЖНЫХ СРЕДСТВ</t>
  </si>
  <si>
    <t xml:space="preserve">         СВОДНЫЙ БАЛАНС</t>
  </si>
  <si>
    <t>График: Активы проектов</t>
  </si>
  <si>
    <t>График: Пассивы проектов</t>
  </si>
  <si>
    <t xml:space="preserve">         СВОДНЫЕ ПОКАЗАТЕЛИ ФИНАНСОВОЙ СОСТОЯТЕЛЬНОСТИ</t>
  </si>
  <si>
    <t>График: Окупаемость проектов (для полных инвестиционных затрат)</t>
  </si>
  <si>
    <t>График: Окупаемость проектов (для собственного капитала)</t>
  </si>
  <si>
    <t xml:space="preserve">         ОТЧЕТ О ДВИЖЕНИИ ДЕНЕЖНЫХ СРЕДСТВ</t>
  </si>
  <si>
    <t>1_20;set_0</t>
  </si>
  <si>
    <t xml:space="preserve">    интервал, в котором впервые взят кредит</t>
  </si>
  <si>
    <t>Изменяемый параметр</t>
  </si>
  <si>
    <t>Итоговый показатель</t>
  </si>
  <si>
    <t>В интервале</t>
  </si>
  <si>
    <t xml:space="preserve">от: </t>
  </si>
  <si>
    <t xml:space="preserve">с шагом: </t>
  </si>
  <si>
    <t>Таблица рассчитанных значений</t>
  </si>
  <si>
    <t>Значение</t>
  </si>
  <si>
    <t>Результат</t>
  </si>
  <si>
    <t>Параметры анализа чувствительности</t>
  </si>
  <si>
    <t>Цена продажи</t>
  </si>
  <si>
    <t>Ставка дисконтирования</t>
  </si>
  <si>
    <t>&lt;конец списка изменяемых параметров&gt;</t>
  </si>
  <si>
    <t>NPV для полных инвестиционных затрат</t>
  </si>
  <si>
    <t>NPV для собственного капитала</t>
  </si>
  <si>
    <t>NPV для банка</t>
  </si>
  <si>
    <t xml:space="preserve">  investicinė stadija prasideda nuo</t>
  </si>
  <si>
    <t>Savikaina</t>
  </si>
  <si>
    <t>Mokesčiai, išskyrus pelno mokestį</t>
  </si>
  <si>
    <t>Veiklos pelnas (nuostolis)</t>
  </si>
  <si>
    <t>Grafikas: pardavimai</t>
  </si>
  <si>
    <t>Priskaičiuoti specialūs mokesčiai</t>
  </si>
  <si>
    <t>Išskaičiuoti</t>
  </si>
  <si>
    <t>Grafikas: paskolų srautų pokyčiai</t>
  </si>
  <si>
    <t>Grafikas: paskolų likučiai</t>
  </si>
  <si>
    <t>Grafikas: pardavimų įplaukos</t>
  </si>
  <si>
    <t>Annual exchange rate appreciation assumption</t>
  </si>
  <si>
    <t>Current prices (with inflation adjustment)</t>
  </si>
  <si>
    <t>Interface and tables language</t>
  </si>
  <si>
    <t>Protection</t>
  </si>
  <si>
    <t xml:space="preserve">    в соответствии с графиком оплаты затрат</t>
  </si>
  <si>
    <t>Примечание</t>
  </si>
  <si>
    <t>Производительность по входу в час</t>
  </si>
  <si>
    <t>Мусор</t>
  </si>
  <si>
    <t>Фракция М1</t>
  </si>
  <si>
    <t>0,5-3</t>
  </si>
  <si>
    <t>Фракция М2</t>
  </si>
  <si>
    <t>0-0,5</t>
  </si>
  <si>
    <t>Фракция МП</t>
  </si>
  <si>
    <t>Потери влаги</t>
  </si>
  <si>
    <t>Потери аспирации</t>
  </si>
  <si>
    <t>Признак</t>
  </si>
  <si>
    <t>Сырье</t>
  </si>
  <si>
    <t>Отходы</t>
  </si>
  <si>
    <t>Продукция</t>
  </si>
  <si>
    <t>Отходы Итог</t>
  </si>
  <si>
    <t>Продукция Итог</t>
  </si>
  <si>
    <t>Общий итог</t>
  </si>
  <si>
    <t>Проц.</t>
  </si>
  <si>
    <t>Кол-во</t>
  </si>
  <si>
    <t>Часов в интервале планирования</t>
  </si>
  <si>
    <t>На квартал</t>
  </si>
  <si>
    <t>0-0,08</t>
  </si>
  <si>
    <t>Цена</t>
  </si>
  <si>
    <t>Вспомогательные рабочие</t>
  </si>
  <si>
    <t>Сбыт и снабжение</t>
  </si>
  <si>
    <t>Нормативные расходы на АУП</t>
  </si>
  <si>
    <t>Инвестиционный кредит 1</t>
  </si>
  <si>
    <t>1 квартал = 3 месяца, по 30 дней, по 22 часа, работа в 3 смены</t>
  </si>
  <si>
    <t>Недожог</t>
  </si>
  <si>
    <t>Сухая зола</t>
  </si>
  <si>
    <t>шт</t>
  </si>
  <si>
    <t>Наименование затрат</t>
  </si>
  <si>
    <t>Прочие производственные расходы</t>
  </si>
  <si>
    <t>час</t>
  </si>
  <si>
    <t>Специалист по управлению проектами</t>
  </si>
  <si>
    <t>Наименование проекта</t>
  </si>
  <si>
    <t>Наименование товара</t>
  </si>
  <si>
    <t xml:space="preserve">Наименование сырья </t>
  </si>
  <si>
    <t xml:space="preserve">Наименование </t>
  </si>
  <si>
    <t>Учет доноров крови</t>
  </si>
  <si>
    <t>Облачная версия продукта</t>
  </si>
  <si>
    <t>Электричество</t>
  </si>
  <si>
    <t>Коробочная версия продукта</t>
  </si>
  <si>
    <t>Исключительные права</t>
  </si>
  <si>
    <t>Программист</t>
  </si>
  <si>
    <t>Аналитик</t>
  </si>
  <si>
    <t>Медицинский консультант</t>
  </si>
  <si>
    <t>Администратор</t>
  </si>
  <si>
    <t>Управляющий проектом</t>
  </si>
  <si>
    <t>Маркетинг</t>
  </si>
  <si>
    <t>Аренда сервера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</si>
</sst>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-* #,##0.00_р_._-;\-* #,##0.00_р_._-;_-* &quot;-&quot;??_р_._-;_-@_-"/>
    <numFmt numFmtId="165" formatCode="0.0%"/>
    <numFmt numFmtId="166" formatCode="0.0000"/>
    <numFmt numFmtId="167" formatCode="#,##0.0"/>
    <numFmt numFmtId="168" formatCode="_-* #,##0_р_._-;\-* #,##0_р_._-;_-* &quot;-&quot;??_р_._-;_-@_-"/>
    <numFmt numFmtId="169" formatCode="_-* #,##0[$р.-419]_-;\-* #,##0[$р.-419]_-;_-* &quot;-&quot;??[$р.-419]_-;_-@_-"/>
    <numFmt numFmtId="170" formatCode="#,##0.000"/>
    <numFmt numFmtId="171" formatCode="#,##0.0000"/>
  </numFmts>
  <fonts count="50" x14ac:knownFonts="1">
    <font>
      <sz val="8"/>
      <color theme="1"/>
      <name val="Arial"/>
      <family val="2"/>
      <charset val="204"/>
    </font>
    <font>
      <sz val="8"/>
      <color indexed="8"/>
      <name val="Arial"/>
      <family val="2"/>
      <charset val="204"/>
    </font>
    <font>
      <sz val="8"/>
      <color indexed="8"/>
      <name val="Arial"/>
      <family val="2"/>
      <charset val="204"/>
    </font>
    <font>
      <sz val="8"/>
      <color indexed="23"/>
      <name val="Arial"/>
      <family val="2"/>
      <charset val="204"/>
    </font>
    <font>
      <sz val="12"/>
      <color indexed="8"/>
      <name val="Arial"/>
      <family val="2"/>
      <charset val="204"/>
    </font>
    <font>
      <b/>
      <sz val="12"/>
      <color indexed="56"/>
      <name val="Arial"/>
      <family val="2"/>
      <charset val="204"/>
    </font>
    <font>
      <b/>
      <sz val="8"/>
      <color indexed="8"/>
      <name val="Arial"/>
      <family val="2"/>
      <charset val="204"/>
    </font>
    <font>
      <i/>
      <sz val="8"/>
      <color indexed="8"/>
      <name val="Arial"/>
      <family val="2"/>
      <charset val="204"/>
    </font>
    <font>
      <b/>
      <i/>
      <sz val="8"/>
      <color indexed="60"/>
      <name val="Arial"/>
      <family val="2"/>
      <charset val="204"/>
    </font>
    <font>
      <sz val="8"/>
      <color indexed="60"/>
      <name val="Arial"/>
      <family val="2"/>
      <charset val="204"/>
    </font>
    <font>
      <b/>
      <i/>
      <sz val="8"/>
      <color indexed="8"/>
      <name val="Arial"/>
      <family val="2"/>
      <charset val="204"/>
    </font>
    <font>
      <sz val="8"/>
      <name val="Arial"/>
      <family val="2"/>
      <charset val="204"/>
    </font>
    <font>
      <sz val="8"/>
      <name val="Arial Cyr"/>
      <charset val="204"/>
    </font>
    <font>
      <i/>
      <sz val="8"/>
      <color indexed="10"/>
      <name val="Arial"/>
      <family val="2"/>
      <charset val="204"/>
    </font>
    <font>
      <i/>
      <sz val="12"/>
      <color indexed="8"/>
      <name val="Arial"/>
      <family val="2"/>
      <charset val="204"/>
    </font>
    <font>
      <b/>
      <sz val="8"/>
      <name val="Arial Cyr"/>
      <charset val="204"/>
    </font>
    <font>
      <i/>
      <sz val="8"/>
      <name val="Arial Cyr"/>
      <charset val="204"/>
    </font>
    <font>
      <sz val="8"/>
      <color indexed="8"/>
      <name val="Arial"/>
      <family val="2"/>
      <charset val="204"/>
    </font>
    <font>
      <sz val="8"/>
      <color indexed="10"/>
      <name val="Arial"/>
      <family val="2"/>
      <charset val="204"/>
    </font>
    <font>
      <i/>
      <sz val="8"/>
      <color indexed="10"/>
      <name val="Arial Cyr"/>
      <charset val="204"/>
    </font>
    <font>
      <sz val="9"/>
      <color indexed="81"/>
      <name val="Tahoma"/>
      <family val="2"/>
      <charset val="204"/>
    </font>
    <font>
      <sz val="8"/>
      <name val="Arial Cyr"/>
    </font>
    <font>
      <b/>
      <sz val="9"/>
      <color indexed="81"/>
      <name val="Tahoma"/>
      <family val="2"/>
      <charset val="204"/>
    </font>
    <font>
      <b/>
      <sz val="8"/>
      <color indexed="8"/>
      <name val="Arial"/>
      <family val="2"/>
      <charset val="204"/>
    </font>
    <font>
      <i/>
      <sz val="8"/>
      <color indexed="8"/>
      <name val="Arial"/>
      <family val="2"/>
      <charset val="204"/>
    </font>
    <font>
      <sz val="8"/>
      <color indexed="8"/>
      <name val="Arial"/>
      <family val="2"/>
      <charset val="204"/>
    </font>
    <font>
      <sz val="8"/>
      <name val="Arial Cyr"/>
      <family val="2"/>
      <charset val="204"/>
    </font>
    <font>
      <sz val="8"/>
      <color indexed="9"/>
      <name val="Arial Cyr"/>
      <charset val="204"/>
    </font>
    <font>
      <i/>
      <sz val="10"/>
      <color indexed="23"/>
      <name val="Arial"/>
      <family val="2"/>
      <charset val="204"/>
    </font>
    <font>
      <i/>
      <sz val="8"/>
      <color indexed="8"/>
      <name val="Arial"/>
      <family val="2"/>
      <charset val="204"/>
    </font>
    <font>
      <b/>
      <i/>
      <sz val="8"/>
      <color indexed="8"/>
      <name val="Arial"/>
      <family val="2"/>
      <charset val="204"/>
    </font>
    <font>
      <b/>
      <sz val="8"/>
      <color indexed="8"/>
      <name val="Arial"/>
      <family val="2"/>
      <charset val="204"/>
    </font>
    <font>
      <sz val="8"/>
      <color indexed="9"/>
      <name val="Arial"/>
      <family val="2"/>
      <charset val="204"/>
    </font>
    <font>
      <b/>
      <sz val="8"/>
      <color indexed="9"/>
      <name val="Arial"/>
      <family val="2"/>
      <charset val="204"/>
    </font>
    <font>
      <b/>
      <sz val="8"/>
      <color indexed="8"/>
      <name val="Arial"/>
      <family val="2"/>
      <charset val="204"/>
    </font>
    <font>
      <i/>
      <sz val="8"/>
      <color indexed="8"/>
      <name val="Arial"/>
      <family val="2"/>
      <charset val="204"/>
    </font>
    <font>
      <sz val="10"/>
      <name val="Arial Cyr"/>
    </font>
    <font>
      <b/>
      <sz val="9"/>
      <color indexed="81"/>
      <name val="Arial Cyr"/>
    </font>
    <font>
      <sz val="9"/>
      <color indexed="81"/>
      <name val="Arial Cyr"/>
    </font>
    <font>
      <b/>
      <sz val="8"/>
      <color indexed="8"/>
      <name val="Arial"/>
      <family val="2"/>
      <charset val="204"/>
    </font>
    <font>
      <b/>
      <sz val="9"/>
      <color indexed="81"/>
      <name val="Arial"/>
      <family val="2"/>
    </font>
    <font>
      <sz val="9"/>
      <color indexed="81"/>
      <name val="Arial"/>
      <family val="2"/>
    </font>
    <font>
      <sz val="8"/>
      <color theme="1"/>
      <name val="Arial"/>
      <family val="2"/>
      <charset val="204"/>
    </font>
    <font>
      <b/>
      <sz val="15"/>
      <color theme="3"/>
      <name val="Calibri"/>
      <family val="2"/>
      <charset val="204"/>
      <scheme val="minor"/>
    </font>
    <font>
      <b/>
      <sz val="8"/>
      <color theme="1"/>
      <name val="Arial"/>
      <family val="2"/>
      <charset val="204"/>
    </font>
    <font>
      <sz val="8"/>
      <color rgb="FF000000"/>
      <name val="Arial"/>
      <family val="2"/>
      <charset val="204"/>
    </font>
    <font>
      <sz val="8"/>
      <color rgb="FF000000"/>
      <name val="Arial Cyr"/>
    </font>
    <font>
      <sz val="7"/>
      <color rgb="FF000000"/>
      <name val="Arial Cyr"/>
    </font>
    <font>
      <i/>
      <sz val="9"/>
      <color rgb="FF800000"/>
      <name val="Calibri"/>
      <family val="2"/>
      <charset val="204"/>
    </font>
    <font>
      <b/>
      <sz val="8"/>
      <name val="Arial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ck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3" fillId="0" borderId="1" applyNumberFormat="0" applyFill="0" applyAlignment="0" applyProtection="0"/>
    <xf numFmtId="0" fontId="1" fillId="0" borderId="0"/>
    <xf numFmtId="9" fontId="2" fillId="0" borderId="0" applyFont="0" applyFill="0" applyBorder="0" applyAlignment="0" applyProtection="0"/>
    <xf numFmtId="164" fontId="25" fillId="0" borderId="0" applyFont="0" applyFill="0" applyBorder="0" applyAlignment="0" applyProtection="0"/>
  </cellStyleXfs>
  <cellXfs count="413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2" borderId="2" xfId="0" applyFill="1" applyBorder="1"/>
    <xf numFmtId="0" fontId="0" fillId="2" borderId="0" xfId="0" applyFont="1" applyFill="1"/>
    <xf numFmtId="0" fontId="6" fillId="2" borderId="2" xfId="0" applyFont="1" applyFill="1" applyBorder="1" applyAlignment="1">
      <alignment horizontal="left"/>
    </xf>
    <xf numFmtId="0" fontId="7" fillId="0" borderId="0" xfId="0" applyFont="1"/>
    <xf numFmtId="0" fontId="8" fillId="0" borderId="0" xfId="0" applyFont="1"/>
    <xf numFmtId="0" fontId="0" fillId="3" borderId="0" xfId="0" applyFill="1"/>
    <xf numFmtId="0" fontId="0" fillId="2" borderId="0" xfId="0" applyFill="1" applyAlignment="1">
      <alignment vertical="center"/>
    </xf>
    <xf numFmtId="0" fontId="9" fillId="0" borderId="0" xfId="0" applyFont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0" fillId="0" borderId="0" xfId="0" applyBorder="1"/>
    <xf numFmtId="0" fontId="7" fillId="0" borderId="2" xfId="0" applyFont="1" applyBorder="1"/>
    <xf numFmtId="0" fontId="0" fillId="0" borderId="0" xfId="0" applyFill="1" applyBorder="1" applyAlignment="1">
      <alignment vertical="center"/>
    </xf>
    <xf numFmtId="0" fontId="7" fillId="0" borderId="0" xfId="0" applyFont="1" applyBorder="1"/>
    <xf numFmtId="0" fontId="1" fillId="0" borderId="0" xfId="0" applyFont="1"/>
    <xf numFmtId="0" fontId="1" fillId="0" borderId="0" xfId="0" applyFont="1" applyBorder="1"/>
    <xf numFmtId="3" fontId="0" fillId="0" borderId="0" xfId="0" applyNumberFormat="1" applyFill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/>
    <xf numFmtId="0" fontId="12" fillId="0" borderId="2" xfId="0" applyFont="1" applyBorder="1" applyAlignment="1">
      <alignment vertical="center"/>
    </xf>
    <xf numFmtId="0" fontId="0" fillId="0" borderId="2" xfId="0" applyBorder="1" applyAlignment="1">
      <alignment horizontal="center"/>
    </xf>
    <xf numFmtId="165" fontId="12" fillId="0" borderId="0" xfId="3" applyNumberFormat="1" applyFont="1" applyFill="1" applyAlignment="1">
      <alignment vertical="center"/>
    </xf>
    <xf numFmtId="2" fontId="0" fillId="0" borderId="0" xfId="0" applyNumberFormat="1"/>
    <xf numFmtId="2" fontId="12" fillId="0" borderId="0" xfId="3" applyNumberFormat="1" applyFont="1" applyFill="1" applyAlignment="1">
      <alignment vertical="center"/>
    </xf>
    <xf numFmtId="166" fontId="12" fillId="0" borderId="0" xfId="3" applyNumberFormat="1" applyFont="1" applyFill="1" applyAlignment="1">
      <alignment vertical="center"/>
    </xf>
    <xf numFmtId="165" fontId="0" fillId="0" borderId="0" xfId="0" applyNumberFormat="1" applyBorder="1"/>
    <xf numFmtId="0" fontId="6" fillId="0" borderId="0" xfId="0" applyFont="1"/>
    <xf numFmtId="0" fontId="7" fillId="0" borderId="0" xfId="0" applyFont="1" applyAlignment="1">
      <alignment horizontal="center"/>
    </xf>
    <xf numFmtId="0" fontId="14" fillId="0" borderId="0" xfId="0" applyFont="1"/>
    <xf numFmtId="0" fontId="7" fillId="0" borderId="0" xfId="0" applyFont="1" applyFill="1" applyBorder="1" applyAlignment="1">
      <alignment vertical="center"/>
    </xf>
    <xf numFmtId="167" fontId="7" fillId="0" borderId="0" xfId="0" applyNumberFormat="1" applyFont="1"/>
    <xf numFmtId="0" fontId="1" fillId="0" borderId="0" xfId="0" applyFont="1" applyAlignment="1">
      <alignment horizontal="center"/>
    </xf>
    <xf numFmtId="0" fontId="7" fillId="0" borderId="0" xfId="0" applyFont="1" applyFill="1"/>
    <xf numFmtId="167" fontId="1" fillId="0" borderId="0" xfId="0" applyNumberFormat="1" applyFont="1" applyFill="1"/>
    <xf numFmtId="3" fontId="0" fillId="0" borderId="0" xfId="0" applyNumberFormat="1"/>
    <xf numFmtId="165" fontId="0" fillId="0" borderId="0" xfId="0" applyNumberFormat="1" applyFill="1" applyAlignment="1">
      <alignment horizontal="center"/>
    </xf>
    <xf numFmtId="0" fontId="0" fillId="0" borderId="0" xfId="0" applyFill="1" applyBorder="1"/>
    <xf numFmtId="0" fontId="12" fillId="0" borderId="0" xfId="0" applyFont="1" applyBorder="1" applyAlignment="1">
      <alignment vertical="center"/>
    </xf>
    <xf numFmtId="9" fontId="0" fillId="0" borderId="0" xfId="0" applyNumberFormat="1" applyBorder="1"/>
    <xf numFmtId="0" fontId="0" fillId="0" borderId="0" xfId="0" applyFill="1"/>
    <xf numFmtId="49" fontId="1" fillId="0" borderId="0" xfId="0" applyNumberFormat="1" applyFont="1"/>
    <xf numFmtId="0" fontId="12" fillId="0" borderId="0" xfId="0" applyFont="1" applyFill="1" applyAlignment="1">
      <alignment horizontal="center" vertical="center"/>
    </xf>
    <xf numFmtId="0" fontId="10" fillId="0" borderId="0" xfId="0" applyFont="1"/>
    <xf numFmtId="0" fontId="1" fillId="0" borderId="0" xfId="0" applyFont="1" applyFill="1"/>
    <xf numFmtId="3" fontId="12" fillId="0" borderId="0" xfId="0" applyNumberFormat="1" applyFont="1" applyAlignment="1">
      <alignment vertical="center"/>
    </xf>
    <xf numFmtId="3" fontId="7" fillId="0" borderId="0" xfId="0" applyNumberFormat="1" applyFont="1"/>
    <xf numFmtId="3" fontId="15" fillId="0" borderId="0" xfId="0" applyNumberFormat="1" applyFont="1" applyAlignment="1">
      <alignment horizontal="center" vertical="center"/>
    </xf>
    <xf numFmtId="3" fontId="15" fillId="0" borderId="0" xfId="0" applyNumberFormat="1" applyFont="1" applyAlignment="1">
      <alignment vertical="center"/>
    </xf>
    <xf numFmtId="3" fontId="10" fillId="0" borderId="0" xfId="0" applyNumberFormat="1" applyFont="1"/>
    <xf numFmtId="3" fontId="6" fillId="0" borderId="0" xfId="0" applyNumberFormat="1" applyFont="1"/>
    <xf numFmtId="0" fontId="15" fillId="0" borderId="0" xfId="0" applyFont="1" applyAlignment="1">
      <alignment vertical="center"/>
    </xf>
    <xf numFmtId="0" fontId="12" fillId="0" borderId="3" xfId="0" applyFont="1" applyBorder="1" applyAlignment="1">
      <alignment vertical="center"/>
    </xf>
    <xf numFmtId="9" fontId="12" fillId="0" borderId="0" xfId="3" applyFont="1" applyAlignment="1">
      <alignment horizontal="center" vertical="center"/>
    </xf>
    <xf numFmtId="0" fontId="6" fillId="0" borderId="0" xfId="0" applyFont="1" applyBorder="1"/>
    <xf numFmtId="0" fontId="0" fillId="0" borderId="3" xfId="0" applyBorder="1"/>
    <xf numFmtId="0" fontId="7" fillId="0" borderId="3" xfId="0" applyFont="1" applyBorder="1"/>
    <xf numFmtId="3" fontId="0" fillId="0" borderId="0" xfId="0" applyNumberFormat="1" applyBorder="1"/>
    <xf numFmtId="3" fontId="7" fillId="0" borderId="0" xfId="0" applyNumberFormat="1" applyFont="1" applyBorder="1"/>
    <xf numFmtId="0" fontId="0" fillId="0" borderId="3" xfId="0" applyBorder="1" applyAlignment="1">
      <alignment horizontal="center"/>
    </xf>
    <xf numFmtId="9" fontId="0" fillId="0" borderId="3" xfId="0" applyNumberFormat="1" applyBorder="1"/>
    <xf numFmtId="0" fontId="13" fillId="0" borderId="0" xfId="0" applyFont="1" applyBorder="1"/>
    <xf numFmtId="3" fontId="7" fillId="0" borderId="0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167" fontId="12" fillId="0" borderId="0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12" fillId="0" borderId="0" xfId="0" applyFont="1" applyFill="1" applyBorder="1" applyAlignment="1">
      <alignment vertical="center"/>
    </xf>
    <xf numFmtId="9" fontId="0" fillId="0" borderId="0" xfId="0" applyNumberFormat="1" applyFill="1"/>
    <xf numFmtId="0" fontId="0" fillId="0" borderId="3" xfId="0" applyFill="1" applyBorder="1"/>
    <xf numFmtId="0" fontId="7" fillId="0" borderId="0" xfId="0" applyFont="1" applyFill="1" applyBorder="1"/>
    <xf numFmtId="167" fontId="10" fillId="0" borderId="0" xfId="0" applyNumberFormat="1" applyFont="1"/>
    <xf numFmtId="9" fontId="12" fillId="0" borderId="0" xfId="3" applyFont="1" applyFill="1" applyBorder="1" applyAlignment="1">
      <alignment horizontal="center" vertical="center"/>
    </xf>
    <xf numFmtId="4" fontId="12" fillId="0" borderId="0" xfId="3" applyNumberFormat="1" applyFont="1" applyFill="1" applyAlignment="1">
      <alignment horizontal="center" vertical="center"/>
    </xf>
    <xf numFmtId="9" fontId="12" fillId="0" borderId="0" xfId="3" applyFont="1" applyFill="1" applyAlignment="1">
      <alignment horizontal="center" vertical="center"/>
    </xf>
    <xf numFmtId="4" fontId="12" fillId="0" borderId="0" xfId="0" applyNumberFormat="1" applyFont="1" applyFill="1" applyAlignment="1">
      <alignment vertical="center"/>
    </xf>
    <xf numFmtId="3" fontId="12" fillId="0" borderId="0" xfId="0" applyNumberFormat="1" applyFont="1" applyFill="1" applyBorder="1" applyAlignment="1">
      <alignment vertical="center"/>
    </xf>
    <xf numFmtId="3" fontId="12" fillId="0" borderId="0" xfId="0" applyNumberFormat="1" applyFont="1" applyFill="1" applyAlignment="1">
      <alignment vertical="center"/>
    </xf>
    <xf numFmtId="0" fontId="7" fillId="0" borderId="0" xfId="0" applyFont="1" applyAlignment="1">
      <alignment horizontal="left"/>
    </xf>
    <xf numFmtId="4" fontId="12" fillId="0" borderId="0" xfId="0" applyNumberFormat="1" applyFont="1" applyAlignment="1">
      <alignment vertical="center"/>
    </xf>
    <xf numFmtId="3" fontId="12" fillId="0" borderId="0" xfId="0" applyNumberFormat="1" applyFont="1" applyFill="1" applyAlignment="1">
      <alignment horizontal="center" vertical="center"/>
    </xf>
    <xf numFmtId="0" fontId="1" fillId="0" borderId="0" xfId="0" applyFont="1" applyFill="1" applyAlignment="1">
      <alignment horizontal="center"/>
    </xf>
    <xf numFmtId="3" fontId="15" fillId="0" borderId="0" xfId="0" applyNumberFormat="1" applyFont="1" applyBorder="1" applyAlignment="1">
      <alignment vertical="center"/>
    </xf>
    <xf numFmtId="0" fontId="16" fillId="0" borderId="0" xfId="0" applyFont="1" applyAlignment="1">
      <alignment vertical="center"/>
    </xf>
    <xf numFmtId="3" fontId="16" fillId="0" borderId="0" xfId="0" applyNumberFormat="1" applyFont="1" applyAlignment="1">
      <alignment vertical="center"/>
    </xf>
    <xf numFmtId="167" fontId="7" fillId="0" borderId="0" xfId="0" applyNumberFormat="1" applyFont="1" applyFill="1"/>
    <xf numFmtId="3" fontId="1" fillId="0" borderId="0" xfId="0" applyNumberFormat="1" applyFont="1" applyFill="1" applyAlignment="1">
      <alignment horizontal="center"/>
    </xf>
    <xf numFmtId="3" fontId="7" fillId="0" borderId="0" xfId="0" applyNumberFormat="1" applyFont="1" applyFill="1"/>
    <xf numFmtId="3" fontId="10" fillId="0" borderId="0" xfId="0" applyNumberFormat="1" applyFont="1" applyFill="1"/>
    <xf numFmtId="0" fontId="7" fillId="0" borderId="0" xfId="0" applyFont="1" applyBorder="1" applyAlignment="1">
      <alignment horizontal="left"/>
    </xf>
    <xf numFmtId="3" fontId="10" fillId="0" borderId="0" xfId="0" applyNumberFormat="1" applyFont="1" applyBorder="1"/>
    <xf numFmtId="1" fontId="0" fillId="0" borderId="0" xfId="0" applyNumberFormat="1" applyBorder="1"/>
    <xf numFmtId="3" fontId="6" fillId="0" borderId="0" xfId="0" applyNumberFormat="1" applyFont="1" applyBorder="1"/>
    <xf numFmtId="0" fontId="0" fillId="0" borderId="0" xfId="0" applyFill="1" applyBorder="1" applyAlignment="1">
      <alignment horizontal="center"/>
    </xf>
    <xf numFmtId="0" fontId="12" fillId="0" borderId="0" xfId="0" applyFont="1" applyFill="1" applyAlignment="1">
      <alignment vertical="center"/>
    </xf>
    <xf numFmtId="3" fontId="0" fillId="0" borderId="0" xfId="0" applyNumberFormat="1" applyFill="1" applyBorder="1"/>
    <xf numFmtId="1" fontId="0" fillId="0" borderId="0" xfId="0" applyNumberFormat="1" applyFill="1" applyBorder="1"/>
    <xf numFmtId="3" fontId="7" fillId="0" borderId="0" xfId="0" applyNumberFormat="1" applyFont="1" applyFill="1" applyBorder="1"/>
    <xf numFmtId="3" fontId="10" fillId="0" borderId="0" xfId="0" applyNumberFormat="1" applyFont="1" applyFill="1" applyBorder="1"/>
    <xf numFmtId="3" fontId="0" fillId="0" borderId="0" xfId="0" applyNumberFormat="1" applyFill="1"/>
    <xf numFmtId="0" fontId="16" fillId="0" borderId="0" xfId="0" applyFont="1" applyAlignment="1">
      <alignment horizontal="left" vertical="center"/>
    </xf>
    <xf numFmtId="9" fontId="0" fillId="0" borderId="0" xfId="0" applyNumberFormat="1"/>
    <xf numFmtId="3" fontId="1" fillId="0" borderId="0" xfId="0" applyNumberFormat="1" applyFont="1"/>
    <xf numFmtId="0" fontId="7" fillId="0" borderId="0" xfId="0" applyFont="1" applyFill="1" applyBorder="1" applyAlignment="1">
      <alignment horizontal="center" vertical="center"/>
    </xf>
    <xf numFmtId="3" fontId="12" fillId="0" borderId="0" xfId="0" applyNumberFormat="1" applyFont="1" applyBorder="1" applyAlignment="1">
      <alignment vertical="center"/>
    </xf>
    <xf numFmtId="0" fontId="1" fillId="0" borderId="3" xfId="0" applyFont="1" applyBorder="1"/>
    <xf numFmtId="14" fontId="0" fillId="4" borderId="4" xfId="0" applyNumberFormat="1" applyFill="1" applyBorder="1" applyAlignment="1">
      <alignment vertical="center"/>
    </xf>
    <xf numFmtId="0" fontId="1" fillId="0" borderId="3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7" fillId="0" borderId="0" xfId="0" applyFont="1"/>
    <xf numFmtId="0" fontId="16" fillId="0" borderId="0" xfId="0" applyFont="1" applyAlignment="1">
      <alignment horizontal="center" vertical="center"/>
    </xf>
    <xf numFmtId="3" fontId="16" fillId="0" borderId="0" xfId="0" applyNumberFormat="1" applyFont="1" applyBorder="1" applyAlignment="1">
      <alignment vertical="center"/>
    </xf>
    <xf numFmtId="0" fontId="12" fillId="0" borderId="5" xfId="0" applyFont="1" applyBorder="1" applyAlignment="1">
      <alignment horizontal="left" vertical="center" wrapText="1"/>
    </xf>
    <xf numFmtId="3" fontId="6" fillId="0" borderId="0" xfId="0" applyNumberFormat="1" applyFont="1" applyFill="1" applyAlignment="1">
      <alignment horizontal="center"/>
    </xf>
    <xf numFmtId="3" fontId="0" fillId="0" borderId="3" xfId="0" applyNumberFormat="1" applyBorder="1"/>
    <xf numFmtId="3" fontId="7" fillId="0" borderId="3" xfId="0" applyNumberFormat="1" applyFont="1" applyBorder="1"/>
    <xf numFmtId="3" fontId="12" fillId="0" borderId="3" xfId="0" applyNumberFormat="1" applyFont="1" applyBorder="1" applyAlignment="1">
      <alignment vertical="center"/>
    </xf>
    <xf numFmtId="0" fontId="10" fillId="0" borderId="0" xfId="0" applyFont="1" applyBorder="1" applyAlignment="1">
      <alignment horizontal="left"/>
    </xf>
    <xf numFmtId="0" fontId="6" fillId="0" borderId="0" xfId="0" applyFont="1" applyFill="1" applyBorder="1"/>
    <xf numFmtId="0" fontId="10" fillId="0" borderId="0" xfId="0" applyFont="1" applyFill="1" applyBorder="1" applyAlignment="1">
      <alignment horizontal="left"/>
    </xf>
    <xf numFmtId="9" fontId="0" fillId="0" borderId="0" xfId="0" applyNumberFormat="1" applyFill="1" applyBorder="1"/>
    <xf numFmtId="0" fontId="1" fillId="0" borderId="0" xfId="0" applyFont="1" applyFill="1" applyBorder="1"/>
    <xf numFmtId="0" fontId="6" fillId="0" borderId="2" xfId="0" applyFont="1" applyBorder="1"/>
    <xf numFmtId="0" fontId="6" fillId="0" borderId="0" xfId="0" applyFont="1" applyFill="1"/>
    <xf numFmtId="3" fontId="0" fillId="0" borderId="0" xfId="0" applyNumberFormat="1" applyAlignment="1">
      <alignment horizontal="center"/>
    </xf>
    <xf numFmtId="16" fontId="1" fillId="0" borderId="0" xfId="0" applyNumberFormat="1" applyFont="1"/>
    <xf numFmtId="0" fontId="1" fillId="0" borderId="2" xfId="0" applyFont="1" applyBorder="1"/>
    <xf numFmtId="0" fontId="18" fillId="0" borderId="0" xfId="0" applyFont="1"/>
    <xf numFmtId="9" fontId="0" fillId="0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165" fontId="12" fillId="0" borderId="0" xfId="3" applyNumberFormat="1" applyFont="1" applyFill="1" applyAlignment="1">
      <alignment horizontal="center" vertical="center"/>
    </xf>
    <xf numFmtId="3" fontId="0" fillId="0" borderId="0" xfId="0" applyNumberFormat="1" applyBorder="1" applyAlignment="1">
      <alignment horizontal="center"/>
    </xf>
    <xf numFmtId="3" fontId="12" fillId="0" borderId="0" xfId="0" applyNumberFormat="1" applyFont="1" applyFill="1" applyBorder="1" applyAlignment="1">
      <alignment horizontal="center" vertical="center"/>
    </xf>
    <xf numFmtId="0" fontId="6" fillId="0" borderId="3" xfId="0" applyFont="1" applyBorder="1"/>
    <xf numFmtId="4" fontId="12" fillId="0" borderId="0" xfId="0" applyNumberFormat="1" applyFont="1" applyFill="1" applyBorder="1" applyAlignment="1">
      <alignment vertical="center"/>
    </xf>
    <xf numFmtId="3" fontId="0" fillId="0" borderId="2" xfId="0" applyNumberFormat="1" applyFill="1" applyBorder="1"/>
    <xf numFmtId="0" fontId="17" fillId="0" borderId="0" xfId="0" applyFont="1" applyAlignment="1">
      <alignment vertical="center"/>
    </xf>
    <xf numFmtId="3" fontId="12" fillId="0" borderId="0" xfId="0" applyNumberFormat="1" applyFont="1" applyAlignment="1">
      <alignment horizontal="center" vertical="center"/>
    </xf>
    <xf numFmtId="3" fontId="10" fillId="0" borderId="2" xfId="0" applyNumberFormat="1" applyFont="1" applyBorder="1"/>
    <xf numFmtId="0" fontId="19" fillId="0" borderId="3" xfId="0" applyFont="1" applyBorder="1" applyAlignment="1">
      <alignment horizontal="left" vertical="center"/>
    </xf>
    <xf numFmtId="3" fontId="16" fillId="0" borderId="3" xfId="0" applyNumberFormat="1" applyFont="1" applyBorder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0" fontId="19" fillId="0" borderId="0" xfId="0" applyFont="1" applyBorder="1" applyAlignment="1">
      <alignment horizontal="left" vertical="center"/>
    </xf>
    <xf numFmtId="2" fontId="15" fillId="0" borderId="0" xfId="0" applyNumberFormat="1" applyFont="1" applyAlignment="1">
      <alignment horizontal="center" vertical="center"/>
    </xf>
    <xf numFmtId="3" fontId="6" fillId="0" borderId="0" xfId="0" applyNumberFormat="1" applyFont="1" applyAlignment="1">
      <alignment horizontal="center"/>
    </xf>
    <xf numFmtId="165" fontId="15" fillId="0" borderId="0" xfId="3" applyNumberFormat="1" applyFont="1" applyAlignment="1">
      <alignment horizontal="center" vertical="center"/>
    </xf>
    <xf numFmtId="9" fontId="12" fillId="0" borderId="0" xfId="0" applyNumberFormat="1" applyFont="1" applyAlignment="1">
      <alignment vertical="center"/>
    </xf>
    <xf numFmtId="9" fontId="0" fillId="0" borderId="0" xfId="0" applyNumberFormat="1" applyAlignment="1">
      <alignment horizontal="center"/>
    </xf>
    <xf numFmtId="0" fontId="6" fillId="0" borderId="0" xfId="0" applyFont="1" applyAlignment="1">
      <alignment wrapText="1"/>
    </xf>
    <xf numFmtId="165" fontId="0" fillId="0" borderId="0" xfId="0" applyNumberFormat="1" applyAlignment="1">
      <alignment horizontal="center"/>
    </xf>
    <xf numFmtId="2" fontId="0" fillId="0" borderId="0" xfId="0" applyNumberFormat="1" applyBorder="1" applyAlignment="1">
      <alignment horizontal="center"/>
    </xf>
    <xf numFmtId="165" fontId="12" fillId="0" borderId="0" xfId="3" applyNumberFormat="1" applyFont="1" applyAlignment="1">
      <alignment horizontal="center" vertical="center"/>
    </xf>
    <xf numFmtId="165" fontId="0" fillId="0" borderId="0" xfId="0" applyNumberFormat="1" applyFill="1" applyBorder="1" applyAlignment="1">
      <alignment horizontal="center"/>
    </xf>
    <xf numFmtId="3" fontId="6" fillId="0" borderId="0" xfId="0" applyNumberFormat="1" applyFont="1" applyFill="1"/>
    <xf numFmtId="0" fontId="10" fillId="0" borderId="3" xfId="0" applyFont="1" applyBorder="1"/>
    <xf numFmtId="3" fontId="1" fillId="0" borderId="0" xfId="0" applyNumberFormat="1" applyFont="1" applyBorder="1"/>
    <xf numFmtId="165" fontId="0" fillId="0" borderId="0" xfId="0" applyNumberFormat="1"/>
    <xf numFmtId="2" fontId="12" fillId="0" borderId="0" xfId="0" applyNumberFormat="1" applyFont="1" applyAlignment="1">
      <alignment horizontal="center" vertical="center"/>
    </xf>
    <xf numFmtId="0" fontId="0" fillId="5" borderId="0" xfId="0" applyFill="1"/>
    <xf numFmtId="0" fontId="0" fillId="4" borderId="4" xfId="0" applyFill="1" applyBorder="1" applyAlignment="1">
      <alignment vertical="center"/>
    </xf>
    <xf numFmtId="0" fontId="7" fillId="4" borderId="4" xfId="0" applyFont="1" applyFill="1" applyBorder="1" applyAlignment="1">
      <alignment vertical="center"/>
    </xf>
    <xf numFmtId="0" fontId="23" fillId="2" borderId="0" xfId="0" applyFont="1" applyFill="1" applyAlignment="1">
      <alignment vertical="center"/>
    </xf>
    <xf numFmtId="0" fontId="23" fillId="0" borderId="0" xfId="0" applyFont="1" applyFill="1" applyBorder="1"/>
    <xf numFmtId="0" fontId="24" fillId="0" borderId="0" xfId="0" applyFont="1" applyFill="1"/>
    <xf numFmtId="0" fontId="24" fillId="0" borderId="0" xfId="0" applyFont="1" applyFill="1" applyBorder="1"/>
    <xf numFmtId="0" fontId="24" fillId="0" borderId="0" xfId="0" applyFont="1" applyFill="1" applyAlignment="1">
      <alignment horizontal="center"/>
    </xf>
    <xf numFmtId="0" fontId="0" fillId="0" borderId="2" xfId="0" applyFill="1" applyBorder="1"/>
    <xf numFmtId="0" fontId="0" fillId="0" borderId="0" xfId="0" applyBorder="1" applyAlignment="1">
      <alignment vertical="center"/>
    </xf>
    <xf numFmtId="14" fontId="0" fillId="6" borderId="0" xfId="0" applyNumberFormat="1" applyFill="1" applyAlignment="1">
      <alignment horizontal="center"/>
    </xf>
    <xf numFmtId="0" fontId="0" fillId="6" borderId="6" xfId="0" applyFill="1" applyBorder="1"/>
    <xf numFmtId="0" fontId="0" fillId="6" borderId="0" xfId="0" applyFill="1" applyAlignment="1">
      <alignment horizontal="left"/>
    </xf>
    <xf numFmtId="0" fontId="0" fillId="4" borderId="4" xfId="0" applyFill="1" applyBorder="1" applyAlignment="1">
      <alignment horizontal="center" vertical="center"/>
    </xf>
    <xf numFmtId="0" fontId="23" fillId="0" borderId="0" xfId="0" applyFont="1"/>
    <xf numFmtId="0" fontId="0" fillId="0" borderId="0" xfId="0" applyFont="1"/>
    <xf numFmtId="0" fontId="24" fillId="0" borderId="0" xfId="0" applyFont="1"/>
    <xf numFmtId="0" fontId="0" fillId="2" borderId="0" xfId="0" applyFont="1" applyFill="1" applyBorder="1" applyAlignment="1">
      <alignment horizontal="center" vertical="center"/>
    </xf>
    <xf numFmtId="0" fontId="23" fillId="6" borderId="0" xfId="0" applyFont="1" applyFill="1"/>
    <xf numFmtId="0" fontId="0" fillId="6" borderId="0" xfId="0" applyFill="1"/>
    <xf numFmtId="14" fontId="0" fillId="6" borderId="0" xfId="0" applyNumberFormat="1" applyFont="1" applyFill="1" applyAlignment="1">
      <alignment horizontal="center"/>
    </xf>
    <xf numFmtId="0" fontId="0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 applyBorder="1" applyAlignment="1">
      <alignment horizontal="center"/>
    </xf>
    <xf numFmtId="0" fontId="24" fillId="6" borderId="0" xfId="0" applyFont="1" applyFill="1"/>
    <xf numFmtId="0" fontId="0" fillId="6" borderId="2" xfId="0" applyFill="1" applyBorder="1"/>
    <xf numFmtId="0" fontId="0" fillId="2" borderId="6" xfId="0" applyFill="1" applyBorder="1" applyAlignment="1">
      <alignment vertical="center"/>
    </xf>
    <xf numFmtId="0" fontId="0" fillId="6" borderId="6" xfId="0" applyFill="1" applyBorder="1" applyAlignment="1">
      <alignment horizontal="center"/>
    </xf>
    <xf numFmtId="0" fontId="0" fillId="6" borderId="6" xfId="0" applyFont="1" applyFill="1" applyBorder="1" applyAlignment="1">
      <alignment horizontal="center"/>
    </xf>
    <xf numFmtId="0" fontId="0" fillId="6" borderId="7" xfId="0" applyFill="1" applyBorder="1"/>
    <xf numFmtId="0" fontId="7" fillId="4" borderId="4" xfId="0" applyFont="1" applyFill="1" applyBorder="1" applyAlignment="1">
      <alignment horizontal="center" vertical="center"/>
    </xf>
    <xf numFmtId="3" fontId="7" fillId="0" borderId="0" xfId="0" applyNumberFormat="1" applyFont="1" applyAlignment="1">
      <alignment horizontal="center"/>
    </xf>
    <xf numFmtId="0" fontId="7" fillId="0" borderId="0" xfId="0" applyFont="1" applyFill="1" applyAlignment="1">
      <alignment horizontal="center"/>
    </xf>
    <xf numFmtId="0" fontId="7" fillId="0" borderId="0" xfId="0" applyFont="1" applyFill="1" applyAlignment="1">
      <alignment horizontal="left"/>
    </xf>
    <xf numFmtId="0" fontId="7" fillId="0" borderId="0" xfId="0" applyFont="1" applyBorder="1" applyAlignment="1">
      <alignment horizontal="center"/>
    </xf>
    <xf numFmtId="0" fontId="24" fillId="4" borderId="4" xfId="0" applyFont="1" applyFill="1" applyBorder="1" applyAlignment="1">
      <alignment vertical="center"/>
    </xf>
    <xf numFmtId="0" fontId="10" fillId="0" borderId="0" xfId="0" applyFont="1" applyFill="1" applyBorder="1"/>
    <xf numFmtId="0" fontId="24" fillId="0" borderId="0" xfId="0" applyFont="1" applyAlignment="1">
      <alignment vertical="center"/>
    </xf>
    <xf numFmtId="3" fontId="24" fillId="0" borderId="0" xfId="0" applyNumberFormat="1" applyFont="1"/>
    <xf numFmtId="0" fontId="24" fillId="0" borderId="3" xfId="0" applyFont="1" applyBorder="1"/>
    <xf numFmtId="0" fontId="12" fillId="0" borderId="0" xfId="0" applyFont="1"/>
    <xf numFmtId="0" fontId="24" fillId="0" borderId="0" xfId="0" applyFont="1" applyBorder="1"/>
    <xf numFmtId="3" fontId="23" fillId="0" borderId="0" xfId="0" applyNumberFormat="1" applyFont="1"/>
    <xf numFmtId="0" fontId="25" fillId="0" borderId="0" xfId="0" applyFont="1"/>
    <xf numFmtId="0" fontId="24" fillId="0" borderId="0" xfId="0" applyFont="1" applyAlignment="1">
      <alignment horizontal="center"/>
    </xf>
    <xf numFmtId="3" fontId="1" fillId="0" borderId="0" xfId="0" applyNumberFormat="1" applyFont="1" applyFill="1"/>
    <xf numFmtId="165" fontId="0" fillId="0" borderId="0" xfId="0" applyNumberFormat="1" applyFill="1"/>
    <xf numFmtId="165" fontId="7" fillId="0" borderId="0" xfId="0" applyNumberFormat="1" applyFont="1" applyAlignment="1">
      <alignment horizontal="left"/>
    </xf>
    <xf numFmtId="2" fontId="12" fillId="0" borderId="2" xfId="0" applyNumberFormat="1" applyFont="1" applyBorder="1" applyAlignment="1">
      <alignment horizontal="center" vertical="center"/>
    </xf>
    <xf numFmtId="2" fontId="7" fillId="0" borderId="0" xfId="0" applyNumberFormat="1" applyFont="1" applyFill="1"/>
    <xf numFmtId="0" fontId="12" fillId="0" borderId="3" xfId="0" applyFont="1" applyBorder="1" applyAlignment="1">
      <alignment horizontal="center" vertical="center"/>
    </xf>
    <xf numFmtId="0" fontId="16" fillId="0" borderId="0" xfId="0" applyFont="1" applyFill="1" applyAlignment="1">
      <alignment horizontal="left" vertical="center"/>
    </xf>
    <xf numFmtId="0" fontId="26" fillId="0" borderId="0" xfId="0" applyFont="1"/>
    <xf numFmtId="0" fontId="26" fillId="0" borderId="0" xfId="0" applyFont="1" applyFill="1"/>
    <xf numFmtId="0" fontId="12" fillId="0" borderId="0" xfId="0" applyFont="1" applyAlignment="1">
      <alignment horizontal="left" wrapText="1"/>
    </xf>
    <xf numFmtId="0" fontId="12" fillId="0" borderId="0" xfId="0" applyFont="1" applyFill="1" applyBorder="1" applyAlignment="1">
      <alignment horizontal="left" wrapText="1"/>
    </xf>
    <xf numFmtId="0" fontId="16" fillId="0" borderId="0" xfId="0" applyFont="1"/>
    <xf numFmtId="0" fontId="1" fillId="0" borderId="0" xfId="0" applyFont="1" applyFill="1" applyAlignment="1">
      <alignment horizontal="left"/>
    </xf>
    <xf numFmtId="165" fontId="15" fillId="0" borderId="0" xfId="3" applyNumberFormat="1" applyFont="1" applyFill="1" applyAlignment="1">
      <alignment horizontal="center" vertical="center"/>
    </xf>
    <xf numFmtId="0" fontId="28" fillId="0" borderId="0" xfId="0" applyFont="1"/>
    <xf numFmtId="0" fontId="1" fillId="0" borderId="0" xfId="0" applyFont="1" applyAlignment="1">
      <alignment horizontal="left"/>
    </xf>
    <xf numFmtId="0" fontId="0" fillId="7" borderId="0" xfId="0" applyFill="1"/>
    <xf numFmtId="0" fontId="29" fillId="0" borderId="0" xfId="0" applyFont="1"/>
    <xf numFmtId="0" fontId="0" fillId="0" borderId="0" xfId="0" applyAlignment="1">
      <alignment horizontal="right"/>
    </xf>
    <xf numFmtId="0" fontId="0" fillId="7" borderId="0" xfId="0" applyFill="1" applyAlignment="1">
      <alignment horizontal="center"/>
    </xf>
    <xf numFmtId="9" fontId="29" fillId="0" borderId="0" xfId="0" applyNumberFormat="1" applyFont="1" applyAlignment="1">
      <alignment horizontal="center"/>
    </xf>
    <xf numFmtId="0" fontId="30" fillId="0" borderId="0" xfId="0" applyFont="1" applyBorder="1" applyAlignment="1">
      <alignment horizontal="right"/>
    </xf>
    <xf numFmtId="0" fontId="0" fillId="7" borderId="0" xfId="0" applyFill="1" applyBorder="1"/>
    <xf numFmtId="0" fontId="30" fillId="7" borderId="0" xfId="0" applyFont="1" applyFill="1" applyBorder="1" applyAlignment="1">
      <alignment horizontal="right"/>
    </xf>
    <xf numFmtId="0" fontId="0" fillId="7" borderId="0" xfId="0" applyFill="1" applyAlignment="1">
      <alignment horizontal="right"/>
    </xf>
    <xf numFmtId="0" fontId="30" fillId="0" borderId="0" xfId="0" applyFont="1" applyBorder="1" applyAlignment="1">
      <alignment horizontal="left"/>
    </xf>
    <xf numFmtId="0" fontId="0" fillId="0" borderId="0" xfId="0" applyFill="1" applyAlignment="1">
      <alignment horizontal="right"/>
    </xf>
    <xf numFmtId="0" fontId="31" fillId="0" borderId="0" xfId="0" applyFont="1" applyBorder="1" applyAlignment="1">
      <alignment horizontal="left"/>
    </xf>
    <xf numFmtId="3" fontId="29" fillId="0" borderId="0" xfId="0" applyNumberFormat="1" applyFont="1"/>
    <xf numFmtId="0" fontId="31" fillId="0" borderId="2" xfId="0" applyFont="1" applyBorder="1"/>
    <xf numFmtId="0" fontId="31" fillId="0" borderId="2" xfId="0" applyFont="1" applyBorder="1" applyAlignment="1">
      <alignment horizontal="center"/>
    </xf>
    <xf numFmtId="9" fontId="29" fillId="0" borderId="2" xfId="0" applyNumberFormat="1" applyFont="1" applyBorder="1" applyAlignment="1">
      <alignment horizontal="center"/>
    </xf>
    <xf numFmtId="3" fontId="29" fillId="0" borderId="2" xfId="0" applyNumberFormat="1" applyFont="1" applyBorder="1"/>
    <xf numFmtId="3" fontId="27" fillId="0" borderId="0" xfId="0" applyNumberFormat="1" applyFont="1" applyAlignment="1">
      <alignment vertical="center"/>
    </xf>
    <xf numFmtId="0" fontId="32" fillId="0" borderId="0" xfId="0" applyFont="1"/>
    <xf numFmtId="3" fontId="33" fillId="0" borderId="0" xfId="0" applyNumberFormat="1" applyFont="1"/>
    <xf numFmtId="3" fontId="32" fillId="0" borderId="0" xfId="0" applyNumberFormat="1" applyFont="1"/>
    <xf numFmtId="3" fontId="17" fillId="0" borderId="0" xfId="0" applyNumberFormat="1" applyFont="1"/>
    <xf numFmtId="3" fontId="17" fillId="0" borderId="0" xfId="0" applyNumberFormat="1" applyFont="1" applyFill="1"/>
    <xf numFmtId="3" fontId="25" fillId="0" borderId="0" xfId="0" applyNumberFormat="1" applyFont="1"/>
    <xf numFmtId="3" fontId="25" fillId="0" borderId="0" xfId="0" applyNumberFormat="1" applyFont="1" applyFill="1"/>
    <xf numFmtId="9" fontId="0" fillId="0" borderId="0" xfId="0" applyNumberFormat="1" applyFill="1" applyAlignment="1">
      <alignment horizontal="right"/>
    </xf>
    <xf numFmtId="2" fontId="0" fillId="0" borderId="0" xfId="0" applyNumberFormat="1" applyAlignment="1">
      <alignment horizontal="right"/>
    </xf>
    <xf numFmtId="0" fontId="10" fillId="8" borderId="0" xfId="0" applyFont="1" applyFill="1" applyProtection="1">
      <protection locked="0"/>
    </xf>
    <xf numFmtId="0" fontId="0" fillId="8" borderId="0" xfId="0" applyFill="1" applyProtection="1">
      <protection locked="0"/>
    </xf>
    <xf numFmtId="0" fontId="0" fillId="8" borderId="0" xfId="0" applyFill="1" applyAlignment="1" applyProtection="1">
      <alignment horizontal="center"/>
      <protection locked="0"/>
    </xf>
    <xf numFmtId="3" fontId="0" fillId="8" borderId="0" xfId="0" applyNumberFormat="1" applyFill="1" applyAlignment="1" applyProtection="1">
      <alignment horizontal="center"/>
      <protection locked="0"/>
    </xf>
    <xf numFmtId="165" fontId="0" fillId="8" borderId="0" xfId="0" applyNumberFormat="1" applyFill="1" applyProtection="1">
      <protection locked="0"/>
    </xf>
    <xf numFmtId="166" fontId="0" fillId="8" borderId="0" xfId="0" applyNumberFormat="1" applyFill="1" applyProtection="1">
      <protection locked="0"/>
    </xf>
    <xf numFmtId="0" fontId="12" fillId="8" borderId="0" xfId="0" applyFont="1" applyFill="1" applyAlignment="1" applyProtection="1">
      <alignment horizontal="center" vertical="center"/>
      <protection locked="0"/>
    </xf>
    <xf numFmtId="165" fontId="12" fillId="8" borderId="0" xfId="0" applyNumberFormat="1" applyFont="1" applyFill="1" applyAlignment="1" applyProtection="1">
      <alignment horizontal="center" vertical="center"/>
      <protection locked="0"/>
    </xf>
    <xf numFmtId="0" fontId="0" fillId="8" borderId="0" xfId="0" applyFill="1" applyBorder="1" applyAlignment="1" applyProtection="1">
      <alignment horizontal="center"/>
      <protection locked="0"/>
    </xf>
    <xf numFmtId="3" fontId="12" fillId="8" borderId="0" xfId="0" applyNumberFormat="1" applyFont="1" applyFill="1" applyAlignment="1" applyProtection="1">
      <alignment horizontal="center" vertical="center"/>
      <protection locked="0"/>
    </xf>
    <xf numFmtId="0" fontId="7" fillId="8" borderId="0" xfId="0" applyFont="1" applyFill="1" applyBorder="1" applyProtection="1">
      <protection locked="0"/>
    </xf>
    <xf numFmtId="3" fontId="0" fillId="8" borderId="0" xfId="0" applyNumberFormat="1" applyFill="1" applyBorder="1" applyProtection="1">
      <protection locked="0"/>
    </xf>
    <xf numFmtId="3" fontId="0" fillId="8" borderId="0" xfId="0" applyNumberFormat="1" applyFill="1" applyBorder="1" applyAlignment="1" applyProtection="1">
      <alignment horizontal="center"/>
      <protection locked="0"/>
    </xf>
    <xf numFmtId="2" fontId="0" fillId="8" borderId="0" xfId="0" applyNumberFormat="1" applyFill="1" applyBorder="1" applyAlignment="1" applyProtection="1">
      <alignment horizontal="center"/>
      <protection locked="0"/>
    </xf>
    <xf numFmtId="2" fontId="0" fillId="8" borderId="0" xfId="0" applyNumberFormat="1" applyFill="1" applyBorder="1" applyProtection="1">
      <protection locked="0"/>
    </xf>
    <xf numFmtId="9" fontId="0" fillId="8" borderId="0" xfId="0" applyNumberFormat="1" applyFill="1" applyBorder="1" applyAlignment="1" applyProtection="1">
      <alignment horizontal="center"/>
      <protection locked="0"/>
    </xf>
    <xf numFmtId="165" fontId="12" fillId="8" borderId="0" xfId="3" applyNumberFormat="1" applyFont="1" applyFill="1" applyAlignment="1" applyProtection="1">
      <alignment vertical="center"/>
      <protection locked="0"/>
    </xf>
    <xf numFmtId="3" fontId="12" fillId="8" borderId="0" xfId="0" applyNumberFormat="1" applyFont="1" applyFill="1" applyAlignment="1" applyProtection="1">
      <alignment vertical="center"/>
      <protection locked="0"/>
    </xf>
    <xf numFmtId="3" fontId="12" fillId="8" borderId="0" xfId="0" applyNumberFormat="1" applyFont="1" applyFill="1" applyBorder="1" applyAlignment="1" applyProtection="1">
      <alignment horizontal="center" vertical="center"/>
      <protection locked="0"/>
    </xf>
    <xf numFmtId="3" fontId="0" fillId="8" borderId="0" xfId="0" applyNumberFormat="1" applyFill="1" applyProtection="1">
      <protection locked="0"/>
    </xf>
    <xf numFmtId="9" fontId="0" fillId="8" borderId="0" xfId="0" applyNumberFormat="1" applyFill="1" applyAlignment="1" applyProtection="1">
      <alignment horizontal="center"/>
      <protection locked="0"/>
    </xf>
    <xf numFmtId="0" fontId="7" fillId="8" borderId="0" xfId="0" applyFont="1" applyFill="1" applyProtection="1">
      <protection locked="0"/>
    </xf>
    <xf numFmtId="3" fontId="1" fillId="8" borderId="0" xfId="0" applyNumberFormat="1" applyFont="1" applyFill="1" applyAlignment="1" applyProtection="1">
      <alignment horizontal="center"/>
      <protection locked="0"/>
    </xf>
    <xf numFmtId="3" fontId="1" fillId="8" borderId="0" xfId="0" applyNumberFormat="1" applyFont="1" applyFill="1" applyProtection="1">
      <protection locked="0"/>
    </xf>
    <xf numFmtId="165" fontId="0" fillId="8" borderId="0" xfId="0" applyNumberFormat="1" applyFill="1" applyBorder="1" applyAlignment="1" applyProtection="1">
      <alignment horizontal="center"/>
      <protection locked="0"/>
    </xf>
    <xf numFmtId="3" fontId="6" fillId="8" borderId="0" xfId="0" applyNumberFormat="1" applyFont="1" applyFill="1" applyAlignment="1" applyProtection="1">
      <alignment horizontal="center"/>
      <protection locked="0"/>
    </xf>
    <xf numFmtId="165" fontId="0" fillId="8" borderId="0" xfId="0" applyNumberFormat="1" applyFill="1" applyAlignment="1" applyProtection="1">
      <alignment horizontal="center"/>
      <protection locked="0"/>
    </xf>
    <xf numFmtId="9" fontId="0" fillId="8" borderId="0" xfId="0" applyNumberFormat="1" applyFill="1" applyProtection="1">
      <protection locked="0"/>
    </xf>
    <xf numFmtId="3" fontId="12" fillId="8" borderId="0" xfId="0" applyNumberFormat="1" applyFont="1" applyFill="1" applyBorder="1" applyAlignment="1" applyProtection="1">
      <alignment vertical="center"/>
      <protection locked="0"/>
    </xf>
    <xf numFmtId="9" fontId="16" fillId="8" borderId="0" xfId="3" applyFont="1" applyFill="1" applyBorder="1" applyAlignment="1" applyProtection="1">
      <alignment horizontal="center" vertical="center"/>
      <protection locked="0"/>
    </xf>
    <xf numFmtId="9" fontId="12" fillId="8" borderId="0" xfId="3" applyFont="1" applyFill="1" applyAlignment="1" applyProtection="1">
      <alignment horizontal="center" vertical="center"/>
      <protection locked="0"/>
    </xf>
    <xf numFmtId="4" fontId="16" fillId="8" borderId="0" xfId="3" applyNumberFormat="1" applyFont="1" applyFill="1" applyBorder="1" applyAlignment="1" applyProtection="1">
      <alignment horizontal="center" vertical="center"/>
      <protection locked="0"/>
    </xf>
    <xf numFmtId="4" fontId="12" fillId="8" borderId="0" xfId="0" applyNumberFormat="1" applyFont="1" applyFill="1" applyBorder="1" applyAlignment="1" applyProtection="1">
      <alignment vertical="center"/>
      <protection locked="0"/>
    </xf>
    <xf numFmtId="9" fontId="12" fillId="8" borderId="0" xfId="0" applyNumberFormat="1" applyFont="1" applyFill="1" applyAlignment="1" applyProtection="1">
      <alignment horizontal="center" vertical="center"/>
      <protection locked="0"/>
    </xf>
    <xf numFmtId="4" fontId="6" fillId="8" borderId="0" xfId="0" applyNumberFormat="1" applyFont="1" applyFill="1" applyAlignment="1" applyProtection="1">
      <alignment horizontal="center"/>
      <protection locked="0"/>
    </xf>
    <xf numFmtId="4" fontId="12" fillId="8" borderId="0" xfId="0" applyNumberFormat="1" applyFont="1" applyFill="1" applyBorder="1" applyAlignment="1" applyProtection="1">
      <alignment horizontal="center" vertical="center"/>
      <protection locked="0"/>
    </xf>
    <xf numFmtId="0" fontId="12" fillId="8" borderId="0" xfId="0" applyFont="1" applyFill="1" applyBorder="1" applyAlignment="1" applyProtection="1">
      <alignment horizontal="center" vertical="center"/>
      <protection locked="0"/>
    </xf>
    <xf numFmtId="0" fontId="12" fillId="8" borderId="2" xfId="0" applyFont="1" applyFill="1" applyBorder="1" applyAlignment="1" applyProtection="1">
      <alignment horizontal="center" vertical="center"/>
      <protection locked="0"/>
    </xf>
    <xf numFmtId="165" fontId="12" fillId="8" borderId="0" xfId="3" applyNumberFormat="1" applyFont="1" applyFill="1" applyAlignment="1" applyProtection="1">
      <alignment horizontal="center" vertical="center"/>
      <protection locked="0"/>
    </xf>
    <xf numFmtId="0" fontId="7" fillId="0" borderId="0" xfId="0" applyFont="1" applyAlignment="1">
      <alignment horizontal="left" indent="1"/>
    </xf>
    <xf numFmtId="0" fontId="0" fillId="0" borderId="0" xfId="0" applyFont="1" applyAlignment="1">
      <alignment horizontal="center"/>
    </xf>
    <xf numFmtId="0" fontId="34" fillId="0" borderId="0" xfId="0" applyFont="1"/>
    <xf numFmtId="0" fontId="35" fillId="0" borderId="0" xfId="0" applyFont="1"/>
    <xf numFmtId="49" fontId="0" fillId="0" borderId="0" xfId="0" applyNumberFormat="1" applyAlignment="1">
      <alignment horizontal="center"/>
    </xf>
    <xf numFmtId="3" fontId="0" fillId="0" borderId="0" xfId="0" applyNumberFormat="1" applyFont="1"/>
    <xf numFmtId="0" fontId="1" fillId="0" borderId="0" xfId="0" applyFont="1" applyAlignment="1">
      <alignment wrapText="1"/>
    </xf>
    <xf numFmtId="3" fontId="0" fillId="0" borderId="0" xfId="0" applyNumberFormat="1" applyFill="1" applyAlignment="1" applyProtection="1">
      <alignment horizontal="center"/>
      <protection locked="0"/>
    </xf>
    <xf numFmtId="0" fontId="12" fillId="0" borderId="0" xfId="0" applyFont="1" applyFill="1"/>
    <xf numFmtId="0" fontId="7" fillId="0" borderId="0" xfId="0" applyFont="1" applyFill="1" applyBorder="1" applyAlignment="1">
      <alignment horizontal="center"/>
    </xf>
    <xf numFmtId="0" fontId="1" fillId="0" borderId="0" xfId="2" applyFont="1"/>
    <xf numFmtId="0" fontId="17" fillId="0" borderId="0" xfId="0" applyFont="1" applyFill="1"/>
    <xf numFmtId="0" fontId="32" fillId="0" borderId="3" xfId="0" applyFont="1" applyBorder="1"/>
    <xf numFmtId="0" fontId="32" fillId="0" borderId="0" xfId="0" applyFont="1" applyBorder="1"/>
    <xf numFmtId="0" fontId="16" fillId="0" borderId="0" xfId="0" applyFont="1" applyBorder="1" applyAlignment="1">
      <alignment horizontal="left" vertical="center"/>
    </xf>
    <xf numFmtId="0" fontId="12" fillId="0" borderId="0" xfId="0" applyFont="1" applyBorder="1" applyAlignment="1">
      <alignment horizontal="center" vertical="center"/>
    </xf>
    <xf numFmtId="0" fontId="39" fillId="0" borderId="0" xfId="0" applyFont="1" applyAlignment="1">
      <alignment horizontal="center"/>
    </xf>
    <xf numFmtId="4" fontId="1" fillId="0" borderId="0" xfId="0" applyNumberFormat="1" applyFont="1" applyAlignment="1">
      <alignment horizontal="center"/>
    </xf>
    <xf numFmtId="9" fontId="12" fillId="0" borderId="0" xfId="3" applyNumberFormat="1" applyFont="1" applyAlignment="1">
      <alignment horizontal="center" vertical="center"/>
    </xf>
    <xf numFmtId="3" fontId="0" fillId="9" borderId="0" xfId="0" applyNumberFormat="1" applyFill="1"/>
    <xf numFmtId="3" fontId="15" fillId="0" borderId="0" xfId="0" applyNumberFormat="1" applyFont="1" applyFill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0" fillId="0" borderId="0" xfId="0" applyFill="1" applyAlignment="1">
      <alignment wrapText="1"/>
    </xf>
    <xf numFmtId="0" fontId="43" fillId="0" borderId="8" xfId="1" applyBorder="1"/>
    <xf numFmtId="0" fontId="0" fillId="0" borderId="8" xfId="0" applyBorder="1"/>
    <xf numFmtId="9" fontId="0" fillId="0" borderId="8" xfId="0" applyNumberFormat="1" applyBorder="1"/>
    <xf numFmtId="0" fontId="44" fillId="0" borderId="8" xfId="0" applyFont="1" applyBorder="1"/>
    <xf numFmtId="0" fontId="0" fillId="0" borderId="0" xfId="0" applyAlignment="1">
      <alignment wrapText="1"/>
    </xf>
    <xf numFmtId="9" fontId="44" fillId="0" borderId="8" xfId="0" applyNumberFormat="1" applyFont="1" applyBorder="1"/>
    <xf numFmtId="0" fontId="43" fillId="0" borderId="8" xfId="1" applyBorder="1" applyAlignment="1">
      <alignment wrapText="1"/>
    </xf>
    <xf numFmtId="0" fontId="0" fillId="0" borderId="8" xfId="0" applyBorder="1" applyAlignment="1">
      <alignment wrapText="1"/>
    </xf>
    <xf numFmtId="0" fontId="43" fillId="0" borderId="8" xfId="1" applyFill="1" applyBorder="1" applyAlignment="1">
      <alignment wrapText="1"/>
    </xf>
    <xf numFmtId="168" fontId="42" fillId="0" borderId="8" xfId="4" applyNumberFormat="1" applyFont="1" applyBorder="1" applyAlignment="1">
      <alignment wrapText="1"/>
    </xf>
    <xf numFmtId="169" fontId="42" fillId="0" borderId="8" xfId="4" applyNumberFormat="1" applyFont="1" applyBorder="1" applyAlignment="1">
      <alignment wrapText="1"/>
    </xf>
    <xf numFmtId="0" fontId="10" fillId="0" borderId="0" xfId="0" applyFont="1" applyFill="1" applyProtection="1">
      <protection locked="0"/>
    </xf>
    <xf numFmtId="0" fontId="0" fillId="0" borderId="0" xfId="0" applyFill="1" applyProtection="1">
      <protection locked="0"/>
    </xf>
    <xf numFmtId="14" fontId="0" fillId="0" borderId="0" xfId="0" applyNumberFormat="1" applyFill="1" applyAlignment="1">
      <alignment horizontal="center"/>
    </xf>
    <xf numFmtId="0" fontId="0" fillId="0" borderId="6" xfId="0" applyFill="1" applyBorder="1"/>
    <xf numFmtId="0" fontId="0" fillId="0" borderId="0" xfId="0" applyFill="1" applyAlignment="1">
      <alignment horizontal="left"/>
    </xf>
    <xf numFmtId="0" fontId="0" fillId="0" borderId="7" xfId="0" applyFill="1" applyBorder="1"/>
    <xf numFmtId="14" fontId="12" fillId="0" borderId="0" xfId="0" applyNumberFormat="1" applyFont="1" applyFill="1" applyAlignment="1">
      <alignment horizontal="center" vertical="center"/>
    </xf>
    <xf numFmtId="0" fontId="7" fillId="0" borderId="0" xfId="0" applyFont="1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3" fontId="1" fillId="0" borderId="0" xfId="0" applyNumberFormat="1" applyFont="1" applyFill="1" applyProtection="1">
      <protection locked="0"/>
    </xf>
    <xf numFmtId="3" fontId="1" fillId="0" borderId="0" xfId="0" applyNumberFormat="1" applyFont="1" applyFill="1" applyAlignment="1" applyProtection="1">
      <alignment horizontal="center"/>
      <protection locked="0"/>
    </xf>
    <xf numFmtId="3" fontId="12" fillId="0" borderId="0" xfId="0" applyNumberFormat="1" applyFont="1" applyFill="1" applyBorder="1" applyAlignment="1" applyProtection="1">
      <alignment horizontal="center" vertical="center"/>
      <protection locked="0"/>
    </xf>
    <xf numFmtId="0" fontId="1" fillId="0" borderId="2" xfId="0" applyFont="1" applyFill="1" applyBorder="1"/>
    <xf numFmtId="0" fontId="1" fillId="0" borderId="3" xfId="0" applyFont="1" applyFill="1" applyBorder="1"/>
    <xf numFmtId="0" fontId="1" fillId="0" borderId="3" xfId="0" applyFont="1" applyFill="1" applyBorder="1" applyAlignment="1">
      <alignment horizontal="center"/>
    </xf>
    <xf numFmtId="3" fontId="0" fillId="0" borderId="0" xfId="0" applyNumberFormat="1" applyFill="1" applyProtection="1">
      <protection locked="0"/>
    </xf>
    <xf numFmtId="0" fontId="1" fillId="0" borderId="0" xfId="0" applyFont="1" applyFill="1" applyBorder="1" applyAlignment="1">
      <alignment horizontal="center"/>
    </xf>
    <xf numFmtId="16" fontId="1" fillId="0" borderId="0" xfId="0" applyNumberFormat="1" applyFont="1" applyFill="1"/>
    <xf numFmtId="9" fontId="0" fillId="0" borderId="0" xfId="0" applyNumberFormat="1" applyFill="1" applyAlignment="1" applyProtection="1">
      <alignment horizontal="center"/>
      <protection locked="0"/>
    </xf>
    <xf numFmtId="3" fontId="12" fillId="0" borderId="0" xfId="0" applyNumberFormat="1" applyFont="1" applyFill="1" applyAlignment="1" applyProtection="1">
      <alignment horizontal="center" vertical="center"/>
      <protection locked="0"/>
    </xf>
    <xf numFmtId="0" fontId="16" fillId="0" borderId="0" xfId="0" applyFont="1" applyFill="1" applyAlignment="1">
      <alignment horizontal="center" vertical="center"/>
    </xf>
    <xf numFmtId="3" fontId="16" fillId="0" borderId="0" xfId="0" applyNumberFormat="1" applyFont="1" applyFill="1" applyBorder="1" applyAlignment="1">
      <alignment vertical="center"/>
    </xf>
    <xf numFmtId="0" fontId="12" fillId="0" borderId="0" xfId="0" applyFont="1" applyFill="1" applyAlignment="1" applyProtection="1">
      <alignment horizontal="center" vertical="center"/>
      <protection locked="0"/>
    </xf>
    <xf numFmtId="165" fontId="0" fillId="0" borderId="0" xfId="0" applyNumberFormat="1" applyFill="1" applyBorder="1" applyAlignment="1" applyProtection="1">
      <alignment horizontal="center"/>
      <protection locked="0"/>
    </xf>
    <xf numFmtId="167" fontId="12" fillId="0" borderId="0" xfId="0" applyNumberFormat="1" applyFont="1" applyFill="1" applyBorder="1" applyAlignment="1" applyProtection="1">
      <alignment horizontal="center" vertical="center"/>
      <protection locked="0"/>
    </xf>
    <xf numFmtId="9" fontId="0" fillId="0" borderId="0" xfId="0" applyNumberFormat="1" applyFill="1" applyProtection="1">
      <protection locked="0"/>
    </xf>
    <xf numFmtId="3" fontId="12" fillId="0" borderId="0" xfId="0" applyNumberFormat="1" applyFont="1" applyFill="1" applyBorder="1" applyAlignment="1" applyProtection="1">
      <alignment vertical="center"/>
      <protection locked="0"/>
    </xf>
    <xf numFmtId="0" fontId="18" fillId="0" borderId="0" xfId="0" applyFont="1" applyFill="1"/>
    <xf numFmtId="167" fontId="10" fillId="0" borderId="0" xfId="0" applyNumberFormat="1" applyFont="1" applyFill="1"/>
    <xf numFmtId="167" fontId="0" fillId="0" borderId="0" xfId="0" applyNumberFormat="1" applyFill="1" applyAlignment="1" applyProtection="1">
      <alignment horizontal="center"/>
      <protection locked="0"/>
    </xf>
    <xf numFmtId="170" fontId="0" fillId="0" borderId="0" xfId="0" applyNumberFormat="1" applyFill="1" applyAlignment="1" applyProtection="1">
      <alignment horizontal="center"/>
      <protection locked="0"/>
    </xf>
    <xf numFmtId="165" fontId="12" fillId="0" borderId="0" xfId="3" applyNumberFormat="1" applyFont="1" applyFill="1" applyAlignment="1" applyProtection="1">
      <alignment vertical="center"/>
      <protection locked="0"/>
    </xf>
    <xf numFmtId="9" fontId="12" fillId="0" borderId="0" xfId="3" applyFont="1" applyFill="1" applyAlignment="1" applyProtection="1">
      <alignment horizontal="center" vertical="center"/>
      <protection locked="0"/>
    </xf>
    <xf numFmtId="0" fontId="7" fillId="0" borderId="3" xfId="0" applyFont="1" applyFill="1" applyBorder="1"/>
    <xf numFmtId="3" fontId="15" fillId="0" borderId="0" xfId="0" applyNumberFormat="1" applyFont="1" applyFill="1" applyBorder="1" applyAlignment="1">
      <alignment vertical="center"/>
    </xf>
    <xf numFmtId="3" fontId="15" fillId="0" borderId="0" xfId="0" applyNumberFormat="1" applyFont="1" applyFill="1" applyAlignment="1">
      <alignment vertical="center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3" xfId="0" applyFont="1" applyFill="1" applyBorder="1" applyAlignment="1">
      <alignment vertical="center"/>
    </xf>
    <xf numFmtId="3" fontId="0" fillId="0" borderId="3" xfId="0" applyNumberFormat="1" applyFill="1" applyBorder="1"/>
    <xf numFmtId="0" fontId="0" fillId="0" borderId="2" xfId="0" applyFill="1" applyBorder="1" applyAlignment="1">
      <alignment horizontal="center"/>
    </xf>
    <xf numFmtId="0" fontId="7" fillId="0" borderId="2" xfId="0" applyFont="1" applyFill="1" applyBorder="1"/>
    <xf numFmtId="0" fontId="12" fillId="0" borderId="2" xfId="0" applyFont="1" applyFill="1" applyBorder="1" applyAlignment="1" applyProtection="1">
      <alignment horizontal="center" vertical="center"/>
      <protection locked="0"/>
    </xf>
    <xf numFmtId="0" fontId="15" fillId="0" borderId="0" xfId="0" applyFont="1" applyFill="1" applyAlignment="1">
      <alignment vertical="center"/>
    </xf>
    <xf numFmtId="3" fontId="12" fillId="0" borderId="0" xfId="0" applyNumberFormat="1" applyFont="1" applyFill="1" applyAlignment="1" applyProtection="1">
      <alignment vertical="center"/>
      <protection locked="0"/>
    </xf>
    <xf numFmtId="0" fontId="16" fillId="0" borderId="0" xfId="0" applyFont="1" applyFill="1" applyAlignment="1">
      <alignment vertical="center"/>
    </xf>
    <xf numFmtId="3" fontId="27" fillId="0" borderId="0" xfId="0" applyNumberFormat="1" applyFont="1" applyFill="1" applyAlignment="1">
      <alignment vertical="center"/>
    </xf>
    <xf numFmtId="0" fontId="32" fillId="0" borderId="0" xfId="0" applyFont="1" applyFill="1"/>
    <xf numFmtId="0" fontId="32" fillId="0" borderId="3" xfId="0" applyFont="1" applyFill="1" applyBorder="1"/>
    <xf numFmtId="0" fontId="32" fillId="0" borderId="0" xfId="0" applyFont="1" applyFill="1" applyBorder="1"/>
    <xf numFmtId="0" fontId="7" fillId="0" borderId="0" xfId="0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6" fillId="0" borderId="0" xfId="0" applyFont="1" applyFill="1" applyBorder="1" applyAlignment="1">
      <alignment horizontal="left" vertical="center"/>
    </xf>
    <xf numFmtId="3" fontId="33" fillId="0" borderId="0" xfId="0" applyNumberFormat="1" applyFont="1" applyFill="1"/>
    <xf numFmtId="3" fontId="32" fillId="0" borderId="0" xfId="0" applyNumberFormat="1" applyFont="1" applyFill="1"/>
    <xf numFmtId="0" fontId="0" fillId="0" borderId="0" xfId="0" applyFont="1" applyFill="1"/>
    <xf numFmtId="0" fontId="0" fillId="0" borderId="0" xfId="0" applyFont="1" applyFill="1" applyAlignment="1">
      <alignment horizontal="center"/>
    </xf>
    <xf numFmtId="0" fontId="10" fillId="0" borderId="0" xfId="0" applyFont="1" applyFill="1"/>
    <xf numFmtId="0" fontId="34" fillId="0" borderId="0" xfId="0" applyFont="1" applyFill="1"/>
    <xf numFmtId="0" fontId="19" fillId="0" borderId="3" xfId="0" applyFont="1" applyFill="1" applyBorder="1" applyAlignment="1">
      <alignment horizontal="left" vertical="center"/>
    </xf>
    <xf numFmtId="3" fontId="16" fillId="0" borderId="3" xfId="0" applyNumberFormat="1" applyFont="1" applyFill="1" applyBorder="1" applyAlignment="1">
      <alignment vertical="center"/>
    </xf>
    <xf numFmtId="0" fontId="12" fillId="0" borderId="5" xfId="0" applyFont="1" applyFill="1" applyBorder="1" applyAlignment="1">
      <alignment horizontal="left" vertical="center" wrapText="1"/>
    </xf>
    <xf numFmtId="165" fontId="12" fillId="0" borderId="0" xfId="3" applyNumberFormat="1" applyFont="1" applyFill="1" applyAlignment="1" applyProtection="1">
      <alignment horizontal="center" vertical="center"/>
      <protection locked="0"/>
    </xf>
    <xf numFmtId="2" fontId="12" fillId="0" borderId="0" xfId="0" applyNumberFormat="1" applyFont="1" applyFill="1" applyAlignment="1">
      <alignment horizontal="center" vertical="center"/>
    </xf>
    <xf numFmtId="2" fontId="12" fillId="0" borderId="2" xfId="0" applyNumberFormat="1" applyFont="1" applyFill="1" applyBorder="1" applyAlignment="1">
      <alignment horizontal="center" vertical="center"/>
    </xf>
    <xf numFmtId="2" fontId="0" fillId="0" borderId="0" xfId="0" applyNumberFormat="1" applyFill="1" applyAlignment="1">
      <alignment horizontal="center"/>
    </xf>
    <xf numFmtId="0" fontId="0" fillId="0" borderId="3" xfId="0" applyFill="1" applyBorder="1" applyAlignment="1">
      <alignment horizontal="center"/>
    </xf>
    <xf numFmtId="0" fontId="6" fillId="0" borderId="3" xfId="0" applyFont="1" applyFill="1" applyBorder="1"/>
    <xf numFmtId="0" fontId="10" fillId="0" borderId="3" xfId="0" applyFont="1" applyFill="1" applyBorder="1"/>
    <xf numFmtId="3" fontId="1" fillId="0" borderId="0" xfId="0" applyNumberFormat="1" applyFont="1" applyFill="1" applyBorder="1"/>
    <xf numFmtId="2" fontId="15" fillId="0" borderId="0" xfId="0" applyNumberFormat="1" applyFont="1" applyFill="1" applyAlignment="1">
      <alignment horizontal="center" vertical="center"/>
    </xf>
    <xf numFmtId="4" fontId="1" fillId="0" borderId="0" xfId="0" applyNumberFormat="1" applyFont="1" applyFill="1" applyAlignment="1">
      <alignment horizontal="center"/>
    </xf>
    <xf numFmtId="9" fontId="12" fillId="0" borderId="0" xfId="3" applyNumberFormat="1" applyFont="1" applyFill="1" applyAlignment="1">
      <alignment horizontal="center" vertical="center"/>
    </xf>
    <xf numFmtId="9" fontId="12" fillId="0" borderId="0" xfId="0" applyNumberFormat="1" applyFont="1" applyFill="1" applyAlignment="1">
      <alignment vertical="center"/>
    </xf>
    <xf numFmtId="2" fontId="0" fillId="0" borderId="0" xfId="0" applyNumberFormat="1" applyFill="1" applyAlignment="1">
      <alignment horizontal="right"/>
    </xf>
    <xf numFmtId="3" fontId="0" fillId="0" borderId="0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10" fontId="0" fillId="8" borderId="0" xfId="0" applyNumberFormat="1" applyFill="1" applyProtection="1">
      <protection locked="0"/>
    </xf>
    <xf numFmtId="171" fontId="12" fillId="0" borderId="0" xfId="0" applyNumberFormat="1" applyFont="1" applyFill="1" applyBorder="1" applyAlignment="1">
      <alignment vertical="center"/>
    </xf>
    <xf numFmtId="167" fontId="0" fillId="0" borderId="3" xfId="0" applyNumberFormat="1" applyBorder="1"/>
    <xf numFmtId="3" fontId="49" fillId="0" borderId="0" xfId="0" applyNumberFormat="1" applyFont="1"/>
    <xf numFmtId="167" fontId="12" fillId="8" borderId="0" xfId="0" applyNumberFormat="1" applyFont="1" applyFill="1" applyBorder="1" applyAlignment="1" applyProtection="1">
      <alignment horizontal="center" vertical="center"/>
      <protection locked="0"/>
    </xf>
    <xf numFmtId="167" fontId="12" fillId="8" borderId="0" xfId="0" applyNumberFormat="1" applyFont="1" applyFill="1" applyBorder="1" applyAlignment="1" applyProtection="1">
      <alignment vertical="center"/>
      <protection locked="0"/>
    </xf>
    <xf numFmtId="10" fontId="0" fillId="0" borderId="0" xfId="0" applyNumberFormat="1"/>
    <xf numFmtId="4" fontId="0" fillId="8" borderId="0" xfId="0" applyNumberFormat="1" applyFill="1" applyAlignment="1" applyProtection="1">
      <alignment horizontal="center"/>
      <protection locked="0"/>
    </xf>
    <xf numFmtId="0" fontId="23" fillId="2" borderId="0" xfId="0" applyFont="1" applyFill="1" applyAlignment="1">
      <alignment horizontal="center" vertical="center"/>
    </xf>
    <xf numFmtId="22" fontId="24" fillId="0" borderId="0" xfId="0" quotePrefix="1" applyNumberFormat="1" applyFont="1" applyFill="1" applyAlignment="1">
      <alignment horizontal="left"/>
    </xf>
    <xf numFmtId="0" fontId="0" fillId="0" borderId="0" xfId="0" applyAlignment="1"/>
  </cellXfs>
  <cellStyles count="5">
    <cellStyle name="Заголовок 1" xfId="1" builtinId="16"/>
    <cellStyle name="Обычный" xfId="0" builtinId="0"/>
    <cellStyle name="Обычный_Лист1" xfId="2" xr:uid="{00000000-0005-0000-0000-000002000000}"/>
    <cellStyle name="Процентный" xfId="3" builtinId="5"/>
    <cellStyle name="Финансовый" xfId="4" builtinId="3"/>
  </cellStyles>
  <dxfs count="44"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lor theme="1" tint="0.499984740745262"/>
      </font>
      <fill>
        <patternFill patternType="none">
          <bgColor indexed="65"/>
        </patternFill>
      </fill>
    </dxf>
    <dxf>
      <font>
        <condense val="0"/>
        <extend val="0"/>
        <color indexed="10"/>
      </font>
    </dxf>
    <dxf>
      <fill>
        <patternFill patternType="none">
          <bgColor indexed="65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99FFCC"/>
      <rgbColor rgb="000000FF"/>
      <rgbColor rgb="00FFFF99"/>
      <rgbColor rgb="00FFCCFF"/>
      <rgbColor rgb="00D7AE85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CCCCFF"/>
      <rgbColor rgb="00800080"/>
      <rgbColor rgb="00800000"/>
      <rgbColor rgb="00008080"/>
      <rgbColor rgb="000000FF"/>
      <rgbColor rgb="00B9F2FF"/>
      <rgbColor rgb="00CED9FE"/>
      <rgbColor rgb="00CED9FE"/>
      <rgbColor rgb="00C6D79F"/>
      <rgbColor rgb="0099CCFF"/>
      <rgbColor rgb="00D8D8D8"/>
      <rgbColor rgb="00CC99FF"/>
      <rgbColor rgb="00EAEAEA"/>
      <rgbColor rgb="00AA7138"/>
      <rgbColor rgb="0033CCCC"/>
      <rgbColor rgb="00E6FF9F"/>
      <rgbColor rgb="00FFCC99"/>
      <rgbColor rgb="00FF9900"/>
      <rgbColor rgb="00FF6600"/>
      <rgbColor rgb="00666699"/>
      <rgbColor rgb="00969696"/>
      <rgbColor rgb="00003366"/>
      <rgbColor rgb="00A0E0C0"/>
      <rgbColor rgb="00003300"/>
      <rgbColor rgb="00333300"/>
      <rgbColor rgb="00993300"/>
      <rgbColor rgb="00DD97BA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Проект!$A$1301</c:f>
              <c:strCache>
                <c:ptCount val="1"/>
                <c:pt idx="0">
                  <c:v>Выручка (нетто)</c:v>
                </c:pt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</a:ln>
          </c:spPr>
          <c:marker>
            <c:spPr>
              <a:ln>
                <a:solidFill>
                  <a:schemeClr val="accent1">
                    <a:lumMod val="50000"/>
                  </a:schemeClr>
                </a:solidFill>
              </a:ln>
            </c:spPr>
          </c:marker>
          <c:cat>
            <c:strRef>
              <c:f>Проект!$F$1299:$Q$1299</c:f>
              <c:strCache>
                <c:ptCount val="12"/>
                <c:pt idx="0">
                  <c:v>4/ 2024</c:v>
                </c:pt>
                <c:pt idx="1">
                  <c:v>5/ 2024</c:v>
                </c:pt>
                <c:pt idx="2">
                  <c:v>6/ 2024</c:v>
                </c:pt>
                <c:pt idx="3">
                  <c:v>7/ 2024</c:v>
                </c:pt>
                <c:pt idx="4">
                  <c:v>8/ 2024</c:v>
                </c:pt>
                <c:pt idx="5">
                  <c:v>9/ 2024</c:v>
                </c:pt>
                <c:pt idx="6">
                  <c:v>10/ 2024</c:v>
                </c:pt>
                <c:pt idx="7">
                  <c:v>11/ 2024</c:v>
                </c:pt>
                <c:pt idx="8">
                  <c:v>12/ 2024</c:v>
                </c:pt>
                <c:pt idx="9">
                  <c:v>1/ 2025</c:v>
                </c:pt>
                <c:pt idx="10">
                  <c:v>2/ 2025</c:v>
                </c:pt>
                <c:pt idx="11">
                  <c:v>3/ 2025</c:v>
                </c:pt>
              </c:strCache>
            </c:strRef>
          </c:cat>
          <c:val>
            <c:numRef>
              <c:f>Проект!$F$1301:$Q$1301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135920</c:v>
                </c:pt>
                <c:pt idx="3">
                  <c:v>679600</c:v>
                </c:pt>
                <c:pt idx="4">
                  <c:v>1359200</c:v>
                </c:pt>
                <c:pt idx="5">
                  <c:v>2718400</c:v>
                </c:pt>
                <c:pt idx="6">
                  <c:v>4077600</c:v>
                </c:pt>
                <c:pt idx="7">
                  <c:v>5436800</c:v>
                </c:pt>
                <c:pt idx="8">
                  <c:v>7475600</c:v>
                </c:pt>
                <c:pt idx="9">
                  <c:v>10194000</c:v>
                </c:pt>
                <c:pt idx="10">
                  <c:v>12232800</c:v>
                </c:pt>
                <c:pt idx="11">
                  <c:v>13592000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DF-4882-9562-A362E6637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305984"/>
        <c:axId val="327307552"/>
      </c:lineChart>
      <c:catAx>
        <c:axId val="327305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27307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7307552"/>
        <c:scaling>
          <c:orientation val="minMax"/>
        </c:scaling>
        <c:delete val="0"/>
        <c:axPos val="l"/>
        <c:majorGridlines>
          <c:spPr>
            <a:ln w="3175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27305984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  <a:ln w="12700"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00000000000091" r="0.7500000000000091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2"/>
          <c:order val="0"/>
          <c:tx>
            <c:strRef>
              <c:f>Проект!$A$1324</c:f>
              <c:strCache>
                <c:ptCount val="1"/>
                <c:pt idx="0">
                  <c:v>Чистая прибыль (убыток)</c:v>
                </c:pt>
              </c:strCache>
            </c:strRef>
          </c:tx>
          <c:spPr>
            <a:ln w="28575">
              <a:solidFill>
                <a:schemeClr val="bg2">
                  <a:lumMod val="50000"/>
                </a:schemeClr>
              </a:solidFill>
              <a:prstDash val="solid"/>
            </a:ln>
          </c:spPr>
          <c:marker>
            <c:symbol val="square"/>
            <c:size val="5"/>
            <c:spPr>
              <a:solidFill>
                <a:schemeClr val="bg2">
                  <a:lumMod val="50000"/>
                </a:schemeClr>
              </a:solidFill>
              <a:ln>
                <a:solidFill>
                  <a:schemeClr val="bg2">
                    <a:lumMod val="50000"/>
                  </a:schemeClr>
                </a:solidFill>
              </a:ln>
            </c:spPr>
          </c:marker>
          <c:cat>
            <c:strRef>
              <c:f>Проект!$F$1299:$Q$1299</c:f>
              <c:strCache>
                <c:ptCount val="12"/>
                <c:pt idx="0">
                  <c:v>4/ 2024</c:v>
                </c:pt>
                <c:pt idx="1">
                  <c:v>5/ 2024</c:v>
                </c:pt>
                <c:pt idx="2">
                  <c:v>6/ 2024</c:v>
                </c:pt>
                <c:pt idx="3">
                  <c:v>7/ 2024</c:v>
                </c:pt>
                <c:pt idx="4">
                  <c:v>8/ 2024</c:v>
                </c:pt>
                <c:pt idx="5">
                  <c:v>9/ 2024</c:v>
                </c:pt>
                <c:pt idx="6">
                  <c:v>10/ 2024</c:v>
                </c:pt>
                <c:pt idx="7">
                  <c:v>11/ 2024</c:v>
                </c:pt>
                <c:pt idx="8">
                  <c:v>12/ 2024</c:v>
                </c:pt>
                <c:pt idx="9">
                  <c:v>1/ 2025</c:v>
                </c:pt>
                <c:pt idx="10">
                  <c:v>2/ 2025</c:v>
                </c:pt>
                <c:pt idx="11">
                  <c:v>3/ 2025</c:v>
                </c:pt>
              </c:strCache>
            </c:strRef>
          </c:cat>
          <c:val>
            <c:numRef>
              <c:f>Проект!$F$1324:$Q$1324</c:f>
            </c:numRef>
          </c:val>
          <c:smooth val="0"/>
          <c:extLst>
            <c:ext xmlns:c16="http://schemas.microsoft.com/office/drawing/2014/chart" uri="{C3380CC4-5D6E-409C-BE32-E72D297353CC}">
              <c16:uniqueId val="{00000000-B386-4D86-A2BC-36ED0F761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309120"/>
        <c:axId val="326942144"/>
      </c:lineChart>
      <c:catAx>
        <c:axId val="327309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26942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942144"/>
        <c:scaling>
          <c:orientation val="minMax"/>
        </c:scaling>
        <c:delete val="0"/>
        <c:axPos val="l"/>
        <c:majorGridlines>
          <c:spPr>
            <a:ln w="3175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27309120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  <a:ln w="12700"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91" r="0.7500000000000091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280754121421098E-2"/>
          <c:y val="4.2635658914728682E-2"/>
          <c:w val="0.72132382961933683"/>
          <c:h val="0.91472868217054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Проект!$A$1433</c:f>
              <c:strCache>
                <c:ptCount val="1"/>
                <c:pt idx="0">
                  <c:v>Денежные потоки от операционной деятельности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 w="12700">
              <a:solidFill>
                <a:schemeClr val="bg1"/>
              </a:solidFill>
              <a:prstDash val="solid"/>
            </a:ln>
            <a:effectLst>
              <a:outerShdw blurRad="25400" dist="127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Проект!$F$1421:$Q$1421</c:f>
              <c:strCache>
                <c:ptCount val="12"/>
                <c:pt idx="0">
                  <c:v>4/ 2024</c:v>
                </c:pt>
                <c:pt idx="1">
                  <c:v>5/ 2024</c:v>
                </c:pt>
                <c:pt idx="2">
                  <c:v>6/ 2024</c:v>
                </c:pt>
                <c:pt idx="3">
                  <c:v>7/ 2024</c:v>
                </c:pt>
                <c:pt idx="4">
                  <c:v>8/ 2024</c:v>
                </c:pt>
                <c:pt idx="5">
                  <c:v>9/ 2024</c:v>
                </c:pt>
                <c:pt idx="6">
                  <c:v>10/ 2024</c:v>
                </c:pt>
                <c:pt idx="7">
                  <c:v>11/ 2024</c:v>
                </c:pt>
                <c:pt idx="8">
                  <c:v>12/ 2024</c:v>
                </c:pt>
                <c:pt idx="9">
                  <c:v>1/ 2025</c:v>
                </c:pt>
                <c:pt idx="10">
                  <c:v>2/ 2025</c:v>
                </c:pt>
                <c:pt idx="11">
                  <c:v>3/ 2025</c:v>
                </c:pt>
              </c:strCache>
            </c:strRef>
          </c:cat>
          <c:val>
            <c:numRef>
              <c:f>Проект!$F$1433:$Q$1433</c:f>
              <c:numCache>
                <c:formatCode>#,##0</c:formatCode>
                <c:ptCount val="12"/>
                <c:pt idx="0">
                  <c:v>-2966160</c:v>
                </c:pt>
                <c:pt idx="1">
                  <c:v>-2555760</c:v>
                </c:pt>
                <c:pt idx="2">
                  <c:v>-2428008.50875</c:v>
                </c:pt>
                <c:pt idx="3">
                  <c:v>-1917002.54375</c:v>
                </c:pt>
                <c:pt idx="4">
                  <c:v>-1278245.0874999999</c:v>
                </c:pt>
                <c:pt idx="5">
                  <c:v>-730.17499999981374</c:v>
                </c:pt>
                <c:pt idx="6">
                  <c:v>1096547.5479740878</c:v>
                </c:pt>
                <c:pt idx="7">
                  <c:v>2416169.2904287507</c:v>
                </c:pt>
                <c:pt idx="8">
                  <c:v>4408306.0298950961</c:v>
                </c:pt>
                <c:pt idx="9">
                  <c:v>7025601.84375</c:v>
                </c:pt>
                <c:pt idx="10">
                  <c:v>8941874.2125000004</c:v>
                </c:pt>
                <c:pt idx="11">
                  <c:v>10219389.125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78-49BD-8E2A-03D5905BA23C}"/>
            </c:ext>
          </c:extLst>
        </c:ser>
        <c:ser>
          <c:idx val="1"/>
          <c:order val="1"/>
          <c:tx>
            <c:strRef>
              <c:f>Проект!$A$1444</c:f>
              <c:strCache>
                <c:ptCount val="1"/>
                <c:pt idx="0">
                  <c:v>Денежные потоки от инвестиционной деятельности</c:v>
                </c:pt>
              </c:strCache>
            </c:strRef>
          </c:tx>
          <c:spPr>
            <a:gradFill>
              <a:gsLst>
                <a:gs pos="0">
                  <a:srgbClr val="B8CCE4">
                    <a:shade val="30000"/>
                    <a:satMod val="115000"/>
                  </a:srgbClr>
                </a:gs>
                <a:gs pos="50000">
                  <a:srgbClr val="B8CCE4">
                    <a:shade val="67500"/>
                    <a:satMod val="115000"/>
                  </a:srgbClr>
                </a:gs>
                <a:gs pos="100000">
                  <a:srgbClr val="B8CCE4">
                    <a:shade val="100000"/>
                    <a:satMod val="115000"/>
                  </a:srgbClr>
                </a:gs>
              </a:gsLst>
              <a:lin ang="108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25400" dist="127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Проект!$F$1421:$Q$1421</c:f>
              <c:strCache>
                <c:ptCount val="12"/>
                <c:pt idx="0">
                  <c:v>4/ 2024</c:v>
                </c:pt>
                <c:pt idx="1">
                  <c:v>5/ 2024</c:v>
                </c:pt>
                <c:pt idx="2">
                  <c:v>6/ 2024</c:v>
                </c:pt>
                <c:pt idx="3">
                  <c:v>7/ 2024</c:v>
                </c:pt>
                <c:pt idx="4">
                  <c:v>8/ 2024</c:v>
                </c:pt>
                <c:pt idx="5">
                  <c:v>9/ 2024</c:v>
                </c:pt>
                <c:pt idx="6">
                  <c:v>10/ 2024</c:v>
                </c:pt>
                <c:pt idx="7">
                  <c:v>11/ 2024</c:v>
                </c:pt>
                <c:pt idx="8">
                  <c:v>12/ 2024</c:v>
                </c:pt>
                <c:pt idx="9">
                  <c:v>1/ 2025</c:v>
                </c:pt>
                <c:pt idx="10">
                  <c:v>2/ 2025</c:v>
                </c:pt>
                <c:pt idx="11">
                  <c:v>3/ 2025</c:v>
                </c:pt>
              </c:strCache>
            </c:strRef>
          </c:cat>
          <c:val>
            <c:numRef>
              <c:f>Проект!$F$1444:$Q$1444</c:f>
              <c:numCache>
                <c:formatCode>#,##0</c:formatCode>
                <c:ptCount val="12"/>
                <c:pt idx="0">
                  <c:v>648376</c:v>
                </c:pt>
                <c:pt idx="1">
                  <c:v>-415440</c:v>
                </c:pt>
                <c:pt idx="2">
                  <c:v>24435.877125000115</c:v>
                </c:pt>
                <c:pt idx="3">
                  <c:v>97743.508499999763</c:v>
                </c:pt>
                <c:pt idx="4">
                  <c:v>122179.385625</c:v>
                </c:pt>
                <c:pt idx="5">
                  <c:v>244358.77125000022</c:v>
                </c:pt>
                <c:pt idx="6">
                  <c:v>244358.77124999976</c:v>
                </c:pt>
                <c:pt idx="7">
                  <c:v>244358.77125000011</c:v>
                </c:pt>
                <c:pt idx="8">
                  <c:v>366538.15687499987</c:v>
                </c:pt>
                <c:pt idx="9">
                  <c:v>488717.54250000021</c:v>
                </c:pt>
                <c:pt idx="10">
                  <c:v>366538.1568750001</c:v>
                </c:pt>
                <c:pt idx="11">
                  <c:v>244358.77124999976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78-49BD-8E2A-03D5905BA23C}"/>
            </c:ext>
          </c:extLst>
        </c:ser>
        <c:ser>
          <c:idx val="2"/>
          <c:order val="2"/>
          <c:tx>
            <c:strRef>
              <c:f>Проект!$A$1454</c:f>
              <c:strCache>
                <c:ptCount val="1"/>
                <c:pt idx="0">
                  <c:v>Денежные потоки от финансовой деятельности</c:v>
                </c:pt>
              </c:strCache>
            </c:strRef>
          </c:tx>
          <c:spPr>
            <a:gradFill>
              <a:gsLst>
                <a:gs pos="0">
                  <a:schemeClr val="accent6">
                    <a:lumMod val="75000"/>
                  </a:schemeClr>
                </a:gs>
                <a:gs pos="50000">
                  <a:srgbClr val="F79646">
                    <a:lumMod val="60000"/>
                    <a:lumOff val="40000"/>
                  </a:srgbClr>
                </a:gs>
                <a:gs pos="100000">
                  <a:srgbClr val="F79646">
                    <a:lumMod val="40000"/>
                    <a:lumOff val="60000"/>
                  </a:srgbClr>
                </a:gs>
              </a:gsLst>
              <a:lin ang="108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25400" dist="127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Проект!$F$1421:$Q$1421</c:f>
              <c:strCache>
                <c:ptCount val="12"/>
                <c:pt idx="0">
                  <c:v>4/ 2024</c:v>
                </c:pt>
                <c:pt idx="1">
                  <c:v>5/ 2024</c:v>
                </c:pt>
                <c:pt idx="2">
                  <c:v>6/ 2024</c:v>
                </c:pt>
                <c:pt idx="3">
                  <c:v>7/ 2024</c:v>
                </c:pt>
                <c:pt idx="4">
                  <c:v>8/ 2024</c:v>
                </c:pt>
                <c:pt idx="5">
                  <c:v>9/ 2024</c:v>
                </c:pt>
                <c:pt idx="6">
                  <c:v>10/ 2024</c:v>
                </c:pt>
                <c:pt idx="7">
                  <c:v>11/ 2024</c:v>
                </c:pt>
                <c:pt idx="8">
                  <c:v>12/ 2024</c:v>
                </c:pt>
                <c:pt idx="9">
                  <c:v>1/ 2025</c:v>
                </c:pt>
                <c:pt idx="10">
                  <c:v>2/ 2025</c:v>
                </c:pt>
                <c:pt idx="11">
                  <c:v>3/ 2025</c:v>
                </c:pt>
              </c:strCache>
            </c:strRef>
          </c:cat>
          <c:val>
            <c:numRef>
              <c:f>Проект!$F$1454:$Q$1454</c:f>
              <c:numCache>
                <c:formatCode>#,##0</c:formatCode>
                <c:ptCount val="12"/>
                <c:pt idx="0">
                  <c:v>2359067.6844783714</c:v>
                </c:pt>
                <c:pt idx="1">
                  <c:v>2982103.1201237948</c:v>
                </c:pt>
                <c:pt idx="2">
                  <c:v>2393268.0173260393</c:v>
                </c:pt>
                <c:pt idx="3">
                  <c:v>1809034.9566888495</c:v>
                </c:pt>
                <c:pt idx="4">
                  <c:v>1144435.2062421832</c:v>
                </c:pt>
                <c:pt idx="5">
                  <c:v>-23659.363592692334</c:v>
                </c:pt>
                <c:pt idx="6">
                  <c:v>-1202620.5457013601</c:v>
                </c:pt>
                <c:pt idx="7">
                  <c:v>-2406104.568837841</c:v>
                </c:pt>
                <c:pt idx="8">
                  <c:v>-4335106.8980769133</c:v>
                </c:pt>
                <c:pt idx="9">
                  <c:v>-3558056.5059945099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78-49BD-8E2A-03D5905BA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40"/>
        <c:axId val="326940968"/>
        <c:axId val="326937832"/>
      </c:barChart>
      <c:catAx>
        <c:axId val="326940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2693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937832"/>
        <c:scaling>
          <c:orientation val="minMax"/>
        </c:scaling>
        <c:delete val="0"/>
        <c:axPos val="l"/>
        <c:majorGridlines>
          <c:spPr>
            <a:ln w="3175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26940968"/>
        <c:crosses val="autoZero"/>
        <c:crossBetween val="between"/>
      </c:valAx>
      <c:spPr>
        <a:solidFill>
          <a:srgbClr val="D8D8D8">
            <a:alpha val="70000"/>
          </a:srgbClr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1178323297823063"/>
          <c:y val="4.8307086614173232E-2"/>
          <c:w val="0.17514487159693271"/>
          <c:h val="0.90338582677165358"/>
        </c:manualLayout>
      </c:layout>
      <c:overlay val="0"/>
      <c:spPr>
        <a:solidFill>
          <a:srgbClr val="FFFFFF"/>
        </a:solidFill>
        <a:ln w="0">
          <a:noFill/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00000000000091" r="0.7500000000000091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2169557236717964E-2"/>
          <c:y val="4.2512077294685993E-2"/>
          <c:w val="0.75096769766524285"/>
          <c:h val="0.84264110464452813"/>
        </c:manualLayout>
      </c:layout>
      <c:lineChart>
        <c:grouping val="standard"/>
        <c:varyColors val="0"/>
        <c:ser>
          <c:idx val="1"/>
          <c:order val="0"/>
          <c:tx>
            <c:strRef>
              <c:f>Проект!$A$1458</c:f>
              <c:strCache>
                <c:ptCount val="1"/>
                <c:pt idx="0">
                  <c:v>Денежные средства на конец периода</c:v>
                </c:pt>
              </c:strCache>
            </c:strRef>
          </c:tx>
          <c:spPr>
            <a:ln w="31750">
              <a:solidFill>
                <a:schemeClr val="accent3">
                  <a:lumMod val="5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marker>
          <c:cat>
            <c:strRef>
              <c:f>Проект!$F$1421:$Q$1421</c:f>
              <c:strCache>
                <c:ptCount val="12"/>
                <c:pt idx="0">
                  <c:v>4/ 2024</c:v>
                </c:pt>
                <c:pt idx="1">
                  <c:v>5/ 2024</c:v>
                </c:pt>
                <c:pt idx="2">
                  <c:v>6/ 2024</c:v>
                </c:pt>
                <c:pt idx="3">
                  <c:v>7/ 2024</c:v>
                </c:pt>
                <c:pt idx="4">
                  <c:v>8/ 2024</c:v>
                </c:pt>
                <c:pt idx="5">
                  <c:v>9/ 2024</c:v>
                </c:pt>
                <c:pt idx="6">
                  <c:v>10/ 2024</c:v>
                </c:pt>
                <c:pt idx="7">
                  <c:v>11/ 2024</c:v>
                </c:pt>
                <c:pt idx="8">
                  <c:v>12/ 2024</c:v>
                </c:pt>
                <c:pt idx="9">
                  <c:v>1/ 2025</c:v>
                </c:pt>
                <c:pt idx="10">
                  <c:v>2/ 2025</c:v>
                </c:pt>
                <c:pt idx="11">
                  <c:v>3/ 2025</c:v>
                </c:pt>
              </c:strCache>
            </c:strRef>
          </c:cat>
          <c:val>
            <c:numRef>
              <c:f>Проект!$F$1458:$Q$1458</c:f>
              <c:numCache>
                <c:formatCode>#,##0</c:formatCode>
                <c:ptCount val="12"/>
                <c:pt idx="0">
                  <c:v>41283.684478371404</c:v>
                </c:pt>
                <c:pt idx="1">
                  <c:v>52186.804602166172</c:v>
                </c:pt>
                <c:pt idx="2">
                  <c:v>41882.190303205512</c:v>
                </c:pt>
                <c:pt idx="3">
                  <c:v>31658.111742054811</c:v>
                </c:pt>
                <c:pt idx="4">
                  <c:v>20027.616109238239</c:v>
                </c:pt>
                <c:pt idx="5">
                  <c:v>239996.84876654632</c:v>
                </c:pt>
                <c:pt idx="6">
                  <c:v>378282.62228927377</c:v>
                </c:pt>
                <c:pt idx="7">
                  <c:v>632706.11513018364</c:v>
                </c:pt>
                <c:pt idx="8">
                  <c:v>1072443.4038233669</c:v>
                </c:pt>
                <c:pt idx="9">
                  <c:v>5028706.2840788569</c:v>
                </c:pt>
                <c:pt idx="10">
                  <c:v>14337118.653453857</c:v>
                </c:pt>
                <c:pt idx="11">
                  <c:v>24800866.549703859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AB-4369-8C1E-EDBCEF3A7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938224"/>
        <c:axId val="326942536"/>
      </c:lineChart>
      <c:catAx>
        <c:axId val="326938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26942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942536"/>
        <c:scaling>
          <c:orientation val="minMax"/>
        </c:scaling>
        <c:delete val="0"/>
        <c:axPos val="l"/>
        <c:majorGridlines>
          <c:spPr>
            <a:ln w="3175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26938224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  <a:ln w="12700"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00000000000091" r="0.7500000000000091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6"/>
    </mc:Choice>
    <mc:Fallback>
      <c:style val="16"/>
    </mc:Fallback>
  </mc:AlternateContent>
  <c:chart>
    <c:autoTitleDeleted val="1"/>
    <c:plotArea>
      <c:layout>
        <c:manualLayout>
          <c:layoutTarget val="inner"/>
          <c:xMode val="edge"/>
          <c:yMode val="edge"/>
          <c:x val="9.2320407575894256E-2"/>
          <c:y val="4.2759961127308066E-2"/>
          <c:w val="0.86578106541919575"/>
          <c:h val="0.86659793216455683"/>
        </c:manualLayout>
      </c:layout>
      <c:lineChart>
        <c:grouping val="standard"/>
        <c:varyColors val="0"/>
        <c:ser>
          <c:idx val="0"/>
          <c:order val="0"/>
          <c:tx>
            <c:strRef>
              <c:f>Проект!$A$1783</c:f>
              <c:strCache>
                <c:ptCount val="1"/>
                <c:pt idx="0">
                  <c:v>Дисконтированный поток нарастающим итогом</c:v>
                </c:pt>
              </c:strCache>
            </c:strRef>
          </c:tx>
          <c:spPr>
            <a:ln w="38100">
              <a:solidFill>
                <a:schemeClr val="accent6">
                  <a:lumMod val="50000"/>
                </a:schemeClr>
              </a:solidFill>
            </a:ln>
          </c:spPr>
          <c:marker>
            <c:symbol val="circle"/>
            <c:size val="6"/>
            <c:spPr>
              <a:ln>
                <a:solidFill>
                  <a:schemeClr val="accent6">
                    <a:lumMod val="50000"/>
                  </a:schemeClr>
                </a:solidFill>
              </a:ln>
            </c:spPr>
          </c:marker>
          <c:cat>
            <c:strRef>
              <c:f>Проект!$F$1759:$Q$1759</c:f>
              <c:strCache>
                <c:ptCount val="12"/>
                <c:pt idx="0">
                  <c:v>4/ 2024</c:v>
                </c:pt>
                <c:pt idx="1">
                  <c:v>5/ 2024</c:v>
                </c:pt>
                <c:pt idx="2">
                  <c:v>6/ 2024</c:v>
                </c:pt>
                <c:pt idx="3">
                  <c:v>7/ 2024</c:v>
                </c:pt>
                <c:pt idx="4">
                  <c:v>8/ 2024</c:v>
                </c:pt>
                <c:pt idx="5">
                  <c:v>9/ 2024</c:v>
                </c:pt>
                <c:pt idx="6">
                  <c:v>10/ 2024</c:v>
                </c:pt>
                <c:pt idx="7">
                  <c:v>11/ 2024</c:v>
                </c:pt>
                <c:pt idx="8">
                  <c:v>12/ 2024</c:v>
                </c:pt>
                <c:pt idx="9">
                  <c:v>1/ 2025</c:v>
                </c:pt>
                <c:pt idx="10">
                  <c:v>2/ 2025</c:v>
                </c:pt>
                <c:pt idx="11">
                  <c:v>3/ 2025</c:v>
                </c:pt>
              </c:strCache>
            </c:strRef>
          </c:cat>
          <c:val>
            <c:numRef>
              <c:f>Проект!$F$1783:$Q$1783</c:f>
            </c:numRef>
          </c:val>
          <c:smooth val="0"/>
          <c:extLst>
            <c:ext xmlns:c16="http://schemas.microsoft.com/office/drawing/2014/chart" uri="{C3380CC4-5D6E-409C-BE32-E72D297353CC}">
              <c16:uniqueId val="{00000000-BC4E-4800-A3E0-5E60C4096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941752"/>
        <c:axId val="326935088"/>
      </c:lineChart>
      <c:catAx>
        <c:axId val="326941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26935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935088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26941752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</c:spPr>
    </c:plotArea>
    <c:legend>
      <c:legendPos val="r"/>
      <c:layout>
        <c:manualLayout>
          <c:xMode val="edge"/>
          <c:yMode val="edge"/>
          <c:x val="9.3944353518821591E-2"/>
          <c:y val="0.94300285668711303"/>
          <c:w val="0.86895799236224769"/>
          <c:h val="5.386464813445279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 alignWithMargins="0"/>
    <c:pageMargins b="1" l="0.7500000000000091" r="0.7500000000000091" t="1" header="0.5" footer="0.5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5"/>
    </mc:Choice>
    <mc:Fallback>
      <c:style val="15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Проект!$A$1856</c:f>
              <c:strCache>
                <c:ptCount val="1"/>
                <c:pt idx="0">
                  <c:v>Дисконтированный поток нарастающим итогом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</a:ln>
            </c:spPr>
          </c:marker>
          <c:cat>
            <c:strRef>
              <c:f>Проект!$F$1832:$Q$1832</c:f>
              <c:strCache>
                <c:ptCount val="12"/>
                <c:pt idx="0">
                  <c:v>4/ 2024</c:v>
                </c:pt>
                <c:pt idx="1">
                  <c:v>5/ 2024</c:v>
                </c:pt>
                <c:pt idx="2">
                  <c:v>6/ 2024</c:v>
                </c:pt>
                <c:pt idx="3">
                  <c:v>7/ 2024</c:v>
                </c:pt>
                <c:pt idx="4">
                  <c:v>8/ 2024</c:v>
                </c:pt>
                <c:pt idx="5">
                  <c:v>9/ 2024</c:v>
                </c:pt>
                <c:pt idx="6">
                  <c:v>10/ 2024</c:v>
                </c:pt>
                <c:pt idx="7">
                  <c:v>11/ 2024</c:v>
                </c:pt>
                <c:pt idx="8">
                  <c:v>12/ 2024</c:v>
                </c:pt>
                <c:pt idx="9">
                  <c:v>1/ 2025</c:v>
                </c:pt>
                <c:pt idx="10">
                  <c:v>2/ 2025</c:v>
                </c:pt>
                <c:pt idx="11">
                  <c:v>3/ 2025</c:v>
                </c:pt>
              </c:strCache>
            </c:strRef>
          </c:cat>
          <c:val>
            <c:numRef>
              <c:f>Проект!$F$1856:$Q$1856</c:f>
            </c:numRef>
          </c:val>
          <c:smooth val="0"/>
          <c:extLst>
            <c:ext xmlns:c16="http://schemas.microsoft.com/office/drawing/2014/chart" uri="{C3380CC4-5D6E-409C-BE32-E72D297353CC}">
              <c16:uniqueId val="{00000000-065A-438B-8D3D-13FB1C7799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939400"/>
        <c:axId val="326939792"/>
      </c:lineChart>
      <c:catAx>
        <c:axId val="32693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26939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939792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26939400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 alignWithMargins="0"/>
    <c:pageMargins b="1" l="0.7500000000000091" r="0.7500000000000091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Проект!$A$1927</c:f>
              <c:strCache>
                <c:ptCount val="1"/>
                <c:pt idx="0">
                  <c:v>Дисконтированный поток нарастающим итогом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</a:ln>
            </c:spPr>
          </c:marker>
          <c:cat>
            <c:strRef>
              <c:f>Проект!$F$1905:$Q$1905</c:f>
              <c:strCache>
                <c:ptCount val="12"/>
                <c:pt idx="0">
                  <c:v>4/ 2024</c:v>
                </c:pt>
                <c:pt idx="1">
                  <c:v>5/ 2024</c:v>
                </c:pt>
                <c:pt idx="2">
                  <c:v>6/ 2024</c:v>
                </c:pt>
                <c:pt idx="3">
                  <c:v>7/ 2024</c:v>
                </c:pt>
                <c:pt idx="4">
                  <c:v>8/ 2024</c:v>
                </c:pt>
                <c:pt idx="5">
                  <c:v>9/ 2024</c:v>
                </c:pt>
                <c:pt idx="6">
                  <c:v>10/ 2024</c:v>
                </c:pt>
                <c:pt idx="7">
                  <c:v>11/ 2024</c:v>
                </c:pt>
                <c:pt idx="8">
                  <c:v>12/ 2024</c:v>
                </c:pt>
                <c:pt idx="9">
                  <c:v>1/ 2025</c:v>
                </c:pt>
                <c:pt idx="10">
                  <c:v>2/ 2025</c:v>
                </c:pt>
                <c:pt idx="11">
                  <c:v>3/ 2025</c:v>
                </c:pt>
              </c:strCache>
            </c:strRef>
          </c:cat>
          <c:val>
            <c:numRef>
              <c:f>Проект!$F$1927:$Q$1927</c:f>
            </c:numRef>
          </c:val>
          <c:smooth val="0"/>
          <c:extLst>
            <c:ext xmlns:c16="http://schemas.microsoft.com/office/drawing/2014/chart" uri="{C3380CC4-5D6E-409C-BE32-E72D297353CC}">
              <c16:uniqueId val="{00000000-F1A6-480D-B88D-AFB9FE19E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940576"/>
        <c:axId val="357244088"/>
      </c:lineChart>
      <c:catAx>
        <c:axId val="326940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7244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7244088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26940576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 alignWithMargins="0"/>
    <c:pageMargins b="1" l="0.7500000000000091" r="0.7500000000000091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Проект!$A$2105</c:f>
              <c:strCache>
                <c:ptCount val="1"/>
                <c:pt idx="0">
                  <c:v>NPV для полных инвестиционных затрат</c:v>
                </c:pt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</a:ln>
          </c:spPr>
          <c:marker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</a:ln>
            </c:spPr>
          </c:marker>
          <c:cat>
            <c:numRef>
              <c:f>Проект!$B$2108:$B$2114</c:f>
              <c:numCache>
                <c:formatCode>0%</c:formatCode>
                <c:ptCount val="7"/>
                <c:pt idx="0">
                  <c:v>0.3</c:v>
                </c:pt>
                <c:pt idx="1">
                  <c:v>0.4</c:v>
                </c:pt>
                <c:pt idx="2">
                  <c:v>0.5</c:v>
                </c:pt>
                <c:pt idx="3">
                  <c:v>0.6</c:v>
                </c:pt>
                <c:pt idx="4">
                  <c:v>0.7</c:v>
                </c:pt>
                <c:pt idx="5">
                  <c:v>0.79999999999999993</c:v>
                </c:pt>
                <c:pt idx="6">
                  <c:v>0.89999999999999991</c:v>
                </c:pt>
              </c:numCache>
            </c:numRef>
          </c:cat>
          <c:val>
            <c:numRef>
              <c:f>Проект!$C$2108:$C$2114</c:f>
              <c:numCache>
                <c:formatCode>#,##0</c:formatCode>
                <c:ptCount val="7"/>
                <c:pt idx="0">
                  <c:v>6332064.184453004</c:v>
                </c:pt>
                <c:pt idx="1">
                  <c:v>10998524.466748621</c:v>
                </c:pt>
                <c:pt idx="2">
                  <c:v>15664984.74904424</c:v>
                </c:pt>
                <c:pt idx="3">
                  <c:v>20331445.031339854</c:v>
                </c:pt>
                <c:pt idx="4">
                  <c:v>24997905.313635472</c:v>
                </c:pt>
                <c:pt idx="5">
                  <c:v>29664365.59593109</c:v>
                </c:pt>
                <c:pt idx="6">
                  <c:v>34330825.878226705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5D-4179-9484-90991585F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244872"/>
        <c:axId val="357237424"/>
      </c:lineChart>
      <c:catAx>
        <c:axId val="357244872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57237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72374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57244872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  <a:ln w="12700">
          <a:solidFill>
            <a:srgbClr val="C0C0C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noFill/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280754121421098E-2"/>
          <c:y val="4.2512077294685993E-2"/>
          <c:w val="0.74974422314857703"/>
          <c:h val="0.9149758454106280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Проект!$A$1449</c:f>
              <c:strCache>
                <c:ptCount val="1"/>
                <c:pt idx="0">
                  <c:v>Поступления кредитов</c:v>
                </c:pt>
              </c:strCache>
            </c:strRef>
          </c:tx>
          <c:spPr>
            <a:gradFill flip="none" rotWithShape="1">
              <a:gsLst>
                <a:gs pos="0">
                  <a:srgbClr val="D7E3BC">
                    <a:lumMod val="25000"/>
                    <a:alpha val="80000"/>
                  </a:srgbClr>
                </a:gs>
                <a:gs pos="50000">
                  <a:srgbClr val="D7E3BC">
                    <a:lumMod val="50000"/>
                    <a:alpha val="80000"/>
                  </a:srgbClr>
                </a:gs>
                <a:gs pos="100000">
                  <a:srgbClr val="D7E3BC">
                    <a:lumMod val="75000"/>
                    <a:alpha val="80000"/>
                  </a:srgbClr>
                </a:gs>
              </a:gsLst>
              <a:lin ang="16200000" scaled="1"/>
              <a:tileRect/>
            </a:gradFill>
            <a:ln>
              <a:solidFill>
                <a:schemeClr val="bg1"/>
              </a:solidFill>
            </a:ln>
            <a:effectLst>
              <a:outerShdw blurRad="25400" dist="127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dLbl>
              <c:idx val="0"/>
              <c:layout>
                <c:manualLayout>
                  <c:x val="2.3964937896873206E-2"/>
                  <c:y val="-0.25149204878801912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ru-RU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00-40B5-BA29-FE39981E3783}"/>
                </c:ext>
              </c:extLst>
            </c:dLbl>
            <c:dLbl>
              <c:idx val="1"/>
              <c:layout>
                <c:manualLayout>
                  <c:x val="6.5359477124183208E-3"/>
                  <c:y val="-4.6376811594202899E-2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ru-RU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100-40B5-BA29-FE39981E3783}"/>
                </c:ext>
              </c:extLst>
            </c:dLbl>
            <c:dLbl>
              <c:idx val="2"/>
              <c:layout>
                <c:manualLayout>
                  <c:x val="0"/>
                  <c:y val="-6.183574879227053E-2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ru-RU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00-40B5-BA29-FE39981E3783}"/>
                </c:ext>
              </c:extLst>
            </c:dLbl>
            <c:dLbl>
              <c:idx val="3"/>
              <c:layout>
                <c:manualLayout>
                  <c:x val="2.1786492374727671E-3"/>
                  <c:y val="-3.864734299516908E-2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ru-RU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00-40B5-BA29-FE39981E378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Проект!$F$1421:$Q$1421</c:f>
              <c:strCache>
                <c:ptCount val="12"/>
                <c:pt idx="0">
                  <c:v>4/ 2024</c:v>
                </c:pt>
                <c:pt idx="1">
                  <c:v>5/ 2024</c:v>
                </c:pt>
                <c:pt idx="2">
                  <c:v>6/ 2024</c:v>
                </c:pt>
                <c:pt idx="3">
                  <c:v>7/ 2024</c:v>
                </c:pt>
                <c:pt idx="4">
                  <c:v>8/ 2024</c:v>
                </c:pt>
                <c:pt idx="5">
                  <c:v>9/ 2024</c:v>
                </c:pt>
                <c:pt idx="6">
                  <c:v>10/ 2024</c:v>
                </c:pt>
                <c:pt idx="7">
                  <c:v>11/ 2024</c:v>
                </c:pt>
                <c:pt idx="8">
                  <c:v>12/ 2024</c:v>
                </c:pt>
                <c:pt idx="9">
                  <c:v>1/ 2025</c:v>
                </c:pt>
                <c:pt idx="10">
                  <c:v>2/ 2025</c:v>
                </c:pt>
                <c:pt idx="11">
                  <c:v>3/ 2025</c:v>
                </c:pt>
              </c:strCache>
            </c:strRef>
          </c:cat>
          <c:val>
            <c:numRef>
              <c:f>Проект!$F$1449:$Q$1449</c:f>
              <c:numCache>
                <c:formatCode>#,##0</c:formatCode>
                <c:ptCount val="12"/>
                <c:pt idx="0">
                  <c:v>2359067.6844783714</c:v>
                </c:pt>
                <c:pt idx="1">
                  <c:v>2982103.1201237948</c:v>
                </c:pt>
                <c:pt idx="2">
                  <c:v>2393268.0173260393</c:v>
                </c:pt>
                <c:pt idx="3">
                  <c:v>1809034.9566888495</c:v>
                </c:pt>
                <c:pt idx="4">
                  <c:v>1144435.2062421832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00-40B5-BA29-FE39981E3783}"/>
            </c:ext>
          </c:extLst>
        </c:ser>
        <c:ser>
          <c:idx val="2"/>
          <c:order val="1"/>
          <c:tx>
            <c:strRef>
              <c:f>Проект!$A$1429</c:f>
              <c:strCache>
                <c:ptCount val="1"/>
                <c:pt idx="0">
                  <c:v>Выплата процентов по кредитам</c:v>
                </c:pt>
              </c:strCache>
            </c:strRef>
          </c:tx>
          <c:spPr>
            <a:solidFill>
              <a:schemeClr val="accent1">
                <a:lumMod val="75000"/>
                <a:alpha val="80000"/>
              </a:schemeClr>
            </a:solidFill>
            <a:ln>
              <a:solidFill>
                <a:schemeClr val="bg1">
                  <a:alpha val="80000"/>
                </a:schemeClr>
              </a:solidFill>
            </a:ln>
            <a:effectLst>
              <a:outerShdw blurRad="25400" dist="127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Проект!$F$1421:$Q$1421</c:f>
              <c:strCache>
                <c:ptCount val="12"/>
                <c:pt idx="0">
                  <c:v>4/ 2024</c:v>
                </c:pt>
                <c:pt idx="1">
                  <c:v>5/ 2024</c:v>
                </c:pt>
                <c:pt idx="2">
                  <c:v>6/ 2024</c:v>
                </c:pt>
                <c:pt idx="3">
                  <c:v>7/ 2024</c:v>
                </c:pt>
                <c:pt idx="4">
                  <c:v>8/ 2024</c:v>
                </c:pt>
                <c:pt idx="5">
                  <c:v>9/ 2024</c:v>
                </c:pt>
                <c:pt idx="6">
                  <c:v>10/ 2024</c:v>
                </c:pt>
                <c:pt idx="7">
                  <c:v>11/ 2024</c:v>
                </c:pt>
                <c:pt idx="8">
                  <c:v>12/ 2024</c:v>
                </c:pt>
                <c:pt idx="9">
                  <c:v>1/ 2025</c:v>
                </c:pt>
                <c:pt idx="10">
                  <c:v>2/ 2025</c:v>
                </c:pt>
                <c:pt idx="11">
                  <c:v>3/ 2025</c:v>
                </c:pt>
              </c:strCache>
            </c:strRef>
          </c:cat>
          <c:val>
            <c:numRef>
              <c:f>Проект!$F$1429:$Q$1429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-180237.18952591211</c:v>
                </c:pt>
                <c:pt idx="7">
                  <c:v>-138130.35957124989</c:v>
                </c:pt>
                <c:pt idx="8">
                  <c:v>-62265.988854903924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00-40B5-BA29-FE39981E3783}"/>
            </c:ext>
          </c:extLst>
        </c:ser>
        <c:ser>
          <c:idx val="1"/>
          <c:order val="2"/>
          <c:tx>
            <c:strRef>
              <c:f>Проект!$A$1450</c:f>
              <c:strCache>
                <c:ptCount val="1"/>
                <c:pt idx="0">
                  <c:v>Возврат кредитов</c:v>
                </c:pt>
              </c:strCache>
            </c:strRef>
          </c:tx>
          <c:spPr>
            <a:solidFill>
              <a:srgbClr val="D75353">
                <a:alpha val="80000"/>
              </a:srgbClr>
            </a:solidFill>
            <a:ln>
              <a:solidFill>
                <a:schemeClr val="bg1"/>
              </a:solidFill>
            </a:ln>
            <a:effectLst>
              <a:outerShdw blurRad="25400" dist="127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Проект!$F$1421:$Q$1421</c:f>
              <c:strCache>
                <c:ptCount val="12"/>
                <c:pt idx="0">
                  <c:v>4/ 2024</c:v>
                </c:pt>
                <c:pt idx="1">
                  <c:v>5/ 2024</c:v>
                </c:pt>
                <c:pt idx="2">
                  <c:v>6/ 2024</c:v>
                </c:pt>
                <c:pt idx="3">
                  <c:v>7/ 2024</c:v>
                </c:pt>
                <c:pt idx="4">
                  <c:v>8/ 2024</c:v>
                </c:pt>
                <c:pt idx="5">
                  <c:v>9/ 2024</c:v>
                </c:pt>
                <c:pt idx="6">
                  <c:v>10/ 2024</c:v>
                </c:pt>
                <c:pt idx="7">
                  <c:v>11/ 2024</c:v>
                </c:pt>
                <c:pt idx="8">
                  <c:v>12/ 2024</c:v>
                </c:pt>
                <c:pt idx="9">
                  <c:v>1/ 2025</c:v>
                </c:pt>
                <c:pt idx="10">
                  <c:v>2/ 2025</c:v>
                </c:pt>
                <c:pt idx="11">
                  <c:v>3/ 2025</c:v>
                </c:pt>
              </c:strCache>
            </c:strRef>
          </c:cat>
          <c:val>
            <c:numRef>
              <c:f>Проект!$F$1450:$Q$1450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-23659.363592692334</c:v>
                </c:pt>
                <c:pt idx="6">
                  <c:v>-1202620.5457013601</c:v>
                </c:pt>
                <c:pt idx="7">
                  <c:v>-2406104.568837841</c:v>
                </c:pt>
                <c:pt idx="8">
                  <c:v>-4335106.8980769133</c:v>
                </c:pt>
                <c:pt idx="9">
                  <c:v>-3558056.5059945099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00-40B5-BA29-FE39981E3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57241736"/>
        <c:axId val="357243304"/>
      </c:barChart>
      <c:catAx>
        <c:axId val="357241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57243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7243304"/>
        <c:scaling>
          <c:orientation val="minMax"/>
        </c:scaling>
        <c:delete val="0"/>
        <c:axPos val="l"/>
        <c:majorGridlines>
          <c:spPr>
            <a:ln w="3175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57241736"/>
        <c:crosses val="autoZero"/>
        <c:crossBetween val="between"/>
      </c:valAx>
      <c:spPr>
        <a:solidFill>
          <a:srgbClr val="D8D8D8">
            <a:alpha val="70000"/>
          </a:srgbClr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489182234573619"/>
          <c:y val="7.3841987142911486E-2"/>
          <c:w val="0.13800988111780144"/>
          <c:h val="0.51221940735668914"/>
        </c:manualLayout>
      </c:layout>
      <c:overlay val="0"/>
      <c:spPr>
        <a:solidFill>
          <a:srgbClr val="FFFFFF"/>
        </a:solidFill>
        <a:ln w="0">
          <a:noFill/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000000000000933" r="0.75000000000000933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474568129964149E-2"/>
          <c:y val="4.2512077294685993E-2"/>
          <c:w val="0.75811040776765648"/>
          <c:h val="0.8426411046445281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Проект!$A$1423</c:f>
              <c:strCache>
                <c:ptCount val="1"/>
                <c:pt idx="0">
                  <c:v>Поступления от продаж</c:v>
                </c:pt>
              </c:strCache>
            </c:strRef>
          </c:tx>
          <c:invertIfNegative val="0"/>
          <c:cat>
            <c:strRef>
              <c:f>Проект!$F$1421:$Q$1421</c:f>
              <c:strCache>
                <c:ptCount val="12"/>
                <c:pt idx="0">
                  <c:v>4/ 2024</c:v>
                </c:pt>
                <c:pt idx="1">
                  <c:v>5/ 2024</c:v>
                </c:pt>
                <c:pt idx="2">
                  <c:v>6/ 2024</c:v>
                </c:pt>
                <c:pt idx="3">
                  <c:v>7/ 2024</c:v>
                </c:pt>
                <c:pt idx="4">
                  <c:v>8/ 2024</c:v>
                </c:pt>
                <c:pt idx="5">
                  <c:v>9/ 2024</c:v>
                </c:pt>
                <c:pt idx="6">
                  <c:v>10/ 2024</c:v>
                </c:pt>
                <c:pt idx="7">
                  <c:v>11/ 2024</c:v>
                </c:pt>
                <c:pt idx="8">
                  <c:v>12/ 2024</c:v>
                </c:pt>
                <c:pt idx="9">
                  <c:v>1/ 2025</c:v>
                </c:pt>
                <c:pt idx="10">
                  <c:v>2/ 2025</c:v>
                </c:pt>
                <c:pt idx="11">
                  <c:v>3/ 2025</c:v>
                </c:pt>
              </c:strCache>
            </c:strRef>
          </c:cat>
          <c:val>
            <c:numRef>
              <c:f>Проект!$F$1423:$Q$1423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135920</c:v>
                </c:pt>
                <c:pt idx="3">
                  <c:v>679600</c:v>
                </c:pt>
                <c:pt idx="4">
                  <c:v>1359200</c:v>
                </c:pt>
                <c:pt idx="5">
                  <c:v>2718400</c:v>
                </c:pt>
                <c:pt idx="6">
                  <c:v>4077600</c:v>
                </c:pt>
                <c:pt idx="7">
                  <c:v>5436800</c:v>
                </c:pt>
                <c:pt idx="8">
                  <c:v>7475600</c:v>
                </c:pt>
                <c:pt idx="9">
                  <c:v>10194000</c:v>
                </c:pt>
                <c:pt idx="10">
                  <c:v>12232800</c:v>
                </c:pt>
                <c:pt idx="11">
                  <c:v>13592000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AB-4540-910E-81D022444A32}"/>
            </c:ext>
          </c:extLst>
        </c:ser>
        <c:ser>
          <c:idx val="1"/>
          <c:order val="1"/>
          <c:tx>
            <c:strRef>
              <c:f>Проект!$A$1448</c:f>
              <c:strCache>
                <c:ptCount val="1"/>
                <c:pt idx="0">
                  <c:v>Средства от инвесторов строительства</c:v>
                </c:pt>
              </c:strCache>
            </c:strRef>
          </c:tx>
          <c:invertIfNegative val="0"/>
          <c:cat>
            <c:strRef>
              <c:f>Проект!$F$1421:$Q$1421</c:f>
              <c:strCache>
                <c:ptCount val="12"/>
                <c:pt idx="0">
                  <c:v>4/ 2024</c:v>
                </c:pt>
                <c:pt idx="1">
                  <c:v>5/ 2024</c:v>
                </c:pt>
                <c:pt idx="2">
                  <c:v>6/ 2024</c:v>
                </c:pt>
                <c:pt idx="3">
                  <c:v>7/ 2024</c:v>
                </c:pt>
                <c:pt idx="4">
                  <c:v>8/ 2024</c:v>
                </c:pt>
                <c:pt idx="5">
                  <c:v>9/ 2024</c:v>
                </c:pt>
                <c:pt idx="6">
                  <c:v>10/ 2024</c:v>
                </c:pt>
                <c:pt idx="7">
                  <c:v>11/ 2024</c:v>
                </c:pt>
                <c:pt idx="8">
                  <c:v>12/ 2024</c:v>
                </c:pt>
                <c:pt idx="9">
                  <c:v>1/ 2025</c:v>
                </c:pt>
                <c:pt idx="10">
                  <c:v>2/ 2025</c:v>
                </c:pt>
                <c:pt idx="11">
                  <c:v>3/ 2025</c:v>
                </c:pt>
              </c:strCache>
            </c:strRef>
          </c:cat>
          <c:val>
            <c:numRef>
              <c:f>Проект!$F$1448:$Q$1448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AB-4540-910E-81D022444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357238600"/>
        <c:axId val="357238992"/>
      </c:barChart>
      <c:catAx>
        <c:axId val="357238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7238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7238992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7238600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6019281903487554"/>
          <c:y val="4.5154703488150941E-2"/>
          <c:w val="0.1267352855402879"/>
          <c:h val="0.54640526455932137"/>
        </c:manualLayout>
      </c:layout>
      <c:overlay val="0"/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ru-RU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 alignWithMargins="0"/>
    <c:pageMargins b="1" l="0.75000000000000933" r="0.75000000000000933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Проект!$A$1581</c:f>
              <c:strCache>
                <c:ptCount val="1"/>
                <c:pt idx="0">
                  <c:v>Суммарные внеоборотные активы</c:v>
                </c:pt>
              </c:strCache>
            </c:strRef>
          </c:tx>
          <c:invertIfNegative val="0"/>
          <c:cat>
            <c:strRef>
              <c:f>Проект!$F$1561:$Q$1561</c:f>
              <c:strCache>
                <c:ptCount val="12"/>
                <c:pt idx="0">
                  <c:v>4/ 2024</c:v>
                </c:pt>
                <c:pt idx="1">
                  <c:v>5/ 2024</c:v>
                </c:pt>
                <c:pt idx="2">
                  <c:v>6/ 2024</c:v>
                </c:pt>
                <c:pt idx="3">
                  <c:v>7/ 2024</c:v>
                </c:pt>
                <c:pt idx="4">
                  <c:v>8/ 2024</c:v>
                </c:pt>
                <c:pt idx="5">
                  <c:v>9/ 2024</c:v>
                </c:pt>
                <c:pt idx="6">
                  <c:v>10/ 2024</c:v>
                </c:pt>
                <c:pt idx="7">
                  <c:v>11/ 2024</c:v>
                </c:pt>
                <c:pt idx="8">
                  <c:v>12/ 2024</c:v>
                </c:pt>
                <c:pt idx="9">
                  <c:v>1/ 2025</c:v>
                </c:pt>
                <c:pt idx="10">
                  <c:v>2/ 2025</c:v>
                </c:pt>
                <c:pt idx="11">
                  <c:v>3/ 2025</c:v>
                </c:pt>
              </c:strCache>
            </c:strRef>
          </c:cat>
          <c:val>
            <c:numRef>
              <c:f>Проект!$F$1581:$Q$1581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D8-4E4D-8CCF-892A09C7927A}"/>
            </c:ext>
          </c:extLst>
        </c:ser>
        <c:ser>
          <c:idx val="1"/>
          <c:order val="1"/>
          <c:tx>
            <c:strRef>
              <c:f>Проект!$A$1572</c:f>
              <c:strCache>
                <c:ptCount val="1"/>
                <c:pt idx="0">
                  <c:v>Суммарные оборотные активы</c:v>
                </c:pt>
              </c:strCache>
            </c:strRef>
          </c:tx>
          <c:invertIfNegative val="0"/>
          <c:cat>
            <c:strRef>
              <c:f>Проект!$F$1561:$Q$1561</c:f>
              <c:strCache>
                <c:ptCount val="12"/>
                <c:pt idx="0">
                  <c:v>4/ 2024</c:v>
                </c:pt>
                <c:pt idx="1">
                  <c:v>5/ 2024</c:v>
                </c:pt>
                <c:pt idx="2">
                  <c:v>6/ 2024</c:v>
                </c:pt>
                <c:pt idx="3">
                  <c:v>7/ 2024</c:v>
                </c:pt>
                <c:pt idx="4">
                  <c:v>8/ 2024</c:v>
                </c:pt>
                <c:pt idx="5">
                  <c:v>9/ 2024</c:v>
                </c:pt>
                <c:pt idx="6">
                  <c:v>10/ 2024</c:v>
                </c:pt>
                <c:pt idx="7">
                  <c:v>11/ 2024</c:v>
                </c:pt>
                <c:pt idx="8">
                  <c:v>12/ 2024</c:v>
                </c:pt>
                <c:pt idx="9">
                  <c:v>1/ 2025</c:v>
                </c:pt>
                <c:pt idx="10">
                  <c:v>2/ 2025</c:v>
                </c:pt>
                <c:pt idx="11">
                  <c:v>3/ 2025</c:v>
                </c:pt>
              </c:strCache>
            </c:strRef>
          </c:cat>
          <c:val>
            <c:numRef>
              <c:f>Проект!$F$1572:$Q$1572</c:f>
              <c:numCache>
                <c:formatCode>#,##0</c:formatCode>
                <c:ptCount val="12"/>
                <c:pt idx="0">
                  <c:v>733387.6844783714</c:v>
                </c:pt>
                <c:pt idx="1">
                  <c:v>648530.80460216617</c:v>
                </c:pt>
                <c:pt idx="2">
                  <c:v>638255.91317820549</c:v>
                </c:pt>
                <c:pt idx="3">
                  <c:v>628150.72611705493</c:v>
                </c:pt>
                <c:pt idx="4">
                  <c:v>616668.84485923836</c:v>
                </c:pt>
                <c:pt idx="5">
                  <c:v>836935.30626654625</c:v>
                </c:pt>
                <c:pt idx="6">
                  <c:v>975518.30853927392</c:v>
                </c:pt>
                <c:pt idx="7">
                  <c:v>1230239.0301301836</c:v>
                </c:pt>
                <c:pt idx="8">
                  <c:v>1670422.1619483668</c:v>
                </c:pt>
                <c:pt idx="9">
                  <c:v>5627279.4997038571</c:v>
                </c:pt>
                <c:pt idx="10">
                  <c:v>14936137.712203857</c:v>
                </c:pt>
                <c:pt idx="11">
                  <c:v>25400182.83720386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D8-4E4D-8CCF-892A09C792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357239384"/>
        <c:axId val="357242912"/>
      </c:barChart>
      <c:catAx>
        <c:axId val="357239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7242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7242912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7239384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</c:spPr>
    </c:plotArea>
    <c:legend>
      <c:legendPos val="r"/>
      <c:overlay val="0"/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ru-RU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6"/>
    </mc:Choice>
    <mc:Fallback>
      <c:style val="16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Проект!$A$1600</c:f>
              <c:strCache>
                <c:ptCount val="1"/>
                <c:pt idx="0">
                  <c:v>Суммарный собственный капитал</c:v>
                </c:pt>
              </c:strCache>
            </c:strRef>
          </c:tx>
          <c:invertIfNegative val="0"/>
          <c:cat>
            <c:strRef>
              <c:f>Проект!$F$1561:$Q$1561</c:f>
              <c:strCache>
                <c:ptCount val="12"/>
                <c:pt idx="0">
                  <c:v>4/ 2024</c:v>
                </c:pt>
                <c:pt idx="1">
                  <c:v>5/ 2024</c:v>
                </c:pt>
                <c:pt idx="2">
                  <c:v>6/ 2024</c:v>
                </c:pt>
                <c:pt idx="3">
                  <c:v>7/ 2024</c:v>
                </c:pt>
                <c:pt idx="4">
                  <c:v>8/ 2024</c:v>
                </c:pt>
                <c:pt idx="5">
                  <c:v>9/ 2024</c:v>
                </c:pt>
                <c:pt idx="6">
                  <c:v>10/ 2024</c:v>
                </c:pt>
                <c:pt idx="7">
                  <c:v>11/ 2024</c:v>
                </c:pt>
                <c:pt idx="8">
                  <c:v>12/ 2024</c:v>
                </c:pt>
                <c:pt idx="9">
                  <c:v>1/ 2025</c:v>
                </c:pt>
                <c:pt idx="10">
                  <c:v>2/ 2025</c:v>
                </c:pt>
                <c:pt idx="11">
                  <c:v>3/ 2025</c:v>
                </c:pt>
              </c:strCache>
            </c:strRef>
          </c:cat>
          <c:val>
            <c:numRef>
              <c:f>Проект!$F$1600:$Q$1600</c:f>
              <c:numCache>
                <c:formatCode>#,##0</c:formatCode>
                <c:ptCount val="12"/>
                <c:pt idx="0">
                  <c:v>-3007443.6844783714</c:v>
                </c:pt>
                <c:pt idx="1">
                  <c:v>-5657396.6380372802</c:v>
                </c:pt>
                <c:pt idx="2">
                  <c:v>-8223128.6673366763</c:v>
                </c:pt>
                <c:pt idx="3">
                  <c:v>-10311923.004987741</c:v>
                </c:pt>
                <c:pt idx="4">
                  <c:v>-11784993.858891314</c:v>
                </c:pt>
                <c:pt idx="5">
                  <c:v>-11983545.212344076</c:v>
                </c:pt>
                <c:pt idx="6">
                  <c:v>-10886997.664369989</c:v>
                </c:pt>
                <c:pt idx="7">
                  <c:v>-8470828.373941239</c:v>
                </c:pt>
                <c:pt idx="8">
                  <c:v>-4062522.344046142</c:v>
                </c:pt>
                <c:pt idx="9">
                  <c:v>2963079.499703858</c:v>
                </c:pt>
                <c:pt idx="10">
                  <c:v>11904953.712203858</c:v>
                </c:pt>
                <c:pt idx="11">
                  <c:v>22124342.83720386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CB-442A-89B7-EFF952047A8F}"/>
            </c:ext>
          </c:extLst>
        </c:ser>
        <c:ser>
          <c:idx val="1"/>
          <c:order val="1"/>
          <c:tx>
            <c:strRef>
              <c:f>Проект!$A$1595</c:f>
              <c:strCache>
                <c:ptCount val="1"/>
                <c:pt idx="0">
                  <c:v>Долгосрочные обязательства</c:v>
                </c:pt>
              </c:strCache>
            </c:strRef>
          </c:tx>
          <c:invertIfNegative val="0"/>
          <c:cat>
            <c:strRef>
              <c:f>Проект!$F$1561:$Q$1561</c:f>
              <c:strCache>
                <c:ptCount val="12"/>
                <c:pt idx="0">
                  <c:v>4/ 2024</c:v>
                </c:pt>
                <c:pt idx="1">
                  <c:v>5/ 2024</c:v>
                </c:pt>
                <c:pt idx="2">
                  <c:v>6/ 2024</c:v>
                </c:pt>
                <c:pt idx="3">
                  <c:v>7/ 2024</c:v>
                </c:pt>
                <c:pt idx="4">
                  <c:v>8/ 2024</c:v>
                </c:pt>
                <c:pt idx="5">
                  <c:v>9/ 2024</c:v>
                </c:pt>
                <c:pt idx="6">
                  <c:v>10/ 2024</c:v>
                </c:pt>
                <c:pt idx="7">
                  <c:v>11/ 2024</c:v>
                </c:pt>
                <c:pt idx="8">
                  <c:v>12/ 2024</c:v>
                </c:pt>
                <c:pt idx="9">
                  <c:v>1/ 2025</c:v>
                </c:pt>
                <c:pt idx="10">
                  <c:v>2/ 2025</c:v>
                </c:pt>
                <c:pt idx="11">
                  <c:v>3/ 2025</c:v>
                </c:pt>
              </c:strCache>
            </c:strRef>
          </c:cat>
          <c:val>
            <c:numRef>
              <c:f>Проект!$F$1595:$Q$1595</c:f>
              <c:numCache>
                <c:formatCode>#,##0</c:formatCode>
                <c:ptCount val="12"/>
                <c:pt idx="0">
                  <c:v>2400351.3689567428</c:v>
                </c:pt>
                <c:pt idx="1">
                  <c:v>5476647.4426394468</c:v>
                </c:pt>
                <c:pt idx="2">
                  <c:v>8007638.9805148821</c:v>
                </c:pt>
                <c:pt idx="3">
                  <c:v>9988465.7311047968</c:v>
                </c:pt>
                <c:pt idx="4">
                  <c:v>11327726.703750553</c:v>
                </c:pt>
                <c:pt idx="5">
                  <c:v>11501888.518610623</c:v>
                </c:pt>
                <c:pt idx="6">
                  <c:v>10299267.972909262</c:v>
                </c:pt>
                <c:pt idx="7">
                  <c:v>7893163.4040714214</c:v>
                </c:pt>
                <c:pt idx="8">
                  <c:v>3558056.505994508</c:v>
                </c:pt>
                <c:pt idx="9">
                  <c:v>-1.862645149230957E-9</c:v>
                </c:pt>
                <c:pt idx="10">
                  <c:v>-1.862645149230957E-9</c:v>
                </c:pt>
                <c:pt idx="11">
                  <c:v>-1.862645149230957E-9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CB-442A-89B7-EFF952047A8F}"/>
            </c:ext>
          </c:extLst>
        </c:ser>
        <c:ser>
          <c:idx val="2"/>
          <c:order val="2"/>
          <c:tx>
            <c:strRef>
              <c:f>Проект!$A$1593</c:f>
              <c:strCache>
                <c:ptCount val="1"/>
                <c:pt idx="0">
                  <c:v>Суммарные краткосрочные обязательства</c:v>
                </c:pt>
              </c:strCache>
            </c:strRef>
          </c:tx>
          <c:invertIfNegative val="0"/>
          <c:cat>
            <c:strRef>
              <c:f>Проект!$F$1561:$Q$1561</c:f>
              <c:strCache>
                <c:ptCount val="12"/>
                <c:pt idx="0">
                  <c:v>4/ 2024</c:v>
                </c:pt>
                <c:pt idx="1">
                  <c:v>5/ 2024</c:v>
                </c:pt>
                <c:pt idx="2">
                  <c:v>6/ 2024</c:v>
                </c:pt>
                <c:pt idx="3">
                  <c:v>7/ 2024</c:v>
                </c:pt>
                <c:pt idx="4">
                  <c:v>8/ 2024</c:v>
                </c:pt>
                <c:pt idx="5">
                  <c:v>9/ 2024</c:v>
                </c:pt>
                <c:pt idx="6">
                  <c:v>10/ 2024</c:v>
                </c:pt>
                <c:pt idx="7">
                  <c:v>11/ 2024</c:v>
                </c:pt>
                <c:pt idx="8">
                  <c:v>12/ 2024</c:v>
                </c:pt>
                <c:pt idx="9">
                  <c:v>1/ 2025</c:v>
                </c:pt>
                <c:pt idx="10">
                  <c:v>2/ 2025</c:v>
                </c:pt>
                <c:pt idx="11">
                  <c:v>3/ 2025</c:v>
                </c:pt>
              </c:strCache>
            </c:strRef>
          </c:cat>
          <c:val>
            <c:numRef>
              <c:f>Проект!$F$1593:$Q$1593</c:f>
              <c:numCache>
                <c:formatCode>#,##0</c:formatCode>
                <c:ptCount val="12"/>
                <c:pt idx="0">
                  <c:v>1340480</c:v>
                </c:pt>
                <c:pt idx="1">
                  <c:v>829280</c:v>
                </c:pt>
                <c:pt idx="2">
                  <c:v>853745.60000000009</c:v>
                </c:pt>
                <c:pt idx="3">
                  <c:v>951608</c:v>
                </c:pt>
                <c:pt idx="4">
                  <c:v>1073936</c:v>
                </c:pt>
                <c:pt idx="5">
                  <c:v>1318592</c:v>
                </c:pt>
                <c:pt idx="6">
                  <c:v>1563248</c:v>
                </c:pt>
                <c:pt idx="7">
                  <c:v>1807904</c:v>
                </c:pt>
                <c:pt idx="8">
                  <c:v>2174888</c:v>
                </c:pt>
                <c:pt idx="9">
                  <c:v>2664200</c:v>
                </c:pt>
                <c:pt idx="10">
                  <c:v>3031184</c:v>
                </c:pt>
                <c:pt idx="11">
                  <c:v>3275840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CB-442A-89B7-EFF952047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357240952"/>
        <c:axId val="357240168"/>
      </c:barChart>
      <c:catAx>
        <c:axId val="357240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72401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72401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7240952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</c:spPr>
    </c:plotArea>
    <c:legend>
      <c:legendPos val="r"/>
      <c:overlay val="0"/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ru-RU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 alignWithMargins="0"/>
    <c:pageMargins b="1" l="0.75000000000000977" r="0.75000000000000977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Проект!$A$1658</c:f>
              <c:strCache>
                <c:ptCount val="1"/>
                <c:pt idx="0">
                  <c:v>Рентабельность активов</c:v>
                </c:pt>
              </c:strCache>
            </c:strRef>
          </c:tx>
          <c:invertIfNegative val="0"/>
          <c:cat>
            <c:strRef>
              <c:f>Проект!$F$1656:$Q$1656</c:f>
              <c:strCache>
                <c:ptCount val="12"/>
                <c:pt idx="0">
                  <c:v>4/ 2024</c:v>
                </c:pt>
                <c:pt idx="1">
                  <c:v>5/ 2024</c:v>
                </c:pt>
                <c:pt idx="2">
                  <c:v>6/ 2024</c:v>
                </c:pt>
                <c:pt idx="3">
                  <c:v>7/ 2024</c:v>
                </c:pt>
                <c:pt idx="4">
                  <c:v>8/ 2024</c:v>
                </c:pt>
                <c:pt idx="5">
                  <c:v>9/ 2024</c:v>
                </c:pt>
                <c:pt idx="6">
                  <c:v>10/ 2024</c:v>
                </c:pt>
                <c:pt idx="7">
                  <c:v>11/ 2024</c:v>
                </c:pt>
                <c:pt idx="8">
                  <c:v>12/ 2024</c:v>
                </c:pt>
                <c:pt idx="9">
                  <c:v>1/ 2025</c:v>
                </c:pt>
                <c:pt idx="10">
                  <c:v>2/ 2025</c:v>
                </c:pt>
                <c:pt idx="11">
                  <c:v>3/ 2025</c:v>
                </c:pt>
              </c:strCache>
            </c:strRef>
          </c:cat>
          <c:val>
            <c:numRef>
              <c:f>Проект!$F$1658:$Q$1658</c:f>
              <c:numCache>
                <c:formatCode>0.0%</c:formatCode>
                <c:ptCount val="12"/>
                <c:pt idx="0">
                  <c:v>-98.418135394267807</c:v>
                </c:pt>
                <c:pt idx="1">
                  <c:v>-46.022157882647228</c:v>
                </c:pt>
                <c:pt idx="2">
                  <c:v>-47.853749073042223</c:v>
                </c:pt>
                <c:pt idx="3">
                  <c:v>-39.585282126697365</c:v>
                </c:pt>
                <c:pt idx="4">
                  <c:v>-28.400662487944633</c:v>
                </c:pt>
                <c:pt idx="5">
                  <c:v>-3.2782188184972632</c:v>
                </c:pt>
                <c:pt idx="6">
                  <c:v>14.520173612386566</c:v>
                </c:pt>
                <c:pt idx="7">
                  <c:v>26.289411783287623</c:v>
                </c:pt>
                <c:pt idx="8">
                  <c:v>36.474216639437586</c:v>
                </c:pt>
                <c:pt idx="9">
                  <c:v>23.105143518819201</c:v>
                </c:pt>
                <c:pt idx="10">
                  <c:v>10.436250886147858</c:v>
                </c:pt>
                <c:pt idx="11">
                  <c:v>4.8280231006990588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8A-4BA3-BB05-0EF4ADC72A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7241344"/>
        <c:axId val="357243696"/>
      </c:barChart>
      <c:catAx>
        <c:axId val="357241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7243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7243696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0.0%" sourceLinked="1"/>
        <c:majorTickMark val="out"/>
        <c:minorTickMark val="none"/>
        <c:tickLblPos val="nextTo"/>
        <c:spPr>
          <a:ln>
            <a:solidFill>
              <a:schemeClr val="tx1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7241344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 alignWithMargins="0"/>
    <c:pageMargins b="1" l="0.75000000000000933" r="0.75000000000000933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6"/>
    </mc:Choice>
    <mc:Fallback>
      <c:style val="16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Проект!$A$1662</c:f>
              <c:strCache>
                <c:ptCount val="1"/>
                <c:pt idx="0">
                  <c:v>Прибыльность продаж</c:v>
                </c:pt>
              </c:strCache>
            </c:strRef>
          </c:tx>
          <c:invertIfNegative val="0"/>
          <c:cat>
            <c:strRef>
              <c:f>Проект!$F$1656:$Q$1656</c:f>
              <c:strCache>
                <c:ptCount val="12"/>
                <c:pt idx="0">
                  <c:v>4/ 2024</c:v>
                </c:pt>
                <c:pt idx="1">
                  <c:v>5/ 2024</c:v>
                </c:pt>
                <c:pt idx="2">
                  <c:v>6/ 2024</c:v>
                </c:pt>
                <c:pt idx="3">
                  <c:v>7/ 2024</c:v>
                </c:pt>
                <c:pt idx="4">
                  <c:v>8/ 2024</c:v>
                </c:pt>
                <c:pt idx="5">
                  <c:v>9/ 2024</c:v>
                </c:pt>
                <c:pt idx="6">
                  <c:v>10/ 2024</c:v>
                </c:pt>
                <c:pt idx="7">
                  <c:v>11/ 2024</c:v>
                </c:pt>
                <c:pt idx="8">
                  <c:v>12/ 2024</c:v>
                </c:pt>
                <c:pt idx="9">
                  <c:v>1/ 2025</c:v>
                </c:pt>
                <c:pt idx="10">
                  <c:v>2/ 2025</c:v>
                </c:pt>
                <c:pt idx="11">
                  <c:v>3/ 2025</c:v>
                </c:pt>
              </c:strCache>
            </c:strRef>
          </c:cat>
          <c:val>
            <c:numRef>
              <c:f>Проект!$F$1662:$Q$1662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-18.876780674657123</c:v>
                </c:pt>
                <c:pt idx="3">
                  <c:v>-3.0735643579327023</c:v>
                </c:pt>
                <c:pt idx="4">
                  <c:v>-1.0837778501350592</c:v>
                </c:pt>
                <c:pt idx="5">
                  <c:v>-7.3039785702163754E-2</c:v>
                </c:pt>
                <c:pt idx="6">
                  <c:v>0.2689198420576045</c:v>
                </c:pt>
                <c:pt idx="7">
                  <c:v>0.44441018437844859</c:v>
                </c:pt>
                <c:pt idx="8">
                  <c:v>0.58969260392411271</c:v>
                </c:pt>
                <c:pt idx="9">
                  <c:v>0.68918990030900529</c:v>
                </c:pt>
                <c:pt idx="10">
                  <c:v>0.73097526424857762</c:v>
                </c:pt>
                <c:pt idx="11">
                  <c:v>0.75186794621836373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F7-47C4-96A6-1E7B578CB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936656"/>
        <c:axId val="326937048"/>
      </c:barChart>
      <c:catAx>
        <c:axId val="326936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26937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9370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0.0%" sourceLinked="1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26936656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5"/>
    </mc:Choice>
    <mc:Fallback>
      <c:style val="15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Проект!$A$1668</c:f>
              <c:strCache>
                <c:ptCount val="1"/>
                <c:pt idx="0">
                  <c:v>Рентабельность по EBITDA</c:v>
                </c:pt>
              </c:strCache>
            </c:strRef>
          </c:tx>
          <c:spPr>
            <a:solidFill>
              <a:srgbClr val="B8CCE4">
                <a:lumMod val="75000"/>
              </a:srgbClr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Проект!$F$1656:$Q$1656</c:f>
              <c:strCache>
                <c:ptCount val="12"/>
                <c:pt idx="0">
                  <c:v>4/ 2024</c:v>
                </c:pt>
                <c:pt idx="1">
                  <c:v>5/ 2024</c:v>
                </c:pt>
                <c:pt idx="2">
                  <c:v>6/ 2024</c:v>
                </c:pt>
                <c:pt idx="3">
                  <c:v>7/ 2024</c:v>
                </c:pt>
                <c:pt idx="4">
                  <c:v>8/ 2024</c:v>
                </c:pt>
                <c:pt idx="5">
                  <c:v>9/ 2024</c:v>
                </c:pt>
                <c:pt idx="6">
                  <c:v>10/ 2024</c:v>
                </c:pt>
                <c:pt idx="7">
                  <c:v>11/ 2024</c:v>
                </c:pt>
                <c:pt idx="8">
                  <c:v>12/ 2024</c:v>
                </c:pt>
                <c:pt idx="9">
                  <c:v>1/ 2025</c:v>
                </c:pt>
                <c:pt idx="10">
                  <c:v>2/ 2025</c:v>
                </c:pt>
                <c:pt idx="11">
                  <c:v>3/ 2025</c:v>
                </c:pt>
              </c:strCache>
            </c:strRef>
          </c:cat>
          <c:val>
            <c:numRef>
              <c:f>Проект!$F$1668:$Q$1668</c:f>
              <c:numCache>
                <c:formatCode>0%</c:formatCode>
                <c:ptCount val="12"/>
                <c:pt idx="0">
                  <c:v>-1</c:v>
                </c:pt>
                <c:pt idx="1">
                  <c:v>-0.99999999999999978</c:v>
                </c:pt>
                <c:pt idx="2">
                  <c:v>-0.94681844452531783</c:v>
                </c:pt>
                <c:pt idx="3">
                  <c:v>-0.73409776118731918</c:v>
                </c:pt>
                <c:pt idx="4">
                  <c:v>-0.46820936812757058</c:v>
                </c:pt>
                <c:pt idx="5">
                  <c:v>6.3525885058669504E-2</c:v>
                </c:pt>
                <c:pt idx="6">
                  <c:v>0.59520576820866222</c:v>
                </c:pt>
                <c:pt idx="7">
                  <c:v>1.12683028997055</c:v>
                </c:pt>
                <c:pt idx="8">
                  <c:v>1.9241632889240654</c:v>
                </c:pt>
                <c:pt idx="9">
                  <c:v>2.9870802700211394</c:v>
                </c:pt>
                <c:pt idx="10">
                  <c:v>3.7841227805173534</c:v>
                </c:pt>
                <c:pt idx="11">
                  <c:v>4.3154153154607773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39-48DC-A11F-303C961950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938616"/>
        <c:axId val="326939008"/>
      </c:barChart>
      <c:catAx>
        <c:axId val="326938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2693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939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0%" sourceLinked="1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26938616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autoTitleDeleted val="1"/>
    <c:plotArea>
      <c:layout/>
      <c:areaChart>
        <c:grouping val="standard"/>
        <c:varyColors val="0"/>
        <c:ser>
          <c:idx val="0"/>
          <c:order val="0"/>
          <c:tx>
            <c:strRef>
              <c:f>Проект!$A$1232</c:f>
              <c:strCache>
                <c:ptCount val="1"/>
                <c:pt idx="0">
                  <c:v> = Итого: Задолженность по кредитам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solidFill>
                <a:schemeClr val="accent1">
                  <a:lumMod val="25000"/>
                </a:schemeClr>
              </a:solidFill>
            </a:ln>
            <a:effectLst/>
          </c:spPr>
          <c:cat>
            <c:strRef>
              <c:f>Проект!$F$1201:$Q$1201</c:f>
              <c:strCache>
                <c:ptCount val="12"/>
                <c:pt idx="0">
                  <c:v>4/ 2024</c:v>
                </c:pt>
                <c:pt idx="1">
                  <c:v>5/ 2024</c:v>
                </c:pt>
                <c:pt idx="2">
                  <c:v>6/ 2024</c:v>
                </c:pt>
                <c:pt idx="3">
                  <c:v>7/ 2024</c:v>
                </c:pt>
                <c:pt idx="4">
                  <c:v>8/ 2024</c:v>
                </c:pt>
                <c:pt idx="5">
                  <c:v>9/ 2024</c:v>
                </c:pt>
                <c:pt idx="6">
                  <c:v>10/ 2024</c:v>
                </c:pt>
                <c:pt idx="7">
                  <c:v>11/ 2024</c:v>
                </c:pt>
                <c:pt idx="8">
                  <c:v>12/ 2024</c:v>
                </c:pt>
                <c:pt idx="9">
                  <c:v>1/ 2025</c:v>
                </c:pt>
                <c:pt idx="10">
                  <c:v>2/ 2025</c:v>
                </c:pt>
                <c:pt idx="11">
                  <c:v>3/ 2025</c:v>
                </c:pt>
              </c:strCache>
            </c:strRef>
          </c:cat>
          <c:val>
            <c:numRef>
              <c:f>Проект!$F$1232:$Q$1232</c:f>
              <c:numCache>
                <c:formatCode>#,##0</c:formatCode>
                <c:ptCount val="12"/>
                <c:pt idx="0">
                  <c:v>2400351.3689567428</c:v>
                </c:pt>
                <c:pt idx="1">
                  <c:v>5476647.4426394468</c:v>
                </c:pt>
                <c:pt idx="2">
                  <c:v>8007638.9805148821</c:v>
                </c:pt>
                <c:pt idx="3">
                  <c:v>9988465.7311047968</c:v>
                </c:pt>
                <c:pt idx="4">
                  <c:v>11327726.703750553</c:v>
                </c:pt>
                <c:pt idx="5">
                  <c:v>11501888.518610623</c:v>
                </c:pt>
                <c:pt idx="6">
                  <c:v>10299267.972909262</c:v>
                </c:pt>
                <c:pt idx="7">
                  <c:v>7893163.4040714214</c:v>
                </c:pt>
                <c:pt idx="8">
                  <c:v>3558056.505994508</c:v>
                </c:pt>
                <c:pt idx="9">
                  <c:v>-1.862645149230957E-9</c:v>
                </c:pt>
                <c:pt idx="10">
                  <c:v>-1.862645149230957E-9</c:v>
                </c:pt>
                <c:pt idx="11">
                  <c:v>-1.862645149230957E-9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05-4E4D-9C82-510F4EE37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974352"/>
        <c:axId val="356969256"/>
      </c:areaChart>
      <c:catAx>
        <c:axId val="356974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6969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969256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6974352"/>
        <c:crosses val="autoZero"/>
        <c:crossBetween val="midCat"/>
      </c:valAx>
      <c:spPr>
        <a:solidFill>
          <a:sysClr val="window" lastClr="FFFFFF">
            <a:lumMod val="85000"/>
            <a:alpha val="70000"/>
          </a:sysClr>
        </a:solidFill>
      </c:spPr>
    </c:plotArea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Проект!$A$1387</c:f>
              <c:strCache>
                <c:ptCount val="1"/>
                <c:pt idx="0">
                  <c:v>Прибыль до налога, процентов и амортизации (EBITDA)</c:v>
                </c:pt>
              </c:strCache>
            </c:strRef>
          </c:tx>
          <c:spPr>
            <a:ln>
              <a:solidFill>
                <a:schemeClr val="accent4">
                  <a:lumMod val="75000"/>
                </a:schemeClr>
              </a:solidFill>
            </a:ln>
          </c:spPr>
          <c:marker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cat>
            <c:strRef>
              <c:f>Проект!$F$1377:$Q$1377</c:f>
              <c:strCache>
                <c:ptCount val="12"/>
                <c:pt idx="0">
                  <c:v>4/ 2024</c:v>
                </c:pt>
                <c:pt idx="1">
                  <c:v>5/ 2024</c:v>
                </c:pt>
                <c:pt idx="2">
                  <c:v>6/ 2024</c:v>
                </c:pt>
                <c:pt idx="3">
                  <c:v>7/ 2024</c:v>
                </c:pt>
                <c:pt idx="4">
                  <c:v>8/ 2024</c:v>
                </c:pt>
                <c:pt idx="5">
                  <c:v>9/ 2024</c:v>
                </c:pt>
                <c:pt idx="6">
                  <c:v>10/ 2024</c:v>
                </c:pt>
                <c:pt idx="7">
                  <c:v>11/ 2024</c:v>
                </c:pt>
                <c:pt idx="8">
                  <c:v>12/ 2024</c:v>
                </c:pt>
                <c:pt idx="9">
                  <c:v>1/ 2025</c:v>
                </c:pt>
                <c:pt idx="10">
                  <c:v>2/ 2025</c:v>
                </c:pt>
                <c:pt idx="11">
                  <c:v>3/ 2025</c:v>
                </c:pt>
              </c:strCache>
            </c:strRef>
          </c:cat>
          <c:val>
            <c:numRef>
              <c:f>Проект!$F$1387:$Q$1387</c:f>
              <c:numCache>
                <c:formatCode>#,##0</c:formatCode>
                <c:ptCount val="12"/>
                <c:pt idx="0">
                  <c:v>-2966160</c:v>
                </c:pt>
                <c:pt idx="1">
                  <c:v>-2555759.9999999995</c:v>
                </c:pt>
                <c:pt idx="2">
                  <c:v>-2419853.3087499999</c:v>
                </c:pt>
                <c:pt idx="3">
                  <c:v>-1876226.543749999</c:v>
                </c:pt>
                <c:pt idx="4">
                  <c:v>-1196693.0875000004</c:v>
                </c:pt>
                <c:pt idx="5">
                  <c:v>162373.82500000065</c:v>
                </c:pt>
                <c:pt idx="6">
                  <c:v>1521440.7375</c:v>
                </c:pt>
                <c:pt idx="7">
                  <c:v>2880507.649999999</c:v>
                </c:pt>
                <c:pt idx="8">
                  <c:v>4919108.0187500007</c:v>
                </c:pt>
                <c:pt idx="9">
                  <c:v>7637241.84375</c:v>
                </c:pt>
                <c:pt idx="10">
                  <c:v>9675842.2125000004</c:v>
                </c:pt>
                <c:pt idx="11">
                  <c:v>11034909.125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92-4A3D-822D-A40859D716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972000"/>
        <c:axId val="356970040"/>
      </c:lineChart>
      <c:catAx>
        <c:axId val="356972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6970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970040"/>
        <c:scaling>
          <c:orientation val="minMax"/>
        </c:scaling>
        <c:delete val="0"/>
        <c:axPos val="l"/>
        <c:majorGridlines>
          <c:spPr>
            <a:ln w="3175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6972000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  <a:ln w="12700"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Портфель!$A$693</c:f>
              <c:strCache>
                <c:ptCount val="1"/>
                <c:pt idx="0">
                  <c:v>Дисконтированный поток нарастающим итогом</c:v>
                </c:pt>
              </c:strCache>
            </c:strRef>
          </c:tx>
          <c:spPr>
            <a:ln w="38100">
              <a:solidFill>
                <a:schemeClr val="accent6">
                  <a:lumMod val="50000"/>
                </a:schemeClr>
              </a:solidFill>
              <a:prstDash val="solid"/>
            </a:ln>
            <a:effectLst>
              <a:outerShdw blurRad="25400" dist="127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7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  <a:prstDash val="solid"/>
              </a:ln>
              <a:effectLst>
                <a:outerShdw blurRad="25400" dist="12700" dir="2700000" algn="tl" rotWithShape="0">
                  <a:prstClr val="black">
                    <a:alpha val="40000"/>
                  </a:prstClr>
                </a:outerShdw>
              </a:effectLst>
            </c:spPr>
          </c:marker>
          <c:cat>
            <c:strRef>
              <c:f>Портфель!$F$667:$Q$667</c:f>
              <c:strCache>
                <c:ptCount val="12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  <c:pt idx="6">
                  <c:v>10/ 2020</c:v>
                </c:pt>
                <c:pt idx="7">
                  <c:v>11/ 2020</c:v>
                </c:pt>
                <c:pt idx="8">
                  <c:v>12/ 2020</c:v>
                </c:pt>
                <c:pt idx="9">
                  <c:v>1/ 2021</c:v>
                </c:pt>
                <c:pt idx="10">
                  <c:v>2/ 2021</c:v>
                </c:pt>
                <c:pt idx="11">
                  <c:v>3/ 2021</c:v>
                </c:pt>
              </c:strCache>
            </c:strRef>
          </c:cat>
          <c:val>
            <c:numRef>
              <c:f>Портфель!$F$693:$Q$693</c:f>
              <c:numCache>
                <c:formatCode>#,##0</c:formatCode>
                <c:ptCount val="12"/>
                <c:pt idx="0">
                  <c:v>-2317784</c:v>
                </c:pt>
                <c:pt idx="1">
                  <c:v>-5236146.9498474849</c:v>
                </c:pt>
                <c:pt idx="2">
                  <c:v>-7554993.8925547022</c:v>
                </c:pt>
                <c:pt idx="3">
                  <c:v>-9278912.6319534536</c:v>
                </c:pt>
                <c:pt idx="4">
                  <c:v>-10354912.414356599</c:v>
                </c:pt>
                <c:pt idx="5">
                  <c:v>-10132189.271494651</c:v>
                </c:pt>
                <c:pt idx="6">
                  <c:v>-8766302.5324140247</c:v>
                </c:pt>
                <c:pt idx="7">
                  <c:v>-6297980.5413098233</c:v>
                </c:pt>
                <c:pt idx="8">
                  <c:v>-2107678.6492539793</c:v>
                </c:pt>
                <c:pt idx="9">
                  <c:v>4286082.3834679369</c:v>
                </c:pt>
                <c:pt idx="10">
                  <c:v>12065548.28390342</c:v>
                </c:pt>
                <c:pt idx="11">
                  <c:v>17968169.040777203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DF-44E0-BDDD-7AFBCAF78D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973176"/>
        <c:axId val="356971608"/>
      </c:lineChart>
      <c:catAx>
        <c:axId val="356973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569716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9716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56973176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  <a:ln w="12700">
          <a:solidFill>
            <a:srgbClr val="C0C0C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Портфель!$A$768</c:f>
              <c:strCache>
                <c:ptCount val="1"/>
                <c:pt idx="0">
                  <c:v>Дисконтированный поток нарастающим итогом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  <a:prstDash val="solid"/>
            </a:ln>
            <a:effectLst>
              <a:outerShdw blurRad="25400" dist="127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7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  <a:prstDash val="solid"/>
              </a:ln>
              <a:effectLst>
                <a:outerShdw blurRad="25400" dist="12700" dir="2700000" algn="tl" rotWithShape="0">
                  <a:prstClr val="black">
                    <a:alpha val="40000"/>
                  </a:prstClr>
                </a:outerShdw>
              </a:effectLst>
            </c:spPr>
          </c:marker>
          <c:cat>
            <c:strRef>
              <c:f>Портфель!$F$742:$Q$742</c:f>
              <c:strCache>
                <c:ptCount val="12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  <c:pt idx="6">
                  <c:v>10/ 2020</c:v>
                </c:pt>
                <c:pt idx="7">
                  <c:v>11/ 2020</c:v>
                </c:pt>
                <c:pt idx="8">
                  <c:v>12/ 2020</c:v>
                </c:pt>
                <c:pt idx="9">
                  <c:v>1/ 2021</c:v>
                </c:pt>
                <c:pt idx="10">
                  <c:v>2/ 2021</c:v>
                </c:pt>
                <c:pt idx="11">
                  <c:v>3/ 2021</c:v>
                </c:pt>
              </c:strCache>
            </c:strRef>
          </c:cat>
          <c:val>
            <c:numRef>
              <c:f>Портфель!$F$768:$Q$768</c:f>
              <c:numCache>
                <c:formatCode>#,##0</c:formatCode>
                <c:ptCount val="12"/>
                <c:pt idx="0">
                  <c:v>41283.684478371404</c:v>
                </c:pt>
                <c:pt idx="1">
                  <c:v>51992.913681056911</c:v>
                </c:pt>
                <c:pt idx="2">
                  <c:v>42051.535979993947</c:v>
                </c:pt>
                <c:pt idx="3">
                  <c:v>32363.261642397465</c:v>
                </c:pt>
                <c:pt idx="4">
                  <c:v>21538.262033937073</c:v>
                </c:pt>
                <c:pt idx="5">
                  <c:v>222632.22056125599</c:v>
                </c:pt>
                <c:pt idx="6">
                  <c:v>346803.74229585868</c:v>
                </c:pt>
                <c:pt idx="7">
                  <c:v>571196.65057805867</c:v>
                </c:pt>
                <c:pt idx="8">
                  <c:v>952133.18621949968</c:v>
                </c:pt>
                <c:pt idx="9">
                  <c:v>4318426.0117904022</c:v>
                </c:pt>
                <c:pt idx="10">
                  <c:v>12097891.912225885</c:v>
                </c:pt>
                <c:pt idx="11">
                  <c:v>18000512.66909967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A-4EF8-B103-E50E405C1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973568"/>
        <c:axId val="356975920"/>
      </c:lineChart>
      <c:catAx>
        <c:axId val="356973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56975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9759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56973568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  <a:ln w="12700">
          <a:solidFill>
            <a:srgbClr val="C0C0C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00000000000091" r="0.7500000000000091" t="1" header="0.5" footer="0.5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Портфель!$A$841</c:f>
              <c:strCache>
                <c:ptCount val="1"/>
                <c:pt idx="0">
                  <c:v>Дисконтированный поток нарастающим итогом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  <a:prstDash val="solid"/>
            </a:ln>
            <a:effectLst>
              <a:outerShdw blurRad="25400" dist="127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7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  <a:prstDash val="solid"/>
              </a:ln>
              <a:effectLst>
                <a:outerShdw blurRad="25400" dist="12700" dir="2700000" algn="tl" rotWithShape="0">
                  <a:prstClr val="black">
                    <a:alpha val="40000"/>
                  </a:prstClr>
                </a:outerShdw>
              </a:effectLst>
            </c:spPr>
          </c:marker>
          <c:cat>
            <c:strRef>
              <c:f>Портфель!$F$817:$Q$817</c:f>
              <c:strCache>
                <c:ptCount val="12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  <c:pt idx="6">
                  <c:v>10/ 2020</c:v>
                </c:pt>
                <c:pt idx="7">
                  <c:v>11/ 2020</c:v>
                </c:pt>
                <c:pt idx="8">
                  <c:v>12/ 2020</c:v>
                </c:pt>
                <c:pt idx="9">
                  <c:v>1/ 2021</c:v>
                </c:pt>
                <c:pt idx="10">
                  <c:v>2/ 2021</c:v>
                </c:pt>
                <c:pt idx="11">
                  <c:v>3/ 2021</c:v>
                </c:pt>
              </c:strCache>
            </c:strRef>
          </c:cat>
          <c:val>
            <c:numRef>
              <c:f>Портфель!$F$841:$Q$841</c:f>
              <c:numCache>
                <c:formatCode>#,##0</c:formatCode>
                <c:ptCount val="12"/>
                <c:pt idx="0">
                  <c:v>-2317784</c:v>
                </c:pt>
                <c:pt idx="1">
                  <c:v>-5236146.9498474849</c:v>
                </c:pt>
                <c:pt idx="2">
                  <c:v>-7554993.8925547022</c:v>
                </c:pt>
                <c:pt idx="3">
                  <c:v>-9278912.6319534536</c:v>
                </c:pt>
                <c:pt idx="4">
                  <c:v>-10354912.414356599</c:v>
                </c:pt>
                <c:pt idx="5">
                  <c:v>-10132189.271494651</c:v>
                </c:pt>
                <c:pt idx="6">
                  <c:v>-8766302.5324140247</c:v>
                </c:pt>
                <c:pt idx="7">
                  <c:v>-6297980.5413098233</c:v>
                </c:pt>
                <c:pt idx="8">
                  <c:v>-2107678.6492539793</c:v>
                </c:pt>
                <c:pt idx="9">
                  <c:v>4286082.3834679369</c:v>
                </c:pt>
                <c:pt idx="10">
                  <c:v>12065548.28390342</c:v>
                </c:pt>
                <c:pt idx="11">
                  <c:v>20655067.413213339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13-4683-8B6F-58EF551355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974744"/>
        <c:axId val="356975136"/>
      </c:lineChart>
      <c:catAx>
        <c:axId val="356974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56975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975136"/>
        <c:scaling>
          <c:orientation val="minMax"/>
        </c:scaling>
        <c:delete val="0"/>
        <c:axPos val="l"/>
        <c:majorGridlines>
          <c:spPr>
            <a:ln w="3175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56974744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  <a:ln w="12700">
          <a:solidFill>
            <a:srgbClr val="C0C0C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00000000000091" r="0.7500000000000091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Портфель!$A$124</c:f>
              <c:strCache>
                <c:ptCount val="1"/>
                <c:pt idx="0">
                  <c:v>Выручка (нетто)</c:v>
                </c:pt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</a:ln>
          </c:spPr>
          <c:marker>
            <c:spPr>
              <a:ln>
                <a:solidFill>
                  <a:schemeClr val="accent1">
                    <a:lumMod val="50000"/>
                  </a:schemeClr>
                </a:solidFill>
              </a:ln>
            </c:spPr>
          </c:marker>
          <c:cat>
            <c:strRef>
              <c:f>Портфель!$F$122:$Q$122</c:f>
              <c:strCache>
                <c:ptCount val="12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  <c:pt idx="6">
                  <c:v>10/ 2020</c:v>
                </c:pt>
                <c:pt idx="7">
                  <c:v>11/ 2020</c:v>
                </c:pt>
                <c:pt idx="8">
                  <c:v>12/ 2020</c:v>
                </c:pt>
                <c:pt idx="9">
                  <c:v>1/ 2021</c:v>
                </c:pt>
                <c:pt idx="10">
                  <c:v>2/ 2021</c:v>
                </c:pt>
                <c:pt idx="11">
                  <c:v>3/ 2021</c:v>
                </c:pt>
              </c:strCache>
            </c:strRef>
          </c:cat>
          <c:val>
            <c:numRef>
              <c:f>Портфель!$F$124:$Q$124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135920</c:v>
                </c:pt>
                <c:pt idx="3">
                  <c:v>679600</c:v>
                </c:pt>
                <c:pt idx="4">
                  <c:v>1359200</c:v>
                </c:pt>
                <c:pt idx="5">
                  <c:v>2718400</c:v>
                </c:pt>
                <c:pt idx="6">
                  <c:v>4077600</c:v>
                </c:pt>
                <c:pt idx="7">
                  <c:v>5436800</c:v>
                </c:pt>
                <c:pt idx="8">
                  <c:v>7475600</c:v>
                </c:pt>
                <c:pt idx="9">
                  <c:v>10194000</c:v>
                </c:pt>
                <c:pt idx="10">
                  <c:v>12232800</c:v>
                </c:pt>
                <c:pt idx="11">
                  <c:v>13592000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26-403C-B647-92B07C932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968864"/>
        <c:axId val="356975528"/>
      </c:lineChart>
      <c:catAx>
        <c:axId val="356968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6975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975528"/>
        <c:scaling>
          <c:orientation val="minMax"/>
        </c:scaling>
        <c:delete val="0"/>
        <c:axPos val="l"/>
        <c:majorGridlines>
          <c:spPr>
            <a:ln w="3175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6968864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  <a:ln w="12700"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000000000000933" r="0.75000000000000933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2"/>
          <c:order val="0"/>
          <c:tx>
            <c:strRef>
              <c:f>Портфель!$A$169</c:f>
              <c:strCache>
                <c:ptCount val="1"/>
                <c:pt idx="0">
                  <c:v>Чистая прибыль (убыток)</c:v>
                </c:pt>
              </c:strCache>
            </c:strRef>
          </c:tx>
          <c:spPr>
            <a:ln w="28575">
              <a:solidFill>
                <a:schemeClr val="bg2">
                  <a:lumMod val="50000"/>
                </a:schemeClr>
              </a:solidFill>
              <a:prstDash val="solid"/>
            </a:ln>
          </c:spPr>
          <c:marker>
            <c:symbol val="square"/>
            <c:size val="5"/>
            <c:spPr>
              <a:solidFill>
                <a:schemeClr val="bg2">
                  <a:lumMod val="50000"/>
                </a:schemeClr>
              </a:solidFill>
              <a:ln>
                <a:solidFill>
                  <a:schemeClr val="bg2">
                    <a:lumMod val="50000"/>
                  </a:schemeClr>
                </a:solidFill>
              </a:ln>
            </c:spPr>
          </c:marker>
          <c:cat>
            <c:strRef>
              <c:f>Портфель!$F$122:$Q$122</c:f>
              <c:strCache>
                <c:ptCount val="12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  <c:pt idx="6">
                  <c:v>10/ 2020</c:v>
                </c:pt>
                <c:pt idx="7">
                  <c:v>11/ 2020</c:v>
                </c:pt>
                <c:pt idx="8">
                  <c:v>12/ 2020</c:v>
                </c:pt>
                <c:pt idx="9">
                  <c:v>1/ 2021</c:v>
                </c:pt>
                <c:pt idx="10">
                  <c:v>2/ 2021</c:v>
                </c:pt>
                <c:pt idx="11">
                  <c:v>3/ 2021</c:v>
                </c:pt>
              </c:strCache>
            </c:strRef>
          </c:cat>
          <c:val>
            <c:numRef>
              <c:f>Портфель!$F$169:$Q$169</c:f>
              <c:numCache>
                <c:formatCode>#,##0</c:formatCode>
                <c:ptCount val="12"/>
                <c:pt idx="0">
                  <c:v>-3007443.6844783714</c:v>
                </c:pt>
                <c:pt idx="1">
                  <c:v>-2649952.9535589088</c:v>
                </c:pt>
                <c:pt idx="2">
                  <c:v>-2565732.0292993961</c:v>
                </c:pt>
                <c:pt idx="3">
                  <c:v>-2088794.3376510644</c:v>
                </c:pt>
                <c:pt idx="4">
                  <c:v>-1473070.8539035725</c:v>
                </c:pt>
                <c:pt idx="5">
                  <c:v>-198551.35345276195</c:v>
                </c:pt>
                <c:pt idx="6">
                  <c:v>1096547.547974088</c:v>
                </c:pt>
                <c:pt idx="7">
                  <c:v>2416169.2904287493</c:v>
                </c:pt>
                <c:pt idx="8">
                  <c:v>4408306.029895097</c:v>
                </c:pt>
                <c:pt idx="9">
                  <c:v>7025601.84375</c:v>
                </c:pt>
                <c:pt idx="10">
                  <c:v>8941874.2125000004</c:v>
                </c:pt>
                <c:pt idx="11">
                  <c:v>10219389.125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BB-4A0C-94E6-A9C27EB02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617880"/>
        <c:axId val="359622192"/>
      </c:lineChart>
      <c:catAx>
        <c:axId val="359617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96221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9622192"/>
        <c:scaling>
          <c:orientation val="minMax"/>
        </c:scaling>
        <c:delete val="0"/>
        <c:axPos val="l"/>
        <c:majorGridlines>
          <c:spPr>
            <a:ln w="3175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9617880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  <a:ln w="12700"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933" r="0.75000000000000933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Портфель!$A$173</c:f>
              <c:strCache>
                <c:ptCount val="1"/>
                <c:pt idx="0">
                  <c:v>Прибыль до налога, процентов и амортизации (EBITDA)</c:v>
                </c:pt>
              </c:strCache>
            </c:strRef>
          </c:tx>
          <c:spPr>
            <a:ln>
              <a:solidFill>
                <a:schemeClr val="accent4">
                  <a:lumMod val="75000"/>
                </a:schemeClr>
              </a:solidFill>
            </a:ln>
          </c:spPr>
          <c:marker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cat>
            <c:strRef>
              <c:f>Портфель!$F$122:$Q$122</c:f>
              <c:strCache>
                <c:ptCount val="12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  <c:pt idx="6">
                  <c:v>10/ 2020</c:v>
                </c:pt>
                <c:pt idx="7">
                  <c:v>11/ 2020</c:v>
                </c:pt>
                <c:pt idx="8">
                  <c:v>12/ 2020</c:v>
                </c:pt>
                <c:pt idx="9">
                  <c:v>1/ 2021</c:v>
                </c:pt>
                <c:pt idx="10">
                  <c:v>2/ 2021</c:v>
                </c:pt>
                <c:pt idx="11">
                  <c:v>3/ 2021</c:v>
                </c:pt>
              </c:strCache>
            </c:strRef>
          </c:cat>
          <c:val>
            <c:numRef>
              <c:f>Портфель!$F$173:$Q$173</c:f>
              <c:numCache>
                <c:formatCode>#,##0</c:formatCode>
                <c:ptCount val="12"/>
                <c:pt idx="0">
                  <c:v>-2966160</c:v>
                </c:pt>
                <c:pt idx="1">
                  <c:v>-2555759.9999999995</c:v>
                </c:pt>
                <c:pt idx="2">
                  <c:v>-2419853.3087499999</c:v>
                </c:pt>
                <c:pt idx="3">
                  <c:v>-1876226.543749999</c:v>
                </c:pt>
                <c:pt idx="4">
                  <c:v>-1196693.0875000004</c:v>
                </c:pt>
                <c:pt idx="5">
                  <c:v>162373.82500000065</c:v>
                </c:pt>
                <c:pt idx="6">
                  <c:v>1521440.7375</c:v>
                </c:pt>
                <c:pt idx="7">
                  <c:v>2880507.649999999</c:v>
                </c:pt>
                <c:pt idx="8">
                  <c:v>4919108.0187500007</c:v>
                </c:pt>
                <c:pt idx="9">
                  <c:v>7637241.84375</c:v>
                </c:pt>
                <c:pt idx="10">
                  <c:v>9675842.2125000004</c:v>
                </c:pt>
                <c:pt idx="11">
                  <c:v>11034909.125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1C-4E08-A010-113E2D689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619448"/>
        <c:axId val="359618272"/>
      </c:lineChart>
      <c:catAx>
        <c:axId val="359619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9618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9618272"/>
        <c:scaling>
          <c:orientation val="minMax"/>
        </c:scaling>
        <c:delete val="0"/>
        <c:axPos val="l"/>
        <c:majorGridlines>
          <c:spPr>
            <a:ln w="3175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9619448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  <a:ln w="12700"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Портфель!$A$286</c:f>
              <c:strCache>
                <c:ptCount val="1"/>
                <c:pt idx="0">
                  <c:v>Денежные потоки от операционной деятельности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 w="12700">
              <a:solidFill>
                <a:schemeClr val="bg1"/>
              </a:solidFill>
              <a:prstDash val="solid"/>
            </a:ln>
            <a:effectLst>
              <a:outerShdw blurRad="25400" dist="127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Портфель!$F$265:$Q$265</c:f>
              <c:strCache>
                <c:ptCount val="12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  <c:pt idx="6">
                  <c:v>10/ 2020</c:v>
                </c:pt>
                <c:pt idx="7">
                  <c:v>11/ 2020</c:v>
                </c:pt>
                <c:pt idx="8">
                  <c:v>12/ 2020</c:v>
                </c:pt>
                <c:pt idx="9">
                  <c:v>1/ 2021</c:v>
                </c:pt>
                <c:pt idx="10">
                  <c:v>2/ 2021</c:v>
                </c:pt>
                <c:pt idx="11">
                  <c:v>3/ 2021</c:v>
                </c:pt>
              </c:strCache>
            </c:strRef>
          </c:cat>
          <c:val>
            <c:numRef>
              <c:f>Портфель!$F$286:$Q$286</c:f>
              <c:numCache>
                <c:formatCode>#,##0</c:formatCode>
                <c:ptCount val="12"/>
                <c:pt idx="0">
                  <c:v>-2966160</c:v>
                </c:pt>
                <c:pt idx="1">
                  <c:v>-2555760</c:v>
                </c:pt>
                <c:pt idx="2">
                  <c:v>-2428008.50875</c:v>
                </c:pt>
                <c:pt idx="3">
                  <c:v>-1917002.5437500002</c:v>
                </c:pt>
                <c:pt idx="4">
                  <c:v>-1278245.0874999999</c:v>
                </c:pt>
                <c:pt idx="5">
                  <c:v>-730.17499999981374</c:v>
                </c:pt>
                <c:pt idx="6">
                  <c:v>1096547.5479740878</c:v>
                </c:pt>
                <c:pt idx="7">
                  <c:v>2416169.2904287498</c:v>
                </c:pt>
                <c:pt idx="8">
                  <c:v>4408306.0298950961</c:v>
                </c:pt>
                <c:pt idx="9">
                  <c:v>7025601.84375</c:v>
                </c:pt>
                <c:pt idx="10">
                  <c:v>8941874.2125000004</c:v>
                </c:pt>
                <c:pt idx="11">
                  <c:v>10219389.125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58-4AE3-997D-CF759291E58B}"/>
            </c:ext>
          </c:extLst>
        </c:ser>
        <c:ser>
          <c:idx val="1"/>
          <c:order val="1"/>
          <c:tx>
            <c:strRef>
              <c:f>Портфель!$A$306</c:f>
              <c:strCache>
                <c:ptCount val="1"/>
                <c:pt idx="0">
                  <c:v>Денежные потоки от инвестиционной деятельности</c:v>
                </c:pt>
              </c:strCache>
            </c:strRef>
          </c:tx>
          <c:spPr>
            <a:gradFill>
              <a:gsLst>
                <a:gs pos="0">
                  <a:srgbClr val="B8CCE4">
                    <a:shade val="30000"/>
                    <a:satMod val="115000"/>
                  </a:srgbClr>
                </a:gs>
                <a:gs pos="50000">
                  <a:srgbClr val="B8CCE4">
                    <a:shade val="67500"/>
                    <a:satMod val="115000"/>
                  </a:srgbClr>
                </a:gs>
                <a:gs pos="100000">
                  <a:srgbClr val="B8CCE4">
                    <a:shade val="100000"/>
                    <a:satMod val="115000"/>
                  </a:srgbClr>
                </a:gs>
              </a:gsLst>
              <a:lin ang="108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25400" dist="127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Портфель!$F$265:$Q$265</c:f>
              <c:strCache>
                <c:ptCount val="12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  <c:pt idx="6">
                  <c:v>10/ 2020</c:v>
                </c:pt>
                <c:pt idx="7">
                  <c:v>11/ 2020</c:v>
                </c:pt>
                <c:pt idx="8">
                  <c:v>12/ 2020</c:v>
                </c:pt>
                <c:pt idx="9">
                  <c:v>1/ 2021</c:v>
                </c:pt>
                <c:pt idx="10">
                  <c:v>2/ 2021</c:v>
                </c:pt>
                <c:pt idx="11">
                  <c:v>3/ 2021</c:v>
                </c:pt>
              </c:strCache>
            </c:strRef>
          </c:cat>
          <c:val>
            <c:numRef>
              <c:f>Портфель!$F$306:$Q$306</c:f>
              <c:numCache>
                <c:formatCode>#,##0</c:formatCode>
                <c:ptCount val="12"/>
                <c:pt idx="0">
                  <c:v>648376</c:v>
                </c:pt>
                <c:pt idx="1">
                  <c:v>-415440</c:v>
                </c:pt>
                <c:pt idx="2">
                  <c:v>24435.877125000115</c:v>
                </c:pt>
                <c:pt idx="3">
                  <c:v>97743.508499999763</c:v>
                </c:pt>
                <c:pt idx="4">
                  <c:v>122179.385625</c:v>
                </c:pt>
                <c:pt idx="5">
                  <c:v>244358.77125000022</c:v>
                </c:pt>
                <c:pt idx="6">
                  <c:v>244358.77124999976</c:v>
                </c:pt>
                <c:pt idx="7">
                  <c:v>244358.77125000011</c:v>
                </c:pt>
                <c:pt idx="8">
                  <c:v>366538.15687499987</c:v>
                </c:pt>
                <c:pt idx="9">
                  <c:v>488717.54250000021</c:v>
                </c:pt>
                <c:pt idx="10">
                  <c:v>366538.1568750001</c:v>
                </c:pt>
                <c:pt idx="11">
                  <c:v>244358.77124999976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58-4AE3-997D-CF759291E58B}"/>
            </c:ext>
          </c:extLst>
        </c:ser>
        <c:ser>
          <c:idx val="2"/>
          <c:order val="2"/>
          <c:tx>
            <c:strRef>
              <c:f>Портфель!$A$324</c:f>
              <c:strCache>
                <c:ptCount val="1"/>
                <c:pt idx="0">
                  <c:v>Денежные потоки от финансовой деятельности</c:v>
                </c:pt>
              </c:strCache>
            </c:strRef>
          </c:tx>
          <c:spPr>
            <a:gradFill>
              <a:gsLst>
                <a:gs pos="0">
                  <a:schemeClr val="accent6">
                    <a:lumMod val="75000"/>
                  </a:schemeClr>
                </a:gs>
                <a:gs pos="50000">
                  <a:srgbClr val="F79646">
                    <a:lumMod val="60000"/>
                    <a:lumOff val="40000"/>
                  </a:srgbClr>
                </a:gs>
                <a:gs pos="100000">
                  <a:srgbClr val="F79646">
                    <a:lumMod val="40000"/>
                    <a:lumOff val="60000"/>
                  </a:srgbClr>
                </a:gs>
              </a:gsLst>
              <a:lin ang="108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25400" dist="127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Портфель!$F$265:$Q$265</c:f>
              <c:strCache>
                <c:ptCount val="12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  <c:pt idx="6">
                  <c:v>10/ 2020</c:v>
                </c:pt>
                <c:pt idx="7">
                  <c:v>11/ 2020</c:v>
                </c:pt>
                <c:pt idx="8">
                  <c:v>12/ 2020</c:v>
                </c:pt>
                <c:pt idx="9">
                  <c:v>1/ 2021</c:v>
                </c:pt>
                <c:pt idx="10">
                  <c:v>2/ 2021</c:v>
                </c:pt>
                <c:pt idx="11">
                  <c:v>3/ 2021</c:v>
                </c:pt>
              </c:strCache>
            </c:strRef>
          </c:cat>
          <c:val>
            <c:numRef>
              <c:f>Портфель!$F$324:$Q$324</c:f>
              <c:numCache>
                <c:formatCode>#,##0</c:formatCode>
                <c:ptCount val="12"/>
                <c:pt idx="0">
                  <c:v>2359067.6844783714</c:v>
                </c:pt>
                <c:pt idx="1">
                  <c:v>2982103.1201237948</c:v>
                </c:pt>
                <c:pt idx="2">
                  <c:v>2393268.0173260393</c:v>
                </c:pt>
                <c:pt idx="3">
                  <c:v>1809034.9566888495</c:v>
                </c:pt>
                <c:pt idx="4">
                  <c:v>1144435.2062421832</c:v>
                </c:pt>
                <c:pt idx="5">
                  <c:v>-23659.363592692334</c:v>
                </c:pt>
                <c:pt idx="6">
                  <c:v>-1202620.5457013601</c:v>
                </c:pt>
                <c:pt idx="7">
                  <c:v>-2406104.568837841</c:v>
                </c:pt>
                <c:pt idx="8">
                  <c:v>-4335106.8980769133</c:v>
                </c:pt>
                <c:pt idx="9">
                  <c:v>-3558056.5059945099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F58-4AE3-997D-CF759291E5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40"/>
        <c:axId val="359617488"/>
        <c:axId val="359621016"/>
      </c:barChart>
      <c:catAx>
        <c:axId val="359617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59621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9621016"/>
        <c:scaling>
          <c:orientation val="minMax"/>
        </c:scaling>
        <c:delete val="0"/>
        <c:axPos val="l"/>
        <c:majorGridlines>
          <c:spPr>
            <a:ln w="3175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59617488"/>
        <c:crosses val="autoZero"/>
        <c:crossBetween val="between"/>
      </c:valAx>
      <c:spPr>
        <a:solidFill>
          <a:srgbClr val="D8D8D8">
            <a:alpha val="70000"/>
          </a:srgbClr>
        </a:solidFill>
        <a:ln w="12700">
          <a:solidFill>
            <a:srgbClr val="C0C0C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0">
          <a:noFill/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000000000000933" r="0.75000000000000933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strRef>
              <c:f>Портфель!$A$331</c:f>
              <c:strCache>
                <c:ptCount val="1"/>
                <c:pt idx="0">
                  <c:v>Денежные средства на конец периода</c:v>
                </c:pt>
              </c:strCache>
            </c:strRef>
          </c:tx>
          <c:spPr>
            <a:ln w="31750">
              <a:solidFill>
                <a:schemeClr val="accent3">
                  <a:lumMod val="5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marker>
          <c:cat>
            <c:strRef>
              <c:f>Портфель!$F$265:$Q$265</c:f>
              <c:strCache>
                <c:ptCount val="12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  <c:pt idx="6">
                  <c:v>10/ 2020</c:v>
                </c:pt>
                <c:pt idx="7">
                  <c:v>11/ 2020</c:v>
                </c:pt>
                <c:pt idx="8">
                  <c:v>12/ 2020</c:v>
                </c:pt>
                <c:pt idx="9">
                  <c:v>1/ 2021</c:v>
                </c:pt>
                <c:pt idx="10">
                  <c:v>2/ 2021</c:v>
                </c:pt>
                <c:pt idx="11">
                  <c:v>3/ 2021</c:v>
                </c:pt>
              </c:strCache>
            </c:strRef>
          </c:cat>
          <c:val>
            <c:numRef>
              <c:f>Портфель!$F$331:$Q$331</c:f>
              <c:numCache>
                <c:formatCode>#,##0</c:formatCode>
                <c:ptCount val="12"/>
                <c:pt idx="0">
                  <c:v>41283.684478371404</c:v>
                </c:pt>
                <c:pt idx="1">
                  <c:v>52186.804602166172</c:v>
                </c:pt>
                <c:pt idx="2">
                  <c:v>41882.190303205512</c:v>
                </c:pt>
                <c:pt idx="3">
                  <c:v>31658.111742054811</c:v>
                </c:pt>
                <c:pt idx="4">
                  <c:v>20027.616109238239</c:v>
                </c:pt>
                <c:pt idx="5">
                  <c:v>239996.84876654632</c:v>
                </c:pt>
                <c:pt idx="6">
                  <c:v>378282.62228927377</c:v>
                </c:pt>
                <c:pt idx="7">
                  <c:v>632706.11513018364</c:v>
                </c:pt>
                <c:pt idx="8">
                  <c:v>1072443.4038233669</c:v>
                </c:pt>
                <c:pt idx="9">
                  <c:v>5028706.2840788569</c:v>
                </c:pt>
                <c:pt idx="10">
                  <c:v>14337118.653453857</c:v>
                </c:pt>
                <c:pt idx="11">
                  <c:v>24800866.549703859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B8-4E97-B457-B7413C0D3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623368"/>
        <c:axId val="359623760"/>
      </c:lineChart>
      <c:catAx>
        <c:axId val="359623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59623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9623760"/>
        <c:scaling>
          <c:orientation val="minMax"/>
        </c:scaling>
        <c:delete val="0"/>
        <c:axPos val="l"/>
        <c:majorGridlines>
          <c:spPr>
            <a:ln w="3175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59623368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  <a:ln w="12700"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000000000000933" r="0.75000000000000933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Портфель!$A$315</c:f>
              <c:strCache>
                <c:ptCount val="1"/>
                <c:pt idx="0">
                  <c:v>Поступления кредитов</c:v>
                </c:pt>
              </c:strCache>
            </c:strRef>
          </c:tx>
          <c:spPr>
            <a:gradFill flip="none" rotWithShape="1">
              <a:gsLst>
                <a:gs pos="0">
                  <a:srgbClr val="D7E3BC">
                    <a:lumMod val="25000"/>
                    <a:alpha val="80000"/>
                  </a:srgbClr>
                </a:gs>
                <a:gs pos="50000">
                  <a:srgbClr val="D7E3BC">
                    <a:lumMod val="50000"/>
                    <a:alpha val="80000"/>
                  </a:srgbClr>
                </a:gs>
                <a:gs pos="100000">
                  <a:srgbClr val="D7E3BC">
                    <a:lumMod val="75000"/>
                    <a:alpha val="80000"/>
                  </a:srgbClr>
                </a:gs>
              </a:gsLst>
              <a:lin ang="16200000" scaled="1"/>
              <a:tileRect/>
            </a:gradFill>
            <a:ln>
              <a:solidFill>
                <a:schemeClr val="bg1"/>
              </a:solidFill>
            </a:ln>
            <a:effectLst>
              <a:outerShdw blurRad="25400" dist="127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Портфель!$F$265:$Q$265</c:f>
              <c:strCache>
                <c:ptCount val="12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  <c:pt idx="6">
                  <c:v>10/ 2020</c:v>
                </c:pt>
                <c:pt idx="7">
                  <c:v>11/ 2020</c:v>
                </c:pt>
                <c:pt idx="8">
                  <c:v>12/ 2020</c:v>
                </c:pt>
                <c:pt idx="9">
                  <c:v>1/ 2021</c:v>
                </c:pt>
                <c:pt idx="10">
                  <c:v>2/ 2021</c:v>
                </c:pt>
                <c:pt idx="11">
                  <c:v>3/ 2021</c:v>
                </c:pt>
              </c:strCache>
            </c:strRef>
          </c:cat>
          <c:val>
            <c:numRef>
              <c:f>Портфель!$F$315:$Q$315</c:f>
              <c:numCache>
                <c:formatCode>#,##0</c:formatCode>
                <c:ptCount val="12"/>
                <c:pt idx="0">
                  <c:v>2359067.6844783714</c:v>
                </c:pt>
                <c:pt idx="1">
                  <c:v>2982103.1201237948</c:v>
                </c:pt>
                <c:pt idx="2">
                  <c:v>2393268.0173260393</c:v>
                </c:pt>
                <c:pt idx="3">
                  <c:v>1809034.9566888495</c:v>
                </c:pt>
                <c:pt idx="4">
                  <c:v>1144435.2062421832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89-43F5-9946-9038F9E3A68C}"/>
            </c:ext>
          </c:extLst>
        </c:ser>
        <c:ser>
          <c:idx val="2"/>
          <c:order val="1"/>
          <c:tx>
            <c:strRef>
              <c:f>Портфель!$A$279</c:f>
              <c:strCache>
                <c:ptCount val="1"/>
                <c:pt idx="0">
                  <c:v>Выплата процентов по кредитам</c:v>
                </c:pt>
              </c:strCache>
            </c:strRef>
          </c:tx>
          <c:spPr>
            <a:solidFill>
              <a:schemeClr val="accent1">
                <a:lumMod val="75000"/>
                <a:alpha val="80000"/>
              </a:schemeClr>
            </a:solidFill>
            <a:ln>
              <a:solidFill>
                <a:schemeClr val="bg1">
                  <a:alpha val="80000"/>
                </a:schemeClr>
              </a:solidFill>
            </a:ln>
            <a:effectLst>
              <a:outerShdw blurRad="25400" dist="127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Портфель!$F$265:$Q$265</c:f>
              <c:strCache>
                <c:ptCount val="12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  <c:pt idx="6">
                  <c:v>10/ 2020</c:v>
                </c:pt>
                <c:pt idx="7">
                  <c:v>11/ 2020</c:v>
                </c:pt>
                <c:pt idx="8">
                  <c:v>12/ 2020</c:v>
                </c:pt>
                <c:pt idx="9">
                  <c:v>1/ 2021</c:v>
                </c:pt>
                <c:pt idx="10">
                  <c:v>2/ 2021</c:v>
                </c:pt>
                <c:pt idx="11">
                  <c:v>3/ 2021</c:v>
                </c:pt>
              </c:strCache>
            </c:strRef>
          </c:cat>
          <c:val>
            <c:numRef>
              <c:f>Портфель!$F$279:$Q$279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-180237.18952591211</c:v>
                </c:pt>
                <c:pt idx="7">
                  <c:v>-138130.35957124989</c:v>
                </c:pt>
                <c:pt idx="8">
                  <c:v>-62265.988854903924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89-43F5-9946-9038F9E3A68C}"/>
            </c:ext>
          </c:extLst>
        </c:ser>
        <c:ser>
          <c:idx val="1"/>
          <c:order val="2"/>
          <c:tx>
            <c:strRef>
              <c:f>Портфель!$A$317</c:f>
              <c:strCache>
                <c:ptCount val="1"/>
                <c:pt idx="0">
                  <c:v>Возврат кредитов</c:v>
                </c:pt>
              </c:strCache>
            </c:strRef>
          </c:tx>
          <c:spPr>
            <a:solidFill>
              <a:srgbClr val="D75353">
                <a:alpha val="80000"/>
              </a:srgbClr>
            </a:solidFill>
            <a:ln>
              <a:solidFill>
                <a:schemeClr val="bg1"/>
              </a:solidFill>
            </a:ln>
            <a:effectLst>
              <a:outerShdw blurRad="25400" dist="127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Портфель!$F$265:$Q$265</c:f>
              <c:strCache>
                <c:ptCount val="12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  <c:pt idx="6">
                  <c:v>10/ 2020</c:v>
                </c:pt>
                <c:pt idx="7">
                  <c:v>11/ 2020</c:v>
                </c:pt>
                <c:pt idx="8">
                  <c:v>12/ 2020</c:v>
                </c:pt>
                <c:pt idx="9">
                  <c:v>1/ 2021</c:v>
                </c:pt>
                <c:pt idx="10">
                  <c:v>2/ 2021</c:v>
                </c:pt>
                <c:pt idx="11">
                  <c:v>3/ 2021</c:v>
                </c:pt>
              </c:strCache>
            </c:strRef>
          </c:cat>
          <c:val>
            <c:numRef>
              <c:f>Портфель!$F$317:$Q$317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-23659.363592692334</c:v>
                </c:pt>
                <c:pt idx="6">
                  <c:v>-1202620.5457013601</c:v>
                </c:pt>
                <c:pt idx="7">
                  <c:v>-2406104.568837841</c:v>
                </c:pt>
                <c:pt idx="8">
                  <c:v>-4335106.8980769133</c:v>
                </c:pt>
                <c:pt idx="9">
                  <c:v>-3558056.5059945099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89-43F5-9946-9038F9E3A6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59616312"/>
        <c:axId val="359622584"/>
      </c:barChart>
      <c:catAx>
        <c:axId val="359616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59622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9622584"/>
        <c:scaling>
          <c:orientation val="minMax"/>
        </c:scaling>
        <c:delete val="0"/>
        <c:axPos val="l"/>
        <c:majorGridlines>
          <c:spPr>
            <a:ln w="3175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59616312"/>
        <c:crosses val="autoZero"/>
        <c:crossBetween val="between"/>
      </c:valAx>
      <c:spPr>
        <a:solidFill>
          <a:srgbClr val="D8D8D8">
            <a:alpha val="70000"/>
          </a:srgbClr>
        </a:solidFill>
        <a:ln w="12700">
          <a:solidFill>
            <a:srgbClr val="C0C0C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0">
          <a:noFill/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Портфель!$A$267</c:f>
              <c:strCache>
                <c:ptCount val="1"/>
                <c:pt idx="0">
                  <c:v>Поступления от продаж</c:v>
                </c:pt>
              </c:strCache>
            </c:strRef>
          </c:tx>
          <c:invertIfNegative val="0"/>
          <c:cat>
            <c:strRef>
              <c:f>Портфель!$F$265:$Q$265</c:f>
              <c:strCache>
                <c:ptCount val="12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  <c:pt idx="6">
                  <c:v>10/ 2020</c:v>
                </c:pt>
                <c:pt idx="7">
                  <c:v>11/ 2020</c:v>
                </c:pt>
                <c:pt idx="8">
                  <c:v>12/ 2020</c:v>
                </c:pt>
                <c:pt idx="9">
                  <c:v>1/ 2021</c:v>
                </c:pt>
                <c:pt idx="10">
                  <c:v>2/ 2021</c:v>
                </c:pt>
                <c:pt idx="11">
                  <c:v>3/ 2021</c:v>
                </c:pt>
              </c:strCache>
            </c:strRef>
          </c:cat>
          <c:val>
            <c:numRef>
              <c:f>Портфель!$F$267:$Q$267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135920</c:v>
                </c:pt>
                <c:pt idx="3">
                  <c:v>679600</c:v>
                </c:pt>
                <c:pt idx="4">
                  <c:v>1359200</c:v>
                </c:pt>
                <c:pt idx="5">
                  <c:v>2718400</c:v>
                </c:pt>
                <c:pt idx="6">
                  <c:v>4077600</c:v>
                </c:pt>
                <c:pt idx="7">
                  <c:v>5436800</c:v>
                </c:pt>
                <c:pt idx="8">
                  <c:v>7475600</c:v>
                </c:pt>
                <c:pt idx="9">
                  <c:v>10194000</c:v>
                </c:pt>
                <c:pt idx="10">
                  <c:v>12232800</c:v>
                </c:pt>
                <c:pt idx="11">
                  <c:v>13592000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B-4835-A37B-5BE336907EBD}"/>
            </c:ext>
          </c:extLst>
        </c:ser>
        <c:ser>
          <c:idx val="1"/>
          <c:order val="1"/>
          <c:tx>
            <c:strRef>
              <c:f>Портфель!$A$313</c:f>
              <c:strCache>
                <c:ptCount val="1"/>
                <c:pt idx="0">
                  <c:v>Средства от инвесторов строительства</c:v>
                </c:pt>
              </c:strCache>
            </c:strRef>
          </c:tx>
          <c:invertIfNegative val="0"/>
          <c:cat>
            <c:strRef>
              <c:f>Портфель!$F$265:$Q$265</c:f>
              <c:strCache>
                <c:ptCount val="12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  <c:pt idx="6">
                  <c:v>10/ 2020</c:v>
                </c:pt>
                <c:pt idx="7">
                  <c:v>11/ 2020</c:v>
                </c:pt>
                <c:pt idx="8">
                  <c:v>12/ 2020</c:v>
                </c:pt>
                <c:pt idx="9">
                  <c:v>1/ 2021</c:v>
                </c:pt>
                <c:pt idx="10">
                  <c:v>2/ 2021</c:v>
                </c:pt>
                <c:pt idx="11">
                  <c:v>3/ 2021</c:v>
                </c:pt>
              </c:strCache>
            </c:strRef>
          </c:cat>
          <c:val>
            <c:numRef>
              <c:f>Портфель!$F$313:$Q$313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EB-4835-A37B-5BE33690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359620232"/>
        <c:axId val="359617096"/>
      </c:barChart>
      <c:catAx>
        <c:axId val="359620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96170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9617096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9620232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</c:spPr>
    </c:plotArea>
    <c:legend>
      <c:legendPos val="r"/>
      <c:overlay val="0"/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ru-RU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Портфель!$A$472</c:f>
              <c:strCache>
                <c:ptCount val="1"/>
                <c:pt idx="0">
                  <c:v>Суммарные внеоборотные активы</c:v>
                </c:pt>
              </c:strCache>
            </c:strRef>
          </c:tx>
          <c:invertIfNegative val="0"/>
          <c:cat>
            <c:strRef>
              <c:f>Портфель!$F$435:$Q$435</c:f>
              <c:strCache>
                <c:ptCount val="12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  <c:pt idx="6">
                  <c:v>10/ 2020</c:v>
                </c:pt>
                <c:pt idx="7">
                  <c:v>11/ 2020</c:v>
                </c:pt>
                <c:pt idx="8">
                  <c:v>12/ 2020</c:v>
                </c:pt>
                <c:pt idx="9">
                  <c:v>1/ 2021</c:v>
                </c:pt>
                <c:pt idx="10">
                  <c:v>2/ 2021</c:v>
                </c:pt>
                <c:pt idx="11">
                  <c:v>3/ 2021</c:v>
                </c:pt>
              </c:strCache>
            </c:strRef>
          </c:cat>
          <c:val>
            <c:numRef>
              <c:f>Портфель!$F$472:$Q$472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A9-4F1E-9FC6-C116756666BB}"/>
            </c:ext>
          </c:extLst>
        </c:ser>
        <c:ser>
          <c:idx val="1"/>
          <c:order val="1"/>
          <c:tx>
            <c:strRef>
              <c:f>Портфель!$A$455</c:f>
              <c:strCache>
                <c:ptCount val="1"/>
                <c:pt idx="0">
                  <c:v>Суммарные оборотные активы</c:v>
                </c:pt>
              </c:strCache>
            </c:strRef>
          </c:tx>
          <c:invertIfNegative val="0"/>
          <c:cat>
            <c:strRef>
              <c:f>Портфель!$F$435:$Q$435</c:f>
              <c:strCache>
                <c:ptCount val="12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  <c:pt idx="6">
                  <c:v>10/ 2020</c:v>
                </c:pt>
                <c:pt idx="7">
                  <c:v>11/ 2020</c:v>
                </c:pt>
                <c:pt idx="8">
                  <c:v>12/ 2020</c:v>
                </c:pt>
                <c:pt idx="9">
                  <c:v>1/ 2021</c:v>
                </c:pt>
                <c:pt idx="10">
                  <c:v>2/ 2021</c:v>
                </c:pt>
                <c:pt idx="11">
                  <c:v>3/ 2021</c:v>
                </c:pt>
              </c:strCache>
            </c:strRef>
          </c:cat>
          <c:val>
            <c:numRef>
              <c:f>Портфель!$F$455:$Q$455</c:f>
              <c:numCache>
                <c:formatCode>#,##0</c:formatCode>
                <c:ptCount val="12"/>
                <c:pt idx="0">
                  <c:v>733387.6844783714</c:v>
                </c:pt>
                <c:pt idx="1">
                  <c:v>648530.80460216617</c:v>
                </c:pt>
                <c:pt idx="2">
                  <c:v>638255.91317820549</c:v>
                </c:pt>
                <c:pt idx="3">
                  <c:v>628150.72611705493</c:v>
                </c:pt>
                <c:pt idx="4">
                  <c:v>616668.84485923836</c:v>
                </c:pt>
                <c:pt idx="5">
                  <c:v>836935.30626654625</c:v>
                </c:pt>
                <c:pt idx="6">
                  <c:v>975518.30853927392</c:v>
                </c:pt>
                <c:pt idx="7">
                  <c:v>1230239.0301301836</c:v>
                </c:pt>
                <c:pt idx="8">
                  <c:v>1670422.1619483668</c:v>
                </c:pt>
                <c:pt idx="9">
                  <c:v>5627279.4997038571</c:v>
                </c:pt>
                <c:pt idx="10">
                  <c:v>14936137.712203857</c:v>
                </c:pt>
                <c:pt idx="11">
                  <c:v>25400182.83720386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A9-4F1E-9FC6-C11675666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359619056"/>
        <c:axId val="359616704"/>
      </c:barChart>
      <c:catAx>
        <c:axId val="359619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9616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9616704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9619056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</c:spPr>
    </c:plotArea>
    <c:legend>
      <c:legendPos val="r"/>
      <c:overlay val="0"/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ru-RU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 alignWithMargins="0"/>
    <c:pageMargins b="1" l="0.75000000000000977" r="0.75000000000000977" t="1" header="0.5" footer="0.5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6"/>
    </mc:Choice>
    <mc:Fallback>
      <c:style val="16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Портфель!$A$506</c:f>
              <c:strCache>
                <c:ptCount val="1"/>
                <c:pt idx="0">
                  <c:v>Суммарный собственный капитал</c:v>
                </c:pt>
              </c:strCache>
            </c:strRef>
          </c:tx>
          <c:invertIfNegative val="0"/>
          <c:cat>
            <c:strRef>
              <c:f>Портфель!$F$435:$Q$435</c:f>
              <c:strCache>
                <c:ptCount val="12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  <c:pt idx="6">
                  <c:v>10/ 2020</c:v>
                </c:pt>
                <c:pt idx="7">
                  <c:v>11/ 2020</c:v>
                </c:pt>
                <c:pt idx="8">
                  <c:v>12/ 2020</c:v>
                </c:pt>
                <c:pt idx="9">
                  <c:v>1/ 2021</c:v>
                </c:pt>
                <c:pt idx="10">
                  <c:v>2/ 2021</c:v>
                </c:pt>
                <c:pt idx="11">
                  <c:v>3/ 2021</c:v>
                </c:pt>
              </c:strCache>
            </c:strRef>
          </c:cat>
          <c:val>
            <c:numRef>
              <c:f>Портфель!$F$506:$Q$506</c:f>
              <c:numCache>
                <c:formatCode>#,##0</c:formatCode>
                <c:ptCount val="12"/>
                <c:pt idx="0">
                  <c:v>-3007443.6844783714</c:v>
                </c:pt>
                <c:pt idx="1">
                  <c:v>-5657396.6380372802</c:v>
                </c:pt>
                <c:pt idx="2">
                  <c:v>-8223128.6673366763</c:v>
                </c:pt>
                <c:pt idx="3">
                  <c:v>-10311923.004987741</c:v>
                </c:pt>
                <c:pt idx="4">
                  <c:v>-11784993.858891314</c:v>
                </c:pt>
                <c:pt idx="5">
                  <c:v>-11983545.212344076</c:v>
                </c:pt>
                <c:pt idx="6">
                  <c:v>-10886997.664369989</c:v>
                </c:pt>
                <c:pt idx="7">
                  <c:v>-8470828.373941239</c:v>
                </c:pt>
                <c:pt idx="8">
                  <c:v>-4062522.344046142</c:v>
                </c:pt>
                <c:pt idx="9">
                  <c:v>2963079.499703858</c:v>
                </c:pt>
                <c:pt idx="10">
                  <c:v>11904953.712203858</c:v>
                </c:pt>
                <c:pt idx="11">
                  <c:v>22124342.83720386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8C-42C3-8D2C-06F821B211E9}"/>
            </c:ext>
          </c:extLst>
        </c:ser>
        <c:ser>
          <c:idx val="1"/>
          <c:order val="1"/>
          <c:tx>
            <c:strRef>
              <c:f>Портфель!$A$497</c:f>
              <c:strCache>
                <c:ptCount val="1"/>
                <c:pt idx="0">
                  <c:v>Долгосрочные обязательства</c:v>
                </c:pt>
              </c:strCache>
            </c:strRef>
          </c:tx>
          <c:invertIfNegative val="0"/>
          <c:cat>
            <c:strRef>
              <c:f>Портфель!$F$435:$Q$435</c:f>
              <c:strCache>
                <c:ptCount val="12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  <c:pt idx="6">
                  <c:v>10/ 2020</c:v>
                </c:pt>
                <c:pt idx="7">
                  <c:v>11/ 2020</c:v>
                </c:pt>
                <c:pt idx="8">
                  <c:v>12/ 2020</c:v>
                </c:pt>
                <c:pt idx="9">
                  <c:v>1/ 2021</c:v>
                </c:pt>
                <c:pt idx="10">
                  <c:v>2/ 2021</c:v>
                </c:pt>
                <c:pt idx="11">
                  <c:v>3/ 2021</c:v>
                </c:pt>
              </c:strCache>
            </c:strRef>
          </c:cat>
          <c:val>
            <c:numRef>
              <c:f>Портфель!$F$497:$Q$497</c:f>
              <c:numCache>
                <c:formatCode>#,##0</c:formatCode>
                <c:ptCount val="12"/>
                <c:pt idx="0">
                  <c:v>2400351.3689567428</c:v>
                </c:pt>
                <c:pt idx="1">
                  <c:v>5476647.4426394468</c:v>
                </c:pt>
                <c:pt idx="2">
                  <c:v>8007638.9805148821</c:v>
                </c:pt>
                <c:pt idx="3">
                  <c:v>9988465.7311047968</c:v>
                </c:pt>
                <c:pt idx="4">
                  <c:v>11327726.703750553</c:v>
                </c:pt>
                <c:pt idx="5">
                  <c:v>11501888.518610623</c:v>
                </c:pt>
                <c:pt idx="6">
                  <c:v>10299267.972909262</c:v>
                </c:pt>
                <c:pt idx="7">
                  <c:v>7893163.4040714214</c:v>
                </c:pt>
                <c:pt idx="8">
                  <c:v>3558056.505994508</c:v>
                </c:pt>
                <c:pt idx="9">
                  <c:v>-1.862645149230957E-9</c:v>
                </c:pt>
                <c:pt idx="10">
                  <c:v>-1.862645149230957E-9</c:v>
                </c:pt>
                <c:pt idx="11">
                  <c:v>-1.862645149230957E-9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8C-42C3-8D2C-06F821B211E9}"/>
            </c:ext>
          </c:extLst>
        </c:ser>
        <c:ser>
          <c:idx val="2"/>
          <c:order val="2"/>
          <c:tx>
            <c:strRef>
              <c:f>Портфель!$A$494</c:f>
              <c:strCache>
                <c:ptCount val="1"/>
                <c:pt idx="0">
                  <c:v>Суммарные краткосрочные обязательства</c:v>
                </c:pt>
              </c:strCache>
            </c:strRef>
          </c:tx>
          <c:invertIfNegative val="0"/>
          <c:cat>
            <c:strRef>
              <c:f>Портфель!$F$435:$Q$435</c:f>
              <c:strCache>
                <c:ptCount val="12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  <c:pt idx="6">
                  <c:v>10/ 2020</c:v>
                </c:pt>
                <c:pt idx="7">
                  <c:v>11/ 2020</c:v>
                </c:pt>
                <c:pt idx="8">
                  <c:v>12/ 2020</c:v>
                </c:pt>
                <c:pt idx="9">
                  <c:v>1/ 2021</c:v>
                </c:pt>
                <c:pt idx="10">
                  <c:v>2/ 2021</c:v>
                </c:pt>
                <c:pt idx="11">
                  <c:v>3/ 2021</c:v>
                </c:pt>
              </c:strCache>
            </c:strRef>
          </c:cat>
          <c:val>
            <c:numRef>
              <c:f>Портфель!$F$494:$Q$494</c:f>
              <c:numCache>
                <c:formatCode>#,##0</c:formatCode>
                <c:ptCount val="12"/>
                <c:pt idx="0">
                  <c:v>1340480</c:v>
                </c:pt>
                <c:pt idx="1">
                  <c:v>829280</c:v>
                </c:pt>
                <c:pt idx="2">
                  <c:v>853745.60000000009</c:v>
                </c:pt>
                <c:pt idx="3">
                  <c:v>951608</c:v>
                </c:pt>
                <c:pt idx="4">
                  <c:v>1073936</c:v>
                </c:pt>
                <c:pt idx="5">
                  <c:v>1318592</c:v>
                </c:pt>
                <c:pt idx="6">
                  <c:v>1563248</c:v>
                </c:pt>
                <c:pt idx="7">
                  <c:v>1807904</c:v>
                </c:pt>
                <c:pt idx="8">
                  <c:v>2174888</c:v>
                </c:pt>
                <c:pt idx="9">
                  <c:v>2664200</c:v>
                </c:pt>
                <c:pt idx="10">
                  <c:v>3031184</c:v>
                </c:pt>
                <c:pt idx="11">
                  <c:v>3275840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8C-42C3-8D2C-06F821B21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359593144"/>
        <c:axId val="359594320"/>
      </c:barChart>
      <c:catAx>
        <c:axId val="359593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9594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95943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9593144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</c:spPr>
    </c:plotArea>
    <c:legend>
      <c:legendPos val="r"/>
      <c:overlay val="0"/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ru-RU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Портфель!$A$566</c:f>
              <c:strCache>
                <c:ptCount val="1"/>
                <c:pt idx="0">
                  <c:v>Рентабельность активов</c:v>
                </c:pt>
              </c:strCache>
            </c:strRef>
          </c:tx>
          <c:invertIfNegative val="0"/>
          <c:cat>
            <c:strRef>
              <c:f>Портфель!$F$564:$Q$564</c:f>
              <c:strCache>
                <c:ptCount val="12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  <c:pt idx="6">
                  <c:v>10/ 2020</c:v>
                </c:pt>
                <c:pt idx="7">
                  <c:v>11/ 2020</c:v>
                </c:pt>
                <c:pt idx="8">
                  <c:v>12/ 2020</c:v>
                </c:pt>
                <c:pt idx="9">
                  <c:v>1/ 2021</c:v>
                </c:pt>
                <c:pt idx="10">
                  <c:v>2/ 2021</c:v>
                </c:pt>
                <c:pt idx="11">
                  <c:v>3/ 2021</c:v>
                </c:pt>
              </c:strCache>
            </c:strRef>
          </c:cat>
          <c:val>
            <c:numRef>
              <c:f>Портфель!$F$566:$Q$566</c:f>
              <c:numCache>
                <c:formatCode>0.0%</c:formatCode>
                <c:ptCount val="12"/>
                <c:pt idx="0">
                  <c:v>-52.23075673262403</c:v>
                </c:pt>
                <c:pt idx="1">
                  <c:v>-49.424562755137828</c:v>
                </c:pt>
                <c:pt idx="2">
                  <c:v>-48.623851764905986</c:v>
                </c:pt>
                <c:pt idx="3">
                  <c:v>-40.271751242076405</c:v>
                </c:pt>
                <c:pt idx="4">
                  <c:v>-24.321408594152043</c:v>
                </c:pt>
                <c:pt idx="5">
                  <c:v>-2.6291610686968214</c:v>
                </c:pt>
                <c:pt idx="6">
                  <c:v>11.931113495581961</c:v>
                </c:pt>
                <c:pt idx="7">
                  <c:v>19.991325815179746</c:v>
                </c:pt>
                <c:pt idx="8">
                  <c:v>14.497625365179564</c:v>
                </c:pt>
                <c:pt idx="9">
                  <c:v>8.1997287956770126</c:v>
                </c:pt>
                <c:pt idx="10">
                  <c:v>5.3203906101730736</c:v>
                </c:pt>
                <c:pt idx="11">
                  <c:v>4.8280231006990588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00-4C25-BEFB-B0BDB29A8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9591184"/>
        <c:axId val="359595888"/>
      </c:barChart>
      <c:catAx>
        <c:axId val="359591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95958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9595888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0.0%" sourceLinked="1"/>
        <c:majorTickMark val="out"/>
        <c:minorTickMark val="none"/>
        <c:tickLblPos val="nextTo"/>
        <c:spPr>
          <a:ln>
            <a:solidFill>
              <a:schemeClr val="tx1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9591184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6"/>
    </mc:Choice>
    <mc:Fallback>
      <c:style val="16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Портфель!$A$570</c:f>
              <c:strCache>
                <c:ptCount val="1"/>
                <c:pt idx="0">
                  <c:v>Прибыльность продаж</c:v>
                </c:pt>
              </c:strCache>
            </c:strRef>
          </c:tx>
          <c:invertIfNegative val="0"/>
          <c:cat>
            <c:strRef>
              <c:f>Портфель!$F$564:$Q$564</c:f>
              <c:strCache>
                <c:ptCount val="12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  <c:pt idx="6">
                  <c:v>10/ 2020</c:v>
                </c:pt>
                <c:pt idx="7">
                  <c:v>11/ 2020</c:v>
                </c:pt>
                <c:pt idx="8">
                  <c:v>12/ 2020</c:v>
                </c:pt>
                <c:pt idx="9">
                  <c:v>1/ 2021</c:v>
                </c:pt>
                <c:pt idx="10">
                  <c:v>2/ 2021</c:v>
                </c:pt>
                <c:pt idx="11">
                  <c:v>3/ 2021</c:v>
                </c:pt>
              </c:strCache>
            </c:strRef>
          </c:cat>
          <c:val>
            <c:numRef>
              <c:f>Портфель!$F$570:$Q$570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-18.876780674657123</c:v>
                </c:pt>
                <c:pt idx="3">
                  <c:v>-3.0735643579327023</c:v>
                </c:pt>
                <c:pt idx="4">
                  <c:v>-1.0837778501350592</c:v>
                </c:pt>
                <c:pt idx="5">
                  <c:v>-7.3039785702163754E-2</c:v>
                </c:pt>
                <c:pt idx="6">
                  <c:v>0.2689198420576045</c:v>
                </c:pt>
                <c:pt idx="7">
                  <c:v>0.44441018437844859</c:v>
                </c:pt>
                <c:pt idx="8">
                  <c:v>0.58969260392411271</c:v>
                </c:pt>
                <c:pt idx="9">
                  <c:v>0.68918990030900529</c:v>
                </c:pt>
                <c:pt idx="10">
                  <c:v>0.73097526424857762</c:v>
                </c:pt>
                <c:pt idx="11">
                  <c:v>0.75186794621836373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5A-41DC-9C35-CAC9DFDDBB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9595104"/>
        <c:axId val="359593928"/>
      </c:barChart>
      <c:catAx>
        <c:axId val="359595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9593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95939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0.0%" sourceLinked="1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9595104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 alignWithMargins="0"/>
    <c:pageMargins b="1" l="0.75000000000000977" r="0.75000000000000977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5"/>
    </mc:Choice>
    <mc:Fallback>
      <c:style val="15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Портфель!$A$576</c:f>
              <c:strCache>
                <c:ptCount val="1"/>
                <c:pt idx="0">
                  <c:v>Рентабельность по EBITDA</c:v>
                </c:pt>
              </c:strCache>
            </c:strRef>
          </c:tx>
          <c:spPr>
            <a:solidFill>
              <a:srgbClr val="B8CCE4">
                <a:lumMod val="75000"/>
              </a:srgbClr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Портфель!$F$564:$Q$564</c:f>
              <c:strCache>
                <c:ptCount val="12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  <c:pt idx="6">
                  <c:v>10/ 2020</c:v>
                </c:pt>
                <c:pt idx="7">
                  <c:v>11/ 2020</c:v>
                </c:pt>
                <c:pt idx="8">
                  <c:v>12/ 2020</c:v>
                </c:pt>
                <c:pt idx="9">
                  <c:v>1/ 2021</c:v>
                </c:pt>
                <c:pt idx="10">
                  <c:v>2/ 2021</c:v>
                </c:pt>
                <c:pt idx="11">
                  <c:v>3/ 2021</c:v>
                </c:pt>
              </c:strCache>
            </c:strRef>
          </c:cat>
          <c:val>
            <c:numRef>
              <c:f>Портфель!$F$576:$Q$576</c:f>
              <c:numCache>
                <c:formatCode>0%</c:formatCode>
                <c:ptCount val="12"/>
                <c:pt idx="0">
                  <c:v>-1</c:v>
                </c:pt>
                <c:pt idx="1">
                  <c:v>-0.99999999999999978</c:v>
                </c:pt>
                <c:pt idx="2">
                  <c:v>-0.94681844452531783</c:v>
                </c:pt>
                <c:pt idx="3">
                  <c:v>-0.73409776118731918</c:v>
                </c:pt>
                <c:pt idx="4">
                  <c:v>-0.46820936812757058</c:v>
                </c:pt>
                <c:pt idx="5">
                  <c:v>6.3525885058669504E-2</c:v>
                </c:pt>
                <c:pt idx="6">
                  <c:v>0.59520576820866222</c:v>
                </c:pt>
                <c:pt idx="7">
                  <c:v>1.12683028997055</c:v>
                </c:pt>
                <c:pt idx="8">
                  <c:v>1.9241632889240654</c:v>
                </c:pt>
                <c:pt idx="9">
                  <c:v>2.9870802700211394</c:v>
                </c:pt>
                <c:pt idx="10">
                  <c:v>3.7841227805173534</c:v>
                </c:pt>
                <c:pt idx="11">
                  <c:v>4.3154153154607773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62-45AF-BA3E-75360F8C25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9596280"/>
        <c:axId val="359592752"/>
      </c:barChart>
      <c:catAx>
        <c:axId val="359596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9592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95927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0%" sourceLinked="1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9596280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 alignWithMargins="0"/>
    <c:pageMargins b="1" l="0.75000000000000977" r="0.75000000000000977" t="1" header="0.5" footer="0.5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autoTitleDeleted val="1"/>
    <c:plotArea>
      <c:layout/>
      <c:areaChart>
        <c:grouping val="standard"/>
        <c:varyColors val="0"/>
        <c:ser>
          <c:idx val="0"/>
          <c:order val="0"/>
          <c:tx>
            <c:strRef>
              <c:f>Проект!$A$1232</c:f>
              <c:strCache>
                <c:ptCount val="1"/>
                <c:pt idx="0">
                  <c:v> = Итого: Задолженность по кредитам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solidFill>
                <a:schemeClr val="accent1">
                  <a:lumMod val="25000"/>
                </a:schemeClr>
              </a:solidFill>
            </a:ln>
            <a:effectLst/>
          </c:spPr>
          <c:cat>
            <c:strRef>
              <c:f>Проект!$F$1201:$Q$1201</c:f>
              <c:strCache>
                <c:ptCount val="12"/>
                <c:pt idx="0">
                  <c:v>4/ 2024</c:v>
                </c:pt>
                <c:pt idx="1">
                  <c:v>5/ 2024</c:v>
                </c:pt>
                <c:pt idx="2">
                  <c:v>6/ 2024</c:v>
                </c:pt>
                <c:pt idx="3">
                  <c:v>7/ 2024</c:v>
                </c:pt>
                <c:pt idx="4">
                  <c:v>8/ 2024</c:v>
                </c:pt>
                <c:pt idx="5">
                  <c:v>9/ 2024</c:v>
                </c:pt>
                <c:pt idx="6">
                  <c:v>10/ 2024</c:v>
                </c:pt>
                <c:pt idx="7">
                  <c:v>11/ 2024</c:v>
                </c:pt>
                <c:pt idx="8">
                  <c:v>12/ 2024</c:v>
                </c:pt>
                <c:pt idx="9">
                  <c:v>1/ 2025</c:v>
                </c:pt>
                <c:pt idx="10">
                  <c:v>2/ 2025</c:v>
                </c:pt>
                <c:pt idx="11">
                  <c:v>3/ 2025</c:v>
                </c:pt>
              </c:strCache>
            </c:strRef>
          </c:cat>
          <c:val>
            <c:numRef>
              <c:f>Проект!$F$1232:$Q$1232</c:f>
              <c:numCache>
                <c:formatCode>#,##0</c:formatCode>
                <c:ptCount val="12"/>
                <c:pt idx="0">
                  <c:v>2400351.3689567428</c:v>
                </c:pt>
                <c:pt idx="1">
                  <c:v>5476647.4426394468</c:v>
                </c:pt>
                <c:pt idx="2">
                  <c:v>8007638.9805148821</c:v>
                </c:pt>
                <c:pt idx="3">
                  <c:v>9988465.7311047968</c:v>
                </c:pt>
                <c:pt idx="4">
                  <c:v>11327726.703750553</c:v>
                </c:pt>
                <c:pt idx="5">
                  <c:v>11501888.518610623</c:v>
                </c:pt>
                <c:pt idx="6">
                  <c:v>10299267.972909262</c:v>
                </c:pt>
                <c:pt idx="7">
                  <c:v>7893163.4040714214</c:v>
                </c:pt>
                <c:pt idx="8">
                  <c:v>3558056.505994508</c:v>
                </c:pt>
                <c:pt idx="9">
                  <c:v>-1.862645149230957E-9</c:v>
                </c:pt>
                <c:pt idx="10">
                  <c:v>-1.862645149230957E-9</c:v>
                </c:pt>
                <c:pt idx="11">
                  <c:v>-1.862645149230957E-9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D5-4E36-8F03-8725CC8106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597848"/>
        <c:axId val="359598240"/>
      </c:areaChart>
      <c:catAx>
        <c:axId val="359597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95982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9598240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9597848"/>
        <c:crosses val="autoZero"/>
        <c:crossBetween val="midCat"/>
      </c:valAx>
      <c:spPr>
        <a:solidFill>
          <a:sysClr val="window" lastClr="FFFFFF">
            <a:lumMod val="85000"/>
            <a:alpha val="70000"/>
          </a:sysClr>
        </a:solidFill>
      </c:spPr>
    </c:plotArea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Проект!$A$1301</c:f>
              <c:strCache>
                <c:ptCount val="1"/>
                <c:pt idx="0">
                  <c:v>Выручка (нетто)</c:v>
                </c:pt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</a:ln>
          </c:spPr>
          <c:marker>
            <c:spPr>
              <a:ln>
                <a:solidFill>
                  <a:schemeClr val="accent1">
                    <a:lumMod val="50000"/>
                  </a:schemeClr>
                </a:solidFill>
              </a:ln>
            </c:spPr>
          </c:marker>
          <c:cat>
            <c:strRef>
              <c:f>Проект!$F$1299:$Q$1299</c:f>
              <c:strCache>
                <c:ptCount val="12"/>
                <c:pt idx="0">
                  <c:v>4/ 2024</c:v>
                </c:pt>
                <c:pt idx="1">
                  <c:v>5/ 2024</c:v>
                </c:pt>
                <c:pt idx="2">
                  <c:v>6/ 2024</c:v>
                </c:pt>
                <c:pt idx="3">
                  <c:v>7/ 2024</c:v>
                </c:pt>
                <c:pt idx="4">
                  <c:v>8/ 2024</c:v>
                </c:pt>
                <c:pt idx="5">
                  <c:v>9/ 2024</c:v>
                </c:pt>
                <c:pt idx="6">
                  <c:v>10/ 2024</c:v>
                </c:pt>
                <c:pt idx="7">
                  <c:v>11/ 2024</c:v>
                </c:pt>
                <c:pt idx="8">
                  <c:v>12/ 2024</c:v>
                </c:pt>
                <c:pt idx="9">
                  <c:v>1/ 2025</c:v>
                </c:pt>
                <c:pt idx="10">
                  <c:v>2/ 2025</c:v>
                </c:pt>
                <c:pt idx="11">
                  <c:v>3/ 2025</c:v>
                </c:pt>
              </c:strCache>
            </c:strRef>
          </c:cat>
          <c:val>
            <c:numRef>
              <c:f>Проект!$F$1301:$Q$1301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135920</c:v>
                </c:pt>
                <c:pt idx="3">
                  <c:v>679600</c:v>
                </c:pt>
                <c:pt idx="4">
                  <c:v>1359200</c:v>
                </c:pt>
                <c:pt idx="5">
                  <c:v>2718400</c:v>
                </c:pt>
                <c:pt idx="6">
                  <c:v>4077600</c:v>
                </c:pt>
                <c:pt idx="7">
                  <c:v>5436800</c:v>
                </c:pt>
                <c:pt idx="8">
                  <c:v>7475600</c:v>
                </c:pt>
                <c:pt idx="9">
                  <c:v>10194000</c:v>
                </c:pt>
                <c:pt idx="10">
                  <c:v>12232800</c:v>
                </c:pt>
                <c:pt idx="11">
                  <c:v>13592000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91-48AA-A433-9CB02A51A0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591576"/>
        <c:axId val="359591968"/>
      </c:lineChart>
      <c:catAx>
        <c:axId val="359591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95919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9591968"/>
        <c:scaling>
          <c:orientation val="minMax"/>
        </c:scaling>
        <c:delete val="0"/>
        <c:axPos val="l"/>
        <c:majorGridlines>
          <c:spPr>
            <a:ln w="3175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9591576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  <a:ln w="12700"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00000000000091" r="0.7500000000000091" t="1" header="0.5" footer="0.5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2"/>
          <c:order val="0"/>
          <c:tx>
            <c:strRef>
              <c:f>Проект!$A$1324</c:f>
              <c:strCache>
                <c:ptCount val="1"/>
                <c:pt idx="0">
                  <c:v>Чистая прибыль (убыток)</c:v>
                </c:pt>
              </c:strCache>
            </c:strRef>
          </c:tx>
          <c:spPr>
            <a:ln w="28575">
              <a:solidFill>
                <a:schemeClr val="bg2">
                  <a:lumMod val="50000"/>
                </a:schemeClr>
              </a:solidFill>
              <a:prstDash val="solid"/>
            </a:ln>
          </c:spPr>
          <c:marker>
            <c:symbol val="square"/>
            <c:size val="5"/>
            <c:spPr>
              <a:solidFill>
                <a:schemeClr val="bg2">
                  <a:lumMod val="50000"/>
                </a:schemeClr>
              </a:solidFill>
              <a:ln>
                <a:solidFill>
                  <a:schemeClr val="bg2">
                    <a:lumMod val="50000"/>
                  </a:schemeClr>
                </a:solidFill>
              </a:ln>
            </c:spPr>
          </c:marker>
          <c:cat>
            <c:strRef>
              <c:f>Проект!$F$1299:$Q$1299</c:f>
              <c:strCache>
                <c:ptCount val="12"/>
                <c:pt idx="0">
                  <c:v>4/ 2024</c:v>
                </c:pt>
                <c:pt idx="1">
                  <c:v>5/ 2024</c:v>
                </c:pt>
                <c:pt idx="2">
                  <c:v>6/ 2024</c:v>
                </c:pt>
                <c:pt idx="3">
                  <c:v>7/ 2024</c:v>
                </c:pt>
                <c:pt idx="4">
                  <c:v>8/ 2024</c:v>
                </c:pt>
                <c:pt idx="5">
                  <c:v>9/ 2024</c:v>
                </c:pt>
                <c:pt idx="6">
                  <c:v>10/ 2024</c:v>
                </c:pt>
                <c:pt idx="7">
                  <c:v>11/ 2024</c:v>
                </c:pt>
                <c:pt idx="8">
                  <c:v>12/ 2024</c:v>
                </c:pt>
                <c:pt idx="9">
                  <c:v>1/ 2025</c:v>
                </c:pt>
                <c:pt idx="10">
                  <c:v>2/ 2025</c:v>
                </c:pt>
                <c:pt idx="11">
                  <c:v>3/ 2025</c:v>
                </c:pt>
              </c:strCache>
            </c:strRef>
          </c:cat>
          <c:val>
            <c:numRef>
              <c:f>Проект!$F$1324:$Q$1324</c:f>
            </c:numRef>
          </c:val>
          <c:smooth val="0"/>
          <c:extLst>
            <c:ext xmlns:c16="http://schemas.microsoft.com/office/drawing/2014/chart" uri="{C3380CC4-5D6E-409C-BE32-E72D297353CC}">
              <c16:uniqueId val="{00000000-C812-41C9-9B7A-AF1A5043F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970432"/>
        <c:axId val="361197088"/>
      </c:lineChart>
      <c:catAx>
        <c:axId val="356970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61197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1197088"/>
        <c:scaling>
          <c:orientation val="minMax"/>
        </c:scaling>
        <c:delete val="0"/>
        <c:axPos val="l"/>
        <c:majorGridlines>
          <c:spPr>
            <a:ln w="3175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6970432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  <a:ln w="12700"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91" r="0.7500000000000091" t="1" header="0.5" footer="0.5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Проект!$A$1387</c:f>
              <c:strCache>
                <c:ptCount val="1"/>
                <c:pt idx="0">
                  <c:v>Прибыль до налога, процентов и амортизации (EBITDA)</c:v>
                </c:pt>
              </c:strCache>
            </c:strRef>
          </c:tx>
          <c:spPr>
            <a:ln>
              <a:solidFill>
                <a:schemeClr val="accent4">
                  <a:lumMod val="75000"/>
                </a:schemeClr>
              </a:solidFill>
            </a:ln>
          </c:spPr>
          <c:marker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cat>
            <c:strRef>
              <c:f>Проект!$F$1377:$Q$1377</c:f>
              <c:strCache>
                <c:ptCount val="12"/>
                <c:pt idx="0">
                  <c:v>4/ 2024</c:v>
                </c:pt>
                <c:pt idx="1">
                  <c:v>5/ 2024</c:v>
                </c:pt>
                <c:pt idx="2">
                  <c:v>6/ 2024</c:v>
                </c:pt>
                <c:pt idx="3">
                  <c:v>7/ 2024</c:v>
                </c:pt>
                <c:pt idx="4">
                  <c:v>8/ 2024</c:v>
                </c:pt>
                <c:pt idx="5">
                  <c:v>9/ 2024</c:v>
                </c:pt>
                <c:pt idx="6">
                  <c:v>10/ 2024</c:v>
                </c:pt>
                <c:pt idx="7">
                  <c:v>11/ 2024</c:v>
                </c:pt>
                <c:pt idx="8">
                  <c:v>12/ 2024</c:v>
                </c:pt>
                <c:pt idx="9">
                  <c:v>1/ 2025</c:v>
                </c:pt>
                <c:pt idx="10">
                  <c:v>2/ 2025</c:v>
                </c:pt>
                <c:pt idx="11">
                  <c:v>3/ 2025</c:v>
                </c:pt>
              </c:strCache>
            </c:strRef>
          </c:cat>
          <c:val>
            <c:numRef>
              <c:f>Проект!$F$1387:$Q$1387</c:f>
              <c:numCache>
                <c:formatCode>#,##0</c:formatCode>
                <c:ptCount val="12"/>
                <c:pt idx="0">
                  <c:v>-2966160</c:v>
                </c:pt>
                <c:pt idx="1">
                  <c:v>-2555759.9999999995</c:v>
                </c:pt>
                <c:pt idx="2">
                  <c:v>-2419853.3087499999</c:v>
                </c:pt>
                <c:pt idx="3">
                  <c:v>-1876226.543749999</c:v>
                </c:pt>
                <c:pt idx="4">
                  <c:v>-1196693.0875000004</c:v>
                </c:pt>
                <c:pt idx="5">
                  <c:v>162373.82500000065</c:v>
                </c:pt>
                <c:pt idx="6">
                  <c:v>1521440.7375</c:v>
                </c:pt>
                <c:pt idx="7">
                  <c:v>2880507.649999999</c:v>
                </c:pt>
                <c:pt idx="8">
                  <c:v>4919108.0187500007</c:v>
                </c:pt>
                <c:pt idx="9">
                  <c:v>7637241.84375</c:v>
                </c:pt>
                <c:pt idx="10">
                  <c:v>9675842.2125000004</c:v>
                </c:pt>
                <c:pt idx="11">
                  <c:v>11034909.125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59-4531-864F-BDE4755A48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200616"/>
        <c:axId val="361199440"/>
      </c:lineChart>
      <c:catAx>
        <c:axId val="361200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611994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1199440"/>
        <c:scaling>
          <c:orientation val="minMax"/>
        </c:scaling>
        <c:delete val="0"/>
        <c:axPos val="l"/>
        <c:majorGridlines>
          <c:spPr>
            <a:ln w="3175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61200616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  <a:ln w="12700"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280754121421098E-2"/>
          <c:y val="4.2635658914728682E-2"/>
          <c:w val="0.72132382961933683"/>
          <c:h val="0.91472868217054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Проект!$A$1433</c:f>
              <c:strCache>
                <c:ptCount val="1"/>
                <c:pt idx="0">
                  <c:v>Денежные потоки от операционной деятельности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 w="12700">
              <a:solidFill>
                <a:schemeClr val="bg1"/>
              </a:solidFill>
              <a:prstDash val="solid"/>
            </a:ln>
            <a:effectLst>
              <a:outerShdw blurRad="25400" dist="127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Проект!$F$1421:$Q$1421</c:f>
              <c:strCache>
                <c:ptCount val="12"/>
                <c:pt idx="0">
                  <c:v>4/ 2024</c:v>
                </c:pt>
                <c:pt idx="1">
                  <c:v>5/ 2024</c:v>
                </c:pt>
                <c:pt idx="2">
                  <c:v>6/ 2024</c:v>
                </c:pt>
                <c:pt idx="3">
                  <c:v>7/ 2024</c:v>
                </c:pt>
                <c:pt idx="4">
                  <c:v>8/ 2024</c:v>
                </c:pt>
                <c:pt idx="5">
                  <c:v>9/ 2024</c:v>
                </c:pt>
                <c:pt idx="6">
                  <c:v>10/ 2024</c:v>
                </c:pt>
                <c:pt idx="7">
                  <c:v>11/ 2024</c:v>
                </c:pt>
                <c:pt idx="8">
                  <c:v>12/ 2024</c:v>
                </c:pt>
                <c:pt idx="9">
                  <c:v>1/ 2025</c:v>
                </c:pt>
                <c:pt idx="10">
                  <c:v>2/ 2025</c:v>
                </c:pt>
                <c:pt idx="11">
                  <c:v>3/ 2025</c:v>
                </c:pt>
              </c:strCache>
            </c:strRef>
          </c:cat>
          <c:val>
            <c:numRef>
              <c:f>Проект!$F$1433:$Q$1433</c:f>
              <c:numCache>
                <c:formatCode>#,##0</c:formatCode>
                <c:ptCount val="12"/>
                <c:pt idx="0">
                  <c:v>-2966160</c:v>
                </c:pt>
                <c:pt idx="1">
                  <c:v>-2555760</c:v>
                </c:pt>
                <c:pt idx="2">
                  <c:v>-2428008.50875</c:v>
                </c:pt>
                <c:pt idx="3">
                  <c:v>-1917002.54375</c:v>
                </c:pt>
                <c:pt idx="4">
                  <c:v>-1278245.0874999999</c:v>
                </c:pt>
                <c:pt idx="5">
                  <c:v>-730.17499999981374</c:v>
                </c:pt>
                <c:pt idx="6">
                  <c:v>1096547.5479740878</c:v>
                </c:pt>
                <c:pt idx="7">
                  <c:v>2416169.2904287507</c:v>
                </c:pt>
                <c:pt idx="8">
                  <c:v>4408306.0298950961</c:v>
                </c:pt>
                <c:pt idx="9">
                  <c:v>7025601.84375</c:v>
                </c:pt>
                <c:pt idx="10">
                  <c:v>8941874.2125000004</c:v>
                </c:pt>
                <c:pt idx="11">
                  <c:v>10219389.125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58-449B-A8FE-A385BABE40DC}"/>
            </c:ext>
          </c:extLst>
        </c:ser>
        <c:ser>
          <c:idx val="1"/>
          <c:order val="1"/>
          <c:tx>
            <c:strRef>
              <c:f>Проект!$A$1444</c:f>
              <c:strCache>
                <c:ptCount val="1"/>
                <c:pt idx="0">
                  <c:v>Денежные потоки от инвестиционной деятельности</c:v>
                </c:pt>
              </c:strCache>
            </c:strRef>
          </c:tx>
          <c:spPr>
            <a:gradFill>
              <a:gsLst>
                <a:gs pos="0">
                  <a:srgbClr val="B8CCE4">
                    <a:shade val="30000"/>
                    <a:satMod val="115000"/>
                  </a:srgbClr>
                </a:gs>
                <a:gs pos="50000">
                  <a:srgbClr val="B8CCE4">
                    <a:shade val="67500"/>
                    <a:satMod val="115000"/>
                  </a:srgbClr>
                </a:gs>
                <a:gs pos="100000">
                  <a:srgbClr val="B8CCE4">
                    <a:shade val="100000"/>
                    <a:satMod val="115000"/>
                  </a:srgbClr>
                </a:gs>
              </a:gsLst>
              <a:lin ang="108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25400" dist="127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Проект!$F$1421:$Q$1421</c:f>
              <c:strCache>
                <c:ptCount val="12"/>
                <c:pt idx="0">
                  <c:v>4/ 2024</c:v>
                </c:pt>
                <c:pt idx="1">
                  <c:v>5/ 2024</c:v>
                </c:pt>
                <c:pt idx="2">
                  <c:v>6/ 2024</c:v>
                </c:pt>
                <c:pt idx="3">
                  <c:v>7/ 2024</c:v>
                </c:pt>
                <c:pt idx="4">
                  <c:v>8/ 2024</c:v>
                </c:pt>
                <c:pt idx="5">
                  <c:v>9/ 2024</c:v>
                </c:pt>
                <c:pt idx="6">
                  <c:v>10/ 2024</c:v>
                </c:pt>
                <c:pt idx="7">
                  <c:v>11/ 2024</c:v>
                </c:pt>
                <c:pt idx="8">
                  <c:v>12/ 2024</c:v>
                </c:pt>
                <c:pt idx="9">
                  <c:v>1/ 2025</c:v>
                </c:pt>
                <c:pt idx="10">
                  <c:v>2/ 2025</c:v>
                </c:pt>
                <c:pt idx="11">
                  <c:v>3/ 2025</c:v>
                </c:pt>
              </c:strCache>
            </c:strRef>
          </c:cat>
          <c:val>
            <c:numRef>
              <c:f>Проект!$F$1444:$Q$1444</c:f>
              <c:numCache>
                <c:formatCode>#,##0</c:formatCode>
                <c:ptCount val="12"/>
                <c:pt idx="0">
                  <c:v>648376</c:v>
                </c:pt>
                <c:pt idx="1">
                  <c:v>-415440</c:v>
                </c:pt>
                <c:pt idx="2">
                  <c:v>24435.877125000115</c:v>
                </c:pt>
                <c:pt idx="3">
                  <c:v>97743.508499999763</c:v>
                </c:pt>
                <c:pt idx="4">
                  <c:v>122179.385625</c:v>
                </c:pt>
                <c:pt idx="5">
                  <c:v>244358.77125000022</c:v>
                </c:pt>
                <c:pt idx="6">
                  <c:v>244358.77124999976</c:v>
                </c:pt>
                <c:pt idx="7">
                  <c:v>244358.77125000011</c:v>
                </c:pt>
                <c:pt idx="8">
                  <c:v>366538.15687499987</c:v>
                </c:pt>
                <c:pt idx="9">
                  <c:v>488717.54250000021</c:v>
                </c:pt>
                <c:pt idx="10">
                  <c:v>366538.1568750001</c:v>
                </c:pt>
                <c:pt idx="11">
                  <c:v>244358.77124999976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58-449B-A8FE-A385BABE40DC}"/>
            </c:ext>
          </c:extLst>
        </c:ser>
        <c:ser>
          <c:idx val="2"/>
          <c:order val="2"/>
          <c:tx>
            <c:strRef>
              <c:f>Проект!$A$1454</c:f>
              <c:strCache>
                <c:ptCount val="1"/>
                <c:pt idx="0">
                  <c:v>Денежные потоки от финансовой деятельности</c:v>
                </c:pt>
              </c:strCache>
            </c:strRef>
          </c:tx>
          <c:spPr>
            <a:gradFill>
              <a:gsLst>
                <a:gs pos="0">
                  <a:schemeClr val="accent6">
                    <a:lumMod val="75000"/>
                  </a:schemeClr>
                </a:gs>
                <a:gs pos="50000">
                  <a:srgbClr val="F79646">
                    <a:lumMod val="60000"/>
                    <a:lumOff val="40000"/>
                  </a:srgbClr>
                </a:gs>
                <a:gs pos="100000">
                  <a:srgbClr val="F79646">
                    <a:lumMod val="40000"/>
                    <a:lumOff val="60000"/>
                  </a:srgbClr>
                </a:gs>
              </a:gsLst>
              <a:lin ang="108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25400" dist="127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Проект!$F$1421:$Q$1421</c:f>
              <c:strCache>
                <c:ptCount val="12"/>
                <c:pt idx="0">
                  <c:v>4/ 2024</c:v>
                </c:pt>
                <c:pt idx="1">
                  <c:v>5/ 2024</c:v>
                </c:pt>
                <c:pt idx="2">
                  <c:v>6/ 2024</c:v>
                </c:pt>
                <c:pt idx="3">
                  <c:v>7/ 2024</c:v>
                </c:pt>
                <c:pt idx="4">
                  <c:v>8/ 2024</c:v>
                </c:pt>
                <c:pt idx="5">
                  <c:v>9/ 2024</c:v>
                </c:pt>
                <c:pt idx="6">
                  <c:v>10/ 2024</c:v>
                </c:pt>
                <c:pt idx="7">
                  <c:v>11/ 2024</c:v>
                </c:pt>
                <c:pt idx="8">
                  <c:v>12/ 2024</c:v>
                </c:pt>
                <c:pt idx="9">
                  <c:v>1/ 2025</c:v>
                </c:pt>
                <c:pt idx="10">
                  <c:v>2/ 2025</c:v>
                </c:pt>
                <c:pt idx="11">
                  <c:v>3/ 2025</c:v>
                </c:pt>
              </c:strCache>
            </c:strRef>
          </c:cat>
          <c:val>
            <c:numRef>
              <c:f>Проект!$F$1454:$Q$1454</c:f>
              <c:numCache>
                <c:formatCode>#,##0</c:formatCode>
                <c:ptCount val="12"/>
                <c:pt idx="0">
                  <c:v>2359067.6844783714</c:v>
                </c:pt>
                <c:pt idx="1">
                  <c:v>2982103.1201237948</c:v>
                </c:pt>
                <c:pt idx="2">
                  <c:v>2393268.0173260393</c:v>
                </c:pt>
                <c:pt idx="3">
                  <c:v>1809034.9566888495</c:v>
                </c:pt>
                <c:pt idx="4">
                  <c:v>1144435.2062421832</c:v>
                </c:pt>
                <c:pt idx="5">
                  <c:v>-23659.363592692334</c:v>
                </c:pt>
                <c:pt idx="6">
                  <c:v>-1202620.5457013601</c:v>
                </c:pt>
                <c:pt idx="7">
                  <c:v>-2406104.568837841</c:v>
                </c:pt>
                <c:pt idx="8">
                  <c:v>-4335106.8980769133</c:v>
                </c:pt>
                <c:pt idx="9">
                  <c:v>-3558056.5059945099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758-449B-A8FE-A385BABE40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40"/>
        <c:axId val="361198264"/>
        <c:axId val="361199832"/>
      </c:barChart>
      <c:catAx>
        <c:axId val="361198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61199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1199832"/>
        <c:scaling>
          <c:orientation val="minMax"/>
        </c:scaling>
        <c:delete val="0"/>
        <c:axPos val="l"/>
        <c:majorGridlines>
          <c:spPr>
            <a:ln w="3175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61198264"/>
        <c:crosses val="autoZero"/>
        <c:crossBetween val="between"/>
      </c:valAx>
      <c:spPr>
        <a:solidFill>
          <a:srgbClr val="D8D8D8">
            <a:alpha val="70000"/>
          </a:srgbClr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1178323297823063"/>
          <c:y val="4.8307086614173232E-2"/>
          <c:w val="0.98692810457516333"/>
          <c:h val="0.95169291338582684"/>
        </c:manualLayout>
      </c:layout>
      <c:overlay val="0"/>
      <c:spPr>
        <a:solidFill>
          <a:srgbClr val="FFFFFF"/>
        </a:solidFill>
        <a:ln w="0">
          <a:noFill/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00000000000091" r="0.7500000000000091" t="1" header="0.5" footer="0.5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2169557236717964E-2"/>
          <c:y val="4.2512077294685993E-2"/>
          <c:w val="0.75096769766524285"/>
          <c:h val="0.84264110464452813"/>
        </c:manualLayout>
      </c:layout>
      <c:lineChart>
        <c:grouping val="standard"/>
        <c:varyColors val="0"/>
        <c:ser>
          <c:idx val="1"/>
          <c:order val="0"/>
          <c:tx>
            <c:strRef>
              <c:f>Проект!$A$1458</c:f>
              <c:strCache>
                <c:ptCount val="1"/>
                <c:pt idx="0">
                  <c:v>Денежные средства на конец периода</c:v>
                </c:pt>
              </c:strCache>
            </c:strRef>
          </c:tx>
          <c:spPr>
            <a:ln w="31750">
              <a:solidFill>
                <a:schemeClr val="accent3">
                  <a:lumMod val="5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marker>
          <c:cat>
            <c:strRef>
              <c:f>Проект!$F$1421:$Q$1421</c:f>
              <c:strCache>
                <c:ptCount val="12"/>
                <c:pt idx="0">
                  <c:v>4/ 2024</c:v>
                </c:pt>
                <c:pt idx="1">
                  <c:v>5/ 2024</c:v>
                </c:pt>
                <c:pt idx="2">
                  <c:v>6/ 2024</c:v>
                </c:pt>
                <c:pt idx="3">
                  <c:v>7/ 2024</c:v>
                </c:pt>
                <c:pt idx="4">
                  <c:v>8/ 2024</c:v>
                </c:pt>
                <c:pt idx="5">
                  <c:v>9/ 2024</c:v>
                </c:pt>
                <c:pt idx="6">
                  <c:v>10/ 2024</c:v>
                </c:pt>
                <c:pt idx="7">
                  <c:v>11/ 2024</c:v>
                </c:pt>
                <c:pt idx="8">
                  <c:v>12/ 2024</c:v>
                </c:pt>
                <c:pt idx="9">
                  <c:v>1/ 2025</c:v>
                </c:pt>
                <c:pt idx="10">
                  <c:v>2/ 2025</c:v>
                </c:pt>
                <c:pt idx="11">
                  <c:v>3/ 2025</c:v>
                </c:pt>
              </c:strCache>
            </c:strRef>
          </c:cat>
          <c:val>
            <c:numRef>
              <c:f>Проект!$F$1458:$Q$1458</c:f>
              <c:numCache>
                <c:formatCode>#,##0</c:formatCode>
                <c:ptCount val="12"/>
                <c:pt idx="0">
                  <c:v>41283.684478371404</c:v>
                </c:pt>
                <c:pt idx="1">
                  <c:v>52186.804602166172</c:v>
                </c:pt>
                <c:pt idx="2">
                  <c:v>41882.190303205512</c:v>
                </c:pt>
                <c:pt idx="3">
                  <c:v>31658.111742054811</c:v>
                </c:pt>
                <c:pt idx="4">
                  <c:v>20027.616109238239</c:v>
                </c:pt>
                <c:pt idx="5">
                  <c:v>239996.84876654632</c:v>
                </c:pt>
                <c:pt idx="6">
                  <c:v>378282.62228927377</c:v>
                </c:pt>
                <c:pt idx="7">
                  <c:v>632706.11513018364</c:v>
                </c:pt>
                <c:pt idx="8">
                  <c:v>1072443.4038233669</c:v>
                </c:pt>
                <c:pt idx="9">
                  <c:v>5028706.2840788569</c:v>
                </c:pt>
                <c:pt idx="10">
                  <c:v>14337118.653453857</c:v>
                </c:pt>
                <c:pt idx="11">
                  <c:v>24800866.549703859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11-43B7-8FF6-AA0DE055F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200224"/>
        <c:axId val="361201008"/>
      </c:lineChart>
      <c:catAx>
        <c:axId val="361200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61201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1201008"/>
        <c:scaling>
          <c:orientation val="minMax"/>
        </c:scaling>
        <c:delete val="0"/>
        <c:axPos val="l"/>
        <c:majorGridlines>
          <c:spPr>
            <a:ln w="3175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61200224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  <a:ln w="12700"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00000000000091" r="0.7500000000000091" t="1" header="0.5" footer="0.5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280754121421098E-2"/>
          <c:y val="4.2512077294685993E-2"/>
          <c:w val="0.74974422314857703"/>
          <c:h val="0.9149758454106280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Проект!$A$1449</c:f>
              <c:strCache>
                <c:ptCount val="1"/>
                <c:pt idx="0">
                  <c:v>Поступления кредитов</c:v>
                </c:pt>
              </c:strCache>
            </c:strRef>
          </c:tx>
          <c:spPr>
            <a:gradFill flip="none" rotWithShape="1">
              <a:gsLst>
                <a:gs pos="0">
                  <a:srgbClr val="D7E3BC">
                    <a:lumMod val="25000"/>
                    <a:alpha val="80000"/>
                  </a:srgbClr>
                </a:gs>
                <a:gs pos="50000">
                  <a:srgbClr val="D7E3BC">
                    <a:lumMod val="50000"/>
                    <a:alpha val="80000"/>
                  </a:srgbClr>
                </a:gs>
                <a:gs pos="100000">
                  <a:srgbClr val="D7E3BC">
                    <a:lumMod val="75000"/>
                    <a:alpha val="80000"/>
                  </a:srgbClr>
                </a:gs>
              </a:gsLst>
              <a:lin ang="16200000" scaled="1"/>
              <a:tileRect/>
            </a:gradFill>
            <a:ln>
              <a:solidFill>
                <a:schemeClr val="bg1"/>
              </a:solidFill>
            </a:ln>
            <a:effectLst>
              <a:outerShdw blurRad="25400" dist="127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Проект!$F$1421:$Q$1421</c:f>
              <c:strCache>
                <c:ptCount val="12"/>
                <c:pt idx="0">
                  <c:v>4/ 2024</c:v>
                </c:pt>
                <c:pt idx="1">
                  <c:v>5/ 2024</c:v>
                </c:pt>
                <c:pt idx="2">
                  <c:v>6/ 2024</c:v>
                </c:pt>
                <c:pt idx="3">
                  <c:v>7/ 2024</c:v>
                </c:pt>
                <c:pt idx="4">
                  <c:v>8/ 2024</c:v>
                </c:pt>
                <c:pt idx="5">
                  <c:v>9/ 2024</c:v>
                </c:pt>
                <c:pt idx="6">
                  <c:v>10/ 2024</c:v>
                </c:pt>
                <c:pt idx="7">
                  <c:v>11/ 2024</c:v>
                </c:pt>
                <c:pt idx="8">
                  <c:v>12/ 2024</c:v>
                </c:pt>
                <c:pt idx="9">
                  <c:v>1/ 2025</c:v>
                </c:pt>
                <c:pt idx="10">
                  <c:v>2/ 2025</c:v>
                </c:pt>
                <c:pt idx="11">
                  <c:v>3/ 2025</c:v>
                </c:pt>
              </c:strCache>
            </c:strRef>
          </c:cat>
          <c:val>
            <c:numRef>
              <c:f>Проект!$F$1449:$Q$1449</c:f>
              <c:numCache>
                <c:formatCode>#,##0</c:formatCode>
                <c:ptCount val="12"/>
                <c:pt idx="0">
                  <c:v>2359067.6844783714</c:v>
                </c:pt>
                <c:pt idx="1">
                  <c:v>2982103.1201237948</c:v>
                </c:pt>
                <c:pt idx="2">
                  <c:v>2393268.0173260393</c:v>
                </c:pt>
                <c:pt idx="3">
                  <c:v>1809034.9566888495</c:v>
                </c:pt>
                <c:pt idx="4">
                  <c:v>1144435.2062421832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7E4-B2D4-E3313CA85BBD}"/>
            </c:ext>
          </c:extLst>
        </c:ser>
        <c:ser>
          <c:idx val="2"/>
          <c:order val="1"/>
          <c:tx>
            <c:strRef>
              <c:f>Проект!$A$1429</c:f>
              <c:strCache>
                <c:ptCount val="1"/>
                <c:pt idx="0">
                  <c:v>Выплата процентов по кредитам</c:v>
                </c:pt>
              </c:strCache>
            </c:strRef>
          </c:tx>
          <c:spPr>
            <a:solidFill>
              <a:schemeClr val="accent1">
                <a:lumMod val="75000"/>
                <a:alpha val="80000"/>
              </a:schemeClr>
            </a:solidFill>
            <a:ln>
              <a:solidFill>
                <a:schemeClr val="bg1">
                  <a:alpha val="80000"/>
                </a:schemeClr>
              </a:solidFill>
            </a:ln>
            <a:effectLst>
              <a:outerShdw blurRad="25400" dist="127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Проект!$F$1421:$Q$1421</c:f>
              <c:strCache>
                <c:ptCount val="12"/>
                <c:pt idx="0">
                  <c:v>4/ 2024</c:v>
                </c:pt>
                <c:pt idx="1">
                  <c:v>5/ 2024</c:v>
                </c:pt>
                <c:pt idx="2">
                  <c:v>6/ 2024</c:v>
                </c:pt>
                <c:pt idx="3">
                  <c:v>7/ 2024</c:v>
                </c:pt>
                <c:pt idx="4">
                  <c:v>8/ 2024</c:v>
                </c:pt>
                <c:pt idx="5">
                  <c:v>9/ 2024</c:v>
                </c:pt>
                <c:pt idx="6">
                  <c:v>10/ 2024</c:v>
                </c:pt>
                <c:pt idx="7">
                  <c:v>11/ 2024</c:v>
                </c:pt>
                <c:pt idx="8">
                  <c:v>12/ 2024</c:v>
                </c:pt>
                <c:pt idx="9">
                  <c:v>1/ 2025</c:v>
                </c:pt>
                <c:pt idx="10">
                  <c:v>2/ 2025</c:v>
                </c:pt>
                <c:pt idx="11">
                  <c:v>3/ 2025</c:v>
                </c:pt>
              </c:strCache>
            </c:strRef>
          </c:cat>
          <c:val>
            <c:numRef>
              <c:f>Проект!$F$1429:$Q$1429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-180237.18952591211</c:v>
                </c:pt>
                <c:pt idx="7">
                  <c:v>-138130.35957124989</c:v>
                </c:pt>
                <c:pt idx="8">
                  <c:v>-62265.988854903924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7E4-B2D4-E3313CA85BBD}"/>
            </c:ext>
          </c:extLst>
        </c:ser>
        <c:ser>
          <c:idx val="1"/>
          <c:order val="2"/>
          <c:tx>
            <c:strRef>
              <c:f>Проект!$A$1450</c:f>
              <c:strCache>
                <c:ptCount val="1"/>
                <c:pt idx="0">
                  <c:v>Возврат кредитов</c:v>
                </c:pt>
              </c:strCache>
            </c:strRef>
          </c:tx>
          <c:spPr>
            <a:solidFill>
              <a:srgbClr val="D75353">
                <a:alpha val="80000"/>
              </a:srgbClr>
            </a:solidFill>
            <a:ln>
              <a:solidFill>
                <a:schemeClr val="bg1"/>
              </a:solidFill>
            </a:ln>
            <a:effectLst>
              <a:outerShdw blurRad="25400" dist="127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Проект!$F$1421:$Q$1421</c:f>
              <c:strCache>
                <c:ptCount val="12"/>
                <c:pt idx="0">
                  <c:v>4/ 2024</c:v>
                </c:pt>
                <c:pt idx="1">
                  <c:v>5/ 2024</c:v>
                </c:pt>
                <c:pt idx="2">
                  <c:v>6/ 2024</c:v>
                </c:pt>
                <c:pt idx="3">
                  <c:v>7/ 2024</c:v>
                </c:pt>
                <c:pt idx="4">
                  <c:v>8/ 2024</c:v>
                </c:pt>
                <c:pt idx="5">
                  <c:v>9/ 2024</c:v>
                </c:pt>
                <c:pt idx="6">
                  <c:v>10/ 2024</c:v>
                </c:pt>
                <c:pt idx="7">
                  <c:v>11/ 2024</c:v>
                </c:pt>
                <c:pt idx="8">
                  <c:v>12/ 2024</c:v>
                </c:pt>
                <c:pt idx="9">
                  <c:v>1/ 2025</c:v>
                </c:pt>
                <c:pt idx="10">
                  <c:v>2/ 2025</c:v>
                </c:pt>
                <c:pt idx="11">
                  <c:v>3/ 2025</c:v>
                </c:pt>
              </c:strCache>
            </c:strRef>
          </c:cat>
          <c:val>
            <c:numRef>
              <c:f>Проект!$F$1450:$Q$1450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-23659.363592692334</c:v>
                </c:pt>
                <c:pt idx="6">
                  <c:v>-1202620.5457013601</c:v>
                </c:pt>
                <c:pt idx="7">
                  <c:v>-2406104.568837841</c:v>
                </c:pt>
                <c:pt idx="8">
                  <c:v>-4335106.8980769133</c:v>
                </c:pt>
                <c:pt idx="9">
                  <c:v>-3558056.5059945099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7E4-B2D4-E3313CA85B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1193560"/>
        <c:axId val="361193952"/>
      </c:barChart>
      <c:catAx>
        <c:axId val="361193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61193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1193952"/>
        <c:scaling>
          <c:orientation val="minMax"/>
        </c:scaling>
        <c:delete val="0"/>
        <c:axPos val="l"/>
        <c:majorGridlines>
          <c:spPr>
            <a:ln w="3175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61193560"/>
        <c:crosses val="autoZero"/>
        <c:crossBetween val="between"/>
      </c:valAx>
      <c:spPr>
        <a:solidFill>
          <a:srgbClr val="D8D8D8">
            <a:alpha val="70000"/>
          </a:srgbClr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489182234573619"/>
          <c:y val="7.3841987142911486E-2"/>
          <c:w val="0.98692810457516333"/>
          <c:h val="0.5860613944996006"/>
        </c:manualLayout>
      </c:layout>
      <c:overlay val="0"/>
      <c:spPr>
        <a:solidFill>
          <a:srgbClr val="FFFFFF"/>
        </a:solidFill>
        <a:ln w="0">
          <a:noFill/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000000000000933" r="0.75000000000000933" t="1" header="0.5" footer="0.5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474568129964149E-2"/>
          <c:y val="4.2512077294685993E-2"/>
          <c:w val="0.75811040776765648"/>
          <c:h val="0.8426411046445281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Проект!$A$1423</c:f>
              <c:strCache>
                <c:ptCount val="1"/>
                <c:pt idx="0">
                  <c:v>Поступления от продаж</c:v>
                </c:pt>
              </c:strCache>
            </c:strRef>
          </c:tx>
          <c:invertIfNegative val="0"/>
          <c:cat>
            <c:strRef>
              <c:f>Проект!$F$1421:$Q$1421</c:f>
              <c:strCache>
                <c:ptCount val="12"/>
                <c:pt idx="0">
                  <c:v>4/ 2024</c:v>
                </c:pt>
                <c:pt idx="1">
                  <c:v>5/ 2024</c:v>
                </c:pt>
                <c:pt idx="2">
                  <c:v>6/ 2024</c:v>
                </c:pt>
                <c:pt idx="3">
                  <c:v>7/ 2024</c:v>
                </c:pt>
                <c:pt idx="4">
                  <c:v>8/ 2024</c:v>
                </c:pt>
                <c:pt idx="5">
                  <c:v>9/ 2024</c:v>
                </c:pt>
                <c:pt idx="6">
                  <c:v>10/ 2024</c:v>
                </c:pt>
                <c:pt idx="7">
                  <c:v>11/ 2024</c:v>
                </c:pt>
                <c:pt idx="8">
                  <c:v>12/ 2024</c:v>
                </c:pt>
                <c:pt idx="9">
                  <c:v>1/ 2025</c:v>
                </c:pt>
                <c:pt idx="10">
                  <c:v>2/ 2025</c:v>
                </c:pt>
                <c:pt idx="11">
                  <c:v>3/ 2025</c:v>
                </c:pt>
              </c:strCache>
            </c:strRef>
          </c:cat>
          <c:val>
            <c:numRef>
              <c:f>Проект!$F$1423:$Q$1423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135920</c:v>
                </c:pt>
                <c:pt idx="3">
                  <c:v>679600</c:v>
                </c:pt>
                <c:pt idx="4">
                  <c:v>1359200</c:v>
                </c:pt>
                <c:pt idx="5">
                  <c:v>2718400</c:v>
                </c:pt>
                <c:pt idx="6">
                  <c:v>4077600</c:v>
                </c:pt>
                <c:pt idx="7">
                  <c:v>5436800</c:v>
                </c:pt>
                <c:pt idx="8">
                  <c:v>7475600</c:v>
                </c:pt>
                <c:pt idx="9">
                  <c:v>10194000</c:v>
                </c:pt>
                <c:pt idx="10">
                  <c:v>12232800</c:v>
                </c:pt>
                <c:pt idx="11">
                  <c:v>13592000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1-471B-BB5A-E9FE89337767}"/>
            </c:ext>
          </c:extLst>
        </c:ser>
        <c:ser>
          <c:idx val="1"/>
          <c:order val="1"/>
          <c:tx>
            <c:strRef>
              <c:f>Проект!$A$1448</c:f>
              <c:strCache>
                <c:ptCount val="1"/>
                <c:pt idx="0">
                  <c:v>Средства от инвесторов строительства</c:v>
                </c:pt>
              </c:strCache>
            </c:strRef>
          </c:tx>
          <c:invertIfNegative val="0"/>
          <c:cat>
            <c:strRef>
              <c:f>Проект!$F$1421:$Q$1421</c:f>
              <c:strCache>
                <c:ptCount val="12"/>
                <c:pt idx="0">
                  <c:v>4/ 2024</c:v>
                </c:pt>
                <c:pt idx="1">
                  <c:v>5/ 2024</c:v>
                </c:pt>
                <c:pt idx="2">
                  <c:v>6/ 2024</c:v>
                </c:pt>
                <c:pt idx="3">
                  <c:v>7/ 2024</c:v>
                </c:pt>
                <c:pt idx="4">
                  <c:v>8/ 2024</c:v>
                </c:pt>
                <c:pt idx="5">
                  <c:v>9/ 2024</c:v>
                </c:pt>
                <c:pt idx="6">
                  <c:v>10/ 2024</c:v>
                </c:pt>
                <c:pt idx="7">
                  <c:v>11/ 2024</c:v>
                </c:pt>
                <c:pt idx="8">
                  <c:v>12/ 2024</c:v>
                </c:pt>
                <c:pt idx="9">
                  <c:v>1/ 2025</c:v>
                </c:pt>
                <c:pt idx="10">
                  <c:v>2/ 2025</c:v>
                </c:pt>
                <c:pt idx="11">
                  <c:v>3/ 2025</c:v>
                </c:pt>
              </c:strCache>
            </c:strRef>
          </c:cat>
          <c:val>
            <c:numRef>
              <c:f>Проект!$F$1448:$Q$1448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41-471B-BB5A-E9FE89337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361194344"/>
        <c:axId val="361194736"/>
      </c:barChart>
      <c:catAx>
        <c:axId val="361194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61194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1194736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61194344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wMode val="edge"/>
          <c:hMode val="edge"/>
          <c:x val="0.86019281903487554"/>
          <c:y val="4.5154703488150941E-2"/>
          <c:w val="0.98692810457516345"/>
          <c:h val="0.59155996804747235"/>
        </c:manualLayout>
      </c:layout>
      <c:overlay val="0"/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ru-RU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 alignWithMargins="0"/>
    <c:pageMargins b="1" l="0.75000000000000933" r="0.75000000000000933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13" Type="http://schemas.openxmlformats.org/officeDocument/2006/relationships/chart" Target="../charts/chart30.xml"/><Relationship Id="rId3" Type="http://schemas.openxmlformats.org/officeDocument/2006/relationships/chart" Target="../charts/chart20.xml"/><Relationship Id="rId7" Type="http://schemas.openxmlformats.org/officeDocument/2006/relationships/chart" Target="../charts/chart24.xml"/><Relationship Id="rId12" Type="http://schemas.openxmlformats.org/officeDocument/2006/relationships/chart" Target="../charts/chart29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11" Type="http://schemas.openxmlformats.org/officeDocument/2006/relationships/chart" Target="../charts/chart28.xml"/><Relationship Id="rId5" Type="http://schemas.openxmlformats.org/officeDocument/2006/relationships/chart" Target="../charts/chart22.xml"/><Relationship Id="rId15" Type="http://schemas.openxmlformats.org/officeDocument/2006/relationships/chart" Target="../charts/chart32.xml"/><Relationship Id="rId10" Type="http://schemas.openxmlformats.org/officeDocument/2006/relationships/chart" Target="../charts/chart27.xml"/><Relationship Id="rId4" Type="http://schemas.openxmlformats.org/officeDocument/2006/relationships/chart" Target="../charts/chart21.xml"/><Relationship Id="rId9" Type="http://schemas.openxmlformats.org/officeDocument/2006/relationships/chart" Target="../charts/chart26.xml"/><Relationship Id="rId14" Type="http://schemas.openxmlformats.org/officeDocument/2006/relationships/chart" Target="../charts/chart31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5" Type="http://schemas.openxmlformats.org/officeDocument/2006/relationships/chart" Target="../charts/chart37.xml"/><Relationship Id="rId4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1326</xdr:row>
      <xdr:rowOff>0</xdr:rowOff>
    </xdr:from>
    <xdr:to>
      <xdr:col>7</xdr:col>
      <xdr:colOff>0</xdr:colOff>
      <xdr:row>1349</xdr:row>
      <xdr:rowOff>0</xdr:rowOff>
    </xdr:to>
    <xdr:graphicFrame macro="">
      <xdr:nvGraphicFramePr>
        <xdr:cNvPr id="19494187" name="Chart 176">
          <a:extLst>
            <a:ext uri="{FF2B5EF4-FFF2-40B4-BE49-F238E27FC236}">
              <a16:creationId xmlns:a16="http://schemas.microsoft.com/office/drawing/2014/main" id="{00000000-0008-0000-0100-00002B7529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1351</xdr:row>
      <xdr:rowOff>0</xdr:rowOff>
    </xdr:from>
    <xdr:to>
      <xdr:col>7</xdr:col>
      <xdr:colOff>0</xdr:colOff>
      <xdr:row>1374</xdr:row>
      <xdr:rowOff>0</xdr:rowOff>
    </xdr:to>
    <xdr:graphicFrame macro="">
      <xdr:nvGraphicFramePr>
        <xdr:cNvPr id="19494188" name="Chart 177">
          <a:extLst>
            <a:ext uri="{FF2B5EF4-FFF2-40B4-BE49-F238E27FC236}">
              <a16:creationId xmlns:a16="http://schemas.microsoft.com/office/drawing/2014/main" id="{00000000-0008-0000-0100-00002C7529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1460</xdr:row>
      <xdr:rowOff>0</xdr:rowOff>
    </xdr:from>
    <xdr:to>
      <xdr:col>7</xdr:col>
      <xdr:colOff>0</xdr:colOff>
      <xdr:row>1482</xdr:row>
      <xdr:rowOff>133350</xdr:rowOff>
    </xdr:to>
    <xdr:graphicFrame macro="">
      <xdr:nvGraphicFramePr>
        <xdr:cNvPr id="19494189" name="Chart 178">
          <a:extLst>
            <a:ext uri="{FF2B5EF4-FFF2-40B4-BE49-F238E27FC236}">
              <a16:creationId xmlns:a16="http://schemas.microsoft.com/office/drawing/2014/main" id="{00000000-0008-0000-0100-00002D7529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1485</xdr:row>
      <xdr:rowOff>0</xdr:rowOff>
    </xdr:from>
    <xdr:to>
      <xdr:col>7</xdr:col>
      <xdr:colOff>0</xdr:colOff>
      <xdr:row>1508</xdr:row>
      <xdr:rowOff>0</xdr:rowOff>
    </xdr:to>
    <xdr:graphicFrame macro="">
      <xdr:nvGraphicFramePr>
        <xdr:cNvPr id="19494190" name="Chart 179">
          <a:extLst>
            <a:ext uri="{FF2B5EF4-FFF2-40B4-BE49-F238E27FC236}">
              <a16:creationId xmlns:a16="http://schemas.microsoft.com/office/drawing/2014/main" id="{00000000-0008-0000-0100-00002E7529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9525</xdr:colOff>
      <xdr:row>1806</xdr:row>
      <xdr:rowOff>9525</xdr:rowOff>
    </xdr:from>
    <xdr:to>
      <xdr:col>7</xdr:col>
      <xdr:colOff>0</xdr:colOff>
      <xdr:row>1830</xdr:row>
      <xdr:rowOff>28575</xdr:rowOff>
    </xdr:to>
    <xdr:graphicFrame macro="">
      <xdr:nvGraphicFramePr>
        <xdr:cNvPr id="19494191" name="Chart 184">
          <a:extLst>
            <a:ext uri="{FF2B5EF4-FFF2-40B4-BE49-F238E27FC236}">
              <a16:creationId xmlns:a16="http://schemas.microsoft.com/office/drawing/2014/main" id="{00000000-0008-0000-0100-00002F7529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1879</xdr:row>
      <xdr:rowOff>9525</xdr:rowOff>
    </xdr:from>
    <xdr:to>
      <xdr:col>7</xdr:col>
      <xdr:colOff>0</xdr:colOff>
      <xdr:row>1902</xdr:row>
      <xdr:rowOff>0</xdr:rowOff>
    </xdr:to>
    <xdr:graphicFrame macro="">
      <xdr:nvGraphicFramePr>
        <xdr:cNvPr id="19494192" name="Chart 185">
          <a:extLst>
            <a:ext uri="{FF2B5EF4-FFF2-40B4-BE49-F238E27FC236}">
              <a16:creationId xmlns:a16="http://schemas.microsoft.com/office/drawing/2014/main" id="{00000000-0008-0000-0100-0000307529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1950</xdr:row>
      <xdr:rowOff>0</xdr:rowOff>
    </xdr:from>
    <xdr:to>
      <xdr:col>7</xdr:col>
      <xdr:colOff>0</xdr:colOff>
      <xdr:row>1973</xdr:row>
      <xdr:rowOff>0</xdr:rowOff>
    </xdr:to>
    <xdr:graphicFrame macro="">
      <xdr:nvGraphicFramePr>
        <xdr:cNvPr id="19494193" name="Chart 186">
          <a:extLst>
            <a:ext uri="{FF2B5EF4-FFF2-40B4-BE49-F238E27FC236}">
              <a16:creationId xmlns:a16="http://schemas.microsoft.com/office/drawing/2014/main" id="{00000000-0008-0000-0100-0000317529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9525</xdr:colOff>
      <xdr:row>2116</xdr:row>
      <xdr:rowOff>0</xdr:rowOff>
    </xdr:from>
    <xdr:to>
      <xdr:col>7</xdr:col>
      <xdr:colOff>0</xdr:colOff>
      <xdr:row>2139</xdr:row>
      <xdr:rowOff>0</xdr:rowOff>
    </xdr:to>
    <xdr:graphicFrame macro="">
      <xdr:nvGraphicFramePr>
        <xdr:cNvPr id="19494194" name="Chart 186">
          <a:extLst>
            <a:ext uri="{FF2B5EF4-FFF2-40B4-BE49-F238E27FC236}">
              <a16:creationId xmlns:a16="http://schemas.microsoft.com/office/drawing/2014/main" id="{00000000-0008-0000-0100-0000327529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1510</xdr:row>
      <xdr:rowOff>0</xdr:rowOff>
    </xdr:from>
    <xdr:to>
      <xdr:col>7</xdr:col>
      <xdr:colOff>0</xdr:colOff>
      <xdr:row>1533</xdr:row>
      <xdr:rowOff>0</xdr:rowOff>
    </xdr:to>
    <xdr:graphicFrame macro="">
      <xdr:nvGraphicFramePr>
        <xdr:cNvPr id="19494195" name="Chart 178">
          <a:extLst>
            <a:ext uri="{FF2B5EF4-FFF2-40B4-BE49-F238E27FC236}">
              <a16:creationId xmlns:a16="http://schemas.microsoft.com/office/drawing/2014/main" id="{00000000-0008-0000-0100-0000337529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1535</xdr:row>
      <xdr:rowOff>0</xdr:rowOff>
    </xdr:from>
    <xdr:to>
      <xdr:col>7</xdr:col>
      <xdr:colOff>0</xdr:colOff>
      <xdr:row>1558</xdr:row>
      <xdr:rowOff>0</xdr:rowOff>
    </xdr:to>
    <xdr:graphicFrame macro="">
      <xdr:nvGraphicFramePr>
        <xdr:cNvPr id="19494196" name="Chart 179">
          <a:extLst>
            <a:ext uri="{FF2B5EF4-FFF2-40B4-BE49-F238E27FC236}">
              <a16:creationId xmlns:a16="http://schemas.microsoft.com/office/drawing/2014/main" id="{00000000-0008-0000-0100-0000347529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1605</xdr:row>
      <xdr:rowOff>0</xdr:rowOff>
    </xdr:from>
    <xdr:to>
      <xdr:col>7</xdr:col>
      <xdr:colOff>0</xdr:colOff>
      <xdr:row>1628</xdr:row>
      <xdr:rowOff>0</xdr:rowOff>
    </xdr:to>
    <xdr:graphicFrame macro="">
      <xdr:nvGraphicFramePr>
        <xdr:cNvPr id="19494197" name="Chart 179">
          <a:extLst>
            <a:ext uri="{FF2B5EF4-FFF2-40B4-BE49-F238E27FC236}">
              <a16:creationId xmlns:a16="http://schemas.microsoft.com/office/drawing/2014/main" id="{00000000-0008-0000-0100-0000357529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1630</xdr:row>
      <xdr:rowOff>0</xdr:rowOff>
    </xdr:from>
    <xdr:to>
      <xdr:col>7</xdr:col>
      <xdr:colOff>0</xdr:colOff>
      <xdr:row>1653</xdr:row>
      <xdr:rowOff>0</xdr:rowOff>
    </xdr:to>
    <xdr:graphicFrame macro="">
      <xdr:nvGraphicFramePr>
        <xdr:cNvPr id="19494198" name="Chart 179">
          <a:extLst>
            <a:ext uri="{FF2B5EF4-FFF2-40B4-BE49-F238E27FC236}">
              <a16:creationId xmlns:a16="http://schemas.microsoft.com/office/drawing/2014/main" id="{00000000-0008-0000-0100-0000367529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1683</xdr:row>
      <xdr:rowOff>0</xdr:rowOff>
    </xdr:from>
    <xdr:to>
      <xdr:col>7</xdr:col>
      <xdr:colOff>0</xdr:colOff>
      <xdr:row>1706</xdr:row>
      <xdr:rowOff>0</xdr:rowOff>
    </xdr:to>
    <xdr:graphicFrame macro="">
      <xdr:nvGraphicFramePr>
        <xdr:cNvPr id="19494199" name="Chart 179">
          <a:extLst>
            <a:ext uri="{FF2B5EF4-FFF2-40B4-BE49-F238E27FC236}">
              <a16:creationId xmlns:a16="http://schemas.microsoft.com/office/drawing/2014/main" id="{00000000-0008-0000-0100-0000377529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1708</xdr:row>
      <xdr:rowOff>0</xdr:rowOff>
    </xdr:from>
    <xdr:to>
      <xdr:col>7</xdr:col>
      <xdr:colOff>0</xdr:colOff>
      <xdr:row>1731</xdr:row>
      <xdr:rowOff>0</xdr:rowOff>
    </xdr:to>
    <xdr:graphicFrame macro="">
      <xdr:nvGraphicFramePr>
        <xdr:cNvPr id="19494200" name="Chart 179">
          <a:extLst>
            <a:ext uri="{FF2B5EF4-FFF2-40B4-BE49-F238E27FC236}">
              <a16:creationId xmlns:a16="http://schemas.microsoft.com/office/drawing/2014/main" id="{00000000-0008-0000-0100-0000387529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1733</xdr:row>
      <xdr:rowOff>0</xdr:rowOff>
    </xdr:from>
    <xdr:to>
      <xdr:col>7</xdr:col>
      <xdr:colOff>0</xdr:colOff>
      <xdr:row>1756</xdr:row>
      <xdr:rowOff>0</xdr:rowOff>
    </xdr:to>
    <xdr:graphicFrame macro="">
      <xdr:nvGraphicFramePr>
        <xdr:cNvPr id="19494201" name="Chart 179">
          <a:extLst>
            <a:ext uri="{FF2B5EF4-FFF2-40B4-BE49-F238E27FC236}">
              <a16:creationId xmlns:a16="http://schemas.microsoft.com/office/drawing/2014/main" id="{00000000-0008-0000-0100-0000397529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0</xdr:colOff>
      <xdr:row>1241</xdr:row>
      <xdr:rowOff>0</xdr:rowOff>
    </xdr:from>
    <xdr:to>
      <xdr:col>7</xdr:col>
      <xdr:colOff>0</xdr:colOff>
      <xdr:row>1264</xdr:row>
      <xdr:rowOff>0</xdr:rowOff>
    </xdr:to>
    <xdr:graphicFrame macro="">
      <xdr:nvGraphicFramePr>
        <xdr:cNvPr id="19494202" name="Chart 179">
          <a:extLst>
            <a:ext uri="{FF2B5EF4-FFF2-40B4-BE49-F238E27FC236}">
              <a16:creationId xmlns:a16="http://schemas.microsoft.com/office/drawing/2014/main" id="{00000000-0008-0000-0100-00003A7529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1395</xdr:row>
      <xdr:rowOff>0</xdr:rowOff>
    </xdr:from>
    <xdr:to>
      <xdr:col>7</xdr:col>
      <xdr:colOff>0</xdr:colOff>
      <xdr:row>1418</xdr:row>
      <xdr:rowOff>0</xdr:rowOff>
    </xdr:to>
    <xdr:graphicFrame macro="">
      <xdr:nvGraphicFramePr>
        <xdr:cNvPr id="19494203" name="Chart 177">
          <a:extLst>
            <a:ext uri="{FF2B5EF4-FFF2-40B4-BE49-F238E27FC236}">
              <a16:creationId xmlns:a16="http://schemas.microsoft.com/office/drawing/2014/main" id="{00000000-0008-0000-0100-00003B7529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15</xdr:row>
          <xdr:rowOff>133350</xdr:rowOff>
        </xdr:from>
        <xdr:to>
          <xdr:col>1</xdr:col>
          <xdr:colOff>12700</xdr:colOff>
          <xdr:row>17</xdr:row>
          <xdr:rowOff>50800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Изменить параметры проекта...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23</xdr:row>
          <xdr:rowOff>0</xdr:rowOff>
        </xdr:from>
        <xdr:to>
          <xdr:col>1</xdr:col>
          <xdr:colOff>12700</xdr:colOff>
          <xdr:row>24</xdr:row>
          <xdr:rowOff>50800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Изменить отображение...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497</xdr:row>
          <xdr:rowOff>12700</xdr:rowOff>
        </xdr:from>
        <xdr:to>
          <xdr:col>2</xdr:col>
          <xdr:colOff>622300</xdr:colOff>
          <xdr:row>498</xdr:row>
          <xdr:rowOff>12700</xdr:rowOff>
        </xdr:to>
        <xdr:sp macro="" textlink="">
          <xdr:nvSpPr>
            <xdr:cNvPr id="1051" name="PRJ_BTN_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/ удалить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537</xdr:row>
          <xdr:rowOff>12700</xdr:rowOff>
        </xdr:from>
        <xdr:to>
          <xdr:col>2</xdr:col>
          <xdr:colOff>622300</xdr:colOff>
          <xdr:row>538</xdr:row>
          <xdr:rowOff>12700</xdr:rowOff>
        </xdr:to>
        <xdr:sp macro="" textlink="">
          <xdr:nvSpPr>
            <xdr:cNvPr id="1062" name="PRJ_BTN_3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/ удалить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676</xdr:row>
          <xdr:rowOff>0</xdr:rowOff>
        </xdr:from>
        <xdr:to>
          <xdr:col>2</xdr:col>
          <xdr:colOff>622300</xdr:colOff>
          <xdr:row>677</xdr:row>
          <xdr:rowOff>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/ удалить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852</xdr:row>
          <xdr:rowOff>0</xdr:rowOff>
        </xdr:from>
        <xdr:to>
          <xdr:col>2</xdr:col>
          <xdr:colOff>622300</xdr:colOff>
          <xdr:row>853</xdr:row>
          <xdr:rowOff>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/ удалить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942</xdr:row>
          <xdr:rowOff>0</xdr:rowOff>
        </xdr:from>
        <xdr:to>
          <xdr:col>2</xdr:col>
          <xdr:colOff>622300</xdr:colOff>
          <xdr:row>943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/ удалить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1027</xdr:row>
          <xdr:rowOff>0</xdr:rowOff>
        </xdr:from>
        <xdr:to>
          <xdr:col>2</xdr:col>
          <xdr:colOff>622300</xdr:colOff>
          <xdr:row>1028</xdr:row>
          <xdr:rowOff>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/ удалить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852</xdr:row>
          <xdr:rowOff>0</xdr:rowOff>
        </xdr:from>
        <xdr:to>
          <xdr:col>2</xdr:col>
          <xdr:colOff>622300</xdr:colOff>
          <xdr:row>853</xdr:row>
          <xdr:rowOff>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/ удалить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101</xdr:row>
          <xdr:rowOff>12700</xdr:rowOff>
        </xdr:from>
        <xdr:to>
          <xdr:col>2</xdr:col>
          <xdr:colOff>622300</xdr:colOff>
          <xdr:row>102</xdr:row>
          <xdr:rowOff>12700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/ удалить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1200</xdr:row>
          <xdr:rowOff>0</xdr:rowOff>
        </xdr:from>
        <xdr:to>
          <xdr:col>2</xdr:col>
          <xdr:colOff>628650</xdr:colOff>
          <xdr:row>1201</xdr:row>
          <xdr:rowOff>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/ удалить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1216</xdr:row>
          <xdr:rowOff>0</xdr:rowOff>
        </xdr:from>
        <xdr:to>
          <xdr:col>0</xdr:col>
          <xdr:colOff>2952750</xdr:colOff>
          <xdr:row>1217</xdr:row>
          <xdr:rowOff>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7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автоматический подбор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280</xdr:row>
          <xdr:rowOff>0</xdr:rowOff>
        </xdr:from>
        <xdr:to>
          <xdr:col>2</xdr:col>
          <xdr:colOff>622300</xdr:colOff>
          <xdr:row>281</xdr:row>
          <xdr:rowOff>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/ удалить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3</xdr:row>
          <xdr:rowOff>12700</xdr:rowOff>
        </xdr:from>
        <xdr:to>
          <xdr:col>0</xdr:col>
          <xdr:colOff>222250</xdr:colOff>
          <xdr:row>3</xdr:row>
          <xdr:rowOff>190500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34</xdr:row>
          <xdr:rowOff>12700</xdr:rowOff>
        </xdr:from>
        <xdr:to>
          <xdr:col>0</xdr:col>
          <xdr:colOff>222250</xdr:colOff>
          <xdr:row>34</xdr:row>
          <xdr:rowOff>190500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74</xdr:row>
          <xdr:rowOff>12700</xdr:rowOff>
        </xdr:from>
        <xdr:to>
          <xdr:col>0</xdr:col>
          <xdr:colOff>222250</xdr:colOff>
          <xdr:row>74</xdr:row>
          <xdr:rowOff>190500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101</xdr:row>
          <xdr:rowOff>12700</xdr:rowOff>
        </xdr:from>
        <xdr:to>
          <xdr:col>0</xdr:col>
          <xdr:colOff>222250</xdr:colOff>
          <xdr:row>101</xdr:row>
          <xdr:rowOff>190500</xdr:rowOff>
        </xdr:to>
        <xdr:sp macro="" textlink="">
          <xdr:nvSpPr>
            <xdr:cNvPr id="1192" name="Button 168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00000000-0008-0000-0100-0000A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230</xdr:row>
          <xdr:rowOff>12700</xdr:rowOff>
        </xdr:from>
        <xdr:to>
          <xdr:col>0</xdr:col>
          <xdr:colOff>222250</xdr:colOff>
          <xdr:row>230</xdr:row>
          <xdr:rowOff>190500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280</xdr:row>
          <xdr:rowOff>12700</xdr:rowOff>
        </xdr:from>
        <xdr:to>
          <xdr:col>0</xdr:col>
          <xdr:colOff>222250</xdr:colOff>
          <xdr:row>280</xdr:row>
          <xdr:rowOff>190500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497</xdr:row>
          <xdr:rowOff>12700</xdr:rowOff>
        </xdr:from>
        <xdr:to>
          <xdr:col>0</xdr:col>
          <xdr:colOff>222250</xdr:colOff>
          <xdr:row>497</xdr:row>
          <xdr:rowOff>190500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537</xdr:row>
          <xdr:rowOff>12700</xdr:rowOff>
        </xdr:from>
        <xdr:to>
          <xdr:col>0</xdr:col>
          <xdr:colOff>222250</xdr:colOff>
          <xdr:row>537</xdr:row>
          <xdr:rowOff>190500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548</xdr:row>
          <xdr:rowOff>12700</xdr:rowOff>
        </xdr:from>
        <xdr:to>
          <xdr:col>0</xdr:col>
          <xdr:colOff>222250</xdr:colOff>
          <xdr:row>548</xdr:row>
          <xdr:rowOff>190500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558</xdr:row>
          <xdr:rowOff>12700</xdr:rowOff>
        </xdr:from>
        <xdr:to>
          <xdr:col>0</xdr:col>
          <xdr:colOff>222250</xdr:colOff>
          <xdr:row>558</xdr:row>
          <xdr:rowOff>190500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598</xdr:row>
          <xdr:rowOff>12700</xdr:rowOff>
        </xdr:from>
        <xdr:to>
          <xdr:col>0</xdr:col>
          <xdr:colOff>222250</xdr:colOff>
          <xdr:row>598</xdr:row>
          <xdr:rowOff>190500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651</xdr:row>
          <xdr:rowOff>12700</xdr:rowOff>
        </xdr:from>
        <xdr:to>
          <xdr:col>0</xdr:col>
          <xdr:colOff>222250</xdr:colOff>
          <xdr:row>651</xdr:row>
          <xdr:rowOff>190500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676</xdr:row>
          <xdr:rowOff>0</xdr:rowOff>
        </xdr:from>
        <xdr:to>
          <xdr:col>0</xdr:col>
          <xdr:colOff>222250</xdr:colOff>
          <xdr:row>676</xdr:row>
          <xdr:rowOff>184150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692</xdr:row>
          <xdr:rowOff>12700</xdr:rowOff>
        </xdr:from>
        <xdr:to>
          <xdr:col>0</xdr:col>
          <xdr:colOff>222250</xdr:colOff>
          <xdr:row>692</xdr:row>
          <xdr:rowOff>190500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738</xdr:row>
          <xdr:rowOff>12700</xdr:rowOff>
        </xdr:from>
        <xdr:to>
          <xdr:col>0</xdr:col>
          <xdr:colOff>222250</xdr:colOff>
          <xdr:row>738</xdr:row>
          <xdr:rowOff>190500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852</xdr:row>
          <xdr:rowOff>12700</xdr:rowOff>
        </xdr:from>
        <xdr:to>
          <xdr:col>0</xdr:col>
          <xdr:colOff>222250</xdr:colOff>
          <xdr:row>852</xdr:row>
          <xdr:rowOff>190500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942</xdr:row>
          <xdr:rowOff>12700</xdr:rowOff>
        </xdr:from>
        <xdr:to>
          <xdr:col>0</xdr:col>
          <xdr:colOff>222250</xdr:colOff>
          <xdr:row>942</xdr:row>
          <xdr:rowOff>190500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1027</xdr:row>
          <xdr:rowOff>12700</xdr:rowOff>
        </xdr:from>
        <xdr:to>
          <xdr:col>0</xdr:col>
          <xdr:colOff>222250</xdr:colOff>
          <xdr:row>1027</xdr:row>
          <xdr:rowOff>190500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1112</xdr:row>
          <xdr:rowOff>12700</xdr:rowOff>
        </xdr:from>
        <xdr:to>
          <xdr:col>0</xdr:col>
          <xdr:colOff>222250</xdr:colOff>
          <xdr:row>1112</xdr:row>
          <xdr:rowOff>190500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1177</xdr:row>
          <xdr:rowOff>12700</xdr:rowOff>
        </xdr:from>
        <xdr:to>
          <xdr:col>0</xdr:col>
          <xdr:colOff>222250</xdr:colOff>
          <xdr:row>1177</xdr:row>
          <xdr:rowOff>190500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1200</xdr:row>
          <xdr:rowOff>12700</xdr:rowOff>
        </xdr:from>
        <xdr:to>
          <xdr:col>0</xdr:col>
          <xdr:colOff>222250</xdr:colOff>
          <xdr:row>1200</xdr:row>
          <xdr:rowOff>190500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1266</xdr:row>
          <xdr:rowOff>12700</xdr:rowOff>
        </xdr:from>
        <xdr:to>
          <xdr:col>0</xdr:col>
          <xdr:colOff>222250</xdr:colOff>
          <xdr:row>1266</xdr:row>
          <xdr:rowOff>190500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1298</xdr:row>
          <xdr:rowOff>12700</xdr:rowOff>
        </xdr:from>
        <xdr:to>
          <xdr:col>0</xdr:col>
          <xdr:colOff>222250</xdr:colOff>
          <xdr:row>1298</xdr:row>
          <xdr:rowOff>190500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1420</xdr:row>
          <xdr:rowOff>12700</xdr:rowOff>
        </xdr:from>
        <xdr:to>
          <xdr:col>0</xdr:col>
          <xdr:colOff>222250</xdr:colOff>
          <xdr:row>1420</xdr:row>
          <xdr:rowOff>190500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1560</xdr:row>
          <xdr:rowOff>12700</xdr:rowOff>
        </xdr:from>
        <xdr:to>
          <xdr:col>0</xdr:col>
          <xdr:colOff>222250</xdr:colOff>
          <xdr:row>1560</xdr:row>
          <xdr:rowOff>190500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1655</xdr:row>
          <xdr:rowOff>12700</xdr:rowOff>
        </xdr:from>
        <xdr:to>
          <xdr:col>0</xdr:col>
          <xdr:colOff>222250</xdr:colOff>
          <xdr:row>1655</xdr:row>
          <xdr:rowOff>190500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1758</xdr:row>
          <xdr:rowOff>12700</xdr:rowOff>
        </xdr:from>
        <xdr:to>
          <xdr:col>0</xdr:col>
          <xdr:colOff>222250</xdr:colOff>
          <xdr:row>1758</xdr:row>
          <xdr:rowOff>190500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1831</xdr:row>
          <xdr:rowOff>12700</xdr:rowOff>
        </xdr:from>
        <xdr:to>
          <xdr:col>0</xdr:col>
          <xdr:colOff>222250</xdr:colOff>
          <xdr:row>1831</xdr:row>
          <xdr:rowOff>190500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1904</xdr:row>
          <xdr:rowOff>12700</xdr:rowOff>
        </xdr:from>
        <xdr:to>
          <xdr:col>0</xdr:col>
          <xdr:colOff>222250</xdr:colOff>
          <xdr:row>1904</xdr:row>
          <xdr:rowOff>190500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1975</xdr:row>
          <xdr:rowOff>12700</xdr:rowOff>
        </xdr:from>
        <xdr:to>
          <xdr:col>0</xdr:col>
          <xdr:colOff>222250</xdr:colOff>
          <xdr:row>1975</xdr:row>
          <xdr:rowOff>190500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2001</xdr:row>
          <xdr:rowOff>12700</xdr:rowOff>
        </xdr:from>
        <xdr:to>
          <xdr:col>0</xdr:col>
          <xdr:colOff>222250</xdr:colOff>
          <xdr:row>2001</xdr:row>
          <xdr:rowOff>190500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2052</xdr:row>
          <xdr:rowOff>12700</xdr:rowOff>
        </xdr:from>
        <xdr:to>
          <xdr:col>0</xdr:col>
          <xdr:colOff>222250</xdr:colOff>
          <xdr:row>2052</xdr:row>
          <xdr:rowOff>190500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2092</xdr:row>
          <xdr:rowOff>12700</xdr:rowOff>
        </xdr:from>
        <xdr:to>
          <xdr:col>0</xdr:col>
          <xdr:colOff>222250</xdr:colOff>
          <xdr:row>2092</xdr:row>
          <xdr:rowOff>190500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1376</xdr:row>
          <xdr:rowOff>12700</xdr:rowOff>
        </xdr:from>
        <xdr:to>
          <xdr:col>0</xdr:col>
          <xdr:colOff>222250</xdr:colOff>
          <xdr:row>1376</xdr:row>
          <xdr:rowOff>190500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2092</xdr:row>
          <xdr:rowOff>0</xdr:rowOff>
        </xdr:from>
        <xdr:to>
          <xdr:col>2</xdr:col>
          <xdr:colOff>622300</xdr:colOff>
          <xdr:row>2093</xdr:row>
          <xdr:rowOff>69273</xdr:rowOff>
        </xdr:to>
        <xdr:sp macro="" textlink="">
          <xdr:nvSpPr>
            <xdr:cNvPr id="3424338" name="Button 2130" hidden="1">
              <a:extLst>
                <a:ext uri="{63B3BB69-23CF-44E3-9099-C40C66FF867C}">
                  <a14:compatExt spid="_x0000_s3424338"/>
                </a:ext>
                <a:ext uri="{FF2B5EF4-FFF2-40B4-BE49-F238E27FC236}">
                  <a16:creationId xmlns:a16="http://schemas.microsoft.com/office/drawing/2014/main" id="{00000000-0008-0000-0100-000052403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Настроить...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2107</xdr:row>
          <xdr:rowOff>19050</xdr:rowOff>
        </xdr:from>
        <xdr:to>
          <xdr:col>0</xdr:col>
          <xdr:colOff>2952750</xdr:colOff>
          <xdr:row>2108</xdr:row>
          <xdr:rowOff>133350</xdr:rowOff>
        </xdr:to>
        <xdr:sp macro="" textlink="">
          <xdr:nvSpPr>
            <xdr:cNvPr id="3424469" name="Button 2261" hidden="1">
              <a:extLst>
                <a:ext uri="{63B3BB69-23CF-44E3-9099-C40C66FF867C}">
                  <a14:compatExt spid="_x0000_s3424469"/>
                </a:ext>
                <a:ext uri="{FF2B5EF4-FFF2-40B4-BE49-F238E27FC236}">
                  <a16:creationId xmlns:a16="http://schemas.microsoft.com/office/drawing/2014/main" id="{00000000-0008-0000-0100-0000D5403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Пересчитать ...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716</xdr:row>
      <xdr:rowOff>0</xdr:rowOff>
    </xdr:from>
    <xdr:to>
      <xdr:col>7</xdr:col>
      <xdr:colOff>0</xdr:colOff>
      <xdr:row>739</xdr:row>
      <xdr:rowOff>0</xdr:rowOff>
    </xdr:to>
    <xdr:graphicFrame macro="">
      <xdr:nvGraphicFramePr>
        <xdr:cNvPr id="17747848" name="Chart 34">
          <a:extLst>
            <a:ext uri="{FF2B5EF4-FFF2-40B4-BE49-F238E27FC236}">
              <a16:creationId xmlns:a16="http://schemas.microsoft.com/office/drawing/2014/main" id="{00000000-0008-0000-0200-000088CF0E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791</xdr:row>
      <xdr:rowOff>0</xdr:rowOff>
    </xdr:from>
    <xdr:to>
      <xdr:col>7</xdr:col>
      <xdr:colOff>0</xdr:colOff>
      <xdr:row>814</xdr:row>
      <xdr:rowOff>0</xdr:rowOff>
    </xdr:to>
    <xdr:graphicFrame macro="">
      <xdr:nvGraphicFramePr>
        <xdr:cNvPr id="17747849" name="Chart 185">
          <a:extLst>
            <a:ext uri="{FF2B5EF4-FFF2-40B4-BE49-F238E27FC236}">
              <a16:creationId xmlns:a16="http://schemas.microsoft.com/office/drawing/2014/main" id="{00000000-0008-0000-0200-000089CF0E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864</xdr:row>
      <xdr:rowOff>0</xdr:rowOff>
    </xdr:from>
    <xdr:to>
      <xdr:col>7</xdr:col>
      <xdr:colOff>0</xdr:colOff>
      <xdr:row>886</xdr:row>
      <xdr:rowOff>133350</xdr:rowOff>
    </xdr:to>
    <xdr:graphicFrame macro="">
      <xdr:nvGraphicFramePr>
        <xdr:cNvPr id="17747850" name="Chart 186">
          <a:extLst>
            <a:ext uri="{FF2B5EF4-FFF2-40B4-BE49-F238E27FC236}">
              <a16:creationId xmlns:a16="http://schemas.microsoft.com/office/drawing/2014/main" id="{00000000-0008-0000-0200-00008ACF0E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189</xdr:row>
      <xdr:rowOff>0</xdr:rowOff>
    </xdr:from>
    <xdr:to>
      <xdr:col>7</xdr:col>
      <xdr:colOff>0</xdr:colOff>
      <xdr:row>212</xdr:row>
      <xdr:rowOff>0</xdr:rowOff>
    </xdr:to>
    <xdr:graphicFrame macro="">
      <xdr:nvGraphicFramePr>
        <xdr:cNvPr id="17747851" name="Chart 176">
          <a:extLst>
            <a:ext uri="{FF2B5EF4-FFF2-40B4-BE49-F238E27FC236}">
              <a16:creationId xmlns:a16="http://schemas.microsoft.com/office/drawing/2014/main" id="{00000000-0008-0000-0200-00008BCF0E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214</xdr:row>
      <xdr:rowOff>0</xdr:rowOff>
    </xdr:from>
    <xdr:to>
      <xdr:col>7</xdr:col>
      <xdr:colOff>0</xdr:colOff>
      <xdr:row>237</xdr:row>
      <xdr:rowOff>0</xdr:rowOff>
    </xdr:to>
    <xdr:graphicFrame macro="">
      <xdr:nvGraphicFramePr>
        <xdr:cNvPr id="17747852" name="Chart 177">
          <a:extLst>
            <a:ext uri="{FF2B5EF4-FFF2-40B4-BE49-F238E27FC236}">
              <a16:creationId xmlns:a16="http://schemas.microsoft.com/office/drawing/2014/main" id="{00000000-0008-0000-0200-00008CCF0E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239</xdr:row>
      <xdr:rowOff>0</xdr:rowOff>
    </xdr:from>
    <xdr:to>
      <xdr:col>7</xdr:col>
      <xdr:colOff>0</xdr:colOff>
      <xdr:row>262</xdr:row>
      <xdr:rowOff>0</xdr:rowOff>
    </xdr:to>
    <xdr:graphicFrame macro="">
      <xdr:nvGraphicFramePr>
        <xdr:cNvPr id="17747853" name="Chart 177">
          <a:extLst>
            <a:ext uri="{FF2B5EF4-FFF2-40B4-BE49-F238E27FC236}">
              <a16:creationId xmlns:a16="http://schemas.microsoft.com/office/drawing/2014/main" id="{00000000-0008-0000-0200-00008DCF0E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334</xdr:row>
      <xdr:rowOff>0</xdr:rowOff>
    </xdr:from>
    <xdr:to>
      <xdr:col>7</xdr:col>
      <xdr:colOff>0</xdr:colOff>
      <xdr:row>356</xdr:row>
      <xdr:rowOff>133350</xdr:rowOff>
    </xdr:to>
    <xdr:graphicFrame macro="">
      <xdr:nvGraphicFramePr>
        <xdr:cNvPr id="17747854" name="Chart 178">
          <a:extLst>
            <a:ext uri="{FF2B5EF4-FFF2-40B4-BE49-F238E27FC236}">
              <a16:creationId xmlns:a16="http://schemas.microsoft.com/office/drawing/2014/main" id="{00000000-0008-0000-0200-00008ECF0E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359</xdr:row>
      <xdr:rowOff>0</xdr:rowOff>
    </xdr:from>
    <xdr:to>
      <xdr:col>7</xdr:col>
      <xdr:colOff>0</xdr:colOff>
      <xdr:row>382</xdr:row>
      <xdr:rowOff>0</xdr:rowOff>
    </xdr:to>
    <xdr:graphicFrame macro="">
      <xdr:nvGraphicFramePr>
        <xdr:cNvPr id="17747855" name="Chart 179">
          <a:extLst>
            <a:ext uri="{FF2B5EF4-FFF2-40B4-BE49-F238E27FC236}">
              <a16:creationId xmlns:a16="http://schemas.microsoft.com/office/drawing/2014/main" id="{00000000-0008-0000-0200-00008FCF0E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384</xdr:row>
      <xdr:rowOff>0</xdr:rowOff>
    </xdr:from>
    <xdr:to>
      <xdr:col>7</xdr:col>
      <xdr:colOff>0</xdr:colOff>
      <xdr:row>407</xdr:row>
      <xdr:rowOff>0</xdr:rowOff>
    </xdr:to>
    <xdr:graphicFrame macro="">
      <xdr:nvGraphicFramePr>
        <xdr:cNvPr id="17747856" name="Chart 178">
          <a:extLst>
            <a:ext uri="{FF2B5EF4-FFF2-40B4-BE49-F238E27FC236}">
              <a16:creationId xmlns:a16="http://schemas.microsoft.com/office/drawing/2014/main" id="{00000000-0008-0000-0200-000090CF0E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409</xdr:row>
      <xdr:rowOff>0</xdr:rowOff>
    </xdr:from>
    <xdr:to>
      <xdr:col>7</xdr:col>
      <xdr:colOff>0</xdr:colOff>
      <xdr:row>432</xdr:row>
      <xdr:rowOff>0</xdr:rowOff>
    </xdr:to>
    <xdr:graphicFrame macro="">
      <xdr:nvGraphicFramePr>
        <xdr:cNvPr id="17747857" name="Chart 179">
          <a:extLst>
            <a:ext uri="{FF2B5EF4-FFF2-40B4-BE49-F238E27FC236}">
              <a16:creationId xmlns:a16="http://schemas.microsoft.com/office/drawing/2014/main" id="{00000000-0008-0000-0200-000091CF0E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513</xdr:row>
      <xdr:rowOff>0</xdr:rowOff>
    </xdr:from>
    <xdr:to>
      <xdr:col>7</xdr:col>
      <xdr:colOff>0</xdr:colOff>
      <xdr:row>536</xdr:row>
      <xdr:rowOff>0</xdr:rowOff>
    </xdr:to>
    <xdr:graphicFrame macro="">
      <xdr:nvGraphicFramePr>
        <xdr:cNvPr id="17747858" name="Chart 179">
          <a:extLst>
            <a:ext uri="{FF2B5EF4-FFF2-40B4-BE49-F238E27FC236}">
              <a16:creationId xmlns:a16="http://schemas.microsoft.com/office/drawing/2014/main" id="{00000000-0008-0000-0200-000092CF0E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538</xdr:row>
      <xdr:rowOff>0</xdr:rowOff>
    </xdr:from>
    <xdr:to>
      <xdr:col>7</xdr:col>
      <xdr:colOff>0</xdr:colOff>
      <xdr:row>561</xdr:row>
      <xdr:rowOff>0</xdr:rowOff>
    </xdr:to>
    <xdr:graphicFrame macro="">
      <xdr:nvGraphicFramePr>
        <xdr:cNvPr id="17747859" name="Chart 179">
          <a:extLst>
            <a:ext uri="{FF2B5EF4-FFF2-40B4-BE49-F238E27FC236}">
              <a16:creationId xmlns:a16="http://schemas.microsoft.com/office/drawing/2014/main" id="{00000000-0008-0000-0200-000093CF0E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591</xdr:row>
      <xdr:rowOff>0</xdr:rowOff>
    </xdr:from>
    <xdr:to>
      <xdr:col>7</xdr:col>
      <xdr:colOff>0</xdr:colOff>
      <xdr:row>614</xdr:row>
      <xdr:rowOff>0</xdr:rowOff>
    </xdr:to>
    <xdr:graphicFrame macro="">
      <xdr:nvGraphicFramePr>
        <xdr:cNvPr id="17747860" name="Chart 179">
          <a:extLst>
            <a:ext uri="{FF2B5EF4-FFF2-40B4-BE49-F238E27FC236}">
              <a16:creationId xmlns:a16="http://schemas.microsoft.com/office/drawing/2014/main" id="{00000000-0008-0000-0200-000094CF0E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616</xdr:row>
      <xdr:rowOff>0</xdr:rowOff>
    </xdr:from>
    <xdr:to>
      <xdr:col>7</xdr:col>
      <xdr:colOff>0</xdr:colOff>
      <xdr:row>639</xdr:row>
      <xdr:rowOff>0</xdr:rowOff>
    </xdr:to>
    <xdr:graphicFrame macro="">
      <xdr:nvGraphicFramePr>
        <xdr:cNvPr id="17747861" name="Chart 179">
          <a:extLst>
            <a:ext uri="{FF2B5EF4-FFF2-40B4-BE49-F238E27FC236}">
              <a16:creationId xmlns:a16="http://schemas.microsoft.com/office/drawing/2014/main" id="{00000000-0008-0000-0200-000095CF0E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641</xdr:row>
      <xdr:rowOff>0</xdr:rowOff>
    </xdr:from>
    <xdr:to>
      <xdr:col>7</xdr:col>
      <xdr:colOff>0</xdr:colOff>
      <xdr:row>664</xdr:row>
      <xdr:rowOff>0</xdr:rowOff>
    </xdr:to>
    <xdr:graphicFrame macro="">
      <xdr:nvGraphicFramePr>
        <xdr:cNvPr id="17747862" name="Chart 179">
          <a:extLst>
            <a:ext uri="{FF2B5EF4-FFF2-40B4-BE49-F238E27FC236}">
              <a16:creationId xmlns:a16="http://schemas.microsoft.com/office/drawing/2014/main" id="{00000000-0008-0000-0200-000096CF0E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16</xdr:row>
          <xdr:rowOff>0</xdr:rowOff>
        </xdr:from>
        <xdr:to>
          <xdr:col>1</xdr:col>
          <xdr:colOff>0</xdr:colOff>
          <xdr:row>17</xdr:row>
          <xdr:rowOff>0</xdr:rowOff>
        </xdr:to>
        <xdr:sp macro="" textlink="">
          <xdr:nvSpPr>
            <xdr:cNvPr id="4097" name="PORT_BTN_3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Обновить данные проектов...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8</xdr:row>
          <xdr:rowOff>0</xdr:rowOff>
        </xdr:from>
        <xdr:to>
          <xdr:col>0</xdr:col>
          <xdr:colOff>1409700</xdr:colOff>
          <xdr:row>9</xdr:row>
          <xdr:rowOff>0</xdr:rowOff>
        </xdr:to>
        <xdr:sp macro="" textlink="">
          <xdr:nvSpPr>
            <xdr:cNvPr id="4098" name="PORT_BTN_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проект...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1543050</xdr:colOff>
          <xdr:row>8</xdr:row>
          <xdr:rowOff>0</xdr:rowOff>
        </xdr:from>
        <xdr:to>
          <xdr:col>0</xdr:col>
          <xdr:colOff>2895600</xdr:colOff>
          <xdr:row>9</xdr:row>
          <xdr:rowOff>0</xdr:rowOff>
        </xdr:to>
        <xdr:sp macro="" textlink="">
          <xdr:nvSpPr>
            <xdr:cNvPr id="4099" name="PORT_BTN_2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Удалить проект...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3</xdr:row>
          <xdr:rowOff>12700</xdr:rowOff>
        </xdr:from>
        <xdr:to>
          <xdr:col>0</xdr:col>
          <xdr:colOff>222250</xdr:colOff>
          <xdr:row>3</xdr:row>
          <xdr:rowOff>190500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38</xdr:row>
          <xdr:rowOff>12700</xdr:rowOff>
        </xdr:from>
        <xdr:to>
          <xdr:col>0</xdr:col>
          <xdr:colOff>222250</xdr:colOff>
          <xdr:row>38</xdr:row>
          <xdr:rowOff>190500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121</xdr:row>
          <xdr:rowOff>12700</xdr:rowOff>
        </xdr:from>
        <xdr:to>
          <xdr:col>0</xdr:col>
          <xdr:colOff>222250</xdr:colOff>
          <xdr:row>121</xdr:row>
          <xdr:rowOff>190500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264</xdr:row>
          <xdr:rowOff>12700</xdr:rowOff>
        </xdr:from>
        <xdr:to>
          <xdr:col>0</xdr:col>
          <xdr:colOff>222250</xdr:colOff>
          <xdr:row>264</xdr:row>
          <xdr:rowOff>190500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65</xdr:row>
          <xdr:rowOff>12700</xdr:rowOff>
        </xdr:from>
        <xdr:to>
          <xdr:col>0</xdr:col>
          <xdr:colOff>222250</xdr:colOff>
          <xdr:row>65</xdr:row>
          <xdr:rowOff>190500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2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434</xdr:row>
          <xdr:rowOff>12700</xdr:rowOff>
        </xdr:from>
        <xdr:to>
          <xdr:col>0</xdr:col>
          <xdr:colOff>222250</xdr:colOff>
          <xdr:row>434</xdr:row>
          <xdr:rowOff>190500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2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563</xdr:row>
          <xdr:rowOff>12700</xdr:rowOff>
        </xdr:from>
        <xdr:to>
          <xdr:col>0</xdr:col>
          <xdr:colOff>222250</xdr:colOff>
          <xdr:row>563</xdr:row>
          <xdr:rowOff>190500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2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666</xdr:row>
          <xdr:rowOff>0</xdr:rowOff>
        </xdr:from>
        <xdr:to>
          <xdr:col>0</xdr:col>
          <xdr:colOff>222250</xdr:colOff>
          <xdr:row>666</xdr:row>
          <xdr:rowOff>184150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2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741</xdr:row>
          <xdr:rowOff>0</xdr:rowOff>
        </xdr:from>
        <xdr:to>
          <xdr:col>0</xdr:col>
          <xdr:colOff>222250</xdr:colOff>
          <xdr:row>741</xdr:row>
          <xdr:rowOff>184150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2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816</xdr:row>
          <xdr:rowOff>12700</xdr:rowOff>
        </xdr:from>
        <xdr:to>
          <xdr:col>0</xdr:col>
          <xdr:colOff>222250</xdr:colOff>
          <xdr:row>816</xdr:row>
          <xdr:rowOff>190500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2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889</xdr:row>
          <xdr:rowOff>0</xdr:rowOff>
        </xdr:from>
        <xdr:to>
          <xdr:col>0</xdr:col>
          <xdr:colOff>222250</xdr:colOff>
          <xdr:row>889</xdr:row>
          <xdr:rowOff>184150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2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917</xdr:row>
          <xdr:rowOff>12700</xdr:rowOff>
        </xdr:from>
        <xdr:to>
          <xdr:col>0</xdr:col>
          <xdr:colOff>222250</xdr:colOff>
          <xdr:row>917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2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0.28442</cdr:x>
      <cdr:y>0.44403</cdr:y>
    </cdr:from>
    <cdr:to>
      <cdr:x>0.29354</cdr:x>
      <cdr:y>0.48654</cdr:y>
    </cdr:to>
    <cdr:sp macro="" textlink="">
      <cdr:nvSpPr>
        <cdr:cNvPr id="28989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481129" y="1651750"/>
          <a:ext cx="80693" cy="16049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1">
            <a:defRPr sz="1000"/>
          </a:pPr>
          <a:r>
            <a:rPr lang="ru-RU" sz="800" b="0" i="0" strike="noStrike">
              <a:solidFill>
                <a:srgbClr val="000000"/>
              </a:solidFill>
              <a:latin typeface="Arial Cyr"/>
            </a:rPr>
            <a:t>  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643</xdr:row>
      <xdr:rowOff>0</xdr:rowOff>
    </xdr:from>
    <xdr:to>
      <xdr:col>7</xdr:col>
      <xdr:colOff>0</xdr:colOff>
      <xdr:row>666</xdr:row>
      <xdr:rowOff>0</xdr:rowOff>
    </xdr:to>
    <xdr:graphicFrame macro="">
      <xdr:nvGraphicFramePr>
        <xdr:cNvPr id="11515689" name="Chart 179">
          <a:extLst>
            <a:ext uri="{FF2B5EF4-FFF2-40B4-BE49-F238E27FC236}">
              <a16:creationId xmlns:a16="http://schemas.microsoft.com/office/drawing/2014/main" id="{00000000-0008-0000-0300-000029B7A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697</xdr:row>
      <xdr:rowOff>0</xdr:rowOff>
    </xdr:from>
    <xdr:to>
      <xdr:col>7</xdr:col>
      <xdr:colOff>0</xdr:colOff>
      <xdr:row>720</xdr:row>
      <xdr:rowOff>0</xdr:rowOff>
    </xdr:to>
    <xdr:graphicFrame macro="">
      <xdr:nvGraphicFramePr>
        <xdr:cNvPr id="11515690" name="Chart 176">
          <a:extLst>
            <a:ext uri="{FF2B5EF4-FFF2-40B4-BE49-F238E27FC236}">
              <a16:creationId xmlns:a16="http://schemas.microsoft.com/office/drawing/2014/main" id="{00000000-0008-0000-0300-00002AB7A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723</xdr:row>
      <xdr:rowOff>0</xdr:rowOff>
    </xdr:from>
    <xdr:to>
      <xdr:col>7</xdr:col>
      <xdr:colOff>0</xdr:colOff>
      <xdr:row>746</xdr:row>
      <xdr:rowOff>0</xdr:rowOff>
    </xdr:to>
    <xdr:graphicFrame macro="">
      <xdr:nvGraphicFramePr>
        <xdr:cNvPr id="11515691" name="Chart 177">
          <a:extLst>
            <a:ext uri="{FF2B5EF4-FFF2-40B4-BE49-F238E27FC236}">
              <a16:creationId xmlns:a16="http://schemas.microsoft.com/office/drawing/2014/main" id="{00000000-0008-0000-0300-00002BB7A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749</xdr:row>
      <xdr:rowOff>0</xdr:rowOff>
    </xdr:from>
    <xdr:to>
      <xdr:col>7</xdr:col>
      <xdr:colOff>0</xdr:colOff>
      <xdr:row>772</xdr:row>
      <xdr:rowOff>0</xdr:rowOff>
    </xdr:to>
    <xdr:graphicFrame macro="">
      <xdr:nvGraphicFramePr>
        <xdr:cNvPr id="11515692" name="Chart 177">
          <a:extLst>
            <a:ext uri="{FF2B5EF4-FFF2-40B4-BE49-F238E27FC236}">
              <a16:creationId xmlns:a16="http://schemas.microsoft.com/office/drawing/2014/main" id="{00000000-0008-0000-0300-00002CB7A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815</xdr:row>
      <xdr:rowOff>0</xdr:rowOff>
    </xdr:from>
    <xdr:to>
      <xdr:col>7</xdr:col>
      <xdr:colOff>0</xdr:colOff>
      <xdr:row>837</xdr:row>
      <xdr:rowOff>133350</xdr:rowOff>
    </xdr:to>
    <xdr:graphicFrame macro="">
      <xdr:nvGraphicFramePr>
        <xdr:cNvPr id="11515693" name="Chart 178">
          <a:extLst>
            <a:ext uri="{FF2B5EF4-FFF2-40B4-BE49-F238E27FC236}">
              <a16:creationId xmlns:a16="http://schemas.microsoft.com/office/drawing/2014/main" id="{00000000-0008-0000-0300-00002DB7A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841</xdr:row>
      <xdr:rowOff>0</xdr:rowOff>
    </xdr:from>
    <xdr:to>
      <xdr:col>7</xdr:col>
      <xdr:colOff>0</xdr:colOff>
      <xdr:row>864</xdr:row>
      <xdr:rowOff>0</xdr:rowOff>
    </xdr:to>
    <xdr:graphicFrame macro="">
      <xdr:nvGraphicFramePr>
        <xdr:cNvPr id="11515694" name="Chart 179">
          <a:extLst>
            <a:ext uri="{FF2B5EF4-FFF2-40B4-BE49-F238E27FC236}">
              <a16:creationId xmlns:a16="http://schemas.microsoft.com/office/drawing/2014/main" id="{00000000-0008-0000-0300-00002EB7A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867</xdr:row>
      <xdr:rowOff>0</xdr:rowOff>
    </xdr:from>
    <xdr:to>
      <xdr:col>7</xdr:col>
      <xdr:colOff>0</xdr:colOff>
      <xdr:row>890</xdr:row>
      <xdr:rowOff>0</xdr:rowOff>
    </xdr:to>
    <xdr:graphicFrame macro="">
      <xdr:nvGraphicFramePr>
        <xdr:cNvPr id="11515695" name="Chart 178">
          <a:extLst>
            <a:ext uri="{FF2B5EF4-FFF2-40B4-BE49-F238E27FC236}">
              <a16:creationId xmlns:a16="http://schemas.microsoft.com/office/drawing/2014/main" id="{00000000-0008-0000-0300-00002FB7A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893</xdr:row>
      <xdr:rowOff>0</xdr:rowOff>
    </xdr:from>
    <xdr:to>
      <xdr:col>7</xdr:col>
      <xdr:colOff>0</xdr:colOff>
      <xdr:row>916</xdr:row>
      <xdr:rowOff>0</xdr:rowOff>
    </xdr:to>
    <xdr:graphicFrame macro="">
      <xdr:nvGraphicFramePr>
        <xdr:cNvPr id="11515696" name="Chart 179">
          <a:extLst>
            <a:ext uri="{FF2B5EF4-FFF2-40B4-BE49-F238E27FC236}">
              <a16:creationId xmlns:a16="http://schemas.microsoft.com/office/drawing/2014/main" id="{00000000-0008-0000-0300-000030B7A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22</xdr:row>
          <xdr:rowOff>0</xdr:rowOff>
        </xdr:from>
        <xdr:to>
          <xdr:col>2</xdr:col>
          <xdr:colOff>0</xdr:colOff>
          <xdr:row>23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Собрать дистрибутив!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ALT invest">
      <a:dk1>
        <a:sysClr val="windowText" lastClr="000000"/>
      </a:dk1>
      <a:lt1>
        <a:sysClr val="window" lastClr="FFFFFF"/>
      </a:lt1>
      <a:dk2>
        <a:srgbClr val="1F497D"/>
      </a:dk2>
      <a:lt2>
        <a:srgbClr val="D7E3BC"/>
      </a:lt2>
      <a:accent1>
        <a:srgbClr val="B8CCE4"/>
      </a:accent1>
      <a:accent2>
        <a:srgbClr val="D8D8D8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.xml"/><Relationship Id="rId13" Type="http://schemas.openxmlformats.org/officeDocument/2006/relationships/ctrlProp" Target="../ctrlProps/ctrlProp59.xml"/><Relationship Id="rId18" Type="http://schemas.openxmlformats.org/officeDocument/2006/relationships/ctrlProp" Target="../ctrlProps/ctrlProp6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3.xml"/><Relationship Id="rId12" Type="http://schemas.openxmlformats.org/officeDocument/2006/relationships/ctrlProp" Target="../ctrlProps/ctrlProp58.xml"/><Relationship Id="rId17" Type="http://schemas.openxmlformats.org/officeDocument/2006/relationships/ctrlProp" Target="../ctrlProps/ctrlProp63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6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2.xml"/><Relationship Id="rId11" Type="http://schemas.openxmlformats.org/officeDocument/2006/relationships/ctrlProp" Target="../ctrlProps/ctrlProp57.xml"/><Relationship Id="rId5" Type="http://schemas.openxmlformats.org/officeDocument/2006/relationships/ctrlProp" Target="../ctrlProps/ctrlProp51.xml"/><Relationship Id="rId15" Type="http://schemas.openxmlformats.org/officeDocument/2006/relationships/ctrlProp" Target="../ctrlProps/ctrlProp61.xml"/><Relationship Id="rId10" Type="http://schemas.openxmlformats.org/officeDocument/2006/relationships/ctrlProp" Target="../ctrlProps/ctrlProp56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Relationship Id="rId14" Type="http://schemas.openxmlformats.org/officeDocument/2006/relationships/ctrlProp" Target="../ctrlProps/ctrlProp6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H19"/>
  <sheetViews>
    <sheetView topLeftCell="A4" zoomScale="130" zoomScaleNormal="130" workbookViewId="0">
      <selection activeCell="E7" sqref="E7"/>
    </sheetView>
  </sheetViews>
  <sheetFormatPr defaultRowHeight="10" outlineLevelRow="2" x14ac:dyDescent="0.2"/>
  <cols>
    <col min="2" max="2" width="16" bestFit="1" customWidth="1"/>
    <col min="3" max="3" width="24" customWidth="1"/>
    <col min="4" max="4" width="10.6640625" customWidth="1"/>
    <col min="5" max="5" width="11.44140625" bestFit="1" customWidth="1"/>
    <col min="6" max="6" width="20.33203125" style="319" bestFit="1" customWidth="1"/>
    <col min="7" max="7" width="10.6640625" style="319" bestFit="1" customWidth="1"/>
    <col min="8" max="8" width="20.33203125" style="319" customWidth="1"/>
  </cols>
  <sheetData>
    <row r="1" spans="2:8" x14ac:dyDescent="0.2">
      <c r="G1" s="319" t="s">
        <v>2675</v>
      </c>
    </row>
    <row r="2" spans="2:8" ht="20" x14ac:dyDescent="0.2">
      <c r="B2" t="s">
        <v>2664</v>
      </c>
      <c r="C2" s="319" t="s">
        <v>2654</v>
      </c>
      <c r="D2" s="108">
        <v>1</v>
      </c>
      <c r="E2">
        <v>30</v>
      </c>
      <c r="G2" s="319">
        <v>80</v>
      </c>
    </row>
    <row r="3" spans="2:8" ht="30" x14ac:dyDescent="0.2">
      <c r="C3" s="319" t="s">
        <v>2672</v>
      </c>
      <c r="D3" s="108"/>
      <c r="E3">
        <f>3*30*22</f>
        <v>1980</v>
      </c>
      <c r="F3" s="319" t="s">
        <v>2680</v>
      </c>
    </row>
    <row r="4" spans="2:8" x14ac:dyDescent="0.2">
      <c r="C4" s="319"/>
      <c r="D4" s="108"/>
    </row>
    <row r="6" spans="2:8" ht="19.5" x14ac:dyDescent="0.45">
      <c r="B6" s="315" t="s">
        <v>2663</v>
      </c>
      <c r="C6" s="315" t="s">
        <v>185</v>
      </c>
      <c r="D6" s="315" t="s">
        <v>2670</v>
      </c>
      <c r="E6" s="315" t="s">
        <v>2671</v>
      </c>
      <c r="F6" s="321" t="s">
        <v>2653</v>
      </c>
      <c r="G6" s="321" t="s">
        <v>2675</v>
      </c>
      <c r="H6" s="323" t="s">
        <v>2673</v>
      </c>
    </row>
    <row r="7" spans="2:8" outlineLevel="2" x14ac:dyDescent="0.2">
      <c r="B7" s="316" t="s">
        <v>2665</v>
      </c>
      <c r="C7" s="316" t="s">
        <v>2655</v>
      </c>
      <c r="D7" s="317">
        <v>0.03</v>
      </c>
      <c r="E7" s="316">
        <f>D7*$E$2</f>
        <v>0.89999999999999991</v>
      </c>
      <c r="F7" s="322"/>
      <c r="G7" s="322">
        <v>0</v>
      </c>
      <c r="H7" s="324">
        <f>E7*$E$3</f>
        <v>1781.9999999999998</v>
      </c>
    </row>
    <row r="8" spans="2:8" outlineLevel="2" x14ac:dyDescent="0.2">
      <c r="B8" s="316" t="s">
        <v>2665</v>
      </c>
      <c r="C8" s="316" t="s">
        <v>2661</v>
      </c>
      <c r="D8" s="317">
        <v>0.26</v>
      </c>
      <c r="E8" s="316">
        <f>D8*$E$2</f>
        <v>7.8000000000000007</v>
      </c>
      <c r="F8" s="322"/>
      <c r="G8" s="322">
        <v>0</v>
      </c>
      <c r="H8" s="324">
        <f t="shared" ref="H8:H18" si="0">E8*$E$3</f>
        <v>15444.000000000002</v>
      </c>
    </row>
    <row r="9" spans="2:8" outlineLevel="2" x14ac:dyDescent="0.2">
      <c r="B9" s="316" t="s">
        <v>2665</v>
      </c>
      <c r="C9" s="316" t="s">
        <v>2662</v>
      </c>
      <c r="D9" s="317">
        <v>0.02</v>
      </c>
      <c r="E9" s="316">
        <f>D9*$E$2</f>
        <v>0.6</v>
      </c>
      <c r="F9" s="322"/>
      <c r="G9" s="322">
        <v>0</v>
      </c>
      <c r="H9" s="324">
        <f t="shared" si="0"/>
        <v>1188</v>
      </c>
    </row>
    <row r="10" spans="2:8" ht="10.5" outlineLevel="1" x14ac:dyDescent="0.25">
      <c r="B10" s="318" t="s">
        <v>2667</v>
      </c>
      <c r="C10" s="316"/>
      <c r="D10" s="320">
        <f>SUBTOTAL(9,D7:D9)</f>
        <v>0.31000000000000005</v>
      </c>
      <c r="E10" s="318">
        <f>SUBTOTAL(9,E7:E9)</f>
        <v>9.3000000000000007</v>
      </c>
      <c r="F10" s="322"/>
      <c r="G10" s="322"/>
      <c r="H10" s="324">
        <f t="shared" si="0"/>
        <v>18414</v>
      </c>
    </row>
    <row r="11" spans="2:8" outlineLevel="2" x14ac:dyDescent="0.2">
      <c r="B11" s="316" t="s">
        <v>2666</v>
      </c>
      <c r="C11" s="316" t="s">
        <v>2656</v>
      </c>
      <c r="D11" s="317">
        <v>0.03</v>
      </c>
      <c r="E11" s="316">
        <f>D11*$E$2</f>
        <v>0.89999999999999991</v>
      </c>
      <c r="F11" s="322" t="s">
        <v>2657</v>
      </c>
      <c r="G11" s="325">
        <v>6000</v>
      </c>
      <c r="H11" s="324">
        <f>E11*$E$3</f>
        <v>1781.9999999999998</v>
      </c>
    </row>
    <row r="12" spans="2:8" outlineLevel="2" x14ac:dyDescent="0.2">
      <c r="B12" s="316" t="s">
        <v>2666</v>
      </c>
      <c r="C12" s="316" t="s">
        <v>2660</v>
      </c>
      <c r="D12" s="317">
        <v>0.05</v>
      </c>
      <c r="E12" s="316">
        <f>D12*$E$2</f>
        <v>1.5</v>
      </c>
      <c r="F12" s="322" t="s">
        <v>2674</v>
      </c>
      <c r="G12" s="325">
        <v>1000</v>
      </c>
      <c r="H12" s="324">
        <f>E12*$E$3</f>
        <v>2970</v>
      </c>
    </row>
    <row r="13" spans="2:8" outlineLevel="2" x14ac:dyDescent="0.2">
      <c r="B13" s="316" t="s">
        <v>2666</v>
      </c>
      <c r="C13" s="316" t="s">
        <v>2658</v>
      </c>
      <c r="D13" s="317">
        <v>0.1</v>
      </c>
      <c r="E13" s="316">
        <f>D13*$E$2</f>
        <v>3</v>
      </c>
      <c r="F13" s="322" t="s">
        <v>2659</v>
      </c>
      <c r="G13" s="325">
        <v>6000</v>
      </c>
      <c r="H13" s="324">
        <f>E13*$E$3</f>
        <v>5940</v>
      </c>
    </row>
    <row r="14" spans="2:8" outlineLevel="2" x14ac:dyDescent="0.2">
      <c r="B14" s="316" t="s">
        <v>2666</v>
      </c>
      <c r="C14" s="316" t="s">
        <v>2681</v>
      </c>
      <c r="D14" s="317">
        <v>0.03</v>
      </c>
      <c r="E14" s="316">
        <f>D14*$E$2</f>
        <v>0.89999999999999991</v>
      </c>
      <c r="F14" s="322"/>
      <c r="G14" s="325">
        <v>1200</v>
      </c>
      <c r="H14" s="324">
        <f>E14*$E$3</f>
        <v>1781.9999999999998</v>
      </c>
    </row>
    <row r="15" spans="2:8" outlineLevel="2" x14ac:dyDescent="0.2">
      <c r="B15" s="316" t="s">
        <v>2666</v>
      </c>
      <c r="C15" s="316" t="s">
        <v>2682</v>
      </c>
      <c r="D15" s="317">
        <v>0.48</v>
      </c>
      <c r="E15" s="316">
        <f t="shared" ref="E15:E17" si="1">D15*$E$2</f>
        <v>14.399999999999999</v>
      </c>
      <c r="F15" s="322"/>
      <c r="G15" s="325">
        <v>1200</v>
      </c>
      <c r="H15" s="324">
        <f t="shared" si="0"/>
        <v>28511.999999999996</v>
      </c>
    </row>
    <row r="16" spans="2:8" outlineLevel="2" x14ac:dyDescent="0.2">
      <c r="B16" s="316" t="s">
        <v>2666</v>
      </c>
      <c r="C16" s="316"/>
      <c r="D16" s="317"/>
      <c r="E16" s="316">
        <f t="shared" si="1"/>
        <v>0</v>
      </c>
      <c r="F16" s="322"/>
      <c r="G16" s="325"/>
      <c r="H16" s="324">
        <f t="shared" si="0"/>
        <v>0</v>
      </c>
    </row>
    <row r="17" spans="2:8" outlineLevel="2" x14ac:dyDescent="0.2">
      <c r="B17" s="316" t="s">
        <v>2666</v>
      </c>
      <c r="C17" s="316"/>
      <c r="D17" s="317"/>
      <c r="E17" s="316">
        <f t="shared" si="1"/>
        <v>0</v>
      </c>
      <c r="F17" s="322"/>
      <c r="G17" s="325"/>
      <c r="H17" s="324">
        <f t="shared" si="0"/>
        <v>0</v>
      </c>
    </row>
    <row r="18" spans="2:8" ht="10.5" outlineLevel="1" x14ac:dyDescent="0.25">
      <c r="B18" s="318" t="s">
        <v>2668</v>
      </c>
      <c r="C18" s="316"/>
      <c r="D18" s="320">
        <f>SUBTOTAL(9,D11:D17)</f>
        <v>0.69</v>
      </c>
      <c r="E18" s="318">
        <f>SUBTOTAL(9,E11:E17)</f>
        <v>20.7</v>
      </c>
      <c r="F18" s="322"/>
      <c r="G18" s="322"/>
      <c r="H18" s="324">
        <f t="shared" si="0"/>
        <v>40986</v>
      </c>
    </row>
    <row r="19" spans="2:8" ht="10.5" x14ac:dyDescent="0.25">
      <c r="B19" s="318" t="s">
        <v>2669</v>
      </c>
      <c r="C19" s="316"/>
      <c r="D19" s="320">
        <f>SUBTOTAL(9,D7:D17)</f>
        <v>1</v>
      </c>
      <c r="E19" s="318">
        <f>SUBTOTAL(9,E7:E17)</f>
        <v>30</v>
      </c>
      <c r="F19" s="322"/>
      <c r="G19" s="322"/>
      <c r="H19" s="324">
        <f>E19*$E$3</f>
        <v>59400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outlinePr summaryBelow="0" summaryRight="0"/>
  </sheetPr>
  <dimension ref="A1:X2172"/>
  <sheetViews>
    <sheetView tabSelected="1" topLeftCell="A1430" zoomScale="110" zoomScaleNormal="110" workbookViewId="0">
      <selection activeCell="A1217" sqref="A1217"/>
    </sheetView>
  </sheetViews>
  <sheetFormatPr defaultRowHeight="10" outlineLevelRow="2" x14ac:dyDescent="0.2"/>
  <cols>
    <col min="1" max="1" width="51.77734375" customWidth="1"/>
    <col min="2" max="2" width="14.77734375" customWidth="1"/>
    <col min="3" max="3" width="14.44140625" customWidth="1"/>
    <col min="4" max="4" width="3.6640625" hidden="1" customWidth="1"/>
    <col min="5" max="5" width="1.109375" hidden="1" customWidth="1"/>
    <col min="6" max="6" width="18" customWidth="1"/>
    <col min="7" max="10" width="11.77734375" customWidth="1"/>
    <col min="11" max="12" width="13" customWidth="1"/>
    <col min="13" max="17" width="13.44140625" customWidth="1"/>
    <col min="18" max="18" width="1" customWidth="1"/>
    <col min="19" max="19" width="14.33203125" style="11" customWidth="1"/>
  </cols>
  <sheetData>
    <row r="1" spans="1:19" ht="13" x14ac:dyDescent="0.3">
      <c r="A1" s="224" t="str">
        <f ca="1">Language!A3&amp;IF(IS_SUMM,Language!A4,"")&amp;AI_Version&amp;" "&amp;IF(IS_ESTATE,Language!A5,"")&amp;IF(IS_DEMO,Language!A6,"")&amp;IF(IS_TRIAL,Language!A7,"")</f>
        <v xml:space="preserve">АЛЬТ-Инвест™ Сумм 6.04 </v>
      </c>
    </row>
    <row r="2" spans="1:19" s="2" customFormat="1" ht="15.5" x14ac:dyDescent="0.35">
      <c r="A2" s="3" t="s">
        <v>2692</v>
      </c>
      <c r="S2" s="37"/>
    </row>
    <row r="4" spans="1:19" s="4" customFormat="1" ht="16" customHeight="1" thickBot="1" x14ac:dyDescent="0.25">
      <c r="A4" s="166" t="str">
        <f ca="1">Language!A$14</f>
        <v xml:space="preserve">         ПАРАМЕТРЫ ПРОЕКТА</v>
      </c>
      <c r="B4" s="166"/>
      <c r="C4" s="166"/>
      <c r="D4" s="166"/>
      <c r="E4" s="166"/>
      <c r="F4" s="166"/>
      <c r="G4" s="166"/>
      <c r="H4" s="166"/>
      <c r="I4" s="166"/>
      <c r="J4" s="166"/>
      <c r="K4" s="166"/>
      <c r="L4" s="166"/>
      <c r="M4" s="166"/>
      <c r="N4" s="166"/>
      <c r="O4" s="166"/>
      <c r="P4" s="166"/>
      <c r="Q4" s="166"/>
      <c r="R4" s="166"/>
      <c r="S4" s="167"/>
    </row>
    <row r="5" spans="1:19" ht="10.5" outlineLevel="1" thickTop="1" x14ac:dyDescent="0.2"/>
    <row r="6" spans="1:19" outlineLevel="1" x14ac:dyDescent="0.2">
      <c r="A6" t="str">
        <f ca="1">Language!A15</f>
        <v>Название проекта:</v>
      </c>
    </row>
    <row r="7" spans="1:19" outlineLevel="1" x14ac:dyDescent="0.2">
      <c r="A7" s="253" t="s">
        <v>2688</v>
      </c>
      <c r="B7" s="254"/>
      <c r="C7" s="254"/>
    </row>
    <row r="8" spans="1:19" outlineLevel="1" x14ac:dyDescent="0.2"/>
    <row r="9" spans="1:19" outlineLevel="1" x14ac:dyDescent="0.2">
      <c r="A9" s="184" t="str">
        <f ca="1">Language!A17</f>
        <v>Дата начала проекта</v>
      </c>
      <c r="B9" s="175">
        <f>DATE(PRJ_StartYear,PRJ_StartMon,1)</f>
        <v>45383</v>
      </c>
      <c r="C9" s="176"/>
    </row>
    <row r="10" spans="1:19" outlineLevel="1" x14ac:dyDescent="0.2">
      <c r="A10" s="184" t="str">
        <f ca="1">Language!A18</f>
        <v>Срок жизни проекта</v>
      </c>
      <c r="B10" s="188" t="str">
        <f ca="1">PRJ_Len &amp; " " &amp; OFFSET(Language!A30,PRJ_StepType-1,0)</f>
        <v>12 мес.</v>
      </c>
      <c r="C10" s="176"/>
      <c r="D10">
        <v>12</v>
      </c>
    </row>
    <row r="11" spans="1:19" outlineLevel="1" x14ac:dyDescent="0.2">
      <c r="A11" s="184" t="str">
        <f ca="1">Language!A19</f>
        <v>Шаг планирования</v>
      </c>
      <c r="B11" s="188" t="str">
        <f ca="1">OFFSET(Language!A34,PRJ_StepType-1,0)</f>
        <v>месяц</v>
      </c>
      <c r="C11" s="176"/>
      <c r="D11">
        <v>1</v>
      </c>
      <c r="E11" s="16" t="str">
        <f ca="1">OFFSET(Language!A30,PRJ_StepType-1,0)</f>
        <v>мес.</v>
      </c>
    </row>
    <row r="12" spans="1:19" outlineLevel="1" x14ac:dyDescent="0.2">
      <c r="A12" s="184" t="str">
        <f ca="1">Language!A20</f>
        <v>Длительность шага планирования</v>
      </c>
      <c r="B12" s="188" t="str">
        <f ca="1">TEXT(PRJ_Step,"#") &amp; " "&amp;Language!A38</f>
        <v>30 дн.</v>
      </c>
      <c r="C12" s="176"/>
      <c r="D12" s="16">
        <f>CHOOSE(PRJ_StepType,30,90,180,360)</f>
        <v>30</v>
      </c>
    </row>
    <row r="13" spans="1:19" outlineLevel="1" x14ac:dyDescent="0.2">
      <c r="A13" s="184" t="str">
        <f ca="1">Language!A21</f>
        <v>Основная валюта расчета</v>
      </c>
      <c r="B13" s="188" t="str">
        <f ca="1">OFFSET(Language!A39,CUR_I_Main,0)</f>
        <v>руб.</v>
      </c>
      <c r="C13" s="176"/>
      <c r="D13">
        <v>0</v>
      </c>
    </row>
    <row r="14" spans="1:19" outlineLevel="1" x14ac:dyDescent="0.2">
      <c r="A14" s="184" t="str">
        <f ca="1">Language!A22</f>
        <v>Иностранная валюта</v>
      </c>
      <c r="B14" s="188" t="str">
        <f ca="1">OFFSET(Language!A39,CUR_I_Foreign,0)</f>
        <v>$</v>
      </c>
      <c r="C14" s="176"/>
      <c r="D14">
        <v>1</v>
      </c>
    </row>
    <row r="15" spans="1:19" outlineLevel="1" x14ac:dyDescent="0.2">
      <c r="A15" s="184" t="str">
        <f ca="1">Language!A23</f>
        <v>Валюта для отображения результатов</v>
      </c>
      <c r="B15" s="188" t="str">
        <f ca="1">CHOOSE(CUR_I_Report,CUR_Main,CUR_Foreign)</f>
        <v>руб.</v>
      </c>
      <c r="C15" s="176"/>
      <c r="D15">
        <v>1</v>
      </c>
    </row>
    <row r="16" spans="1:19" outlineLevel="1" x14ac:dyDescent="0.2">
      <c r="A16" s="184"/>
      <c r="B16" s="177"/>
      <c r="C16" s="176"/>
    </row>
    <row r="17" spans="1:17" outlineLevel="1" x14ac:dyDescent="0.2">
      <c r="A17" s="184"/>
      <c r="B17" s="184"/>
      <c r="C17" s="176"/>
    </row>
    <row r="18" spans="1:17" outlineLevel="1" x14ac:dyDescent="0.2">
      <c r="A18" s="190"/>
      <c r="B18" s="190"/>
      <c r="C18" s="194"/>
    </row>
    <row r="19" spans="1:17" outlineLevel="1" x14ac:dyDescent="0.2"/>
    <row r="20" spans="1:17" outlineLevel="1" x14ac:dyDescent="0.2">
      <c r="A20" s="184" t="str">
        <f ca="1">Language!A27</f>
        <v>Язык интерфейса и таблиц</v>
      </c>
      <c r="B20" s="187" t="str">
        <f ca="1">Language!A57</f>
        <v>Русский</v>
      </c>
      <c r="C20" s="176"/>
    </row>
    <row r="21" spans="1:17" outlineLevel="1" x14ac:dyDescent="0.2">
      <c r="A21" s="184" t="str">
        <f ca="1">Language!A28</f>
        <v>Защита</v>
      </c>
      <c r="B21" s="187" t="str">
        <f ca="1">IF(PRJ_Protected,Language!A58,Language!A59)</f>
        <v>Выключена</v>
      </c>
      <c r="C21" s="176"/>
      <c r="D21" t="b">
        <v>0</v>
      </c>
    </row>
    <row r="22" spans="1:17" outlineLevel="1" x14ac:dyDescent="0.2">
      <c r="A22" s="184" t="str">
        <f ca="1">Language!A29</f>
        <v>Показывать реальные даты в названиях периодов?</v>
      </c>
      <c r="B22" s="187" t="str">
        <f ca="1">IF(ShowRealDates,Language!A60,Language!A61)</f>
        <v>Да</v>
      </c>
      <c r="C22" s="176"/>
      <c r="D22" t="b">
        <v>1</v>
      </c>
    </row>
    <row r="23" spans="1:17" outlineLevel="1" x14ac:dyDescent="0.2">
      <c r="A23" s="184"/>
      <c r="B23" s="184"/>
      <c r="C23" s="176"/>
    </row>
    <row r="24" spans="1:17" outlineLevel="1" x14ac:dyDescent="0.2">
      <c r="A24" s="184"/>
      <c r="B24" s="184"/>
      <c r="C24" s="176"/>
    </row>
    <row r="25" spans="1:17" outlineLevel="1" x14ac:dyDescent="0.2">
      <c r="A25" s="190"/>
      <c r="B25" s="190"/>
      <c r="C25" s="194"/>
    </row>
    <row r="26" spans="1:17" outlineLevel="2" x14ac:dyDescent="0.2"/>
    <row r="27" spans="1:17" outlineLevel="2" x14ac:dyDescent="0.2">
      <c r="A27" t="str">
        <f ca="1">Language!A62</f>
        <v>Год начала проекта</v>
      </c>
      <c r="D27" s="16" t="s">
        <v>2154</v>
      </c>
      <c r="F27" s="5">
        <v>2024</v>
      </c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outlineLevel="2" x14ac:dyDescent="0.2">
      <c r="A28" t="str">
        <f ca="1">Language!A63</f>
        <v>Месяц начала проекта</v>
      </c>
      <c r="D28" s="16" t="s">
        <v>2154</v>
      </c>
      <c r="F28" s="5">
        <v>4</v>
      </c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outlineLevel="2" x14ac:dyDescent="0.2">
      <c r="A29" t="str">
        <f ca="1">Language!A64</f>
        <v>Номера периодов</v>
      </c>
      <c r="D29" s="16" t="s">
        <v>2154</v>
      </c>
      <c r="F29" s="5">
        <v>1</v>
      </c>
      <c r="G29" s="5">
        <f t="shared" ref="G29:Q29" si="0">F29+1</f>
        <v>2</v>
      </c>
      <c r="H29" s="5">
        <f t="shared" si="0"/>
        <v>3</v>
      </c>
      <c r="I29" s="5">
        <f t="shared" si="0"/>
        <v>4</v>
      </c>
      <c r="J29" s="5">
        <f t="shared" si="0"/>
        <v>5</v>
      </c>
      <c r="K29" s="5">
        <f t="shared" si="0"/>
        <v>6</v>
      </c>
      <c r="L29" s="5">
        <f t="shared" si="0"/>
        <v>7</v>
      </c>
      <c r="M29" s="5">
        <f t="shared" si="0"/>
        <v>8</v>
      </c>
      <c r="N29" s="5">
        <f t="shared" si="0"/>
        <v>9</v>
      </c>
      <c r="O29" s="5">
        <f t="shared" si="0"/>
        <v>10</v>
      </c>
      <c r="P29" s="5">
        <f t="shared" si="0"/>
        <v>11</v>
      </c>
      <c r="Q29" s="5">
        <f t="shared" si="0"/>
        <v>12</v>
      </c>
    </row>
    <row r="30" spans="1:17" outlineLevel="2" x14ac:dyDescent="0.2">
      <c r="A30" t="str">
        <f ca="1">Language!A65</f>
        <v>Наименования периодов без учета дат</v>
      </c>
      <c r="D30" s="16" t="s">
        <v>2154</v>
      </c>
      <c r="F30" s="17" t="str">
        <f ca="1">TEXT(F29,"#") &amp; " " &amp; OFFSET(Language!$A68,PRJ_StepType-1,0)</f>
        <v>1 мес.</v>
      </c>
      <c r="G30" s="17" t="str">
        <f ca="1">TEXT(G29,"#") &amp; " " &amp; OFFSET(Language!$A68,PRJ_StepType-1,0)</f>
        <v>2 мес.</v>
      </c>
      <c r="H30" s="17" t="str">
        <f ca="1">TEXT(H29,"#") &amp; " " &amp; OFFSET(Language!$A68,PRJ_StepType-1,0)</f>
        <v>3 мес.</v>
      </c>
      <c r="I30" s="17" t="str">
        <f ca="1">TEXT(I29,"#") &amp; " " &amp; OFFSET(Language!$A68,PRJ_StepType-1,0)</f>
        <v>4 мес.</v>
      </c>
      <c r="J30" s="17" t="str">
        <f ca="1">TEXT(J29,"#") &amp; " " &amp; OFFSET(Language!$A68,PRJ_StepType-1,0)</f>
        <v>5 мес.</v>
      </c>
      <c r="K30" s="17" t="str">
        <f ca="1">TEXT(K29,"#") &amp; " " &amp; OFFSET(Language!$A68,PRJ_StepType-1,0)</f>
        <v>6 мес.</v>
      </c>
      <c r="L30" s="17" t="str">
        <f ca="1">TEXT(L29,"#") &amp; " " &amp; OFFSET(Language!$A68,PRJ_StepType-1,0)</f>
        <v>7 мес.</v>
      </c>
      <c r="M30" s="17" t="str">
        <f ca="1">TEXT(M29,"#") &amp; " " &amp; OFFSET(Language!$A68,PRJ_StepType-1,0)</f>
        <v>8 мес.</v>
      </c>
      <c r="N30" s="17" t="str">
        <f ca="1">TEXT(N29,"#") &amp; " " &amp; OFFSET(Language!$A68,PRJ_StepType-1,0)</f>
        <v>9 мес.</v>
      </c>
      <c r="O30" s="17" t="str">
        <f ca="1">TEXT(O29,"#") &amp; " " &amp; OFFSET(Language!$A68,PRJ_StepType-1,0)</f>
        <v>10 мес.</v>
      </c>
      <c r="P30" s="17" t="str">
        <f ca="1">TEXT(P29,"#") &amp; " " &amp; OFFSET(Language!$A68,PRJ_StepType-1,0)</f>
        <v>11 мес.</v>
      </c>
      <c r="Q30" s="17" t="str">
        <f ca="1">TEXT(Q29,"#") &amp; " " &amp; OFFSET(Language!$A68,PRJ_StepType-1,0)</f>
        <v>12 мес.</v>
      </c>
    </row>
    <row r="31" spans="1:17" outlineLevel="2" x14ac:dyDescent="0.2">
      <c r="A31" t="str">
        <f ca="1">Language!A66</f>
        <v>Дата начала периода</v>
      </c>
      <c r="D31" s="16" t="s">
        <v>2154</v>
      </c>
      <c r="F31" s="18">
        <f>DATE(PRJ_StartYear,PRJ_StartMon,1)</f>
        <v>45383</v>
      </c>
      <c r="G31" s="18">
        <f t="shared" ref="G31:Q31" si="1">DATE(YEAR(F31),MONTH(F31)+PRJ_Step/30,1)</f>
        <v>45413</v>
      </c>
      <c r="H31" s="18">
        <f t="shared" si="1"/>
        <v>45444</v>
      </c>
      <c r="I31" s="18">
        <f t="shared" si="1"/>
        <v>45474</v>
      </c>
      <c r="J31" s="18">
        <f t="shared" si="1"/>
        <v>45505</v>
      </c>
      <c r="K31" s="18">
        <f t="shared" si="1"/>
        <v>45536</v>
      </c>
      <c r="L31" s="18">
        <f t="shared" si="1"/>
        <v>45566</v>
      </c>
      <c r="M31" s="18">
        <f t="shared" si="1"/>
        <v>45597</v>
      </c>
      <c r="N31" s="18">
        <f t="shared" si="1"/>
        <v>45627</v>
      </c>
      <c r="O31" s="18">
        <f t="shared" si="1"/>
        <v>45658</v>
      </c>
      <c r="P31" s="18">
        <f t="shared" si="1"/>
        <v>45689</v>
      </c>
      <c r="Q31" s="18">
        <f t="shared" si="1"/>
        <v>45717</v>
      </c>
    </row>
    <row r="32" spans="1:17" outlineLevel="2" x14ac:dyDescent="0.2">
      <c r="A32" t="str">
        <f ca="1">Language!A67</f>
        <v>Наименования периодов с учетом дат</v>
      </c>
      <c r="D32" s="16" t="s">
        <v>2154</v>
      </c>
      <c r="F32" s="50" t="str">
        <f>CHOOSE(PRJ_StepType,MONTH(F31) &amp; "/",ROUNDUP(MONTH(F31)/3,0) &amp; " " &amp; Language!$A69,ROUNDUP(MONTH(F31)/6,0) &amp; "/","") &amp; " " &amp; YEAR(F31)</f>
        <v>4/ 2024</v>
      </c>
      <c r="G32" s="50" t="str">
        <f>CHOOSE(PRJ_StepType,MONTH(G31) &amp; "/",ROUNDUP(MONTH(G31)/3,0) &amp; " " &amp; Language!$A69,ROUNDUP(MONTH(G31)/6,0) &amp; "/","") &amp; " " &amp; YEAR(G31)</f>
        <v>5/ 2024</v>
      </c>
      <c r="H32" s="50" t="str">
        <f>CHOOSE(PRJ_StepType,MONTH(H31) &amp; "/",ROUNDUP(MONTH(H31)/3,0) &amp; " " &amp; Language!$A69,ROUNDUP(MONTH(H31)/6,0) &amp; "/","") &amp; " " &amp; YEAR(H31)</f>
        <v>6/ 2024</v>
      </c>
      <c r="I32" s="50" t="str">
        <f>CHOOSE(PRJ_StepType,MONTH(I31) &amp; "/",ROUNDUP(MONTH(I31)/3,0) &amp; " " &amp; Language!$A69,ROUNDUP(MONTH(I31)/6,0) &amp; "/","") &amp; " " &amp; YEAR(I31)</f>
        <v>7/ 2024</v>
      </c>
      <c r="J32" s="50" t="str">
        <f>CHOOSE(PRJ_StepType,MONTH(J31) &amp; "/",ROUNDUP(MONTH(J31)/3,0) &amp; " " &amp; Language!$A69,ROUNDUP(MONTH(J31)/6,0) &amp; "/","") &amp; " " &amp; YEAR(J31)</f>
        <v>8/ 2024</v>
      </c>
      <c r="K32" s="50" t="str">
        <f>CHOOSE(PRJ_StepType,MONTH(K31) &amp; "/",ROUNDUP(MONTH(K31)/3,0) &amp; " " &amp; Language!$A69,ROUNDUP(MONTH(K31)/6,0) &amp; "/","") &amp; " " &amp; YEAR(K31)</f>
        <v>9/ 2024</v>
      </c>
      <c r="L32" s="50" t="str">
        <f>CHOOSE(PRJ_StepType,MONTH(L31) &amp; "/",ROUNDUP(MONTH(L31)/3,0) &amp; " " &amp; Language!$A69,ROUNDUP(MONTH(L31)/6,0) &amp; "/","") &amp; " " &amp; YEAR(L31)</f>
        <v>10/ 2024</v>
      </c>
      <c r="M32" s="50" t="str">
        <f>CHOOSE(PRJ_StepType,MONTH(M31) &amp; "/",ROUNDUP(MONTH(M31)/3,0) &amp; " " &amp; Language!$A69,ROUNDUP(MONTH(M31)/6,0) &amp; "/","") &amp; " " &amp; YEAR(M31)</f>
        <v>11/ 2024</v>
      </c>
      <c r="N32" s="50" t="str">
        <f>CHOOSE(PRJ_StepType,MONTH(N31) &amp; "/",ROUNDUP(MONTH(N31)/3,0) &amp; " " &amp; Language!$A69,ROUNDUP(MONTH(N31)/6,0) &amp; "/","") &amp; " " &amp; YEAR(N31)</f>
        <v>12/ 2024</v>
      </c>
      <c r="O32" s="50" t="str">
        <f>CHOOSE(PRJ_StepType,MONTH(O31) &amp; "/",ROUNDUP(MONTH(O31)/3,0) &amp; " " &amp; Language!$A69,ROUNDUP(MONTH(O31)/6,0) &amp; "/","") &amp; " " &amp; YEAR(O31)</f>
        <v>1/ 2025</v>
      </c>
      <c r="P32" s="50" t="str">
        <f>CHOOSE(PRJ_StepType,MONTH(P31) &amp; "/",ROUNDUP(MONTH(P31)/3,0) &amp; " " &amp; Language!$A69,ROUNDUP(MONTH(P31)/6,0) &amp; "/","") &amp; " " &amp; YEAR(P31)</f>
        <v>2/ 2025</v>
      </c>
      <c r="Q32" s="50" t="str">
        <f>CHOOSE(PRJ_StepType,MONTH(Q31) &amp; "/",ROUNDUP(MONTH(Q31)/3,0) &amp; " " &amp; Language!$A69,ROUNDUP(MONTH(Q31)/6,0) &amp; "/","") &amp; " " &amp; YEAR(Q31)</f>
        <v>3/ 2025</v>
      </c>
    </row>
    <row r="33" spans="1:19" outlineLevel="2" x14ac:dyDescent="0.2">
      <c r="A33" s="63"/>
      <c r="B33" s="63"/>
      <c r="C33" s="63"/>
      <c r="D33" s="60"/>
      <c r="E33" s="63"/>
      <c r="F33" s="215"/>
      <c r="G33" s="215"/>
      <c r="H33" s="215"/>
      <c r="I33" s="215"/>
      <c r="J33" s="215"/>
      <c r="K33" s="215"/>
      <c r="L33" s="215"/>
      <c r="M33" s="215"/>
      <c r="N33" s="215"/>
      <c r="O33" s="215"/>
      <c r="P33" s="215"/>
      <c r="Q33" s="215"/>
      <c r="R33" s="63"/>
      <c r="S33" s="64"/>
    </row>
    <row r="34" spans="1:19" outlineLevel="1" x14ac:dyDescent="0.2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22"/>
    </row>
    <row r="35" spans="1:19" s="4" customFormat="1" ht="16" customHeight="1" thickBot="1" x14ac:dyDescent="0.25">
      <c r="A35" s="166" t="str">
        <f ca="1">Language!A$72</f>
        <v xml:space="preserve">         СТАРТОВОЕ СОСТОЯНИЕ ПРОЕКТА</v>
      </c>
      <c r="B35" s="166"/>
      <c r="C35" s="166"/>
      <c r="D35" s="166"/>
      <c r="E35" s="166"/>
      <c r="F35" s="113">
        <f>F31</f>
        <v>45383</v>
      </c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38"/>
    </row>
    <row r="36" spans="1:19" ht="10.5" outlineLevel="1" thickTop="1" x14ac:dyDescent="0.2">
      <c r="A36" s="11"/>
      <c r="B36" s="36" t="str">
        <f ca="1">Language!A73</f>
        <v>Валюта</v>
      </c>
    </row>
    <row r="37" spans="1:19" outlineLevel="1" x14ac:dyDescent="0.2">
      <c r="A37" s="23" t="str">
        <f ca="1">Language!A74</f>
        <v>Внеоборотные активы</v>
      </c>
      <c r="B37" s="255">
        <v>1</v>
      </c>
      <c r="C37" s="5" t="str">
        <f ca="1">CHOOSE(B$37,CUR_Main,CUR_Foreign)</f>
        <v>руб.</v>
      </c>
      <c r="D37" s="16" t="str">
        <f>TEXT(B37,"0")&amp;"_01"</f>
        <v>1_01</v>
      </c>
      <c r="F37" s="25">
        <f>SUM(F39:F42)</f>
        <v>0</v>
      </c>
    </row>
    <row r="38" spans="1:19" outlineLevel="1" x14ac:dyDescent="0.2">
      <c r="A38" s="23" t="s">
        <v>442</v>
      </c>
      <c r="C38" s="5"/>
      <c r="F38" s="25"/>
    </row>
    <row r="39" spans="1:19" outlineLevel="1" x14ac:dyDescent="0.2">
      <c r="A39" s="23" t="str">
        <f ca="1">Language!A77</f>
        <v xml:space="preserve">   - земельные участки</v>
      </c>
      <c r="C39" s="5" t="str">
        <f ca="1">CHOOSE(B$37,CUR_Main,CUR_Foreign)</f>
        <v>руб.</v>
      </c>
      <c r="D39" t="str">
        <f>TEXT(B37,"0")&amp;"_03"</f>
        <v>1_03</v>
      </c>
      <c r="F39" s="256">
        <v>0</v>
      </c>
    </row>
    <row r="40" spans="1:19" outlineLevel="1" x14ac:dyDescent="0.2">
      <c r="A40" s="23" t="str">
        <f ca="1">Language!A76</f>
        <v xml:space="preserve">   - здания и сооружения</v>
      </c>
      <c r="C40" s="5" t="str">
        <f ca="1">CHOOSE(B$37,CUR_Main,CUR_Foreign)</f>
        <v>руб.</v>
      </c>
      <c r="D40" t="str">
        <f>TEXT(B37,"0")&amp;"_02"</f>
        <v>1_02</v>
      </c>
      <c r="F40" s="256">
        <v>0</v>
      </c>
    </row>
    <row r="41" spans="1:19" outlineLevel="1" x14ac:dyDescent="0.2">
      <c r="A41" s="23" t="str">
        <f ca="1">Language!A78</f>
        <v xml:space="preserve">   - нематериальные активы</v>
      </c>
      <c r="C41" s="5" t="str">
        <f ca="1">CHOOSE(B$37,CUR_Main,CUR_Foreign)</f>
        <v>руб.</v>
      </c>
      <c r="D41" t="str">
        <f>TEXT(B37,"0")&amp;"_04"</f>
        <v>1_04</v>
      </c>
      <c r="F41" s="256">
        <v>0</v>
      </c>
    </row>
    <row r="42" spans="1:19" outlineLevel="1" x14ac:dyDescent="0.2">
      <c r="A42" s="23" t="str">
        <f ca="1">Language!A79</f>
        <v xml:space="preserve">   - оборудование и другие активы</v>
      </c>
      <c r="C42" s="5" t="str">
        <f ca="1">CHOOSE(B$37,CUR_Main,CUR_Foreign)</f>
        <v>руб.</v>
      </c>
      <c r="D42" t="str">
        <f>TEXT(B37,"0")&amp;"_05"</f>
        <v>1_05</v>
      </c>
      <c r="F42" s="256">
        <v>0</v>
      </c>
    </row>
    <row r="43" spans="1:19" outlineLevel="1" x14ac:dyDescent="0.2">
      <c r="A43" s="23" t="str">
        <f ca="1">Language!A80</f>
        <v>Незавершенные инвестиции</v>
      </c>
      <c r="C43" s="5" t="str">
        <f ca="1">CHOOSE(B$37,CUR_Main,CUR_Foreign)</f>
        <v>руб.</v>
      </c>
      <c r="D43" t="str">
        <f>TEXT(B37,"0")&amp;"_06"</f>
        <v>1_06</v>
      </c>
      <c r="F43" s="25">
        <f>SUM(F45:F48)</f>
        <v>0</v>
      </c>
    </row>
    <row r="44" spans="1:19" outlineLevel="1" x14ac:dyDescent="0.2">
      <c r="A44" s="23" t="str">
        <f ca="1">Language!A75</f>
        <v xml:space="preserve">   в том числе</v>
      </c>
      <c r="C44" s="5"/>
      <c r="F44" s="25"/>
    </row>
    <row r="45" spans="1:19" outlineLevel="1" x14ac:dyDescent="0.2">
      <c r="A45" s="23" t="str">
        <f ca="1">Language!A77</f>
        <v xml:space="preserve">   - земельные участки</v>
      </c>
      <c r="C45" s="5" t="str">
        <f ca="1">CHOOSE(B$37,CUR_Main,CUR_Foreign)</f>
        <v>руб.</v>
      </c>
      <c r="D45" t="str">
        <f>TEXT(B37,"0")&amp;"_08"</f>
        <v>1_08</v>
      </c>
      <c r="F45" s="256">
        <v>0</v>
      </c>
    </row>
    <row r="46" spans="1:19" outlineLevel="1" x14ac:dyDescent="0.2">
      <c r="A46" s="23" t="str">
        <f ca="1">Language!A76</f>
        <v xml:space="preserve">   - здания и сооружения</v>
      </c>
      <c r="C46" s="5" t="str">
        <f t="shared" ref="C46:C59" ca="1" si="2">CHOOSE(B$37,CUR_Main,CUR_Foreign)</f>
        <v>руб.</v>
      </c>
      <c r="D46" t="str">
        <f>TEXT(B37,"0")&amp;"_07"</f>
        <v>1_07</v>
      </c>
      <c r="F46" s="256">
        <v>0</v>
      </c>
    </row>
    <row r="47" spans="1:19" outlineLevel="1" x14ac:dyDescent="0.2">
      <c r="A47" s="23" t="str">
        <f ca="1">Language!A78</f>
        <v xml:space="preserve">   - нематериальные активы</v>
      </c>
      <c r="C47" s="5" t="str">
        <f t="shared" ca="1" si="2"/>
        <v>руб.</v>
      </c>
      <c r="D47" t="str">
        <f>TEXT(B37,"0")&amp;"_09"</f>
        <v>1_09</v>
      </c>
      <c r="F47" s="256">
        <v>0</v>
      </c>
    </row>
    <row r="48" spans="1:19" outlineLevel="1" x14ac:dyDescent="0.2">
      <c r="A48" s="23" t="str">
        <f ca="1">Language!A79</f>
        <v xml:space="preserve">   - оборудование и другие активы</v>
      </c>
      <c r="C48" s="5" t="str">
        <f t="shared" ca="1" si="2"/>
        <v>руб.</v>
      </c>
      <c r="D48" t="str">
        <f>TEXT(B37,"0")&amp;"_10"</f>
        <v>1_10</v>
      </c>
      <c r="F48" s="256">
        <v>0</v>
      </c>
    </row>
    <row r="49" spans="1:6" outlineLevel="1" x14ac:dyDescent="0.2">
      <c r="A49" s="23" t="str">
        <f ca="1">Language!A81</f>
        <v>Финансовые вложения</v>
      </c>
      <c r="C49" s="5" t="str">
        <f t="shared" ca="1" si="2"/>
        <v>руб.</v>
      </c>
      <c r="D49" t="str">
        <f>TEXT(B37,"0")&amp;"_25"</f>
        <v>1_25</v>
      </c>
      <c r="F49" s="256">
        <v>0</v>
      </c>
    </row>
    <row r="50" spans="1:6" outlineLevel="1" x14ac:dyDescent="0.2">
      <c r="A50" s="23" t="str">
        <f ca="1">Language!A82</f>
        <v>Запасы сырья и материалов</v>
      </c>
      <c r="C50" s="5" t="str">
        <f t="shared" ca="1" si="2"/>
        <v>руб.</v>
      </c>
      <c r="D50" t="str">
        <f>TEXT(B37,"0")&amp;"_11"</f>
        <v>1_11</v>
      </c>
      <c r="F50" s="256">
        <v>0</v>
      </c>
    </row>
    <row r="51" spans="1:6" outlineLevel="1" x14ac:dyDescent="0.2">
      <c r="A51" s="23" t="str">
        <f ca="1">Language!A83</f>
        <v>Незавершенное производство</v>
      </c>
      <c r="C51" s="5" t="str">
        <f t="shared" ca="1" si="2"/>
        <v>руб.</v>
      </c>
      <c r="D51" t="s">
        <v>569</v>
      </c>
      <c r="F51" s="256">
        <v>0</v>
      </c>
    </row>
    <row r="52" spans="1:6" outlineLevel="1" x14ac:dyDescent="0.2">
      <c r="A52" s="23" t="str">
        <f ca="1">Language!A84</f>
        <v>Запасы готовой продукции</v>
      </c>
      <c r="C52" s="5" t="str">
        <f t="shared" ca="1" si="2"/>
        <v>руб.</v>
      </c>
      <c r="D52" t="str">
        <f>TEXT(B37,"0")&amp;"_12"</f>
        <v>1_12</v>
      </c>
      <c r="F52" s="256">
        <v>0</v>
      </c>
    </row>
    <row r="53" spans="1:6" outlineLevel="1" x14ac:dyDescent="0.2">
      <c r="A53" s="23" t="str">
        <f ca="1">Language!A85</f>
        <v>Дебиторская задолженность покупателей</v>
      </c>
      <c r="C53" s="5" t="str">
        <f t="shared" ca="1" si="2"/>
        <v>руб.</v>
      </c>
      <c r="D53" t="str">
        <f>TEXT(B37,"0")&amp;"_13"</f>
        <v>1_13</v>
      </c>
      <c r="F53" s="256">
        <v>0</v>
      </c>
    </row>
    <row r="54" spans="1:6" outlineLevel="1" x14ac:dyDescent="0.2">
      <c r="A54" s="23" t="str">
        <f ca="1">Language!A86</f>
        <v>Авансы выданные</v>
      </c>
      <c r="C54" s="5" t="str">
        <f t="shared" ca="1" si="2"/>
        <v>руб.</v>
      </c>
      <c r="D54" t="s">
        <v>443</v>
      </c>
      <c r="F54" s="256">
        <v>0</v>
      </c>
    </row>
    <row r="55" spans="1:6" outlineLevel="1" x14ac:dyDescent="0.2">
      <c r="A55" s="23" t="str">
        <f ca="1">Language!A87</f>
        <v>Расходы будущих периодов</v>
      </c>
      <c r="C55" s="5" t="str">
        <f t="shared" ca="1" si="2"/>
        <v>руб.</v>
      </c>
      <c r="D55" t="str">
        <f>TEXT(B37,"0")&amp;"_14"</f>
        <v>1_14</v>
      </c>
      <c r="F55" s="256">
        <v>0</v>
      </c>
    </row>
    <row r="56" spans="1:6" outlineLevel="1" x14ac:dyDescent="0.2">
      <c r="A56" s="23" t="str">
        <f ca="1">Language!A88</f>
        <v>НДС как актив</v>
      </c>
      <c r="C56" s="5" t="str">
        <f t="shared" ca="1" si="2"/>
        <v>руб.</v>
      </c>
      <c r="D56" t="s">
        <v>443</v>
      </c>
      <c r="F56" s="256">
        <v>0</v>
      </c>
    </row>
    <row r="57" spans="1:6" outlineLevel="1" x14ac:dyDescent="0.2">
      <c r="A57" s="23" t="str">
        <f ca="1">Language!A90</f>
        <v>Денежные средства</v>
      </c>
      <c r="C57" s="5" t="str">
        <f t="shared" ca="1" si="2"/>
        <v>руб.</v>
      </c>
      <c r="D57" t="str">
        <f>TEXT(B37,"0")&amp;"_16"</f>
        <v>1_16</v>
      </c>
      <c r="F57" s="256">
        <v>0</v>
      </c>
    </row>
    <row r="58" spans="1:6" outlineLevel="1" x14ac:dyDescent="0.2">
      <c r="A58" t="str">
        <f ca="1">Language!A$774</f>
        <v>Прочие оборотные активы</v>
      </c>
      <c r="C58" s="5" t="str">
        <f ca="1">CHOOSE(B$37,CUR_Main,CUR_Foreign)</f>
        <v>руб.</v>
      </c>
      <c r="D58" t="str">
        <f>TEXT(B37,"0")&amp;"_15"</f>
        <v>1_15</v>
      </c>
      <c r="F58" s="256">
        <v>0</v>
      </c>
    </row>
    <row r="59" spans="1:6" ht="10.5" outlineLevel="1" x14ac:dyDescent="0.25">
      <c r="A59" s="35" t="str">
        <f ca="1">Language!A91</f>
        <v>Итого активы</v>
      </c>
      <c r="C59" s="5" t="str">
        <f t="shared" ca="1" si="2"/>
        <v>руб.</v>
      </c>
      <c r="F59" s="120">
        <f>F37+F43+F49+F50+F51+F52+F53+F54+F55+F56+F58+F57</f>
        <v>0</v>
      </c>
    </row>
    <row r="60" spans="1:6" outlineLevel="1" x14ac:dyDescent="0.2">
      <c r="F60" s="5"/>
    </row>
    <row r="61" spans="1:6" outlineLevel="1" x14ac:dyDescent="0.2">
      <c r="A61" t="str">
        <f ca="1">Language!A92</f>
        <v>Собственный капитал</v>
      </c>
      <c r="C61" s="5" t="str">
        <f t="shared" ref="C61:C70" ca="1" si="3">CHOOSE(B$37,CUR_Main,CUR_Foreign)</f>
        <v>руб.</v>
      </c>
      <c r="D61" t="str">
        <f>TEXT(B37,"0")&amp;"_17"</f>
        <v>1_17</v>
      </c>
      <c r="F61" s="256">
        <v>0</v>
      </c>
    </row>
    <row r="62" spans="1:6" outlineLevel="1" x14ac:dyDescent="0.2">
      <c r="A62" t="str">
        <f ca="1">Language!A93</f>
        <v>Нераспределенная прибыль (+) / убыток (-)</v>
      </c>
      <c r="C62" s="5" t="str">
        <f t="shared" ca="1" si="3"/>
        <v>руб.</v>
      </c>
      <c r="D62" t="str">
        <f>TEXT(B37,"0")&amp;"_24"</f>
        <v>1_24</v>
      </c>
      <c r="F62" s="256">
        <v>0</v>
      </c>
    </row>
    <row r="63" spans="1:6" outlineLevel="1" x14ac:dyDescent="0.2">
      <c r="A63" t="str">
        <f ca="1">Language!A94</f>
        <v>Целевое финансирование</v>
      </c>
      <c r="C63" s="5" t="str">
        <f t="shared" ca="1" si="3"/>
        <v>руб.</v>
      </c>
      <c r="D63" t="str">
        <f>TEXT(B37,"0")&amp;"_18"</f>
        <v>1_18</v>
      </c>
      <c r="F63" s="256">
        <v>0</v>
      </c>
    </row>
    <row r="64" spans="1:6" outlineLevel="1" x14ac:dyDescent="0.2">
      <c r="A64" t="str">
        <f ca="1">Language!A95</f>
        <v>Кредиты</v>
      </c>
      <c r="C64" s="5" t="str">
        <f t="shared" ca="1" si="3"/>
        <v>руб.</v>
      </c>
      <c r="D64" t="str">
        <f>TEXT(B37,"0")&amp;"_19"</f>
        <v>1_19</v>
      </c>
      <c r="F64" s="256">
        <v>0</v>
      </c>
    </row>
    <row r="65" spans="1:19" outlineLevel="1" x14ac:dyDescent="0.2">
      <c r="A65" t="str">
        <f ca="1">Language!A96</f>
        <v>Кредиторская задолженность перед поставщиками</v>
      </c>
      <c r="C65" s="5" t="str">
        <f t="shared" ca="1" si="3"/>
        <v>руб.</v>
      </c>
      <c r="D65" t="str">
        <f>TEXT(B37,"0")&amp;"_20"</f>
        <v>1_20</v>
      </c>
      <c r="F65" s="256">
        <v>0</v>
      </c>
    </row>
    <row r="66" spans="1:19" outlineLevel="1" x14ac:dyDescent="0.2">
      <c r="A66" t="str">
        <f ca="1">Language!A97</f>
        <v>Кредиторская задолженность перед бюджетом</v>
      </c>
      <c r="C66" s="5" t="str">
        <f t="shared" ca="1" si="3"/>
        <v>руб.</v>
      </c>
      <c r="D66" t="str">
        <f>TEXT(B37,"0")&amp;"_21"</f>
        <v>1_21</v>
      </c>
      <c r="F66" s="256">
        <v>0</v>
      </c>
    </row>
    <row r="67" spans="1:19" outlineLevel="1" x14ac:dyDescent="0.2">
      <c r="A67" t="str">
        <f ca="1">Language!A98</f>
        <v>Кредиторская задолженность перед персоналом</v>
      </c>
      <c r="C67" s="5" t="str">
        <f t="shared" ca="1" si="3"/>
        <v>руб.</v>
      </c>
      <c r="D67" t="str">
        <f>TEXT(B37,"0")&amp;"_22"</f>
        <v>1_22</v>
      </c>
      <c r="F67" s="256">
        <v>0</v>
      </c>
    </row>
    <row r="68" spans="1:19" outlineLevel="1" x14ac:dyDescent="0.2">
      <c r="A68" t="str">
        <f ca="1">Language!A99</f>
        <v>Авансы полученные</v>
      </c>
      <c r="C68" s="5" t="str">
        <f t="shared" ca="1" si="3"/>
        <v>руб.</v>
      </c>
      <c r="D68" t="s">
        <v>572</v>
      </c>
      <c r="F68" s="256">
        <v>0</v>
      </c>
    </row>
    <row r="69" spans="1:19" outlineLevel="1" x14ac:dyDescent="0.2">
      <c r="A69" t="str">
        <f ca="1">Language!A$792</f>
        <v>Прочие краткосрочные обязательства</v>
      </c>
      <c r="C69" s="5" t="str">
        <f t="shared" ca="1" si="3"/>
        <v>руб.</v>
      </c>
      <c r="D69" t="str">
        <f>TEXT(B37,"0")&amp;"_23"</f>
        <v>1_23</v>
      </c>
      <c r="F69" s="256">
        <v>0</v>
      </c>
    </row>
    <row r="70" spans="1:19" ht="10.5" outlineLevel="1" x14ac:dyDescent="0.25">
      <c r="A70" s="35" t="str">
        <f ca="1">Language!A101</f>
        <v>Итого пассивы</v>
      </c>
      <c r="C70" s="5" t="str">
        <f t="shared" ca="1" si="3"/>
        <v>руб.</v>
      </c>
      <c r="F70" s="120">
        <f>SUM(F61:F69)</f>
        <v>0</v>
      </c>
    </row>
    <row r="71" spans="1:19" outlineLevel="1" x14ac:dyDescent="0.2">
      <c r="A71" s="19"/>
      <c r="B71" s="19"/>
      <c r="C71" s="19"/>
      <c r="D71" s="19"/>
      <c r="E71" s="19"/>
      <c r="F71" s="26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22"/>
    </row>
    <row r="72" spans="1:19" s="11" customFormat="1" outlineLevel="1" x14ac:dyDescent="0.2">
      <c r="A72" s="22" t="str">
        <f ca="1">Language!A102</f>
        <v>Контроль сходимости баланса</v>
      </c>
      <c r="B72" s="69" t="str">
        <f>IF(F72&lt;&gt;0,Language!A1005,"")</f>
        <v/>
      </c>
      <c r="C72" s="22"/>
      <c r="D72" s="22"/>
      <c r="E72" s="22"/>
      <c r="F72" s="70">
        <f>F59-F70</f>
        <v>0</v>
      </c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</row>
    <row r="73" spans="1:19" outlineLevel="1" x14ac:dyDescent="0.2">
      <c r="A73" s="63"/>
      <c r="B73" s="63"/>
      <c r="C73" s="63"/>
      <c r="D73" s="63"/>
      <c r="E73" s="63"/>
      <c r="F73" s="63"/>
    </row>
    <row r="74" spans="1:19" outlineLevel="1" x14ac:dyDescent="0.2"/>
    <row r="75" spans="1:19" s="4" customFormat="1" ht="16" customHeight="1" thickBot="1" x14ac:dyDescent="0.25">
      <c r="A75" s="166" t="str">
        <f ca="1">Language!A103</f>
        <v xml:space="preserve">         ИНФЛЯЦИЯ И МАКРОЭКОНОМИЧЕСКИЕ ПРОГНОЗЫ</v>
      </c>
      <c r="B75" s="166"/>
      <c r="C75" s="166"/>
      <c r="D75" s="166"/>
      <c r="E75" s="166"/>
      <c r="F75" s="178" t="str">
        <f t="shared" ref="F75:M75" si="4">IF(ShowRealDates,F32,F30)</f>
        <v>4/ 2024</v>
      </c>
      <c r="G75" s="178" t="str">
        <f t="shared" si="4"/>
        <v>5/ 2024</v>
      </c>
      <c r="H75" s="178" t="str">
        <f t="shared" si="4"/>
        <v>6/ 2024</v>
      </c>
      <c r="I75" s="178" t="str">
        <f t="shared" si="4"/>
        <v>7/ 2024</v>
      </c>
      <c r="J75" s="178" t="str">
        <f t="shared" si="4"/>
        <v>8/ 2024</v>
      </c>
      <c r="K75" s="178" t="str">
        <f t="shared" si="4"/>
        <v>9/ 2024</v>
      </c>
      <c r="L75" s="178" t="str">
        <f t="shared" si="4"/>
        <v>10/ 2024</v>
      </c>
      <c r="M75" s="178" t="str">
        <f t="shared" si="4"/>
        <v>11/ 2024</v>
      </c>
      <c r="N75" s="178" t="str">
        <f t="shared" ref="N75" si="5">IF(ShowRealDates,N32,N30)</f>
        <v>12/ 2024</v>
      </c>
      <c r="O75" s="178" t="str">
        <f t="shared" ref="O75" si="6">IF(ShowRealDates,O32,O30)</f>
        <v>1/ 2025</v>
      </c>
      <c r="P75" s="178" t="str">
        <f t="shared" ref="P75:Q75" si="7">IF(ShowRealDates,P32,P30)</f>
        <v>2/ 2025</v>
      </c>
      <c r="Q75" s="178" t="str">
        <f t="shared" si="7"/>
        <v>3/ 2025</v>
      </c>
      <c r="R75" s="166"/>
      <c r="S75" s="167"/>
    </row>
    <row r="76" spans="1:19" ht="10.5" outlineLevel="1" thickTop="1" x14ac:dyDescent="0.2"/>
    <row r="77" spans="1:19" ht="10.5" outlineLevel="1" x14ac:dyDescent="0.25">
      <c r="A77" s="35" t="str">
        <f ca="1">Language!A24</f>
        <v>Метод расчетов</v>
      </c>
      <c r="B77" s="255">
        <v>1</v>
      </c>
      <c r="D77" s="46" t="s">
        <v>2154</v>
      </c>
      <c r="F77" s="51" t="str">
        <f ca="1">CHOOSE(B77,Language!A25,Language!A26)</f>
        <v>Постоянные цены (без учета инфляции)</v>
      </c>
    </row>
    <row r="78" spans="1:19" outlineLevel="1" x14ac:dyDescent="0.2"/>
    <row r="79" spans="1:19" ht="10.5" outlineLevel="1" x14ac:dyDescent="0.25">
      <c r="A79" s="35" t="str">
        <f ca="1">Language!A104</f>
        <v>Предполагаемый темп годового роста цен</v>
      </c>
    </row>
    <row r="80" spans="1:19" outlineLevel="1" collapsed="1" x14ac:dyDescent="0.2">
      <c r="A80" t="str">
        <f ca="1">Language!A105</f>
        <v>для основной валюты</v>
      </c>
      <c r="C80" s="5" t="s">
        <v>177</v>
      </c>
      <c r="D80" s="16" t="s">
        <v>176</v>
      </c>
      <c r="F80" s="257">
        <v>8.0000000000000002E-3</v>
      </c>
      <c r="G80" s="257">
        <f>F80</f>
        <v>8.0000000000000002E-3</v>
      </c>
      <c r="H80" s="257">
        <f t="shared" ref="H80:Q80" si="8">G80</f>
        <v>8.0000000000000002E-3</v>
      </c>
      <c r="I80" s="257">
        <f t="shared" si="8"/>
        <v>8.0000000000000002E-3</v>
      </c>
      <c r="J80" s="257">
        <f t="shared" si="8"/>
        <v>8.0000000000000002E-3</v>
      </c>
      <c r="K80" s="257">
        <f t="shared" si="8"/>
        <v>8.0000000000000002E-3</v>
      </c>
      <c r="L80" s="257">
        <f t="shared" si="8"/>
        <v>8.0000000000000002E-3</v>
      </c>
      <c r="M80" s="257">
        <f t="shared" si="8"/>
        <v>8.0000000000000002E-3</v>
      </c>
      <c r="N80" s="257">
        <f t="shared" si="8"/>
        <v>8.0000000000000002E-3</v>
      </c>
      <c r="O80" s="257">
        <f t="shared" si="8"/>
        <v>8.0000000000000002E-3</v>
      </c>
      <c r="P80" s="257">
        <f t="shared" si="8"/>
        <v>8.0000000000000002E-3</v>
      </c>
      <c r="Q80" s="257">
        <f t="shared" si="8"/>
        <v>8.0000000000000002E-3</v>
      </c>
    </row>
    <row r="81" spans="1:17" hidden="1" outlineLevel="2" x14ac:dyDescent="0.2">
      <c r="A81" t="str">
        <f ca="1">Language!A106</f>
        <v>То же, в пересчете на период, равный шагу проекта</v>
      </c>
      <c r="C81" s="5" t="s">
        <v>177</v>
      </c>
      <c r="D81" s="16" t="s">
        <v>176</v>
      </c>
      <c r="F81" s="30">
        <f t="shared" ref="F81:M81" si="9">POWER(1+F80,PRJ_Step/360)-1</f>
        <v>6.6423464362252993E-4</v>
      </c>
      <c r="G81" s="30">
        <f t="shared" si="9"/>
        <v>6.6423464362252993E-4</v>
      </c>
      <c r="H81" s="30">
        <f t="shared" si="9"/>
        <v>6.6423464362252993E-4</v>
      </c>
      <c r="I81" s="30">
        <f t="shared" si="9"/>
        <v>6.6423464362252993E-4</v>
      </c>
      <c r="J81" s="30">
        <f t="shared" si="9"/>
        <v>6.6423464362252993E-4</v>
      </c>
      <c r="K81" s="30">
        <f t="shared" si="9"/>
        <v>6.6423464362252993E-4</v>
      </c>
      <c r="L81" s="30">
        <f t="shared" si="9"/>
        <v>6.6423464362252993E-4</v>
      </c>
      <c r="M81" s="30">
        <f t="shared" si="9"/>
        <v>6.6423464362252993E-4</v>
      </c>
      <c r="N81" s="30">
        <f t="shared" ref="N81" si="10">POWER(1+N80,PRJ_Step/360)-1</f>
        <v>6.6423464362252993E-4</v>
      </c>
      <c r="O81" s="30">
        <f t="shared" ref="O81" si="11">POWER(1+O80,PRJ_Step/360)-1</f>
        <v>6.6423464362252993E-4</v>
      </c>
      <c r="P81" s="30">
        <f t="shared" ref="P81:Q81" si="12">POWER(1+P80,PRJ_Step/360)-1</f>
        <v>6.6423464362252993E-4</v>
      </c>
      <c r="Q81" s="30">
        <f t="shared" si="12"/>
        <v>6.6423464362252993E-4</v>
      </c>
    </row>
    <row r="82" spans="1:17" hidden="1" outlineLevel="2" x14ac:dyDescent="0.2">
      <c r="A82" t="str">
        <f ca="1">Language!A107 &amp; IF(CalcMethod=1,Language!A108,Language!A109)</f>
        <v>Множитель прироста цен для основной валюты  (отключен)</v>
      </c>
      <c r="D82" s="16" t="s">
        <v>176</v>
      </c>
      <c r="F82" s="31">
        <v>1</v>
      </c>
      <c r="G82" s="32">
        <f t="shared" ref="G82:Q82" si="13">IF(CalcMethod=2,1+F81,1)</f>
        <v>1</v>
      </c>
      <c r="H82" s="32">
        <f t="shared" si="13"/>
        <v>1</v>
      </c>
      <c r="I82" s="32">
        <f t="shared" si="13"/>
        <v>1</v>
      </c>
      <c r="J82" s="32">
        <f t="shared" si="13"/>
        <v>1</v>
      </c>
      <c r="K82" s="32">
        <f t="shared" si="13"/>
        <v>1</v>
      </c>
      <c r="L82" s="32">
        <f t="shared" si="13"/>
        <v>1</v>
      </c>
      <c r="M82" s="32">
        <f t="shared" si="13"/>
        <v>1</v>
      </c>
      <c r="N82" s="32">
        <f t="shared" si="13"/>
        <v>1</v>
      </c>
      <c r="O82" s="32">
        <f t="shared" si="13"/>
        <v>1</v>
      </c>
      <c r="P82" s="32">
        <f t="shared" si="13"/>
        <v>1</v>
      </c>
      <c r="Q82" s="32">
        <f t="shared" si="13"/>
        <v>1</v>
      </c>
    </row>
    <row r="83" spans="1:17" outlineLevel="1" x14ac:dyDescent="0.2"/>
    <row r="84" spans="1:17" ht="10.5" outlineLevel="1" collapsed="1" x14ac:dyDescent="0.25">
      <c r="A84" s="35" t="str">
        <f ca="1">Language!A110</f>
        <v>Данные для иностранной валюты</v>
      </c>
    </row>
    <row r="85" spans="1:17" hidden="1" outlineLevel="2" x14ac:dyDescent="0.2"/>
    <row r="86" spans="1:17" hidden="1" outlineLevel="2" x14ac:dyDescent="0.2">
      <c r="A86" t="str">
        <f ca="1">Language!A111</f>
        <v>Предполагаемый годовой темп прироста</v>
      </c>
    </row>
    <row r="87" spans="1:17" hidden="1" outlineLevel="2" x14ac:dyDescent="0.2">
      <c r="A87" t="str">
        <f ca="1">Language!A112</f>
        <v>обменного курса иностранной валюты</v>
      </c>
      <c r="C87" s="5" t="s">
        <v>177</v>
      </c>
      <c r="D87" s="16" t="s">
        <v>176</v>
      </c>
      <c r="F87" s="257">
        <v>0.13</v>
      </c>
      <c r="G87" s="257">
        <f t="shared" ref="G87:Q87" si="14">F87</f>
        <v>0.13</v>
      </c>
      <c r="H87" s="257">
        <f t="shared" si="14"/>
        <v>0.13</v>
      </c>
      <c r="I87" s="257">
        <f t="shared" si="14"/>
        <v>0.13</v>
      </c>
      <c r="J87" s="257">
        <f t="shared" si="14"/>
        <v>0.13</v>
      </c>
      <c r="K87" s="257">
        <f t="shared" si="14"/>
        <v>0.13</v>
      </c>
      <c r="L87" s="257">
        <f t="shared" si="14"/>
        <v>0.13</v>
      </c>
      <c r="M87" s="257">
        <f t="shared" si="14"/>
        <v>0.13</v>
      </c>
      <c r="N87" s="257">
        <f t="shared" si="14"/>
        <v>0.13</v>
      </c>
      <c r="O87" s="257">
        <f t="shared" si="14"/>
        <v>0.13</v>
      </c>
      <c r="P87" s="257">
        <f t="shared" si="14"/>
        <v>0.13</v>
      </c>
      <c r="Q87" s="257">
        <f t="shared" si="14"/>
        <v>0.13</v>
      </c>
    </row>
    <row r="88" spans="1:17" hidden="1" outlineLevel="2" x14ac:dyDescent="0.2">
      <c r="A88" t="str">
        <f ca="1">Language!A113&amp; " (" &amp; OFFSET(Language!A39,CUR_I_Main,0) &amp; " / " &amp; OFFSET(Language!A39,CUR_I_Foreign,0) &amp; " )"</f>
        <v>Курс валюты (руб. / $ )</v>
      </c>
      <c r="D88" s="16" t="s">
        <v>176</v>
      </c>
      <c r="F88" s="258">
        <v>3.5000000000000003E-2</v>
      </c>
      <c r="G88" s="33">
        <f t="shared" ref="G88:Q88" si="15">IF(CalcMethod=2,F88*POWER(1+F87,PRJ_Step/360),F88)</f>
        <v>3.5000000000000003E-2</v>
      </c>
      <c r="H88" s="33">
        <f t="shared" si="15"/>
        <v>3.5000000000000003E-2</v>
      </c>
      <c r="I88" s="33">
        <f t="shared" si="15"/>
        <v>3.5000000000000003E-2</v>
      </c>
      <c r="J88" s="33">
        <f t="shared" si="15"/>
        <v>3.5000000000000003E-2</v>
      </c>
      <c r="K88" s="33">
        <f t="shared" si="15"/>
        <v>3.5000000000000003E-2</v>
      </c>
      <c r="L88" s="33">
        <f t="shared" si="15"/>
        <v>3.5000000000000003E-2</v>
      </c>
      <c r="M88" s="33">
        <f t="shared" si="15"/>
        <v>3.5000000000000003E-2</v>
      </c>
      <c r="N88" s="33">
        <f t="shared" si="15"/>
        <v>3.5000000000000003E-2</v>
      </c>
      <c r="O88" s="33">
        <f t="shared" si="15"/>
        <v>3.5000000000000003E-2</v>
      </c>
      <c r="P88" s="33">
        <f t="shared" si="15"/>
        <v>3.5000000000000003E-2</v>
      </c>
      <c r="Q88" s="33">
        <f t="shared" si="15"/>
        <v>3.5000000000000003E-2</v>
      </c>
    </row>
    <row r="89" spans="1:17" hidden="1" outlineLevel="2" x14ac:dyDescent="0.2"/>
    <row r="90" spans="1:17" hidden="1" outlineLevel="2" x14ac:dyDescent="0.2">
      <c r="A90" t="str">
        <f ca="1">Language!A114</f>
        <v>Предполагаемый темп годового роста цен</v>
      </c>
    </row>
    <row r="91" spans="1:17" hidden="1" outlineLevel="2" x14ac:dyDescent="0.2">
      <c r="A91" t="str">
        <f ca="1">Language!A115</f>
        <v>для иностранной валюты</v>
      </c>
      <c r="C91" s="5" t="s">
        <v>177</v>
      </c>
      <c r="D91" s="16" t="s">
        <v>176</v>
      </c>
      <c r="F91" s="257">
        <v>0</v>
      </c>
      <c r="G91" s="257">
        <f t="shared" ref="G91:Q91" si="16">F91</f>
        <v>0</v>
      </c>
      <c r="H91" s="257">
        <f t="shared" si="16"/>
        <v>0</v>
      </c>
      <c r="I91" s="257">
        <f t="shared" si="16"/>
        <v>0</v>
      </c>
      <c r="J91" s="257">
        <f t="shared" si="16"/>
        <v>0</v>
      </c>
      <c r="K91" s="257">
        <f t="shared" si="16"/>
        <v>0</v>
      </c>
      <c r="L91" s="257">
        <f t="shared" si="16"/>
        <v>0</v>
      </c>
      <c r="M91" s="257">
        <f t="shared" si="16"/>
        <v>0</v>
      </c>
      <c r="N91" s="257">
        <f t="shared" si="16"/>
        <v>0</v>
      </c>
      <c r="O91" s="257">
        <f t="shared" si="16"/>
        <v>0</v>
      </c>
      <c r="P91" s="257">
        <f t="shared" si="16"/>
        <v>0</v>
      </c>
      <c r="Q91" s="257">
        <f t="shared" si="16"/>
        <v>0</v>
      </c>
    </row>
    <row r="92" spans="1:17" hidden="1" outlineLevel="2" x14ac:dyDescent="0.2">
      <c r="A92" t="str">
        <f ca="1">Language!A116</f>
        <v>То же, в пересчете на период, равный шагу проекта</v>
      </c>
      <c r="C92" s="5" t="s">
        <v>177</v>
      </c>
      <c r="D92" s="16" t="s">
        <v>176</v>
      </c>
      <c r="F92" s="30">
        <f t="shared" ref="F92:M92" si="17">POWER(1+F91,PRJ_Step/360)-1</f>
        <v>0</v>
      </c>
      <c r="G92" s="30">
        <f t="shared" si="17"/>
        <v>0</v>
      </c>
      <c r="H92" s="30">
        <f t="shared" si="17"/>
        <v>0</v>
      </c>
      <c r="I92" s="30">
        <f t="shared" si="17"/>
        <v>0</v>
      </c>
      <c r="J92" s="30">
        <f t="shared" si="17"/>
        <v>0</v>
      </c>
      <c r="K92" s="30">
        <f t="shared" si="17"/>
        <v>0</v>
      </c>
      <c r="L92" s="30">
        <f t="shared" si="17"/>
        <v>0</v>
      </c>
      <c r="M92" s="30">
        <f t="shared" si="17"/>
        <v>0</v>
      </c>
      <c r="N92" s="30">
        <f t="shared" ref="N92" si="18">POWER(1+N91,PRJ_Step/360)-1</f>
        <v>0</v>
      </c>
      <c r="O92" s="30">
        <f t="shared" ref="O92" si="19">POWER(1+O91,PRJ_Step/360)-1</f>
        <v>0</v>
      </c>
      <c r="P92" s="30">
        <f t="shared" ref="P92:Q92" si="20">POWER(1+P91,PRJ_Step/360)-1</f>
        <v>0</v>
      </c>
      <c r="Q92" s="30">
        <f t="shared" si="20"/>
        <v>0</v>
      </c>
    </row>
    <row r="93" spans="1:17" hidden="1" outlineLevel="2" x14ac:dyDescent="0.2">
      <c r="A93" t="str">
        <f ca="1">Language!A117&amp; IF(CalcMethod=1,Language!A108,Language!A109)</f>
        <v>Множитель прироста цен для иностранной валюты  (отключен)</v>
      </c>
      <c r="D93" s="16" t="s">
        <v>176</v>
      </c>
      <c r="F93" s="31">
        <v>1</v>
      </c>
      <c r="G93" s="32">
        <f t="shared" ref="G93:Q93" si="21">IF(CalcMethod=2,1+F92,1)</f>
        <v>1</v>
      </c>
      <c r="H93" s="32">
        <f t="shared" si="21"/>
        <v>1</v>
      </c>
      <c r="I93" s="32">
        <f t="shared" si="21"/>
        <v>1</v>
      </c>
      <c r="J93" s="32">
        <f t="shared" si="21"/>
        <v>1</v>
      </c>
      <c r="K93" s="32">
        <f t="shared" si="21"/>
        <v>1</v>
      </c>
      <c r="L93" s="32">
        <f t="shared" si="21"/>
        <v>1</v>
      </c>
      <c r="M93" s="32">
        <f t="shared" si="21"/>
        <v>1</v>
      </c>
      <c r="N93" s="32">
        <f t="shared" si="21"/>
        <v>1</v>
      </c>
      <c r="O93" s="32">
        <f t="shared" si="21"/>
        <v>1</v>
      </c>
      <c r="P93" s="32">
        <f t="shared" si="21"/>
        <v>1</v>
      </c>
      <c r="Q93" s="32">
        <f t="shared" si="21"/>
        <v>1</v>
      </c>
    </row>
    <row r="94" spans="1:17" outlineLevel="1" x14ac:dyDescent="0.2"/>
    <row r="95" spans="1:17" ht="10.5" outlineLevel="1" collapsed="1" x14ac:dyDescent="0.25">
      <c r="A95" s="35" t="str">
        <f ca="1">Language!A118</f>
        <v>Ставка рефинансирования ЦБ</v>
      </c>
      <c r="C95" s="5" t="s">
        <v>177</v>
      </c>
      <c r="D95" s="16" t="s">
        <v>176</v>
      </c>
      <c r="F95" s="402">
        <v>0.16</v>
      </c>
      <c r="G95" s="402">
        <v>0.16</v>
      </c>
      <c r="H95" s="402">
        <v>0.16</v>
      </c>
      <c r="I95" s="402">
        <v>0.16</v>
      </c>
      <c r="J95" s="402">
        <v>0.16</v>
      </c>
      <c r="K95" s="402">
        <v>0.16</v>
      </c>
      <c r="L95" s="402">
        <v>0.16</v>
      </c>
      <c r="M95" s="402">
        <v>0.16</v>
      </c>
      <c r="N95" s="402">
        <v>0.16</v>
      </c>
      <c r="O95" s="402">
        <v>0.16</v>
      </c>
      <c r="P95" s="402">
        <v>0.16</v>
      </c>
      <c r="Q95" s="402">
        <v>0.16</v>
      </c>
    </row>
    <row r="96" spans="1:17" hidden="1" outlineLevel="2" x14ac:dyDescent="0.2">
      <c r="A96" t="str">
        <f ca="1">Language!A119</f>
        <v>Ставка процентов по кредитам, в пределах которой</v>
      </c>
    </row>
    <row r="97" spans="1:19" hidden="1" outlineLevel="2" x14ac:dyDescent="0.2">
      <c r="A97" t="str">
        <f ca="1">Language!A120</f>
        <v>уменьшается налогооблагаемая прибыль:</v>
      </c>
    </row>
    <row r="98" spans="1:19" hidden="1" outlineLevel="2" x14ac:dyDescent="0.2">
      <c r="A98" s="19" t="str">
        <f ca="1">Language!A121</f>
        <v>основная валюта</v>
      </c>
      <c r="B98" s="19"/>
      <c r="C98" s="26" t="s">
        <v>177</v>
      </c>
      <c r="D98" s="16" t="s">
        <v>176</v>
      </c>
      <c r="E98" s="19"/>
      <c r="F98" s="34">
        <f t="shared" ref="F98:M98" si="22">F95*1.1</f>
        <v>0.17600000000000002</v>
      </c>
      <c r="G98" s="34">
        <f t="shared" si="22"/>
        <v>0.17600000000000002</v>
      </c>
      <c r="H98" s="34">
        <f t="shared" si="22"/>
        <v>0.17600000000000002</v>
      </c>
      <c r="I98" s="34">
        <f t="shared" si="22"/>
        <v>0.17600000000000002</v>
      </c>
      <c r="J98" s="34">
        <f t="shared" si="22"/>
        <v>0.17600000000000002</v>
      </c>
      <c r="K98" s="34">
        <f t="shared" si="22"/>
        <v>0.17600000000000002</v>
      </c>
      <c r="L98" s="34">
        <f t="shared" si="22"/>
        <v>0.17600000000000002</v>
      </c>
      <c r="M98" s="34">
        <f t="shared" si="22"/>
        <v>0.17600000000000002</v>
      </c>
      <c r="N98" s="34">
        <f t="shared" ref="N98" si="23">N95*1.1</f>
        <v>0.17600000000000002</v>
      </c>
      <c r="O98" s="34">
        <f t="shared" ref="O98" si="24">O95*1.1</f>
        <v>0.17600000000000002</v>
      </c>
      <c r="P98" s="34">
        <f t="shared" ref="P98:Q98" si="25">P95*1.1</f>
        <v>0.17600000000000002</v>
      </c>
      <c r="Q98" s="34">
        <f t="shared" si="25"/>
        <v>0.17600000000000002</v>
      </c>
      <c r="R98" s="19"/>
      <c r="S98" s="22"/>
    </row>
    <row r="99" spans="1:19" hidden="1" outlineLevel="2" x14ac:dyDescent="0.2">
      <c r="A99" s="19" t="str">
        <f ca="1">Language!A122</f>
        <v>иностранная валюта</v>
      </c>
      <c r="B99" s="19"/>
      <c r="C99" s="26" t="s">
        <v>177</v>
      </c>
      <c r="D99" s="46" t="s">
        <v>176</v>
      </c>
      <c r="E99" s="19"/>
      <c r="F99" s="257">
        <v>0.15</v>
      </c>
      <c r="G99" s="257">
        <f t="shared" ref="G99:Q99" si="26">F99</f>
        <v>0.15</v>
      </c>
      <c r="H99" s="257">
        <f t="shared" si="26"/>
        <v>0.15</v>
      </c>
      <c r="I99" s="257">
        <f t="shared" si="26"/>
        <v>0.15</v>
      </c>
      <c r="J99" s="257">
        <f t="shared" si="26"/>
        <v>0.15</v>
      </c>
      <c r="K99" s="257">
        <f t="shared" si="26"/>
        <v>0.15</v>
      </c>
      <c r="L99" s="257">
        <f t="shared" si="26"/>
        <v>0.15</v>
      </c>
      <c r="M99" s="257">
        <f t="shared" si="26"/>
        <v>0.15</v>
      </c>
      <c r="N99" s="257">
        <f t="shared" si="26"/>
        <v>0.15</v>
      </c>
      <c r="O99" s="257">
        <f t="shared" si="26"/>
        <v>0.15</v>
      </c>
      <c r="P99" s="257">
        <f t="shared" si="26"/>
        <v>0.15</v>
      </c>
      <c r="Q99" s="257">
        <f t="shared" si="26"/>
        <v>0.15</v>
      </c>
      <c r="R99" s="19"/>
      <c r="S99" s="22"/>
    </row>
    <row r="100" spans="1:19" outlineLevel="1" x14ac:dyDescent="0.2">
      <c r="A100" s="63"/>
      <c r="B100" s="63"/>
      <c r="C100" s="67"/>
      <c r="D100" s="60"/>
      <c r="E100" s="63"/>
      <c r="F100" s="68"/>
      <c r="G100" s="68"/>
      <c r="H100" s="68"/>
      <c r="I100" s="68"/>
      <c r="J100" s="68"/>
      <c r="K100" s="68"/>
      <c r="L100" s="68"/>
      <c r="M100" s="68"/>
      <c r="N100" s="68"/>
      <c r="O100" s="68"/>
      <c r="P100" s="68"/>
      <c r="Q100" s="68"/>
      <c r="R100" s="63"/>
      <c r="S100" s="64"/>
    </row>
    <row r="101" spans="1:19" outlineLevel="1" x14ac:dyDescent="0.2">
      <c r="A101" s="19"/>
      <c r="B101" s="19"/>
      <c r="C101" s="26"/>
      <c r="D101" s="46"/>
      <c r="E101" s="19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19"/>
      <c r="S101" s="22"/>
    </row>
    <row r="102" spans="1:19" s="4" customFormat="1" ht="16" customHeight="1" thickBot="1" x14ac:dyDescent="0.25">
      <c r="A102" s="166" t="str">
        <f ca="1">Language!A123</f>
        <v xml:space="preserve">         НАЛОГИ И ПЛАТЕЖИ В ФОНДЫ</v>
      </c>
      <c r="B102" s="166"/>
      <c r="C102" s="166"/>
      <c r="D102" s="166"/>
      <c r="E102" s="166"/>
      <c r="F102" s="178" t="str">
        <f t="shared" ref="F102:Q102" si="27">PeriodTitle</f>
        <v>4/ 2024</v>
      </c>
      <c r="G102" s="178" t="str">
        <f t="shared" si="27"/>
        <v>5/ 2024</v>
      </c>
      <c r="H102" s="178" t="str">
        <f t="shared" si="27"/>
        <v>6/ 2024</v>
      </c>
      <c r="I102" s="178" t="str">
        <f t="shared" si="27"/>
        <v>7/ 2024</v>
      </c>
      <c r="J102" s="178" t="str">
        <f t="shared" si="27"/>
        <v>8/ 2024</v>
      </c>
      <c r="K102" s="178" t="str">
        <f t="shared" si="27"/>
        <v>9/ 2024</v>
      </c>
      <c r="L102" s="178" t="str">
        <f t="shared" si="27"/>
        <v>10/ 2024</v>
      </c>
      <c r="M102" s="178" t="str">
        <f t="shared" si="27"/>
        <v>11/ 2024</v>
      </c>
      <c r="N102" s="178" t="str">
        <f t="shared" si="27"/>
        <v>12/ 2024</v>
      </c>
      <c r="O102" s="178" t="str">
        <f t="shared" si="27"/>
        <v>1/ 2025</v>
      </c>
      <c r="P102" s="178" t="str">
        <f t="shared" si="27"/>
        <v>2/ 2025</v>
      </c>
      <c r="Q102" s="178" t="str">
        <f t="shared" si="27"/>
        <v>3/ 2025</v>
      </c>
      <c r="R102" s="166"/>
      <c r="S102" s="195" t="str">
        <f ca="1">Language!A$371</f>
        <v>ИТОГО</v>
      </c>
    </row>
    <row r="103" spans="1:19" ht="10.5" outlineLevel="1" thickTop="1" x14ac:dyDescent="0.2">
      <c r="A103" s="19"/>
      <c r="B103" s="19"/>
      <c r="C103" s="26"/>
      <c r="D103" s="46"/>
      <c r="E103" s="19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19"/>
      <c r="S103" s="22"/>
    </row>
    <row r="104" spans="1:19" ht="10.5" outlineLevel="1" x14ac:dyDescent="0.25">
      <c r="A104" s="62" t="str">
        <f ca="1">Language!A124</f>
        <v>Система налогообложения</v>
      </c>
      <c r="B104" s="255">
        <v>3</v>
      </c>
      <c r="C104" s="124" t="str">
        <f ca="1">CHOOSE(B104,Language!A125,Language!A126,Language!A127)</f>
        <v>Упрощенная система налогообложения (специальный налоговый режим)</v>
      </c>
      <c r="D104" s="46"/>
      <c r="E104" s="19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19"/>
      <c r="S104" s="22"/>
    </row>
    <row r="105" spans="1:19" s="48" customFormat="1" ht="10.5" outlineLevel="1" x14ac:dyDescent="0.25">
      <c r="A105" s="125"/>
      <c r="B105" s="73"/>
      <c r="C105" s="126"/>
      <c r="D105" s="74"/>
      <c r="E105" s="45"/>
      <c r="F105" s="127"/>
      <c r="G105" s="127"/>
      <c r="H105" s="127"/>
      <c r="I105" s="127"/>
      <c r="J105" s="127"/>
      <c r="K105" s="127"/>
      <c r="L105" s="127"/>
      <c r="M105" s="127"/>
      <c r="N105" s="127"/>
      <c r="O105" s="127"/>
      <c r="P105" s="127"/>
      <c r="Q105" s="127"/>
      <c r="R105" s="45"/>
      <c r="S105" s="77"/>
    </row>
    <row r="106" spans="1:19" outlineLevel="1" x14ac:dyDescent="0.2">
      <c r="A106" s="19"/>
      <c r="B106" s="96" t="str">
        <f ca="1">Language!A222</f>
        <v>Период уплаты</v>
      </c>
      <c r="C106" s="26"/>
      <c r="D106" s="46"/>
      <c r="E106" s="19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19"/>
      <c r="S106" s="22"/>
    </row>
    <row r="107" spans="1:19" outlineLevel="1" x14ac:dyDescent="0.2">
      <c r="A107" s="19" t="str">
        <f ca="1">Language!A128</f>
        <v>Акцизы и экспортные пошлины</v>
      </c>
      <c r="B107" s="259">
        <v>30</v>
      </c>
      <c r="C107" s="26" t="str">
        <f ca="1">Language!A218</f>
        <v>дней</v>
      </c>
      <c r="D107" s="46"/>
      <c r="E107" s="19"/>
      <c r="F107" s="65">
        <f t="shared" ref="F107:M107" si="28">F644</f>
        <v>0</v>
      </c>
      <c r="G107" s="65">
        <f t="shared" si="28"/>
        <v>0</v>
      </c>
      <c r="H107" s="65">
        <f t="shared" si="28"/>
        <v>0</v>
      </c>
      <c r="I107" s="65">
        <f t="shared" si="28"/>
        <v>0</v>
      </c>
      <c r="J107" s="65">
        <f t="shared" si="28"/>
        <v>0</v>
      </c>
      <c r="K107" s="65">
        <f t="shared" si="28"/>
        <v>0</v>
      </c>
      <c r="L107" s="65">
        <f t="shared" si="28"/>
        <v>0</v>
      </c>
      <c r="M107" s="65">
        <f t="shared" si="28"/>
        <v>0</v>
      </c>
      <c r="N107" s="65">
        <f t="shared" ref="N107" si="29">N644</f>
        <v>0</v>
      </c>
      <c r="O107" s="65">
        <f t="shared" ref="O107" si="30">O644</f>
        <v>0</v>
      </c>
      <c r="P107" s="65">
        <f t="shared" ref="P107:Q107" si="31">P644</f>
        <v>0</v>
      </c>
      <c r="Q107" s="65">
        <f t="shared" si="31"/>
        <v>0</v>
      </c>
      <c r="R107" s="19"/>
      <c r="S107" s="66">
        <f>SUM(F107:Q107)</f>
        <v>0</v>
      </c>
    </row>
    <row r="108" spans="1:19" outlineLevel="1" x14ac:dyDescent="0.2">
      <c r="A108" s="19" t="str">
        <f ca="1">Language!A129</f>
        <v>Импортные пошлины</v>
      </c>
      <c r="B108" s="259">
        <v>30</v>
      </c>
      <c r="C108" s="26" t="str">
        <f ca="1">Language!A218</f>
        <v>дней</v>
      </c>
      <c r="D108" s="46"/>
      <c r="E108" s="19"/>
      <c r="F108" s="102">
        <f t="shared" ref="F108:M108" si="32">F839+F459</f>
        <v>0</v>
      </c>
      <c r="G108" s="102">
        <f t="shared" si="32"/>
        <v>0</v>
      </c>
      <c r="H108" s="102">
        <f t="shared" si="32"/>
        <v>0</v>
      </c>
      <c r="I108" s="102">
        <f t="shared" si="32"/>
        <v>0</v>
      </c>
      <c r="J108" s="102">
        <f t="shared" si="32"/>
        <v>0</v>
      </c>
      <c r="K108" s="102">
        <f t="shared" si="32"/>
        <v>0</v>
      </c>
      <c r="L108" s="102">
        <f t="shared" si="32"/>
        <v>0</v>
      </c>
      <c r="M108" s="102">
        <f t="shared" si="32"/>
        <v>0</v>
      </c>
      <c r="N108" s="102">
        <f t="shared" ref="N108" si="33">N839+N459</f>
        <v>0</v>
      </c>
      <c r="O108" s="102">
        <f t="shared" ref="O108" si="34">O839+O459</f>
        <v>0</v>
      </c>
      <c r="P108" s="102">
        <f t="shared" ref="P108:Q108" si="35">P839+P459</f>
        <v>0</v>
      </c>
      <c r="Q108" s="102">
        <f t="shared" si="35"/>
        <v>0</v>
      </c>
      <c r="R108" s="19"/>
      <c r="S108" s="66">
        <f>SUM(F108:Q108)</f>
        <v>0</v>
      </c>
    </row>
    <row r="109" spans="1:19" outlineLevel="1" x14ac:dyDescent="0.2">
      <c r="A109" s="63"/>
      <c r="B109" s="63"/>
      <c r="C109" s="67"/>
      <c r="D109" s="60"/>
      <c r="E109" s="63"/>
      <c r="F109" s="68"/>
      <c r="G109" s="68"/>
      <c r="H109" s="68"/>
      <c r="I109" s="68"/>
      <c r="J109" s="68"/>
      <c r="K109" s="68"/>
      <c r="L109" s="68"/>
      <c r="M109" s="68"/>
      <c r="N109" s="68"/>
      <c r="O109" s="68"/>
      <c r="P109" s="68"/>
      <c r="Q109" s="68"/>
      <c r="R109" s="63"/>
      <c r="S109" s="64"/>
    </row>
    <row r="110" spans="1:19" ht="10.5" outlineLevel="1" x14ac:dyDescent="0.25">
      <c r="A110" s="62" t="str">
        <f ca="1">Language!A130</f>
        <v xml:space="preserve"> НАЛОГ НА ДОБАВЛЕННУЮ СТОИМОСТЬ</v>
      </c>
      <c r="B110" s="19"/>
      <c r="C110" s="26"/>
      <c r="D110" s="46"/>
      <c r="E110" s="19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19"/>
      <c r="S110" s="22"/>
    </row>
    <row r="111" spans="1:19" outlineLevel="1" x14ac:dyDescent="0.2">
      <c r="A111" s="19" t="str">
        <f ca="1">Language!A131</f>
        <v xml:space="preserve">    ставка</v>
      </c>
      <c r="B111" s="260">
        <f>IF(B104=1,18%,0%)</f>
        <v>0</v>
      </c>
      <c r="C111" s="26" t="s">
        <v>177</v>
      </c>
      <c r="D111" s="46"/>
      <c r="E111" s="19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19"/>
      <c r="S111" s="22"/>
    </row>
    <row r="112" spans="1:19" outlineLevel="1" x14ac:dyDescent="0.2">
      <c r="A112" s="19" t="str">
        <f ca="1">Language!A132</f>
        <v xml:space="preserve">    период уплаты</v>
      </c>
      <c r="B112" s="259">
        <v>90</v>
      </c>
      <c r="C112" s="26" t="str">
        <f ca="1">Language!A218</f>
        <v>дней</v>
      </c>
      <c r="D112" s="46"/>
      <c r="E112" s="19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19"/>
      <c r="S112" s="22"/>
    </row>
    <row r="113" spans="1:19" outlineLevel="1" x14ac:dyDescent="0.2">
      <c r="A113" s="19" t="str">
        <f ca="1">Language!A133</f>
        <v xml:space="preserve">    способ зачета переплаченного НДС</v>
      </c>
      <c r="B113" s="255">
        <v>1</v>
      </c>
      <c r="C113" s="96" t="str">
        <f ca="1">CHOOSE(B113,Language!A220,Language!A219)</f>
        <v>зачитывается при будущих расчетах</v>
      </c>
      <c r="D113" s="46"/>
      <c r="E113" s="19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19"/>
      <c r="S113" s="22"/>
    </row>
    <row r="114" spans="1:19" outlineLevel="1" x14ac:dyDescent="0.2">
      <c r="A114" s="19" t="str">
        <f ca="1">Language!A134</f>
        <v xml:space="preserve">    прямое возмещение налога через</v>
      </c>
      <c r="B114" s="261">
        <v>0</v>
      </c>
      <c r="C114" s="26" t="str">
        <f ca="1">Language!A135</f>
        <v>периодов</v>
      </c>
      <c r="D114" s="46"/>
      <c r="E114" s="19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19"/>
      <c r="S114" s="22"/>
    </row>
    <row r="115" spans="1:19" outlineLevel="1" collapsed="1" x14ac:dyDescent="0.2">
      <c r="A115" s="19" t="str">
        <f ca="1">Language!A136</f>
        <v>НДС полученный</v>
      </c>
      <c r="B115" s="19"/>
      <c r="C115" s="26" t="str">
        <f t="shared" ref="C115:C131" ca="1" si="36">CUR_Main</f>
        <v>руб.</v>
      </c>
      <c r="D115" s="46"/>
      <c r="E115" s="19"/>
      <c r="F115" s="53">
        <f t="shared" ref="F115:M115" si="37">SUM(F116:F118)</f>
        <v>0</v>
      </c>
      <c r="G115" s="53">
        <f t="shared" si="37"/>
        <v>0</v>
      </c>
      <c r="H115" s="53">
        <f t="shared" si="37"/>
        <v>0</v>
      </c>
      <c r="I115" s="53">
        <f t="shared" si="37"/>
        <v>0</v>
      </c>
      <c r="J115" s="53">
        <f t="shared" si="37"/>
        <v>0</v>
      </c>
      <c r="K115" s="53">
        <f t="shared" si="37"/>
        <v>0</v>
      </c>
      <c r="L115" s="53">
        <f t="shared" si="37"/>
        <v>0</v>
      </c>
      <c r="M115" s="53">
        <f t="shared" si="37"/>
        <v>0</v>
      </c>
      <c r="N115" s="53">
        <f t="shared" ref="N115" si="38">SUM(N116:N118)</f>
        <v>0</v>
      </c>
      <c r="O115" s="53">
        <f t="shared" ref="O115" si="39">SUM(O116:O118)</f>
        <v>0</v>
      </c>
      <c r="P115" s="53">
        <f t="shared" ref="P115:Q115" si="40">SUM(P116:P118)</f>
        <v>0</v>
      </c>
      <c r="Q115" s="53">
        <f t="shared" si="40"/>
        <v>0</v>
      </c>
      <c r="R115" s="19"/>
      <c r="S115" s="66">
        <f t="shared" ref="S115:S121" si="41">SUM(F115:Q115)</f>
        <v>0</v>
      </c>
    </row>
    <row r="116" spans="1:19" hidden="1" outlineLevel="2" x14ac:dyDescent="0.2">
      <c r="A116" s="19" t="str">
        <f ca="1">Language!A137</f>
        <v xml:space="preserve">    от продажи товаров (работ, услуг)</v>
      </c>
      <c r="B116" s="19"/>
      <c r="C116" s="26" t="str">
        <f t="shared" ca="1" si="36"/>
        <v>руб.</v>
      </c>
      <c r="D116" s="46"/>
      <c r="E116" s="19"/>
      <c r="F116" s="65">
        <f>F645+F1138/(1+VAT)*VAT</f>
        <v>0</v>
      </c>
      <c r="G116" s="65">
        <f>G645+(G1138-F1138)/(1+VAT)*VAT</f>
        <v>0</v>
      </c>
      <c r="H116" s="65">
        <f>H645+(H1138-G1138)/(1+VAT)*VAT</f>
        <v>0</v>
      </c>
      <c r="I116" s="65">
        <f>I645+(I1138-H1138)/(1+VAT)*VAT</f>
        <v>0</v>
      </c>
      <c r="J116" s="65">
        <f>J645+(J1138-I1138)/(1+VAT)*VAT</f>
        <v>0</v>
      </c>
      <c r="K116" s="65">
        <f>K645+(K1138-J1138)/(1+VAT)*VAT</f>
        <v>0</v>
      </c>
      <c r="L116" s="65">
        <f>L645+(L1138-K1138)/(1+VAT)*VAT</f>
        <v>0</v>
      </c>
      <c r="M116" s="65">
        <f>M645+(M1138-L1138)/(1+VAT)*VAT</f>
        <v>0</v>
      </c>
      <c r="N116" s="65">
        <f>N645+(N1138-M1138)/(1+VAT)*VAT</f>
        <v>0</v>
      </c>
      <c r="O116" s="65">
        <f>O645+(O1138-N1138)/(1+VAT)*VAT</f>
        <v>0</v>
      </c>
      <c r="P116" s="65">
        <f>P645+(P1138-O1138)/(1+VAT)*VAT</f>
        <v>0</v>
      </c>
      <c r="Q116" s="65">
        <f>Q645+(Q1138-P1138)/(1+VAT)*VAT</f>
        <v>0</v>
      </c>
      <c r="R116" s="19"/>
      <c r="S116" s="66">
        <f t="shared" si="41"/>
        <v>0</v>
      </c>
    </row>
    <row r="117" spans="1:19" hidden="1" outlineLevel="2" x14ac:dyDescent="0.2">
      <c r="A117" s="19" t="str">
        <f ca="1">Language!A138</f>
        <v xml:space="preserve">    от продажи активов</v>
      </c>
      <c r="B117" s="19"/>
      <c r="C117" s="26" t="str">
        <f t="shared" ca="1" si="36"/>
        <v>руб.</v>
      </c>
      <c r="D117" s="46"/>
      <c r="E117" s="19"/>
      <c r="F117" s="53">
        <f t="shared" ref="F117:M117" si="42">F449+F474+F485+F462+F246+F237+F255+F264+F277</f>
        <v>0</v>
      </c>
      <c r="G117" s="53">
        <f t="shared" si="42"/>
        <v>0</v>
      </c>
      <c r="H117" s="53">
        <f t="shared" si="42"/>
        <v>0</v>
      </c>
      <c r="I117" s="53">
        <f t="shared" si="42"/>
        <v>0</v>
      </c>
      <c r="J117" s="53">
        <f t="shared" si="42"/>
        <v>0</v>
      </c>
      <c r="K117" s="53">
        <f t="shared" si="42"/>
        <v>0</v>
      </c>
      <c r="L117" s="53">
        <f t="shared" si="42"/>
        <v>0</v>
      </c>
      <c r="M117" s="53">
        <f t="shared" si="42"/>
        <v>0</v>
      </c>
      <c r="N117" s="53">
        <f t="shared" ref="N117" si="43">N449+N474+N485+N462+N246+N237+N255+N264+N277</f>
        <v>0</v>
      </c>
      <c r="O117" s="53">
        <f t="shared" ref="O117" si="44">O449+O474+O485+O462+O246+O237+O255+O264+O277</f>
        <v>0</v>
      </c>
      <c r="P117" s="53">
        <f t="shared" ref="P117:Q117" si="45">P449+P474+P485+P462+P246+P237+P255+P264+P277</f>
        <v>0</v>
      </c>
      <c r="Q117" s="53">
        <f t="shared" si="45"/>
        <v>0</v>
      </c>
      <c r="R117" s="19"/>
      <c r="S117" s="66">
        <f t="shared" si="41"/>
        <v>0</v>
      </c>
    </row>
    <row r="118" spans="1:19" hidden="1" outlineLevel="2" x14ac:dyDescent="0.2">
      <c r="A118" s="19" t="str">
        <f ca="1">Language!A139</f>
        <v xml:space="preserve">    от прочей деятельности</v>
      </c>
      <c r="B118" s="19"/>
      <c r="C118" s="26" t="str">
        <f t="shared" ca="1" si="36"/>
        <v>руб.</v>
      </c>
      <c r="D118" s="46"/>
      <c r="E118" s="19"/>
      <c r="F118" s="53">
        <f>F1380*CHOOSE($B1379,1,F$88)</f>
        <v>0</v>
      </c>
      <c r="G118" s="53">
        <f>G1380*CHOOSE($B1379,1,G$88)</f>
        <v>0</v>
      </c>
      <c r="H118" s="53">
        <f>H1380*CHOOSE($B1379,1,H$88)</f>
        <v>0</v>
      </c>
      <c r="I118" s="53">
        <f>I1380*CHOOSE($B1379,1,I$88)</f>
        <v>0</v>
      </c>
      <c r="J118" s="53">
        <f>J1380*CHOOSE($B1379,1,J$88)</f>
        <v>0</v>
      </c>
      <c r="K118" s="53">
        <f>K1380*CHOOSE($B1379,1,K$88)</f>
        <v>0</v>
      </c>
      <c r="L118" s="53">
        <f>L1380*CHOOSE($B1379,1,L$88)</f>
        <v>0</v>
      </c>
      <c r="M118" s="53">
        <f>M1380*CHOOSE($B1379,1,M$88)</f>
        <v>0</v>
      </c>
      <c r="N118" s="53">
        <f>N1380*CHOOSE($B1379,1,N$88)</f>
        <v>0</v>
      </c>
      <c r="O118" s="53">
        <f>O1380*CHOOSE($B1379,1,O$88)</f>
        <v>0</v>
      </c>
      <c r="P118" s="53">
        <f>P1380*CHOOSE($B1379,1,P$88)</f>
        <v>0</v>
      </c>
      <c r="Q118" s="53">
        <f>Q1380*CHOOSE($B1379,1,Q$88)</f>
        <v>0</v>
      </c>
      <c r="R118" s="19"/>
      <c r="S118" s="66">
        <f t="shared" si="41"/>
        <v>0</v>
      </c>
    </row>
    <row r="119" spans="1:19" outlineLevel="1" collapsed="1" x14ac:dyDescent="0.2">
      <c r="A119" s="19" t="str">
        <f ca="1">Language!A140</f>
        <v>НДС уплаченный</v>
      </c>
      <c r="B119" s="19"/>
      <c r="C119" s="26" t="str">
        <f t="shared" ca="1" si="36"/>
        <v>руб.</v>
      </c>
      <c r="D119" s="46"/>
      <c r="E119" s="19"/>
      <c r="F119" s="53">
        <f t="shared" ref="F119:M119" ca="1" si="46">SUM(F120:F125)</f>
        <v>0</v>
      </c>
      <c r="G119" s="53">
        <f t="shared" ca="1" si="46"/>
        <v>0</v>
      </c>
      <c r="H119" s="53">
        <f t="shared" ca="1" si="46"/>
        <v>0</v>
      </c>
      <c r="I119" s="53">
        <f t="shared" ca="1" si="46"/>
        <v>0</v>
      </c>
      <c r="J119" s="53">
        <f t="shared" ca="1" si="46"/>
        <v>0</v>
      </c>
      <c r="K119" s="53">
        <f t="shared" ca="1" si="46"/>
        <v>0</v>
      </c>
      <c r="L119" s="53">
        <f t="shared" ca="1" si="46"/>
        <v>0</v>
      </c>
      <c r="M119" s="53">
        <f t="shared" ca="1" si="46"/>
        <v>0</v>
      </c>
      <c r="N119" s="53">
        <f t="shared" ref="N119" ca="1" si="47">SUM(N120:N125)</f>
        <v>0</v>
      </c>
      <c r="O119" s="53">
        <f t="shared" ref="O119" ca="1" si="48">SUM(O120:O125)</f>
        <v>0</v>
      </c>
      <c r="P119" s="53">
        <f t="shared" ref="P119:Q119" ca="1" si="49">SUM(P120:P125)</f>
        <v>0</v>
      </c>
      <c r="Q119" s="53">
        <f t="shared" ca="1" si="49"/>
        <v>0</v>
      </c>
      <c r="R119" s="19"/>
      <c r="S119" s="66">
        <f t="shared" ca="1" si="41"/>
        <v>0</v>
      </c>
    </row>
    <row r="120" spans="1:19" hidden="1" outlineLevel="2" x14ac:dyDescent="0.2">
      <c r="A120" s="19" t="str">
        <f ca="1">Language!A141</f>
        <v xml:space="preserve">    при оплате материалов и комплектующих</v>
      </c>
      <c r="B120" s="19"/>
      <c r="C120" s="26" t="str">
        <f t="shared" ca="1" si="36"/>
        <v>руб.</v>
      </c>
      <c r="D120" s="46"/>
      <c r="E120" s="19"/>
      <c r="F120" s="53">
        <f t="shared" ref="F120:M120" si="50">F841</f>
        <v>0</v>
      </c>
      <c r="G120" s="53">
        <f t="shared" si="50"/>
        <v>0</v>
      </c>
      <c r="H120" s="53">
        <f t="shared" si="50"/>
        <v>0</v>
      </c>
      <c r="I120" s="53">
        <f t="shared" si="50"/>
        <v>0</v>
      </c>
      <c r="J120" s="53">
        <f t="shared" si="50"/>
        <v>0</v>
      </c>
      <c r="K120" s="53">
        <f t="shared" si="50"/>
        <v>0</v>
      </c>
      <c r="L120" s="53">
        <f t="shared" si="50"/>
        <v>0</v>
      </c>
      <c r="M120" s="53">
        <f t="shared" si="50"/>
        <v>0</v>
      </c>
      <c r="N120" s="53">
        <f t="shared" ref="N120" si="51">N841</f>
        <v>0</v>
      </c>
      <c r="O120" s="53">
        <f t="shared" ref="O120" si="52">O841</f>
        <v>0</v>
      </c>
      <c r="P120" s="53">
        <f t="shared" ref="P120:Q120" si="53">P841</f>
        <v>0</v>
      </c>
      <c r="Q120" s="53">
        <f t="shared" si="53"/>
        <v>0</v>
      </c>
      <c r="R120" s="19"/>
      <c r="S120" s="66">
        <f t="shared" si="41"/>
        <v>0</v>
      </c>
    </row>
    <row r="121" spans="1:19" hidden="1" outlineLevel="2" x14ac:dyDescent="0.2">
      <c r="A121" s="19" t="str">
        <f ca="1">Language!A142</f>
        <v xml:space="preserve">    при оплате текущих затрат</v>
      </c>
      <c r="B121" s="19"/>
      <c r="C121" s="26" t="str">
        <f t="shared" ca="1" si="36"/>
        <v>руб.</v>
      </c>
      <c r="D121" s="46"/>
      <c r="E121" s="19"/>
      <c r="F121" s="53">
        <f>F933+F1104+F1107+F1110</f>
        <v>0</v>
      </c>
      <c r="G121" s="53">
        <f>G933+G1104+G1107+G1110</f>
        <v>0</v>
      </c>
      <c r="H121" s="53">
        <f>H933+H1104+H1107+H1110</f>
        <v>0</v>
      </c>
      <c r="I121" s="53">
        <f>I933+I1104+I1107+I1110</f>
        <v>0</v>
      </c>
      <c r="J121" s="53">
        <f>J933+J1104+J1107+J1110</f>
        <v>0</v>
      </c>
      <c r="K121" s="53">
        <f>K933+K1104+K1107+K1110</f>
        <v>0</v>
      </c>
      <c r="L121" s="53">
        <f>L933+L1104+L1107+L1110</f>
        <v>0</v>
      </c>
      <c r="M121" s="53">
        <f>M933+M1104+M1107+M1110</f>
        <v>0</v>
      </c>
      <c r="N121" s="53">
        <f>N933+N1104+N1107+N1110</f>
        <v>0</v>
      </c>
      <c r="O121" s="53">
        <f>O933+O1104+O1107+O1110</f>
        <v>0</v>
      </c>
      <c r="P121" s="53">
        <f>P933+P1104+P1107+P1110</f>
        <v>0</v>
      </c>
      <c r="Q121" s="53">
        <f>Q933+Q1104+Q1107+Q1110</f>
        <v>0</v>
      </c>
      <c r="R121" s="19"/>
      <c r="S121" s="66">
        <f t="shared" si="41"/>
        <v>0</v>
      </c>
    </row>
    <row r="122" spans="1:19" hidden="1" outlineLevel="2" x14ac:dyDescent="0.2">
      <c r="A122" s="19" t="str">
        <f ca="1">Language!A143</f>
        <v xml:space="preserve">    при оплате прочих расходов</v>
      </c>
      <c r="B122" s="19"/>
      <c r="C122" s="26" t="str">
        <f t="shared" ca="1" si="36"/>
        <v>руб.</v>
      </c>
      <c r="D122" s="46"/>
      <c r="E122" s="19"/>
      <c r="F122" s="53">
        <f>F1382*CHOOSE($B1381,1,F$88)</f>
        <v>0</v>
      </c>
      <c r="G122" s="53">
        <f>G1382*CHOOSE($B1381,1,G$88)</f>
        <v>0</v>
      </c>
      <c r="H122" s="53">
        <f>H1382*CHOOSE($B1381,1,H$88)</f>
        <v>0</v>
      </c>
      <c r="I122" s="53">
        <f>I1382*CHOOSE($B1381,1,I$88)</f>
        <v>0</v>
      </c>
      <c r="J122" s="53">
        <f>J1382*CHOOSE($B1381,1,J$88)</f>
        <v>0</v>
      </c>
      <c r="K122" s="53">
        <f>K1382*CHOOSE($B1381,1,K$88)</f>
        <v>0</v>
      </c>
      <c r="L122" s="53">
        <f>L1382*CHOOSE($B1381,1,L$88)</f>
        <v>0</v>
      </c>
      <c r="M122" s="53">
        <f>M1382*CHOOSE($B1381,1,M$88)</f>
        <v>0</v>
      </c>
      <c r="N122" s="53">
        <f>N1382*CHOOSE($B1381,1,N$88)</f>
        <v>0</v>
      </c>
      <c r="O122" s="53">
        <f>O1382*CHOOSE($B1381,1,O$88)</f>
        <v>0</v>
      </c>
      <c r="P122" s="53">
        <f>P1382*CHOOSE($B1381,1,P$88)</f>
        <v>0</v>
      </c>
      <c r="Q122" s="53">
        <f>Q1382*CHOOSE($B1381,1,Q$88)</f>
        <v>0</v>
      </c>
      <c r="R122" s="19"/>
      <c r="S122" s="66"/>
    </row>
    <row r="123" spans="1:19" hidden="1" outlineLevel="2" x14ac:dyDescent="0.2">
      <c r="A123" s="19" t="str">
        <f ca="1">Language!A144</f>
        <v xml:space="preserve">    при оплате лизинга</v>
      </c>
      <c r="B123" s="19"/>
      <c r="C123" s="26" t="str">
        <f t="shared" ca="1" si="36"/>
        <v>руб.</v>
      </c>
      <c r="D123" s="46"/>
      <c r="E123" s="19"/>
      <c r="F123" s="53">
        <f t="shared" ref="F123:M123" ca="1" si="54">F528</f>
        <v>0</v>
      </c>
      <c r="G123" s="53">
        <f t="shared" ca="1" si="54"/>
        <v>0</v>
      </c>
      <c r="H123" s="53">
        <f t="shared" ca="1" si="54"/>
        <v>0</v>
      </c>
      <c r="I123" s="53">
        <f t="shared" ca="1" si="54"/>
        <v>0</v>
      </c>
      <c r="J123" s="53">
        <f t="shared" ca="1" si="54"/>
        <v>0</v>
      </c>
      <c r="K123" s="53">
        <f t="shared" ca="1" si="54"/>
        <v>0</v>
      </c>
      <c r="L123" s="53">
        <f t="shared" ca="1" si="54"/>
        <v>0</v>
      </c>
      <c r="M123" s="53">
        <f t="shared" ca="1" si="54"/>
        <v>0</v>
      </c>
      <c r="N123" s="53">
        <f t="shared" ref="N123" ca="1" si="55">N528</f>
        <v>0</v>
      </c>
      <c r="O123" s="53">
        <f t="shared" ref="O123" ca="1" si="56">O528</f>
        <v>0</v>
      </c>
      <c r="P123" s="53">
        <f t="shared" ref="P123:Q123" ca="1" si="57">P528</f>
        <v>0</v>
      </c>
      <c r="Q123" s="53">
        <f t="shared" ca="1" si="57"/>
        <v>0</v>
      </c>
      <c r="R123" s="19"/>
      <c r="S123" s="66">
        <f ca="1">SUM(F123:Q123)</f>
        <v>0</v>
      </c>
    </row>
    <row r="124" spans="1:19" hidden="1" outlineLevel="2" x14ac:dyDescent="0.2">
      <c r="A124" s="19" t="str">
        <f ca="1">Language!A145</f>
        <v xml:space="preserve">    при выкупе арендованных активов</v>
      </c>
      <c r="B124" s="19"/>
      <c r="C124" s="26" t="str">
        <f t="shared" ca="1" si="36"/>
        <v>руб.</v>
      </c>
      <c r="D124" s="46"/>
      <c r="E124" s="19"/>
      <c r="F124" s="53">
        <f t="shared" ref="F124:M124" si="58">F529</f>
        <v>0</v>
      </c>
      <c r="G124" s="53">
        <f t="shared" si="58"/>
        <v>0</v>
      </c>
      <c r="H124" s="53">
        <f t="shared" si="58"/>
        <v>0</v>
      </c>
      <c r="I124" s="53">
        <f t="shared" si="58"/>
        <v>0</v>
      </c>
      <c r="J124" s="53">
        <f t="shared" si="58"/>
        <v>0</v>
      </c>
      <c r="K124" s="53">
        <f t="shared" si="58"/>
        <v>0</v>
      </c>
      <c r="L124" s="53">
        <f t="shared" si="58"/>
        <v>0</v>
      </c>
      <c r="M124" s="53">
        <f t="shared" si="58"/>
        <v>0</v>
      </c>
      <c r="N124" s="53">
        <f t="shared" ref="N124" si="59">N529</f>
        <v>0</v>
      </c>
      <c r="O124" s="53">
        <f t="shared" ref="O124" si="60">O529</f>
        <v>0</v>
      </c>
      <c r="P124" s="53">
        <f t="shared" ref="P124:Q124" si="61">P529</f>
        <v>0</v>
      </c>
      <c r="Q124" s="53">
        <f t="shared" si="61"/>
        <v>0</v>
      </c>
      <c r="R124" s="19"/>
      <c r="S124" s="66"/>
    </row>
    <row r="125" spans="1:19" hidden="1" outlineLevel="2" x14ac:dyDescent="0.2">
      <c r="A125" s="19" t="str">
        <f ca="1">Language!A146</f>
        <v xml:space="preserve">    при оплате инвестиционных вложений</v>
      </c>
      <c r="B125" s="19"/>
      <c r="C125" s="26" t="str">
        <f t="shared" ca="1" si="36"/>
        <v>руб.</v>
      </c>
      <c r="D125" s="46"/>
      <c r="E125" s="19"/>
      <c r="F125" s="53">
        <f t="shared" ref="F125:M125" si="62">F444+F470+F481+F457+F493</f>
        <v>0</v>
      </c>
      <c r="G125" s="53">
        <f t="shared" si="62"/>
        <v>0</v>
      </c>
      <c r="H125" s="53">
        <f t="shared" si="62"/>
        <v>0</v>
      </c>
      <c r="I125" s="53">
        <f t="shared" si="62"/>
        <v>0</v>
      </c>
      <c r="J125" s="53">
        <f t="shared" si="62"/>
        <v>0</v>
      </c>
      <c r="K125" s="53">
        <f t="shared" si="62"/>
        <v>0</v>
      </c>
      <c r="L125" s="53">
        <f t="shared" si="62"/>
        <v>0</v>
      </c>
      <c r="M125" s="53">
        <f t="shared" si="62"/>
        <v>0</v>
      </c>
      <c r="N125" s="53">
        <f t="shared" ref="N125" si="63">N444+N470+N481+N457+N493</f>
        <v>0</v>
      </c>
      <c r="O125" s="53">
        <f t="shared" ref="O125" si="64">O444+O470+O481+O457+O493</f>
        <v>0</v>
      </c>
      <c r="P125" s="53">
        <f t="shared" ref="P125:Q125" si="65">P444+P470+P481+P457+P493</f>
        <v>0</v>
      </c>
      <c r="Q125" s="53">
        <f t="shared" si="65"/>
        <v>0</v>
      </c>
      <c r="R125" s="19"/>
      <c r="S125" s="66">
        <f>SUM(F125:Q125)</f>
        <v>0</v>
      </c>
    </row>
    <row r="126" spans="1:19" ht="10.5" outlineLevel="1" collapsed="1" x14ac:dyDescent="0.25">
      <c r="A126" s="62" t="str">
        <f ca="1">Language!A147</f>
        <v>Платежи НДС в бюджет (или возврат из бюджета)</v>
      </c>
      <c r="B126" s="19"/>
      <c r="C126" s="26" t="str">
        <f t="shared" ca="1" si="36"/>
        <v>руб.</v>
      </c>
      <c r="D126" s="46"/>
      <c r="E126" s="19"/>
      <c r="F126" s="56">
        <f t="shared" ref="F126:Q126" ca="1" si="66">IF(VAT_Repay=1,MAX(F129-E131,0),MAX(0,F129)+IF(F29&gt;=$B114,MIN(0,OFFSET(F129,0,-$B114)),0))</f>
        <v>0</v>
      </c>
      <c r="G126" s="56">
        <f t="shared" ca="1" si="66"/>
        <v>0</v>
      </c>
      <c r="H126" s="56">
        <f t="shared" ca="1" si="66"/>
        <v>0</v>
      </c>
      <c r="I126" s="56">
        <f t="shared" ca="1" si="66"/>
        <v>0</v>
      </c>
      <c r="J126" s="56">
        <f t="shared" ca="1" si="66"/>
        <v>0</v>
      </c>
      <c r="K126" s="56">
        <f t="shared" ca="1" si="66"/>
        <v>0</v>
      </c>
      <c r="L126" s="56">
        <f t="shared" ca="1" si="66"/>
        <v>0</v>
      </c>
      <c r="M126" s="56">
        <f t="shared" ca="1" si="66"/>
        <v>0</v>
      </c>
      <c r="N126" s="56">
        <f t="shared" ca="1" si="66"/>
        <v>0</v>
      </c>
      <c r="O126" s="56">
        <f t="shared" ca="1" si="66"/>
        <v>0</v>
      </c>
      <c r="P126" s="56">
        <f t="shared" ca="1" si="66"/>
        <v>0</v>
      </c>
      <c r="Q126" s="56">
        <f t="shared" ca="1" si="66"/>
        <v>0</v>
      </c>
      <c r="R126" s="19"/>
      <c r="S126" s="97">
        <f ca="1">SUM(F126:Q126)</f>
        <v>0</v>
      </c>
    </row>
    <row r="127" spans="1:19" hidden="1" outlineLevel="2" x14ac:dyDescent="0.2">
      <c r="A127" s="19" t="str">
        <f ca="1">Language!A148</f>
        <v xml:space="preserve">    зачтенный НДС на инвестиционные вложения</v>
      </c>
      <c r="B127" s="19"/>
      <c r="C127" s="26" t="str">
        <f t="shared" ca="1" si="36"/>
        <v>руб.</v>
      </c>
      <c r="D127" s="46"/>
      <c r="E127" s="19"/>
      <c r="F127" s="84">
        <f ca="1">F445+F471+F482+F458+F494+F124+B424</f>
        <v>0</v>
      </c>
      <c r="G127" s="84">
        <f t="shared" ref="G127:M127" ca="1" si="67">G445+G471+G482+G458+G494+G124</f>
        <v>0</v>
      </c>
      <c r="H127" s="84">
        <f t="shared" ca="1" si="67"/>
        <v>0</v>
      </c>
      <c r="I127" s="84">
        <f t="shared" ca="1" si="67"/>
        <v>0</v>
      </c>
      <c r="J127" s="84">
        <f t="shared" ca="1" si="67"/>
        <v>0</v>
      </c>
      <c r="K127" s="84">
        <f t="shared" ca="1" si="67"/>
        <v>0</v>
      </c>
      <c r="L127" s="84">
        <f t="shared" ca="1" si="67"/>
        <v>0</v>
      </c>
      <c r="M127" s="84">
        <f t="shared" ca="1" si="67"/>
        <v>0</v>
      </c>
      <c r="N127" s="84">
        <f t="shared" ref="N127" ca="1" si="68">N445+N471+N482+N458+N494+N124</f>
        <v>0</v>
      </c>
      <c r="O127" s="84">
        <f t="shared" ref="O127" ca="1" si="69">O445+O471+O482+O458+O494+O124</f>
        <v>0</v>
      </c>
      <c r="P127" s="84">
        <f t="shared" ref="P127:Q127" ca="1" si="70">P445+P471+P482+P458+P494+P124</f>
        <v>0</v>
      </c>
      <c r="Q127" s="84">
        <f t="shared" ca="1" si="70"/>
        <v>0</v>
      </c>
      <c r="R127" s="19"/>
      <c r="S127" s="66">
        <f ca="1">SUM(F127:Q127)</f>
        <v>0</v>
      </c>
    </row>
    <row r="128" spans="1:19" hidden="1" outlineLevel="2" x14ac:dyDescent="0.2">
      <c r="A128" s="19" t="str">
        <f ca="1">Language!A149</f>
        <v xml:space="preserve">    выплаченный, но еще не зачтенный НДС</v>
      </c>
      <c r="B128" s="19"/>
      <c r="C128" s="26" t="str">
        <f t="shared" ca="1" si="36"/>
        <v>руб.</v>
      </c>
      <c r="D128" s="16" t="s">
        <v>384</v>
      </c>
      <c r="E128" s="19"/>
      <c r="F128" s="84">
        <f ca="1">SUM($E125:F125)+SUM($E124:F124)-SUM($E127:F127)+$B422+$B424</f>
        <v>0</v>
      </c>
      <c r="G128" s="84">
        <f ca="1">SUM($E125:G125)+SUM($E124:G124)-SUM($E127:G127)+$B422+$B424</f>
        <v>0</v>
      </c>
      <c r="H128" s="84">
        <f ca="1">SUM($E125:H125)+SUM($E124:H124)-SUM($E127:H127)+$B422+$B424</f>
        <v>0</v>
      </c>
      <c r="I128" s="84">
        <f ca="1">SUM($E125:I125)+SUM($E124:I124)-SUM($E127:I127)+$B422+$B424</f>
        <v>0</v>
      </c>
      <c r="J128" s="84">
        <f ca="1">SUM($E125:J125)+SUM($E124:J124)-SUM($E127:J127)+$B422+$B424</f>
        <v>0</v>
      </c>
      <c r="K128" s="84">
        <f ca="1">SUM($E125:K125)+SUM($E124:K124)-SUM($E127:K127)+$B422+$B424</f>
        <v>0</v>
      </c>
      <c r="L128" s="84">
        <f ca="1">SUM($E125:L125)+SUM($E124:L124)-SUM($E127:L127)+$B422+$B424</f>
        <v>0</v>
      </c>
      <c r="M128" s="84">
        <f ca="1">SUM($E125:M125)+SUM($E124:M124)-SUM($E127:M127)+$B422+$B424</f>
        <v>0</v>
      </c>
      <c r="N128" s="84">
        <f ca="1">SUM($E125:N125)+SUM($E124:N124)-SUM($E127:N127)+$B422+$B424</f>
        <v>0</v>
      </c>
      <c r="O128" s="84">
        <f ca="1">SUM($E125:O125)+SUM($E124:O124)-SUM($E127:O127)+$B422+$B424</f>
        <v>0</v>
      </c>
      <c r="P128" s="84">
        <f ca="1">SUM($E125:P125)+SUM($E124:P124)-SUM($E127:P127)+$B422+$B424</f>
        <v>0</v>
      </c>
      <c r="Q128" s="84">
        <f ca="1">SUM($E125:Q125)+SUM($E124:Q124)-SUM($E127:Q127)+$B422+$B424</f>
        <v>0</v>
      </c>
      <c r="R128" s="19"/>
      <c r="S128" s="66"/>
    </row>
    <row r="129" spans="1:19" hidden="1" outlineLevel="2" x14ac:dyDescent="0.2">
      <c r="A129" s="19" t="str">
        <f ca="1">Language!A150</f>
        <v xml:space="preserve">    НДС к уплате в бюджет (или к возврату из бюджета)</v>
      </c>
      <c r="B129" s="19"/>
      <c r="C129" s="26" t="str">
        <f t="shared" ca="1" si="36"/>
        <v>руб.</v>
      </c>
      <c r="D129" s="46"/>
      <c r="E129" s="19"/>
      <c r="F129" s="84">
        <f t="shared" ref="F129:M129" ca="1" si="71">F115-F120-F121-F122-F123-F127</f>
        <v>0</v>
      </c>
      <c r="G129" s="84">
        <f t="shared" ca="1" si="71"/>
        <v>0</v>
      </c>
      <c r="H129" s="84">
        <f t="shared" ca="1" si="71"/>
        <v>0</v>
      </c>
      <c r="I129" s="84">
        <f t="shared" ca="1" si="71"/>
        <v>0</v>
      </c>
      <c r="J129" s="84">
        <f t="shared" ca="1" si="71"/>
        <v>0</v>
      </c>
      <c r="K129" s="84">
        <f t="shared" ca="1" si="71"/>
        <v>0</v>
      </c>
      <c r="L129" s="84">
        <f t="shared" ca="1" si="71"/>
        <v>0</v>
      </c>
      <c r="M129" s="84">
        <f t="shared" ca="1" si="71"/>
        <v>0</v>
      </c>
      <c r="N129" s="84">
        <f t="shared" ref="N129" ca="1" si="72">N115-N120-N121-N122-N123-N127</f>
        <v>0</v>
      </c>
      <c r="O129" s="84">
        <f t="shared" ref="O129" ca="1" si="73">O115-O120-O121-O122-O123-O127</f>
        <v>0</v>
      </c>
      <c r="P129" s="84">
        <f t="shared" ref="P129:Q129" ca="1" si="74">P115-P120-P121-P122-P123-P127</f>
        <v>0</v>
      </c>
      <c r="Q129" s="84">
        <f t="shared" ca="1" si="74"/>
        <v>0</v>
      </c>
      <c r="R129" s="19"/>
      <c r="S129" s="66">
        <f ca="1">SUM(F129:Q129)</f>
        <v>0</v>
      </c>
    </row>
    <row r="130" spans="1:19" hidden="1" outlineLevel="2" x14ac:dyDescent="0.2">
      <c r="A130" s="19" t="str">
        <f ca="1">Language!A151</f>
        <v xml:space="preserve">    прямое возмещение НДС из бюджета</v>
      </c>
      <c r="B130" s="19"/>
      <c r="C130" s="26" t="str">
        <f t="shared" ca="1" si="36"/>
        <v>руб.</v>
      </c>
      <c r="D130" s="46"/>
      <c r="E130" s="19"/>
      <c r="F130" s="53">
        <f t="shared" ref="F130:M130" ca="1" si="75">IF(VAT_Repay=1,0,IF(F29&gt;=$B114,MIN(0,OFFSET(F129,0,-$B114)),0))</f>
        <v>0</v>
      </c>
      <c r="G130" s="53">
        <f t="shared" ca="1" si="75"/>
        <v>0</v>
      </c>
      <c r="H130" s="53">
        <f t="shared" ca="1" si="75"/>
        <v>0</v>
      </c>
      <c r="I130" s="53">
        <f t="shared" ca="1" si="75"/>
        <v>0</v>
      </c>
      <c r="J130" s="53">
        <f t="shared" ca="1" si="75"/>
        <v>0</v>
      </c>
      <c r="K130" s="53">
        <f t="shared" ca="1" si="75"/>
        <v>0</v>
      </c>
      <c r="L130" s="53">
        <f t="shared" ca="1" si="75"/>
        <v>0</v>
      </c>
      <c r="M130" s="53">
        <f t="shared" ca="1" si="75"/>
        <v>0</v>
      </c>
      <c r="N130" s="53">
        <f t="shared" ref="N130" ca="1" si="76">IF(VAT_Repay=1,0,IF(N29&gt;=$B114,MIN(0,OFFSET(N129,0,-$B114)),0))</f>
        <v>0</v>
      </c>
      <c r="O130" s="53">
        <f t="shared" ref="O130" ca="1" si="77">IF(VAT_Repay=1,0,IF(O29&gt;=$B114,MIN(0,OFFSET(O129,0,-$B114)),0))</f>
        <v>0</v>
      </c>
      <c r="P130" s="53">
        <f t="shared" ref="P130:Q130" ca="1" si="78">IF(VAT_Repay=1,0,IF(P29&gt;=$B114,MIN(0,OFFSET(P129,0,-$B114)),0))</f>
        <v>0</v>
      </c>
      <c r="Q130" s="53">
        <f t="shared" ca="1" si="78"/>
        <v>0</v>
      </c>
      <c r="R130" s="19"/>
      <c r="S130" s="66">
        <f ca="1">SUM(F130:Q130)</f>
        <v>0</v>
      </c>
    </row>
    <row r="131" spans="1:19" hidden="1" outlineLevel="2" x14ac:dyDescent="0.2">
      <c r="A131" s="19" t="str">
        <f ca="1">Language!A152</f>
        <v xml:space="preserve">    отложенный возврат НДС из бюджета</v>
      </c>
      <c r="B131" s="19"/>
      <c r="C131" s="26" t="str">
        <f t="shared" ca="1" si="36"/>
        <v>руб.</v>
      </c>
      <c r="D131" s="16" t="s">
        <v>384</v>
      </c>
      <c r="E131" s="19"/>
      <c r="F131" s="53">
        <f t="shared" ref="F131:Q131" ca="1" si="79">IF(VAT_Repay=2,E131-MIN(F129,0)+F130,MAX(E131-F129,0))</f>
        <v>0</v>
      </c>
      <c r="G131" s="53">
        <f t="shared" ca="1" si="79"/>
        <v>0</v>
      </c>
      <c r="H131" s="53">
        <f t="shared" ca="1" si="79"/>
        <v>0</v>
      </c>
      <c r="I131" s="53">
        <f t="shared" ca="1" si="79"/>
        <v>0</v>
      </c>
      <c r="J131" s="53">
        <f t="shared" ca="1" si="79"/>
        <v>0</v>
      </c>
      <c r="K131" s="53">
        <f t="shared" ca="1" si="79"/>
        <v>0</v>
      </c>
      <c r="L131" s="53">
        <f t="shared" ca="1" si="79"/>
        <v>0</v>
      </c>
      <c r="M131" s="53">
        <f t="shared" ca="1" si="79"/>
        <v>0</v>
      </c>
      <c r="N131" s="53">
        <f t="shared" ca="1" si="79"/>
        <v>0</v>
      </c>
      <c r="O131" s="53">
        <f t="shared" ca="1" si="79"/>
        <v>0</v>
      </c>
      <c r="P131" s="53">
        <f t="shared" ca="1" si="79"/>
        <v>0</v>
      </c>
      <c r="Q131" s="53">
        <f t="shared" ca="1" si="79"/>
        <v>0</v>
      </c>
      <c r="R131" s="19"/>
      <c r="S131" s="66"/>
    </row>
    <row r="132" spans="1:19" outlineLevel="1" x14ac:dyDescent="0.2">
      <c r="A132" s="19"/>
      <c r="B132" s="19"/>
      <c r="C132" s="26"/>
      <c r="D132" s="46"/>
      <c r="E132" s="19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19"/>
      <c r="S132" s="22"/>
    </row>
    <row r="133" spans="1:19" outlineLevel="1" x14ac:dyDescent="0.2">
      <c r="A133" s="63"/>
      <c r="B133" s="63"/>
      <c r="C133" s="67"/>
      <c r="D133" s="60"/>
      <c r="E133" s="63"/>
      <c r="F133" s="68"/>
      <c r="G133" s="68"/>
      <c r="H133" s="68"/>
      <c r="I133" s="68"/>
      <c r="J133" s="68"/>
      <c r="K133" s="68"/>
      <c r="L133" s="68"/>
      <c r="M133" s="68"/>
      <c r="N133" s="68"/>
      <c r="O133" s="68"/>
      <c r="P133" s="68"/>
      <c r="Q133" s="68"/>
      <c r="R133" s="63"/>
      <c r="S133" s="64"/>
    </row>
    <row r="134" spans="1:19" ht="10.5" outlineLevel="1" x14ac:dyDescent="0.25">
      <c r="A134" s="62" t="str">
        <f ca="1">Language!A153</f>
        <v>ПРОЧИЕ НАЛОГИ</v>
      </c>
      <c r="B134" s="19"/>
      <c r="C134" s="26"/>
      <c r="D134" s="46"/>
      <c r="E134" s="19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19"/>
      <c r="S134" s="22"/>
    </row>
    <row r="135" spans="1:19" outlineLevel="1" x14ac:dyDescent="0.2">
      <c r="A135" s="19"/>
      <c r="B135" s="19"/>
      <c r="C135" s="26"/>
      <c r="D135" s="46"/>
      <c r="E135" s="19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19"/>
      <c r="S135" s="22"/>
    </row>
    <row r="136" spans="1:19" ht="10.5" outlineLevel="1" collapsed="1" x14ac:dyDescent="0.25">
      <c r="A136" s="24" t="str">
        <f ca="1">Language!A154</f>
        <v>Начисления на заработную плату</v>
      </c>
      <c r="B136" s="260">
        <f>IF(B104=1,30%,0%)</f>
        <v>0</v>
      </c>
      <c r="C136" s="26" t="str">
        <f ca="1">CUR_Main</f>
        <v>руб.</v>
      </c>
      <c r="D136" s="46"/>
      <c r="E136" s="19"/>
      <c r="F136" s="99">
        <f t="shared" ref="F136:M136" si="80">IF($B104=1,F1017,0)</f>
        <v>0</v>
      </c>
      <c r="G136" s="99">
        <f t="shared" si="80"/>
        <v>0</v>
      </c>
      <c r="H136" s="99">
        <f t="shared" si="80"/>
        <v>0</v>
      </c>
      <c r="I136" s="99">
        <f t="shared" si="80"/>
        <v>0</v>
      </c>
      <c r="J136" s="99">
        <f t="shared" si="80"/>
        <v>0</v>
      </c>
      <c r="K136" s="99">
        <f t="shared" si="80"/>
        <v>0</v>
      </c>
      <c r="L136" s="99">
        <f t="shared" si="80"/>
        <v>0</v>
      </c>
      <c r="M136" s="99">
        <f t="shared" si="80"/>
        <v>0</v>
      </c>
      <c r="N136" s="99">
        <f t="shared" ref="N136" si="81">IF($B104=1,N1017,0)</f>
        <v>0</v>
      </c>
      <c r="O136" s="99">
        <f t="shared" ref="O136" si="82">IF($B104=1,O1017,0)</f>
        <v>0</v>
      </c>
      <c r="P136" s="99">
        <f t="shared" ref="P136:Q136" si="83">IF($B104=1,P1017,0)</f>
        <v>0</v>
      </c>
      <c r="Q136" s="99">
        <f t="shared" si="83"/>
        <v>0</v>
      </c>
      <c r="R136" s="19"/>
      <c r="S136" s="97">
        <f>SUM(F136:Q136)</f>
        <v>0</v>
      </c>
    </row>
    <row r="137" spans="1:19" hidden="1" outlineLevel="2" x14ac:dyDescent="0.2">
      <c r="A137" s="19" t="str">
        <f ca="1">Language!A155</f>
        <v xml:space="preserve">    Единый социальный налог (ЕСН)</v>
      </c>
      <c r="B137" s="19"/>
      <c r="C137" s="26"/>
      <c r="D137" s="46"/>
      <c r="E137" s="19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19"/>
      <c r="S137" s="22"/>
    </row>
    <row r="138" spans="1:19" hidden="1" outlineLevel="2" x14ac:dyDescent="0.2">
      <c r="A138" s="19" t="str">
        <f ca="1">Language!A156</f>
        <v xml:space="preserve">        ставка</v>
      </c>
      <c r="C138" s="26" t="s">
        <v>177</v>
      </c>
      <c r="D138" s="16" t="s">
        <v>176</v>
      </c>
      <c r="E138" s="19"/>
      <c r="F138" s="47">
        <f>B136</f>
        <v>0</v>
      </c>
      <c r="G138" s="47">
        <f t="shared" ref="G138:Q138" si="84">F138</f>
        <v>0</v>
      </c>
      <c r="H138" s="47">
        <f t="shared" si="84"/>
        <v>0</v>
      </c>
      <c r="I138" s="47">
        <f t="shared" si="84"/>
        <v>0</v>
      </c>
      <c r="J138" s="47">
        <f t="shared" si="84"/>
        <v>0</v>
      </c>
      <c r="K138" s="47">
        <f t="shared" si="84"/>
        <v>0</v>
      </c>
      <c r="L138" s="47">
        <f t="shared" si="84"/>
        <v>0</v>
      </c>
      <c r="M138" s="47">
        <f t="shared" si="84"/>
        <v>0</v>
      </c>
      <c r="N138" s="47">
        <f t="shared" si="84"/>
        <v>0</v>
      </c>
      <c r="O138" s="47">
        <f t="shared" si="84"/>
        <v>0</v>
      </c>
      <c r="P138" s="47">
        <f t="shared" si="84"/>
        <v>0</v>
      </c>
      <c r="Q138" s="47">
        <f t="shared" si="84"/>
        <v>0</v>
      </c>
      <c r="R138" s="19"/>
      <c r="S138" s="22"/>
    </row>
    <row r="139" spans="1:19" hidden="1" outlineLevel="2" x14ac:dyDescent="0.2">
      <c r="A139" s="19" t="str">
        <f ca="1">Language!A157</f>
        <v xml:space="preserve">        период уплаты</v>
      </c>
      <c r="B139" s="259">
        <v>30</v>
      </c>
      <c r="C139" s="26" t="str">
        <f ca="1">Language!A218</f>
        <v>дней</v>
      </c>
      <c r="D139" s="16"/>
      <c r="E139" s="19"/>
      <c r="F139" s="98"/>
      <c r="G139" s="98"/>
      <c r="H139" s="98"/>
      <c r="I139" s="98"/>
      <c r="J139" s="98"/>
      <c r="K139" s="98"/>
      <c r="L139" s="98"/>
      <c r="M139" s="98"/>
      <c r="N139" s="98"/>
      <c r="O139" s="98"/>
      <c r="P139" s="98"/>
      <c r="Q139" s="98"/>
      <c r="R139" s="19"/>
      <c r="S139" s="22"/>
    </row>
    <row r="140" spans="1:19" hidden="1" outlineLevel="2" x14ac:dyDescent="0.2">
      <c r="A140" s="19" t="str">
        <f ca="1">Language!A158</f>
        <v xml:space="preserve">    Страхование</v>
      </c>
      <c r="B140" s="19"/>
      <c r="C140" s="26"/>
      <c r="D140" s="16"/>
      <c r="E140" s="19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19"/>
      <c r="S140" s="22"/>
    </row>
    <row r="141" spans="1:19" hidden="1" outlineLevel="2" x14ac:dyDescent="0.2">
      <c r="A141" s="19" t="str">
        <f ca="1">Language!A159</f>
        <v xml:space="preserve">        ставка</v>
      </c>
      <c r="B141" s="260">
        <v>0</v>
      </c>
      <c r="C141" s="26" t="s">
        <v>177</v>
      </c>
      <c r="D141" s="16" t="s">
        <v>176</v>
      </c>
      <c r="E141" s="19"/>
      <c r="F141" s="47">
        <f>B141</f>
        <v>0</v>
      </c>
      <c r="G141" s="47">
        <f t="shared" ref="G141:Q141" si="85">F141</f>
        <v>0</v>
      </c>
      <c r="H141" s="47">
        <f t="shared" si="85"/>
        <v>0</v>
      </c>
      <c r="I141" s="47">
        <f t="shared" si="85"/>
        <v>0</v>
      </c>
      <c r="J141" s="47">
        <f t="shared" si="85"/>
        <v>0</v>
      </c>
      <c r="K141" s="47">
        <f t="shared" si="85"/>
        <v>0</v>
      </c>
      <c r="L141" s="47">
        <f t="shared" si="85"/>
        <v>0</v>
      </c>
      <c r="M141" s="47">
        <f t="shared" si="85"/>
        <v>0</v>
      </c>
      <c r="N141" s="47">
        <f t="shared" si="85"/>
        <v>0</v>
      </c>
      <c r="O141" s="47">
        <f t="shared" si="85"/>
        <v>0</v>
      </c>
      <c r="P141" s="47">
        <f t="shared" si="85"/>
        <v>0</v>
      </c>
      <c r="Q141" s="47">
        <f t="shared" si="85"/>
        <v>0</v>
      </c>
      <c r="R141" s="19"/>
      <c r="S141" s="22"/>
    </row>
    <row r="142" spans="1:19" hidden="1" outlineLevel="2" x14ac:dyDescent="0.2">
      <c r="A142" s="19" t="str">
        <f ca="1">Language!A160</f>
        <v xml:space="preserve">        период уплаты</v>
      </c>
      <c r="B142" s="259">
        <v>30</v>
      </c>
      <c r="C142" s="26" t="str">
        <f ca="1">Language!A218</f>
        <v>дней</v>
      </c>
      <c r="D142" s="16"/>
      <c r="E142" s="19"/>
      <c r="F142" s="98"/>
      <c r="G142" s="98"/>
      <c r="H142" s="98"/>
      <c r="I142" s="98"/>
      <c r="J142" s="98"/>
      <c r="K142" s="98"/>
      <c r="L142" s="98"/>
      <c r="M142" s="98"/>
      <c r="N142" s="98"/>
      <c r="O142" s="98"/>
      <c r="P142" s="98"/>
      <c r="Q142" s="98"/>
      <c r="R142" s="19"/>
      <c r="S142" s="22"/>
    </row>
    <row r="143" spans="1:19" ht="10.5" outlineLevel="1" collapsed="1" x14ac:dyDescent="0.25">
      <c r="A143" s="24" t="str">
        <f ca="1">Language!A161</f>
        <v>Земельный налог</v>
      </c>
      <c r="B143" s="19"/>
      <c r="C143" s="26" t="str">
        <f ca="1">CUR_Main</f>
        <v>руб.</v>
      </c>
      <c r="D143" s="59"/>
      <c r="E143" s="19"/>
      <c r="F143" s="99">
        <f t="shared" ref="F143:M143" si="86">F144*F145</f>
        <v>0</v>
      </c>
      <c r="G143" s="99">
        <f t="shared" si="86"/>
        <v>0</v>
      </c>
      <c r="H143" s="99">
        <f t="shared" si="86"/>
        <v>0</v>
      </c>
      <c r="I143" s="99">
        <f t="shared" si="86"/>
        <v>0</v>
      </c>
      <c r="J143" s="99">
        <f t="shared" si="86"/>
        <v>0</v>
      </c>
      <c r="K143" s="99">
        <f t="shared" si="86"/>
        <v>0</v>
      </c>
      <c r="L143" s="99">
        <f t="shared" si="86"/>
        <v>0</v>
      </c>
      <c r="M143" s="99">
        <f t="shared" si="86"/>
        <v>0</v>
      </c>
      <c r="N143" s="99">
        <f t="shared" ref="N143" si="87">N144*N145</f>
        <v>0</v>
      </c>
      <c r="O143" s="99">
        <f t="shared" ref="O143" si="88">O144*O145</f>
        <v>0</v>
      </c>
      <c r="P143" s="99">
        <f t="shared" ref="P143:Q143" si="89">P144*P145</f>
        <v>0</v>
      </c>
      <c r="Q143" s="99">
        <f t="shared" si="89"/>
        <v>0</v>
      </c>
      <c r="R143" s="19"/>
      <c r="S143" s="97">
        <f>SUM(F143:Q143)</f>
        <v>0</v>
      </c>
    </row>
    <row r="144" spans="1:19" hidden="1" outlineLevel="2" x14ac:dyDescent="0.2">
      <c r="A144" s="19" t="str">
        <f ca="1">Language!A162</f>
        <v xml:space="preserve">    ставка (на тыс. кв. м )</v>
      </c>
      <c r="B144" s="262">
        <v>0</v>
      </c>
      <c r="C144" s="26" t="str">
        <f ca="1">CUR_Main</f>
        <v>руб.</v>
      </c>
      <c r="D144" s="16" t="s">
        <v>176</v>
      </c>
      <c r="E144" s="19"/>
      <c r="F144" s="65">
        <f>B144</f>
        <v>0</v>
      </c>
      <c r="G144" s="65">
        <f t="shared" ref="G144:Q145" si="90">F144</f>
        <v>0</v>
      </c>
      <c r="H144" s="65">
        <f t="shared" si="90"/>
        <v>0</v>
      </c>
      <c r="I144" s="65">
        <f t="shared" si="90"/>
        <v>0</v>
      </c>
      <c r="J144" s="65">
        <f t="shared" si="90"/>
        <v>0</v>
      </c>
      <c r="K144" s="65">
        <f t="shared" si="90"/>
        <v>0</v>
      </c>
      <c r="L144" s="65">
        <f t="shared" si="90"/>
        <v>0</v>
      </c>
      <c r="M144" s="65">
        <f t="shared" si="90"/>
        <v>0</v>
      </c>
      <c r="N144" s="65">
        <f t="shared" si="90"/>
        <v>0</v>
      </c>
      <c r="O144" s="65">
        <f t="shared" si="90"/>
        <v>0</v>
      </c>
      <c r="P144" s="65">
        <f t="shared" si="90"/>
        <v>0</v>
      </c>
      <c r="Q144" s="65">
        <f t="shared" si="90"/>
        <v>0</v>
      </c>
      <c r="R144" s="19"/>
      <c r="S144" s="97"/>
    </row>
    <row r="145" spans="1:19" hidden="1" outlineLevel="2" x14ac:dyDescent="0.2">
      <c r="A145" s="19" t="str">
        <f ca="1">Language!A163</f>
        <v xml:space="preserve">    площадь к налогообложению</v>
      </c>
      <c r="B145" s="262">
        <v>1000</v>
      </c>
      <c r="C145" s="26" t="str">
        <f ca="1">Language!A223</f>
        <v>тыс. кв. м</v>
      </c>
      <c r="D145" s="16" t="s">
        <v>176</v>
      </c>
      <c r="E145" s="19"/>
      <c r="F145" s="65">
        <f>B145</f>
        <v>1000</v>
      </c>
      <c r="G145" s="65">
        <f t="shared" si="90"/>
        <v>1000</v>
      </c>
      <c r="H145" s="65">
        <f t="shared" si="90"/>
        <v>1000</v>
      </c>
      <c r="I145" s="65">
        <f t="shared" si="90"/>
        <v>1000</v>
      </c>
      <c r="J145" s="65">
        <f t="shared" si="90"/>
        <v>1000</v>
      </c>
      <c r="K145" s="65">
        <f t="shared" si="90"/>
        <v>1000</v>
      </c>
      <c r="L145" s="65">
        <f t="shared" si="90"/>
        <v>1000</v>
      </c>
      <c r="M145" s="65">
        <f t="shared" si="90"/>
        <v>1000</v>
      </c>
      <c r="N145" s="65">
        <f t="shared" si="90"/>
        <v>1000</v>
      </c>
      <c r="O145" s="65">
        <f t="shared" si="90"/>
        <v>1000</v>
      </c>
      <c r="P145" s="65">
        <f t="shared" si="90"/>
        <v>1000</v>
      </c>
      <c r="Q145" s="65">
        <f t="shared" si="90"/>
        <v>1000</v>
      </c>
      <c r="R145" s="19"/>
      <c r="S145" s="22"/>
    </row>
    <row r="146" spans="1:19" hidden="1" outlineLevel="2" x14ac:dyDescent="0.2">
      <c r="A146" s="19" t="str">
        <f ca="1">Language!A164</f>
        <v xml:space="preserve">    период уплаты</v>
      </c>
      <c r="B146" s="259">
        <v>90</v>
      </c>
      <c r="C146" s="26" t="str">
        <f ca="1">Language!A218</f>
        <v>дней</v>
      </c>
      <c r="D146" s="16"/>
      <c r="E146" s="19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19"/>
      <c r="S146" s="22"/>
    </row>
    <row r="147" spans="1:19" ht="10.5" outlineLevel="1" collapsed="1" x14ac:dyDescent="0.2">
      <c r="A147" s="24" t="str">
        <f ca="1">Language!A165</f>
        <v>Другие налоги, относимые на текущие затраты</v>
      </c>
      <c r="B147" s="19"/>
      <c r="C147" s="26" t="str">
        <f ca="1">CUR_Main</f>
        <v>руб.</v>
      </c>
      <c r="D147" s="59"/>
      <c r="E147" s="19"/>
      <c r="F147" s="56">
        <f t="shared" ref="F147:M147" si="91">F148+SUMIF($D148:$D156,"1_01",F148:F156)</f>
        <v>0</v>
      </c>
      <c r="G147" s="56">
        <f t="shared" si="91"/>
        <v>0</v>
      </c>
      <c r="H147" s="56">
        <f t="shared" si="91"/>
        <v>0</v>
      </c>
      <c r="I147" s="56">
        <f t="shared" si="91"/>
        <v>0</v>
      </c>
      <c r="J147" s="56">
        <f t="shared" si="91"/>
        <v>0</v>
      </c>
      <c r="K147" s="56">
        <f t="shared" si="91"/>
        <v>0</v>
      </c>
      <c r="L147" s="56">
        <f t="shared" si="91"/>
        <v>0</v>
      </c>
      <c r="M147" s="56">
        <f t="shared" si="91"/>
        <v>0</v>
      </c>
      <c r="N147" s="56">
        <f t="shared" ref="N147" si="92">N148+SUMIF($D148:$D156,"1_01",N148:N156)</f>
        <v>0</v>
      </c>
      <c r="O147" s="56">
        <f t="shared" ref="O147" si="93">O148+SUMIF($D148:$D156,"1_01",O148:O156)</f>
        <v>0</v>
      </c>
      <c r="P147" s="56">
        <f t="shared" ref="P147:Q147" si="94">P148+SUMIF($D148:$D156,"1_01",P148:P156)</f>
        <v>0</v>
      </c>
      <c r="Q147" s="56">
        <f t="shared" si="94"/>
        <v>0</v>
      </c>
      <c r="R147" s="19"/>
      <c r="S147" s="105">
        <f>SUM(F147:Q147)</f>
        <v>0</v>
      </c>
    </row>
    <row r="148" spans="1:19" hidden="1" outlineLevel="2" x14ac:dyDescent="0.2">
      <c r="A148" s="19" t="str">
        <f ca="1">Language!A166</f>
        <v>Другие налоги с продаж</v>
      </c>
      <c r="B148" s="19"/>
      <c r="C148" s="26"/>
      <c r="D148" s="16"/>
      <c r="E148" s="19"/>
      <c r="F148" s="65">
        <f t="shared" ref="F148:Q148" si="95">F149*F643</f>
        <v>0</v>
      </c>
      <c r="G148" s="65">
        <f t="shared" si="95"/>
        <v>0</v>
      </c>
      <c r="H148" s="65">
        <f t="shared" si="95"/>
        <v>0</v>
      </c>
      <c r="I148" s="65">
        <f t="shared" si="95"/>
        <v>0</v>
      </c>
      <c r="J148" s="65">
        <f t="shared" si="95"/>
        <v>0</v>
      </c>
      <c r="K148" s="65">
        <f t="shared" si="95"/>
        <v>0</v>
      </c>
      <c r="L148" s="65">
        <f t="shared" si="95"/>
        <v>0</v>
      </c>
      <c r="M148" s="65">
        <f t="shared" si="95"/>
        <v>0</v>
      </c>
      <c r="N148" s="65">
        <f t="shared" si="95"/>
        <v>0</v>
      </c>
      <c r="O148" s="65">
        <f t="shared" si="95"/>
        <v>0</v>
      </c>
      <c r="P148" s="65">
        <f t="shared" si="95"/>
        <v>0</v>
      </c>
      <c r="Q148" s="65">
        <f t="shared" si="95"/>
        <v>0</v>
      </c>
      <c r="R148" s="19"/>
      <c r="S148" s="104">
        <f>SUM(F148:Q148)</f>
        <v>0</v>
      </c>
    </row>
    <row r="149" spans="1:19" hidden="1" outlineLevel="2" x14ac:dyDescent="0.2">
      <c r="A149" s="19" t="str">
        <f ca="1">Language!A167</f>
        <v xml:space="preserve">    ставка</v>
      </c>
      <c r="B149" s="260">
        <v>0</v>
      </c>
      <c r="C149" s="26" t="s">
        <v>177</v>
      </c>
      <c r="D149" s="16" t="s">
        <v>176</v>
      </c>
      <c r="E149" s="19"/>
      <c r="F149" s="47">
        <f>B149</f>
        <v>0</v>
      </c>
      <c r="G149" s="47">
        <f t="shared" ref="G149:Q149" si="96">F149</f>
        <v>0</v>
      </c>
      <c r="H149" s="47">
        <f t="shared" si="96"/>
        <v>0</v>
      </c>
      <c r="I149" s="47">
        <f t="shared" si="96"/>
        <v>0</v>
      </c>
      <c r="J149" s="47">
        <f t="shared" si="96"/>
        <v>0</v>
      </c>
      <c r="K149" s="47">
        <f t="shared" si="96"/>
        <v>0</v>
      </c>
      <c r="L149" s="47">
        <f t="shared" si="96"/>
        <v>0</v>
      </c>
      <c r="M149" s="47">
        <f t="shared" si="96"/>
        <v>0</v>
      </c>
      <c r="N149" s="47">
        <f t="shared" si="96"/>
        <v>0</v>
      </c>
      <c r="O149" s="47">
        <f t="shared" si="96"/>
        <v>0</v>
      </c>
      <c r="P149" s="47">
        <f t="shared" si="96"/>
        <v>0</v>
      </c>
      <c r="Q149" s="47">
        <f t="shared" si="96"/>
        <v>0</v>
      </c>
      <c r="R149" s="19"/>
      <c r="S149" s="22"/>
    </row>
    <row r="150" spans="1:19" hidden="1" outlineLevel="2" x14ac:dyDescent="0.2">
      <c r="A150" s="19" t="str">
        <f ca="1">Language!A168</f>
        <v xml:space="preserve">    период уплаты</v>
      </c>
      <c r="B150" s="259">
        <v>90</v>
      </c>
      <c r="C150" s="26" t="str">
        <f ca="1">Language!A$218</f>
        <v>дней</v>
      </c>
      <c r="D150" s="16">
        <v>1</v>
      </c>
      <c r="E150" s="19">
        <v>5</v>
      </c>
      <c r="F150" s="98"/>
      <c r="G150" s="98"/>
      <c r="H150" s="98"/>
      <c r="I150" s="98"/>
      <c r="J150" s="98"/>
      <c r="K150" s="98"/>
      <c r="L150" s="98"/>
      <c r="M150" s="98"/>
      <c r="N150" s="98"/>
      <c r="O150" s="98"/>
      <c r="P150" s="98"/>
      <c r="Q150" s="98"/>
      <c r="R150" s="19"/>
      <c r="S150" s="22"/>
    </row>
    <row r="151" spans="1:19" s="48" customFormat="1" hidden="1" outlineLevel="2" x14ac:dyDescent="0.2">
      <c r="A151" s="263" t="str">
        <f ca="1">Language!A$224</f>
        <v>Наименование налога</v>
      </c>
      <c r="B151" s="50"/>
      <c r="C151" s="26" t="str">
        <f ca="1">CUR_Main</f>
        <v>руб.</v>
      </c>
      <c r="D151" s="16" t="s">
        <v>188</v>
      </c>
      <c r="E151" s="45"/>
      <c r="F151" s="65">
        <f t="shared" ref="F151:M151" si="97">F152*F153</f>
        <v>0</v>
      </c>
      <c r="G151" s="65">
        <f t="shared" si="97"/>
        <v>0</v>
      </c>
      <c r="H151" s="65">
        <f t="shared" si="97"/>
        <v>0</v>
      </c>
      <c r="I151" s="65">
        <f t="shared" si="97"/>
        <v>0</v>
      </c>
      <c r="J151" s="65">
        <f t="shared" si="97"/>
        <v>0</v>
      </c>
      <c r="K151" s="65">
        <f t="shared" si="97"/>
        <v>0</v>
      </c>
      <c r="L151" s="65">
        <f t="shared" si="97"/>
        <v>0</v>
      </c>
      <c r="M151" s="65">
        <f t="shared" si="97"/>
        <v>0</v>
      </c>
      <c r="N151" s="65">
        <f t="shared" ref="N151" si="98">N152*N153</f>
        <v>0</v>
      </c>
      <c r="O151" s="65">
        <f t="shared" ref="O151" si="99">O152*O153</f>
        <v>0</v>
      </c>
      <c r="P151" s="65">
        <f t="shared" ref="P151:Q151" si="100">P152*P153</f>
        <v>0</v>
      </c>
      <c r="Q151" s="65">
        <f t="shared" si="100"/>
        <v>0</v>
      </c>
      <c r="R151" s="45"/>
      <c r="S151" s="104">
        <f>SUM(F151:Q151)</f>
        <v>0</v>
      </c>
    </row>
    <row r="152" spans="1:19" hidden="1" outlineLevel="2" x14ac:dyDescent="0.2">
      <c r="A152" s="19" t="str">
        <f ca="1">Language!A$169</f>
        <v xml:space="preserve">    налогооблагаемая база</v>
      </c>
      <c r="B152" s="19"/>
      <c r="C152" s="26" t="str">
        <f ca="1">CUR_Main</f>
        <v>руб.</v>
      </c>
      <c r="E152" s="19"/>
      <c r="F152" s="264">
        <v>0</v>
      </c>
      <c r="G152" s="264">
        <f t="shared" ref="G152:Q153" si="101">F152</f>
        <v>0</v>
      </c>
      <c r="H152" s="264">
        <f t="shared" si="101"/>
        <v>0</v>
      </c>
      <c r="I152" s="264">
        <f t="shared" si="101"/>
        <v>0</v>
      </c>
      <c r="J152" s="264">
        <f t="shared" si="101"/>
        <v>0</v>
      </c>
      <c r="K152" s="264">
        <f t="shared" si="101"/>
        <v>0</v>
      </c>
      <c r="L152" s="264">
        <f t="shared" si="101"/>
        <v>0</v>
      </c>
      <c r="M152" s="264">
        <f t="shared" si="101"/>
        <v>0</v>
      </c>
      <c r="N152" s="264">
        <f t="shared" si="101"/>
        <v>0</v>
      </c>
      <c r="O152" s="264">
        <f t="shared" si="101"/>
        <v>0</v>
      </c>
      <c r="P152" s="264">
        <f t="shared" si="101"/>
        <v>0</v>
      </c>
      <c r="Q152" s="264">
        <f t="shared" si="101"/>
        <v>0</v>
      </c>
      <c r="R152" s="19"/>
      <c r="S152" s="22"/>
    </row>
    <row r="153" spans="1:19" hidden="1" outlineLevel="2" x14ac:dyDescent="0.2">
      <c r="A153" s="19" t="str">
        <f ca="1">Language!A$170</f>
        <v xml:space="preserve">    ставка</v>
      </c>
      <c r="B153" s="260">
        <v>0</v>
      </c>
      <c r="C153" s="26" t="s">
        <v>177</v>
      </c>
      <c r="D153" s="16" t="s">
        <v>176</v>
      </c>
      <c r="E153" s="19"/>
      <c r="F153" s="47">
        <f>B153</f>
        <v>0</v>
      </c>
      <c r="G153" s="47">
        <f t="shared" si="101"/>
        <v>0</v>
      </c>
      <c r="H153" s="47">
        <f t="shared" si="101"/>
        <v>0</v>
      </c>
      <c r="I153" s="47">
        <f t="shared" si="101"/>
        <v>0</v>
      </c>
      <c r="J153" s="47">
        <f t="shared" si="101"/>
        <v>0</v>
      </c>
      <c r="K153" s="47">
        <f t="shared" si="101"/>
        <v>0</v>
      </c>
      <c r="L153" s="47">
        <f t="shared" si="101"/>
        <v>0</v>
      </c>
      <c r="M153" s="47">
        <f t="shared" si="101"/>
        <v>0</v>
      </c>
      <c r="N153" s="47">
        <f t="shared" si="101"/>
        <v>0</v>
      </c>
      <c r="O153" s="47">
        <f t="shared" si="101"/>
        <v>0</v>
      </c>
      <c r="P153" s="47">
        <f t="shared" si="101"/>
        <v>0</v>
      </c>
      <c r="Q153" s="47">
        <f t="shared" si="101"/>
        <v>0</v>
      </c>
      <c r="R153" s="19"/>
      <c r="S153" s="22"/>
    </row>
    <row r="154" spans="1:19" hidden="1" outlineLevel="2" x14ac:dyDescent="0.2">
      <c r="A154" s="19" t="str">
        <f ca="1">Language!A$171</f>
        <v xml:space="preserve">    период уплаты</v>
      </c>
      <c r="B154" s="259">
        <v>90</v>
      </c>
      <c r="C154" s="26" t="str">
        <f ca="1">Language!A$218</f>
        <v>дней</v>
      </c>
      <c r="D154" s="16"/>
      <c r="E154" s="19"/>
      <c r="F154" s="98"/>
      <c r="G154" s="98"/>
      <c r="H154" s="98"/>
      <c r="I154" s="98"/>
      <c r="J154" s="98"/>
      <c r="K154" s="98"/>
      <c r="L154" s="98"/>
      <c r="M154" s="98"/>
      <c r="N154" s="98"/>
      <c r="O154" s="98"/>
      <c r="P154" s="98"/>
      <c r="Q154" s="98"/>
      <c r="R154" s="19"/>
      <c r="S154" s="22"/>
    </row>
    <row r="155" spans="1:19" s="48" customFormat="1" hidden="1" outlineLevel="2" x14ac:dyDescent="0.2">
      <c r="A155" s="19" t="str">
        <f ca="1">Language!A$172</f>
        <v xml:space="preserve">   задолженность перед бюджетом</v>
      </c>
      <c r="B155" s="50"/>
      <c r="C155" s="26" t="str">
        <f ca="1">CUR_Main</f>
        <v>руб.</v>
      </c>
      <c r="D155" s="101" t="s">
        <v>577</v>
      </c>
      <c r="E155" s="45"/>
      <c r="F155" s="103">
        <v>0</v>
      </c>
      <c r="G155" s="103">
        <f t="shared" ref="G155:Q155" si="102">F151*$B154/PRJ_Step</f>
        <v>0</v>
      </c>
      <c r="H155" s="103">
        <f t="shared" si="102"/>
        <v>0</v>
      </c>
      <c r="I155" s="103">
        <f t="shared" si="102"/>
        <v>0</v>
      </c>
      <c r="J155" s="103">
        <f t="shared" si="102"/>
        <v>0</v>
      </c>
      <c r="K155" s="103">
        <f t="shared" si="102"/>
        <v>0</v>
      </c>
      <c r="L155" s="103">
        <f t="shared" si="102"/>
        <v>0</v>
      </c>
      <c r="M155" s="103">
        <f t="shared" si="102"/>
        <v>0</v>
      </c>
      <c r="N155" s="103">
        <f t="shared" si="102"/>
        <v>0</v>
      </c>
      <c r="O155" s="103">
        <f t="shared" si="102"/>
        <v>0</v>
      </c>
      <c r="P155" s="103">
        <f t="shared" si="102"/>
        <v>0</v>
      </c>
      <c r="Q155" s="103">
        <f t="shared" si="102"/>
        <v>0</v>
      </c>
      <c r="R155" s="45"/>
      <c r="S155" s="77"/>
    </row>
    <row r="156" spans="1:19" outlineLevel="1" x14ac:dyDescent="0.2">
      <c r="A156" s="19"/>
      <c r="B156" s="19"/>
      <c r="C156" s="26"/>
      <c r="D156" s="46"/>
      <c r="E156" s="19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19"/>
      <c r="S156" s="22"/>
    </row>
    <row r="157" spans="1:19" ht="10.5" outlineLevel="1" collapsed="1" x14ac:dyDescent="0.2">
      <c r="A157" s="24" t="str">
        <f ca="1">Language!A174</f>
        <v>Налог на имущество</v>
      </c>
      <c r="B157" s="260">
        <f>IF(B104=1,2.2%,0%)</f>
        <v>0</v>
      </c>
      <c r="C157" s="26" t="str">
        <f ca="1">CUR_Main</f>
        <v>руб.</v>
      </c>
      <c r="D157" s="46"/>
      <c r="E157" s="19"/>
      <c r="F157" s="56">
        <f t="shared" ref="F157:M157" ca="1" si="103">(F158-F159)*F160*PRJ_Step/360</f>
        <v>0</v>
      </c>
      <c r="G157" s="56">
        <f t="shared" ca="1" si="103"/>
        <v>0</v>
      </c>
      <c r="H157" s="56">
        <f t="shared" ca="1" si="103"/>
        <v>0</v>
      </c>
      <c r="I157" s="56">
        <f t="shared" ca="1" si="103"/>
        <v>0</v>
      </c>
      <c r="J157" s="56">
        <f t="shared" ca="1" si="103"/>
        <v>0</v>
      </c>
      <c r="K157" s="56">
        <f t="shared" ca="1" si="103"/>
        <v>0</v>
      </c>
      <c r="L157" s="56">
        <f t="shared" ca="1" si="103"/>
        <v>0</v>
      </c>
      <c r="M157" s="56">
        <f t="shared" ca="1" si="103"/>
        <v>0</v>
      </c>
      <c r="N157" s="56">
        <f t="shared" ref="N157" ca="1" si="104">(N158-N159)*N160*PRJ_Step/360</f>
        <v>0</v>
      </c>
      <c r="O157" s="56">
        <f t="shared" ref="O157" ca="1" si="105">(O158-O159)*O160*PRJ_Step/360</f>
        <v>0</v>
      </c>
      <c r="P157" s="56">
        <f t="shared" ref="P157:Q157" ca="1" si="106">(P158-P159)*P160*PRJ_Step/360</f>
        <v>0</v>
      </c>
      <c r="Q157" s="56">
        <f t="shared" ca="1" si="106"/>
        <v>0</v>
      </c>
      <c r="R157" s="19"/>
      <c r="S157" s="105">
        <f ca="1">SUM(F157:Q157)</f>
        <v>0</v>
      </c>
    </row>
    <row r="158" spans="1:19" hidden="1" outlineLevel="2" x14ac:dyDescent="0.2">
      <c r="A158" s="19" t="str">
        <f ca="1">Language!A175</f>
        <v xml:space="preserve">    средняя стоимость имущества за период</v>
      </c>
      <c r="B158" s="19"/>
      <c r="C158" s="26" t="str">
        <f ca="1">CUR_Main</f>
        <v>руб.</v>
      </c>
      <c r="D158" s="16" t="s">
        <v>176</v>
      </c>
      <c r="E158" s="19"/>
      <c r="F158" s="84">
        <f t="shared" ref="F158:M158" ca="1" si="107">(E443+E456+E532+E240+E258+F443+F456+F532+F240+F258)/2</f>
        <v>0</v>
      </c>
      <c r="G158" s="84">
        <f t="shared" ca="1" si="107"/>
        <v>0</v>
      </c>
      <c r="H158" s="84">
        <f t="shared" ca="1" si="107"/>
        <v>0</v>
      </c>
      <c r="I158" s="84">
        <f t="shared" ca="1" si="107"/>
        <v>0</v>
      </c>
      <c r="J158" s="84">
        <f t="shared" ca="1" si="107"/>
        <v>0</v>
      </c>
      <c r="K158" s="84">
        <f t="shared" ca="1" si="107"/>
        <v>0</v>
      </c>
      <c r="L158" s="84">
        <f t="shared" ca="1" si="107"/>
        <v>0</v>
      </c>
      <c r="M158" s="84">
        <f t="shared" ca="1" si="107"/>
        <v>0</v>
      </c>
      <c r="N158" s="84">
        <f t="shared" ref="N158:O158" ca="1" si="108">(M443+M456+M532+M240+M258+N443+N456+N532+N240+N258)/2</f>
        <v>0</v>
      </c>
      <c r="O158" s="84">
        <f t="shared" ca="1" si="108"/>
        <v>0</v>
      </c>
      <c r="P158" s="84">
        <f t="shared" ref="P158:Q158" ca="1" si="109">(O443+O456+O532+O240+O258+P443+P456+P532+P240+P258)/2</f>
        <v>0</v>
      </c>
      <c r="Q158" s="84">
        <f t="shared" ca="1" si="109"/>
        <v>0</v>
      </c>
      <c r="R158" s="19"/>
      <c r="S158" s="22"/>
    </row>
    <row r="159" spans="1:19" hidden="1" outlineLevel="2" x14ac:dyDescent="0.2">
      <c r="A159" s="19" t="str">
        <f ca="1">Language!A176</f>
        <v xml:space="preserve">    стоимость имущества, освобождаемого от налога</v>
      </c>
      <c r="B159" s="19"/>
      <c r="C159" s="26" t="str">
        <f ca="1">CUR_Main</f>
        <v>руб.</v>
      </c>
      <c r="D159" s="16" t="s">
        <v>176</v>
      </c>
      <c r="E159" s="19"/>
      <c r="F159" s="264">
        <v>0</v>
      </c>
      <c r="G159" s="264">
        <v>0</v>
      </c>
      <c r="H159" s="264">
        <v>0</v>
      </c>
      <c r="I159" s="264">
        <v>0</v>
      </c>
      <c r="J159" s="264">
        <v>0</v>
      </c>
      <c r="K159" s="264">
        <v>0</v>
      </c>
      <c r="L159" s="264">
        <v>0</v>
      </c>
      <c r="M159" s="264">
        <v>0</v>
      </c>
      <c r="N159" s="264">
        <v>0</v>
      </c>
      <c r="O159" s="264">
        <v>0</v>
      </c>
      <c r="P159" s="264">
        <v>0</v>
      </c>
      <c r="Q159" s="264">
        <v>0</v>
      </c>
      <c r="R159" s="19"/>
      <c r="S159" s="22"/>
    </row>
    <row r="160" spans="1:19" hidden="1" outlineLevel="2" x14ac:dyDescent="0.2">
      <c r="A160" s="19" t="str">
        <f ca="1">Language!A177</f>
        <v xml:space="preserve">    ставка</v>
      </c>
      <c r="C160" s="26" t="s">
        <v>177</v>
      </c>
      <c r="D160" s="16" t="s">
        <v>176</v>
      </c>
      <c r="E160" s="19"/>
      <c r="F160" s="34">
        <f>B157</f>
        <v>0</v>
      </c>
      <c r="G160" s="34">
        <f t="shared" ref="G160:Q160" si="110">F160</f>
        <v>0</v>
      </c>
      <c r="H160" s="34">
        <f t="shared" si="110"/>
        <v>0</v>
      </c>
      <c r="I160" s="34">
        <f t="shared" si="110"/>
        <v>0</v>
      </c>
      <c r="J160" s="34">
        <f t="shared" si="110"/>
        <v>0</v>
      </c>
      <c r="K160" s="34">
        <f t="shared" si="110"/>
        <v>0</v>
      </c>
      <c r="L160" s="34">
        <f t="shared" si="110"/>
        <v>0</v>
      </c>
      <c r="M160" s="34">
        <f t="shared" si="110"/>
        <v>0</v>
      </c>
      <c r="N160" s="34">
        <f t="shared" si="110"/>
        <v>0</v>
      </c>
      <c r="O160" s="34">
        <f t="shared" si="110"/>
        <v>0</v>
      </c>
      <c r="P160" s="34">
        <f t="shared" si="110"/>
        <v>0</v>
      </c>
      <c r="Q160" s="34">
        <f t="shared" si="110"/>
        <v>0</v>
      </c>
      <c r="R160" s="19"/>
      <c r="S160" s="22"/>
    </row>
    <row r="161" spans="1:19" ht="12" hidden="1" customHeight="1" outlineLevel="2" x14ac:dyDescent="0.2">
      <c r="A161" s="19" t="str">
        <f ca="1">Language!A178</f>
        <v xml:space="preserve">    период уплаты</v>
      </c>
      <c r="B161" s="259">
        <v>90</v>
      </c>
      <c r="C161" s="26" t="str">
        <f ca="1">Language!A218</f>
        <v>дней</v>
      </c>
      <c r="D161" s="16"/>
      <c r="E161" s="19"/>
      <c r="F161" s="98"/>
      <c r="G161" s="98"/>
      <c r="H161" s="98"/>
      <c r="I161" s="98"/>
      <c r="J161" s="98"/>
      <c r="K161" s="98"/>
      <c r="L161" s="98"/>
      <c r="M161" s="98"/>
      <c r="N161" s="98"/>
      <c r="O161" s="98"/>
      <c r="P161" s="98"/>
      <c r="Q161" s="98"/>
      <c r="R161" s="19"/>
      <c r="S161" s="22"/>
    </row>
    <row r="162" spans="1:19" ht="10.5" outlineLevel="1" collapsed="1" x14ac:dyDescent="0.2">
      <c r="A162" s="24" t="str">
        <f ca="1">Language!A179</f>
        <v>Другие налоги, относимые на финансовые результаты</v>
      </c>
      <c r="B162" s="19"/>
      <c r="C162" s="26" t="str">
        <f ca="1">CUR_Main</f>
        <v>руб.</v>
      </c>
      <c r="D162" s="46">
        <v>1</v>
      </c>
      <c r="E162" s="19">
        <v>5</v>
      </c>
      <c r="F162" s="56">
        <f t="shared" ref="F162:M162" si="111">SUMIF($D163:$D168,"1_01",F163:F168)</f>
        <v>0</v>
      </c>
      <c r="G162" s="56">
        <f t="shared" si="111"/>
        <v>0</v>
      </c>
      <c r="H162" s="56">
        <f t="shared" si="111"/>
        <v>0</v>
      </c>
      <c r="I162" s="56">
        <f t="shared" si="111"/>
        <v>0</v>
      </c>
      <c r="J162" s="56">
        <f t="shared" si="111"/>
        <v>0</v>
      </c>
      <c r="K162" s="56">
        <f t="shared" si="111"/>
        <v>0</v>
      </c>
      <c r="L162" s="56">
        <f t="shared" si="111"/>
        <v>0</v>
      </c>
      <c r="M162" s="56">
        <f t="shared" si="111"/>
        <v>0</v>
      </c>
      <c r="N162" s="56">
        <f t="shared" ref="N162" si="112">SUMIF($D163:$D168,"1_01",N163:N168)</f>
        <v>0</v>
      </c>
      <c r="O162" s="56">
        <f t="shared" ref="O162" si="113">SUMIF($D163:$D168,"1_01",O163:O168)</f>
        <v>0</v>
      </c>
      <c r="P162" s="56">
        <f t="shared" ref="P162:Q162" si="114">SUMIF($D163:$D168,"1_01",P163:P168)</f>
        <v>0</v>
      </c>
      <c r="Q162" s="56">
        <f t="shared" si="114"/>
        <v>0</v>
      </c>
      <c r="R162" s="19"/>
      <c r="S162" s="97">
        <f>SUM(F162:Q162)</f>
        <v>0</v>
      </c>
    </row>
    <row r="163" spans="1:19" hidden="1" outlineLevel="2" x14ac:dyDescent="0.2">
      <c r="A163" s="263" t="str">
        <f ca="1">Language!A$224</f>
        <v>Наименование налога</v>
      </c>
      <c r="B163" s="19"/>
      <c r="C163" s="26" t="str">
        <f ca="1">CUR_Main</f>
        <v>руб.</v>
      </c>
      <c r="D163" s="46" t="s">
        <v>188</v>
      </c>
      <c r="E163" s="19"/>
      <c r="F163" s="65">
        <f t="shared" ref="F163:M163" si="115">F164*F165</f>
        <v>0</v>
      </c>
      <c r="G163" s="65">
        <f t="shared" si="115"/>
        <v>0</v>
      </c>
      <c r="H163" s="65">
        <f t="shared" si="115"/>
        <v>0</v>
      </c>
      <c r="I163" s="65">
        <f t="shared" si="115"/>
        <v>0</v>
      </c>
      <c r="J163" s="65">
        <f t="shared" si="115"/>
        <v>0</v>
      </c>
      <c r="K163" s="65">
        <f t="shared" si="115"/>
        <v>0</v>
      </c>
      <c r="L163" s="65">
        <f t="shared" si="115"/>
        <v>0</v>
      </c>
      <c r="M163" s="65">
        <f t="shared" si="115"/>
        <v>0</v>
      </c>
      <c r="N163" s="65">
        <f t="shared" ref="N163" si="116">N164*N165</f>
        <v>0</v>
      </c>
      <c r="O163" s="65">
        <f t="shared" ref="O163" si="117">O164*O165</f>
        <v>0</v>
      </c>
      <c r="P163" s="65">
        <f t="shared" ref="P163:Q163" si="118">P164*P165</f>
        <v>0</v>
      </c>
      <c r="Q163" s="65">
        <f t="shared" si="118"/>
        <v>0</v>
      </c>
      <c r="R163" s="19"/>
      <c r="S163" s="66">
        <f>SUM(F163:Q163)</f>
        <v>0</v>
      </c>
    </row>
    <row r="164" spans="1:19" hidden="1" outlineLevel="2" x14ac:dyDescent="0.2">
      <c r="A164" s="19" t="str">
        <f ca="1">Language!A$180</f>
        <v xml:space="preserve">    налогооблагаемая база</v>
      </c>
      <c r="B164" s="19"/>
      <c r="C164" s="26" t="str">
        <f ca="1">CUR_Main</f>
        <v>руб.</v>
      </c>
      <c r="D164" s="46"/>
      <c r="E164" s="19"/>
      <c r="F164" s="264">
        <v>0</v>
      </c>
      <c r="G164" s="264">
        <f t="shared" ref="G164:Q165" si="119">F164</f>
        <v>0</v>
      </c>
      <c r="H164" s="264">
        <f t="shared" si="119"/>
        <v>0</v>
      </c>
      <c r="I164" s="264">
        <f t="shared" si="119"/>
        <v>0</v>
      </c>
      <c r="J164" s="264">
        <f t="shared" si="119"/>
        <v>0</v>
      </c>
      <c r="K164" s="264">
        <f t="shared" si="119"/>
        <v>0</v>
      </c>
      <c r="L164" s="264">
        <f t="shared" si="119"/>
        <v>0</v>
      </c>
      <c r="M164" s="264">
        <f t="shared" si="119"/>
        <v>0</v>
      </c>
      <c r="N164" s="264">
        <f t="shared" si="119"/>
        <v>0</v>
      </c>
      <c r="O164" s="264">
        <f t="shared" si="119"/>
        <v>0</v>
      </c>
      <c r="P164" s="264">
        <f t="shared" si="119"/>
        <v>0</v>
      </c>
      <c r="Q164" s="264">
        <f t="shared" si="119"/>
        <v>0</v>
      </c>
      <c r="R164" s="19"/>
      <c r="S164" s="22"/>
    </row>
    <row r="165" spans="1:19" hidden="1" outlineLevel="2" x14ac:dyDescent="0.2">
      <c r="A165" s="19" t="str">
        <f ca="1">Language!A$181</f>
        <v xml:space="preserve">    ставка</v>
      </c>
      <c r="B165" s="260">
        <v>0</v>
      </c>
      <c r="C165" s="26" t="s">
        <v>177</v>
      </c>
      <c r="D165" s="16" t="s">
        <v>176</v>
      </c>
      <c r="E165" s="19"/>
      <c r="F165" s="34">
        <f>B165</f>
        <v>0</v>
      </c>
      <c r="G165" s="34">
        <f t="shared" si="119"/>
        <v>0</v>
      </c>
      <c r="H165" s="34">
        <f t="shared" si="119"/>
        <v>0</v>
      </c>
      <c r="I165" s="34">
        <f t="shared" si="119"/>
        <v>0</v>
      </c>
      <c r="J165" s="34">
        <f t="shared" si="119"/>
        <v>0</v>
      </c>
      <c r="K165" s="34">
        <f t="shared" si="119"/>
        <v>0</v>
      </c>
      <c r="L165" s="34">
        <f t="shared" si="119"/>
        <v>0</v>
      </c>
      <c r="M165" s="34">
        <f t="shared" si="119"/>
        <v>0</v>
      </c>
      <c r="N165" s="34">
        <f t="shared" si="119"/>
        <v>0</v>
      </c>
      <c r="O165" s="34">
        <f t="shared" si="119"/>
        <v>0</v>
      </c>
      <c r="P165" s="34">
        <f t="shared" si="119"/>
        <v>0</v>
      </c>
      <c r="Q165" s="34">
        <f t="shared" si="119"/>
        <v>0</v>
      </c>
      <c r="R165" s="19"/>
      <c r="S165" s="22"/>
    </row>
    <row r="166" spans="1:19" hidden="1" outlineLevel="2" x14ac:dyDescent="0.2">
      <c r="A166" s="19" t="str">
        <f ca="1">Language!A$182</f>
        <v xml:space="preserve">    период уплаты</v>
      </c>
      <c r="B166" s="259">
        <v>90</v>
      </c>
      <c r="C166" s="26" t="str">
        <f ca="1">Language!A$218</f>
        <v>дней</v>
      </c>
      <c r="D166" s="16" t="s">
        <v>176</v>
      </c>
      <c r="E166" s="19"/>
      <c r="F166" s="98"/>
      <c r="G166" s="98"/>
      <c r="H166" s="98"/>
      <c r="I166" s="98"/>
      <c r="J166" s="98"/>
      <c r="K166" s="98"/>
      <c r="L166" s="98"/>
      <c r="M166" s="98"/>
      <c r="N166" s="98"/>
      <c r="O166" s="98"/>
      <c r="P166" s="98"/>
      <c r="Q166" s="98"/>
      <c r="R166" s="19"/>
      <c r="S166" s="22"/>
    </row>
    <row r="167" spans="1:19" s="48" customFormat="1" hidden="1" outlineLevel="2" x14ac:dyDescent="0.2">
      <c r="A167" s="19" t="str">
        <f ca="1">Language!A$172</f>
        <v xml:space="preserve">   задолженность перед бюджетом</v>
      </c>
      <c r="B167" s="50"/>
      <c r="C167" s="26" t="str">
        <f ca="1">CUR_Main</f>
        <v>руб.</v>
      </c>
      <c r="D167" s="101" t="s">
        <v>577</v>
      </c>
      <c r="E167" s="45"/>
      <c r="F167" s="103">
        <v>0</v>
      </c>
      <c r="G167" s="103">
        <f t="shared" ref="G167:Q167" si="120">F163*$B166/PRJ_Step</f>
        <v>0</v>
      </c>
      <c r="H167" s="103">
        <f t="shared" si="120"/>
        <v>0</v>
      </c>
      <c r="I167" s="103">
        <f t="shared" si="120"/>
        <v>0</v>
      </c>
      <c r="J167" s="103">
        <f t="shared" si="120"/>
        <v>0</v>
      </c>
      <c r="K167" s="103">
        <f t="shared" si="120"/>
        <v>0</v>
      </c>
      <c r="L167" s="103">
        <f t="shared" si="120"/>
        <v>0</v>
      </c>
      <c r="M167" s="103">
        <f t="shared" si="120"/>
        <v>0</v>
      </c>
      <c r="N167" s="103">
        <f t="shared" si="120"/>
        <v>0</v>
      </c>
      <c r="O167" s="103">
        <f t="shared" si="120"/>
        <v>0</v>
      </c>
      <c r="P167" s="103">
        <f t="shared" si="120"/>
        <v>0</v>
      </c>
      <c r="Q167" s="103">
        <f t="shared" si="120"/>
        <v>0</v>
      </c>
      <c r="R167" s="45"/>
      <c r="S167" s="77"/>
    </row>
    <row r="168" spans="1:19" outlineLevel="1" x14ac:dyDescent="0.2">
      <c r="A168" s="19"/>
      <c r="B168" s="19"/>
      <c r="C168" s="26"/>
      <c r="D168" s="46"/>
      <c r="E168" s="19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19"/>
      <c r="S168" s="22"/>
    </row>
    <row r="169" spans="1:19" outlineLevel="1" x14ac:dyDescent="0.2">
      <c r="A169" s="63"/>
      <c r="B169" s="63"/>
      <c r="C169" s="67"/>
      <c r="D169" s="60"/>
      <c r="E169" s="63"/>
      <c r="F169" s="68"/>
      <c r="G169" s="68"/>
      <c r="H169" s="68"/>
      <c r="I169" s="68"/>
      <c r="J169" s="68"/>
      <c r="K169" s="68"/>
      <c r="L169" s="68"/>
      <c r="M169" s="68"/>
      <c r="N169" s="68"/>
      <c r="O169" s="68"/>
      <c r="P169" s="68"/>
      <c r="Q169" s="68"/>
      <c r="R169" s="63"/>
      <c r="S169" s="64"/>
    </row>
    <row r="170" spans="1:19" ht="10.5" outlineLevel="1" x14ac:dyDescent="0.25">
      <c r="A170" s="62" t="str">
        <f ca="1">Language!A183</f>
        <v>НАЛОГ НА ПРИБЫЛЬ</v>
      </c>
      <c r="B170" s="19"/>
      <c r="C170" s="26"/>
      <c r="D170" s="46"/>
      <c r="E170" s="19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19"/>
      <c r="S170" s="22"/>
    </row>
    <row r="171" spans="1:19" outlineLevel="1" x14ac:dyDescent="0.2">
      <c r="A171" s="19" t="str">
        <f ca="1">Language!A184</f>
        <v xml:space="preserve">    ставка</v>
      </c>
      <c r="B171" s="260">
        <f>IF(B104=1,20%,0%)</f>
        <v>0</v>
      </c>
      <c r="C171" s="26" t="s">
        <v>177</v>
      </c>
      <c r="D171" s="16" t="s">
        <v>176</v>
      </c>
      <c r="E171" s="19"/>
      <c r="F171" s="47">
        <f>B171</f>
        <v>0</v>
      </c>
      <c r="G171" s="47">
        <f t="shared" ref="G171:Q171" si="121">F171</f>
        <v>0</v>
      </c>
      <c r="H171" s="47">
        <f t="shared" si="121"/>
        <v>0</v>
      </c>
      <c r="I171" s="47">
        <f t="shared" si="121"/>
        <v>0</v>
      </c>
      <c r="J171" s="47">
        <f t="shared" si="121"/>
        <v>0</v>
      </c>
      <c r="K171" s="47">
        <f t="shared" si="121"/>
        <v>0</v>
      </c>
      <c r="L171" s="47">
        <f t="shared" si="121"/>
        <v>0</v>
      </c>
      <c r="M171" s="47">
        <f t="shared" si="121"/>
        <v>0</v>
      </c>
      <c r="N171" s="47">
        <f t="shared" si="121"/>
        <v>0</v>
      </c>
      <c r="O171" s="47">
        <f t="shared" si="121"/>
        <v>0</v>
      </c>
      <c r="P171" s="47">
        <f t="shared" si="121"/>
        <v>0</v>
      </c>
      <c r="Q171" s="47">
        <f t="shared" si="121"/>
        <v>0</v>
      </c>
      <c r="R171" s="19"/>
      <c r="S171" s="22"/>
    </row>
    <row r="172" spans="1:19" outlineLevel="1" x14ac:dyDescent="0.2">
      <c r="A172" s="19" t="str">
        <f ca="1">Language!A185</f>
        <v xml:space="preserve">    период уплаты</v>
      </c>
      <c r="B172" s="259">
        <v>30</v>
      </c>
      <c r="C172" s="26" t="str">
        <f ca="1">Language!A218</f>
        <v>дней</v>
      </c>
      <c r="D172" s="16"/>
      <c r="E172" s="19"/>
      <c r="F172" s="47"/>
      <c r="G172" s="47"/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19"/>
      <c r="S172" s="22"/>
    </row>
    <row r="173" spans="1:19" ht="10.5" outlineLevel="1" x14ac:dyDescent="0.25">
      <c r="A173" s="62" t="str">
        <f ca="1">Language!A186</f>
        <v>Начисленный налог на прибыль</v>
      </c>
      <c r="B173" s="19"/>
      <c r="C173" s="26" t="str">
        <f t="shared" ref="C173:C187" ca="1" si="122">CUR_Main</f>
        <v>руб.</v>
      </c>
      <c r="D173" s="46"/>
      <c r="E173" s="19"/>
      <c r="F173" s="56">
        <f t="shared" ref="F173:M173" ca="1" si="123">F187*F171</f>
        <v>0</v>
      </c>
      <c r="G173" s="56">
        <f t="shared" ca="1" si="123"/>
        <v>0</v>
      </c>
      <c r="H173" s="56">
        <f t="shared" ca="1" si="123"/>
        <v>0</v>
      </c>
      <c r="I173" s="56">
        <f t="shared" ca="1" si="123"/>
        <v>0</v>
      </c>
      <c r="J173" s="56">
        <f t="shared" ca="1" si="123"/>
        <v>0</v>
      </c>
      <c r="K173" s="56">
        <f t="shared" ca="1" si="123"/>
        <v>0</v>
      </c>
      <c r="L173" s="56">
        <f t="shared" ca="1" si="123"/>
        <v>0</v>
      </c>
      <c r="M173" s="56">
        <f t="shared" ca="1" si="123"/>
        <v>0</v>
      </c>
      <c r="N173" s="56">
        <f t="shared" ref="N173" ca="1" si="124">N187*N171</f>
        <v>0</v>
      </c>
      <c r="O173" s="56">
        <f t="shared" ref="O173" ca="1" si="125">O187*O171</f>
        <v>0</v>
      </c>
      <c r="P173" s="56">
        <f t="shared" ref="P173:Q173" ca="1" si="126">P187*P171</f>
        <v>0</v>
      </c>
      <c r="Q173" s="56">
        <f t="shared" ca="1" si="126"/>
        <v>0</v>
      </c>
      <c r="R173" s="19"/>
      <c r="S173" s="97">
        <f t="shared" ref="S173:S180" ca="1" si="127">SUM(F173:Q173)</f>
        <v>0</v>
      </c>
    </row>
    <row r="174" spans="1:19" outlineLevel="1" collapsed="1" x14ac:dyDescent="0.2">
      <c r="A174" s="24" t="str">
        <f ca="1">Language!A187</f>
        <v xml:space="preserve">         то же, в итоговой валюте</v>
      </c>
      <c r="B174" s="19"/>
      <c r="C174" s="5" t="str">
        <f ca="1">CUR_Report</f>
        <v>руб.</v>
      </c>
      <c r="D174" s="46"/>
      <c r="E174" s="19"/>
      <c r="F174" s="53">
        <f t="shared" ref="F174:M174" ca="1" si="128">F173/IF(CUR_I_Report=2,F$88,1)</f>
        <v>0</v>
      </c>
      <c r="G174" s="53">
        <f t="shared" ca="1" si="128"/>
        <v>0</v>
      </c>
      <c r="H174" s="53">
        <f t="shared" ca="1" si="128"/>
        <v>0</v>
      </c>
      <c r="I174" s="53">
        <f t="shared" ca="1" si="128"/>
        <v>0</v>
      </c>
      <c r="J174" s="53">
        <f t="shared" ca="1" si="128"/>
        <v>0</v>
      </c>
      <c r="K174" s="53">
        <f t="shared" ca="1" si="128"/>
        <v>0</v>
      </c>
      <c r="L174" s="53">
        <f t="shared" ca="1" si="128"/>
        <v>0</v>
      </c>
      <c r="M174" s="53">
        <f t="shared" ca="1" si="128"/>
        <v>0</v>
      </c>
      <c r="N174" s="53">
        <f t="shared" ref="N174" ca="1" si="129">N173/IF(CUR_I_Report=2,N$88,1)</f>
        <v>0</v>
      </c>
      <c r="O174" s="53">
        <f t="shared" ref="O174" ca="1" si="130">O173/IF(CUR_I_Report=2,O$88,1)</f>
        <v>0</v>
      </c>
      <c r="P174" s="53">
        <f t="shared" ref="P174:Q174" ca="1" si="131">P173/IF(CUR_I_Report=2,P$88,1)</f>
        <v>0</v>
      </c>
      <c r="Q174" s="53">
        <f t="shared" ca="1" si="131"/>
        <v>0</v>
      </c>
      <c r="R174" s="19"/>
      <c r="S174" s="66">
        <f t="shared" ca="1" si="127"/>
        <v>0</v>
      </c>
    </row>
    <row r="175" spans="1:19" hidden="1" outlineLevel="2" x14ac:dyDescent="0.2">
      <c r="A175" s="19" t="str">
        <f ca="1">Language!A188</f>
        <v xml:space="preserve">    прибыль до налогообложения</v>
      </c>
      <c r="B175" s="19"/>
      <c r="C175" s="26" t="str">
        <f t="shared" ca="1" si="122"/>
        <v>руб.</v>
      </c>
      <c r="D175" s="46"/>
      <c r="E175" s="19"/>
      <c r="F175" s="53">
        <f ca="1">F1322*IF(CUR_I_Report=2,F$88,1)</f>
        <v>-3007443.6844783714</v>
      </c>
      <c r="G175" s="53">
        <f ca="1">G1322*IF(CUR_I_Report=2,G$88,1)</f>
        <v>-2649952.9535589088</v>
      </c>
      <c r="H175" s="53">
        <f ca="1">H1322*IF(CUR_I_Report=2,H$88,1)</f>
        <v>-2557576.8292993959</v>
      </c>
      <c r="I175" s="53">
        <f ca="1">I1322*IF(CUR_I_Report=2,I$88,1)</f>
        <v>-2048018.3376510644</v>
      </c>
      <c r="J175" s="53">
        <f ca="1">J1322*IF(CUR_I_Report=2,J$88,1)</f>
        <v>-1391518.8539035725</v>
      </c>
      <c r="K175" s="53">
        <f ca="1">K1322*IF(CUR_I_Report=2,K$88,1)</f>
        <v>-35447.353452761949</v>
      </c>
      <c r="L175" s="53">
        <f ca="1">L1322*IF(CUR_I_Report=2,L$88,1)</f>
        <v>1341203.547974088</v>
      </c>
      <c r="M175" s="53">
        <f ca="1">M1322*IF(CUR_I_Report=2,M$88,1)</f>
        <v>2742377.2904287493</v>
      </c>
      <c r="N175" s="53">
        <f ca="1">N1322*IF(CUR_I_Report=2,N$88,1)</f>
        <v>4856842.029895097</v>
      </c>
      <c r="O175" s="53">
        <f ca="1">O1322*IF(CUR_I_Report=2,O$88,1)</f>
        <v>7637241.84375</v>
      </c>
      <c r="P175" s="53">
        <f ca="1">P1322*IF(CUR_I_Report=2,P$88,1)</f>
        <v>9675842.2125000004</v>
      </c>
      <c r="Q175" s="53">
        <f ca="1">Q1322*IF(CUR_I_Report=2,Q$88,1)</f>
        <v>11034909.125</v>
      </c>
      <c r="R175" s="19"/>
      <c r="S175" s="66">
        <f t="shared" ca="1" si="127"/>
        <v>25598458.03720386</v>
      </c>
    </row>
    <row r="176" spans="1:19" hidden="1" outlineLevel="2" x14ac:dyDescent="0.2">
      <c r="A176" s="19" t="str">
        <f ca="1">Language!A187</f>
        <v xml:space="preserve">         то же, в итоговой валюте</v>
      </c>
      <c r="B176" s="19"/>
      <c r="C176" s="5" t="str">
        <f ca="1">CUR_Report</f>
        <v>руб.</v>
      </c>
      <c r="D176" s="46"/>
      <c r="E176" s="19"/>
      <c r="F176" s="53">
        <f t="shared" ref="F176:M176" ca="1" si="132">F175/IF(CUR_I_Report=2,F$88,1)</f>
        <v>-3007443.6844783714</v>
      </c>
      <c r="G176" s="53">
        <f t="shared" ca="1" si="132"/>
        <v>-2649952.9535589088</v>
      </c>
      <c r="H176" s="53">
        <f t="shared" ca="1" si="132"/>
        <v>-2557576.8292993959</v>
      </c>
      <c r="I176" s="53">
        <f t="shared" ca="1" si="132"/>
        <v>-2048018.3376510644</v>
      </c>
      <c r="J176" s="53">
        <f t="shared" ca="1" si="132"/>
        <v>-1391518.8539035725</v>
      </c>
      <c r="K176" s="53">
        <f t="shared" ca="1" si="132"/>
        <v>-35447.353452761949</v>
      </c>
      <c r="L176" s="53">
        <f t="shared" ca="1" si="132"/>
        <v>1341203.547974088</v>
      </c>
      <c r="M176" s="53">
        <f t="shared" ca="1" si="132"/>
        <v>2742377.2904287493</v>
      </c>
      <c r="N176" s="53">
        <f t="shared" ref="N176" ca="1" si="133">N175/IF(CUR_I_Report=2,N$88,1)</f>
        <v>4856842.029895097</v>
      </c>
      <c r="O176" s="53">
        <f t="shared" ref="O176" ca="1" si="134">O175/IF(CUR_I_Report=2,O$88,1)</f>
        <v>7637241.84375</v>
      </c>
      <c r="P176" s="53">
        <f t="shared" ref="P176:Q176" ca="1" si="135">P175/IF(CUR_I_Report=2,P$88,1)</f>
        <v>9675842.2125000004</v>
      </c>
      <c r="Q176" s="53">
        <f t="shared" ca="1" si="135"/>
        <v>11034909.125</v>
      </c>
      <c r="R176" s="19"/>
      <c r="S176" s="66">
        <f t="shared" ca="1" si="127"/>
        <v>25598458.03720386</v>
      </c>
    </row>
    <row r="177" spans="1:19" hidden="1" outlineLevel="2" x14ac:dyDescent="0.2">
      <c r="A177" s="19" t="str">
        <f ca="1">Language!A189</f>
        <v xml:space="preserve">    проценты по кредиту, выплачиваемые из прибыли</v>
      </c>
      <c r="B177" s="19"/>
      <c r="C177" s="26" t="str">
        <f t="shared" ca="1" si="122"/>
        <v>руб.</v>
      </c>
      <c r="D177" s="46"/>
      <c r="E177" s="19"/>
      <c r="F177" s="53">
        <f t="shared" ref="F177:M177" si="136">F1229</f>
        <v>0</v>
      </c>
      <c r="G177" s="53">
        <f t="shared" si="136"/>
        <v>0</v>
      </c>
      <c r="H177" s="53">
        <f t="shared" si="136"/>
        <v>0</v>
      </c>
      <c r="I177" s="53">
        <f t="shared" si="136"/>
        <v>0</v>
      </c>
      <c r="J177" s="53">
        <f t="shared" si="136"/>
        <v>0</v>
      </c>
      <c r="K177" s="53">
        <f t="shared" si="136"/>
        <v>0</v>
      </c>
      <c r="L177" s="53">
        <f t="shared" si="136"/>
        <v>29181.259256576224</v>
      </c>
      <c r="M177" s="53">
        <f t="shared" si="136"/>
        <v>22363.962978202348</v>
      </c>
      <c r="N177" s="53">
        <f t="shared" ref="N177" si="137">N1229</f>
        <v>10081.160100317769</v>
      </c>
      <c r="O177" s="53">
        <f t="shared" ref="O177:Q177" si="138">O1229</f>
        <v>0</v>
      </c>
      <c r="P177" s="53">
        <f t="shared" ref="P177:Q177" si="139">P1229</f>
        <v>0</v>
      </c>
      <c r="Q177" s="53">
        <f t="shared" si="139"/>
        <v>0</v>
      </c>
      <c r="R177" s="19"/>
      <c r="S177" s="66">
        <f t="shared" si="127"/>
        <v>61626.382335096343</v>
      </c>
    </row>
    <row r="178" spans="1:19" hidden="1" outlineLevel="2" x14ac:dyDescent="0.2">
      <c r="A178" s="19" t="str">
        <f ca="1">Language!A187</f>
        <v xml:space="preserve">         то же, в итоговой валюте</v>
      </c>
      <c r="B178" s="19"/>
      <c r="C178" s="5" t="str">
        <f ca="1">CUR_Report</f>
        <v>руб.</v>
      </c>
      <c r="D178" s="46"/>
      <c r="E178" s="19"/>
      <c r="F178" s="53">
        <f t="shared" ref="F178:M178" si="140">F177/IF(CUR_I_Report=2,F$88,1)</f>
        <v>0</v>
      </c>
      <c r="G178" s="53">
        <f t="shared" si="140"/>
        <v>0</v>
      </c>
      <c r="H178" s="53">
        <f t="shared" si="140"/>
        <v>0</v>
      </c>
      <c r="I178" s="53">
        <f t="shared" si="140"/>
        <v>0</v>
      </c>
      <c r="J178" s="53">
        <f t="shared" si="140"/>
        <v>0</v>
      </c>
      <c r="K178" s="53">
        <f t="shared" si="140"/>
        <v>0</v>
      </c>
      <c r="L178" s="53">
        <f t="shared" si="140"/>
        <v>29181.259256576224</v>
      </c>
      <c r="M178" s="53">
        <f t="shared" si="140"/>
        <v>22363.962978202348</v>
      </c>
      <c r="N178" s="53">
        <f t="shared" ref="N178" si="141">N177/IF(CUR_I_Report=2,N$88,1)</f>
        <v>10081.160100317769</v>
      </c>
      <c r="O178" s="53">
        <f t="shared" ref="O178" si="142">O177/IF(CUR_I_Report=2,O$88,1)</f>
        <v>0</v>
      </c>
      <c r="P178" s="53">
        <f t="shared" ref="P178:Q178" si="143">P177/IF(CUR_I_Report=2,P$88,1)</f>
        <v>0</v>
      </c>
      <c r="Q178" s="53">
        <f t="shared" si="143"/>
        <v>0</v>
      </c>
      <c r="R178" s="19"/>
      <c r="S178" s="66">
        <f t="shared" si="127"/>
        <v>61626.382335096343</v>
      </c>
    </row>
    <row r="179" spans="1:19" hidden="1" outlineLevel="2" x14ac:dyDescent="0.2">
      <c r="A179" s="19" t="str">
        <f ca="1">Language!A190</f>
        <v xml:space="preserve">    льготы по налогу на прибыль</v>
      </c>
      <c r="B179" s="19"/>
      <c r="C179" s="26" t="str">
        <f t="shared" ca="1" si="122"/>
        <v>руб.</v>
      </c>
      <c r="D179" s="46"/>
      <c r="E179" s="19"/>
      <c r="F179" s="264">
        <v>0</v>
      </c>
      <c r="G179" s="264">
        <v>0</v>
      </c>
      <c r="H179" s="264">
        <v>0</v>
      </c>
      <c r="I179" s="264">
        <v>0</v>
      </c>
      <c r="J179" s="264">
        <v>0</v>
      </c>
      <c r="K179" s="264">
        <v>0</v>
      </c>
      <c r="L179" s="264">
        <v>0</v>
      </c>
      <c r="M179" s="264">
        <v>0</v>
      </c>
      <c r="N179" s="264">
        <v>0</v>
      </c>
      <c r="O179" s="264">
        <v>0</v>
      </c>
      <c r="P179" s="264">
        <v>0</v>
      </c>
      <c r="Q179" s="264">
        <v>0</v>
      </c>
      <c r="R179" s="19"/>
      <c r="S179" s="66">
        <f t="shared" si="127"/>
        <v>0</v>
      </c>
    </row>
    <row r="180" spans="1:19" hidden="1" outlineLevel="2" x14ac:dyDescent="0.2">
      <c r="A180" s="19" t="str">
        <f ca="1">Language!A187</f>
        <v xml:space="preserve">         то же, в итоговой валюте</v>
      </c>
      <c r="B180" s="19"/>
      <c r="C180" s="5" t="str">
        <f ca="1">CUR_Report</f>
        <v>руб.</v>
      </c>
      <c r="D180" s="46"/>
      <c r="E180" s="19"/>
      <c r="F180" s="102">
        <f t="shared" ref="F180:M180" si="144">F179/IF(CUR_I_Report=2,F$88,1)</f>
        <v>0</v>
      </c>
      <c r="G180" s="102">
        <f t="shared" si="144"/>
        <v>0</v>
      </c>
      <c r="H180" s="102">
        <f t="shared" si="144"/>
        <v>0</v>
      </c>
      <c r="I180" s="102">
        <f t="shared" si="144"/>
        <v>0</v>
      </c>
      <c r="J180" s="102">
        <f t="shared" si="144"/>
        <v>0</v>
      </c>
      <c r="K180" s="102">
        <f t="shared" si="144"/>
        <v>0</v>
      </c>
      <c r="L180" s="102">
        <f t="shared" si="144"/>
        <v>0</v>
      </c>
      <c r="M180" s="102">
        <f t="shared" si="144"/>
        <v>0</v>
      </c>
      <c r="N180" s="102">
        <f t="shared" ref="N180" si="145">N179/IF(CUR_I_Report=2,N$88,1)</f>
        <v>0</v>
      </c>
      <c r="O180" s="102">
        <f t="shared" ref="O180" si="146">O179/IF(CUR_I_Report=2,O$88,1)</f>
        <v>0</v>
      </c>
      <c r="P180" s="102">
        <f t="shared" ref="P180:Q180" si="147">P179/IF(CUR_I_Report=2,P$88,1)</f>
        <v>0</v>
      </c>
      <c r="Q180" s="102">
        <f t="shared" si="147"/>
        <v>0</v>
      </c>
      <c r="R180" s="19"/>
      <c r="S180" s="66">
        <f t="shared" si="127"/>
        <v>0</v>
      </c>
    </row>
    <row r="181" spans="1:19" hidden="1" outlineLevel="2" x14ac:dyDescent="0.2">
      <c r="A181" s="19" t="str">
        <f ca="1">Language!A191</f>
        <v xml:space="preserve">    накопленная прибыль/убытки текущего года</v>
      </c>
      <c r="B181" s="19"/>
      <c r="C181" s="26" t="str">
        <f t="shared" ca="1" si="122"/>
        <v>руб.</v>
      </c>
      <c r="D181" s="16" t="s">
        <v>384</v>
      </c>
      <c r="E181" s="19"/>
      <c r="F181" s="53">
        <f t="shared" ref="F181:Q181" ca="1" si="148">IF(YEAR(F$31)=YEAR(E$31),E181,0)+F175+F177-F179</f>
        <v>-3007443.6844783714</v>
      </c>
      <c r="G181" s="53">
        <f t="shared" ca="1" si="148"/>
        <v>-5657396.6380372802</v>
      </c>
      <c r="H181" s="53">
        <f t="shared" ca="1" si="148"/>
        <v>-8214973.4673366761</v>
      </c>
      <c r="I181" s="53">
        <f t="shared" ca="1" si="148"/>
        <v>-10262991.80498774</v>
      </c>
      <c r="J181" s="53">
        <f t="shared" ca="1" si="148"/>
        <v>-11654510.658891313</v>
      </c>
      <c r="K181" s="53">
        <f t="shared" ca="1" si="148"/>
        <v>-11689958.012344075</v>
      </c>
      <c r="L181" s="53">
        <f t="shared" ca="1" si="148"/>
        <v>-10319573.205113411</v>
      </c>
      <c r="M181" s="53">
        <f t="shared" ca="1" si="148"/>
        <v>-7554831.9517064597</v>
      </c>
      <c r="N181" s="53">
        <f t="shared" ca="1" si="148"/>
        <v>-2687908.7617110452</v>
      </c>
      <c r="O181" s="53">
        <f t="shared" ca="1" si="148"/>
        <v>7637241.84375</v>
      </c>
      <c r="P181" s="53">
        <f t="shared" ca="1" si="148"/>
        <v>17313084.056249999</v>
      </c>
      <c r="Q181" s="53">
        <f t="shared" ca="1" si="148"/>
        <v>28347993.181249999</v>
      </c>
      <c r="R181" s="19"/>
      <c r="S181" s="22"/>
    </row>
    <row r="182" spans="1:19" hidden="1" outlineLevel="2" x14ac:dyDescent="0.2">
      <c r="A182" s="19" t="str">
        <f ca="1">Language!A187</f>
        <v xml:space="preserve">         то же, в итоговой валюте</v>
      </c>
      <c r="B182" s="19"/>
      <c r="C182" s="5" t="str">
        <f ca="1">CUR_Report</f>
        <v>руб.</v>
      </c>
      <c r="D182" s="16" t="s">
        <v>384</v>
      </c>
      <c r="E182" s="19"/>
      <c r="F182" s="53">
        <f t="shared" ref="F182:M182" ca="1" si="149">F181/IF(CUR_I_Report=2,F$88,1)</f>
        <v>-3007443.6844783714</v>
      </c>
      <c r="G182" s="53">
        <f t="shared" ca="1" si="149"/>
        <v>-5657396.6380372802</v>
      </c>
      <c r="H182" s="53">
        <f t="shared" ca="1" si="149"/>
        <v>-8214973.4673366761</v>
      </c>
      <c r="I182" s="53">
        <f t="shared" ca="1" si="149"/>
        <v>-10262991.80498774</v>
      </c>
      <c r="J182" s="53">
        <f t="shared" ca="1" si="149"/>
        <v>-11654510.658891313</v>
      </c>
      <c r="K182" s="53">
        <f t="shared" ca="1" si="149"/>
        <v>-11689958.012344075</v>
      </c>
      <c r="L182" s="53">
        <f t="shared" ca="1" si="149"/>
        <v>-10319573.205113411</v>
      </c>
      <c r="M182" s="53">
        <f t="shared" ca="1" si="149"/>
        <v>-7554831.9517064597</v>
      </c>
      <c r="N182" s="53">
        <f t="shared" ref="N182" ca="1" si="150">N181/IF(CUR_I_Report=2,N$88,1)</f>
        <v>-2687908.7617110452</v>
      </c>
      <c r="O182" s="53">
        <f t="shared" ref="O182" ca="1" si="151">O181/IF(CUR_I_Report=2,O$88,1)</f>
        <v>7637241.84375</v>
      </c>
      <c r="P182" s="53">
        <f t="shared" ref="P182:Q182" ca="1" si="152">P181/IF(CUR_I_Report=2,P$88,1)</f>
        <v>17313084.056249999</v>
      </c>
      <c r="Q182" s="53">
        <f t="shared" ca="1" si="152"/>
        <v>28347993.181249999</v>
      </c>
      <c r="R182" s="19"/>
      <c r="S182" s="22"/>
    </row>
    <row r="183" spans="1:19" hidden="1" outlineLevel="2" x14ac:dyDescent="0.2">
      <c r="A183" s="19" t="str">
        <f ca="1">Language!A192</f>
        <v xml:space="preserve">    убытки предыдущих периодов</v>
      </c>
      <c r="B183" s="19"/>
      <c r="C183" s="26" t="str">
        <f t="shared" ca="1" si="122"/>
        <v>руб.</v>
      </c>
      <c r="D183" s="16" t="s">
        <v>384</v>
      </c>
      <c r="E183" s="19"/>
      <c r="F183" s="53">
        <f t="shared" ref="F183:Q183" si="153">MIN(E175+E177-E179,0)+E183-E185</f>
        <v>0</v>
      </c>
      <c r="G183" s="53">
        <f t="shared" ca="1" si="153"/>
        <v>-3007443.6844783714</v>
      </c>
      <c r="H183" s="53">
        <f t="shared" ca="1" si="153"/>
        <v>-5657396.6380372802</v>
      </c>
      <c r="I183" s="53">
        <f t="shared" ca="1" si="153"/>
        <v>-8214973.4673366761</v>
      </c>
      <c r="J183" s="53">
        <f t="shared" ca="1" si="153"/>
        <v>-10262991.80498774</v>
      </c>
      <c r="K183" s="53">
        <f t="shared" ca="1" si="153"/>
        <v>-11654510.658891313</v>
      </c>
      <c r="L183" s="53">
        <f t="shared" ca="1" si="153"/>
        <v>-11689958.012344075</v>
      </c>
      <c r="M183" s="53">
        <f t="shared" ca="1" si="153"/>
        <v>-11689958.012344075</v>
      </c>
      <c r="N183" s="53">
        <f t="shared" ca="1" si="153"/>
        <v>-11689958.012344075</v>
      </c>
      <c r="O183" s="53">
        <f t="shared" ca="1" si="153"/>
        <v>-11689958.012344075</v>
      </c>
      <c r="P183" s="53">
        <f t="shared" ca="1" si="153"/>
        <v>-4052716.1685940754</v>
      </c>
      <c r="Q183" s="53">
        <f t="shared" ca="1" si="153"/>
        <v>0</v>
      </c>
      <c r="R183" s="19"/>
      <c r="S183" s="22"/>
    </row>
    <row r="184" spans="1:19" hidden="1" outlineLevel="2" x14ac:dyDescent="0.2">
      <c r="A184" s="19" t="str">
        <f ca="1">Language!A187</f>
        <v xml:space="preserve">         то же, в итоговой валюте</v>
      </c>
      <c r="B184" s="19"/>
      <c r="C184" s="5" t="str">
        <f ca="1">CUR_Report</f>
        <v>руб.</v>
      </c>
      <c r="D184" s="16" t="s">
        <v>384</v>
      </c>
      <c r="E184" s="19"/>
      <c r="F184" s="53">
        <f t="shared" ref="F184:M184" si="154">F183/IF(CUR_I_Report=2,F$88,1)</f>
        <v>0</v>
      </c>
      <c r="G184" s="53">
        <f t="shared" ca="1" si="154"/>
        <v>-3007443.6844783714</v>
      </c>
      <c r="H184" s="53">
        <f t="shared" ca="1" si="154"/>
        <v>-5657396.6380372802</v>
      </c>
      <c r="I184" s="53">
        <f t="shared" ca="1" si="154"/>
        <v>-8214973.4673366761</v>
      </c>
      <c r="J184" s="53">
        <f t="shared" ca="1" si="154"/>
        <v>-10262991.80498774</v>
      </c>
      <c r="K184" s="53">
        <f t="shared" ca="1" si="154"/>
        <v>-11654510.658891313</v>
      </c>
      <c r="L184" s="53">
        <f t="shared" ca="1" si="154"/>
        <v>-11689958.012344075</v>
      </c>
      <c r="M184" s="53">
        <f t="shared" ca="1" si="154"/>
        <v>-11689958.012344075</v>
      </c>
      <c r="N184" s="53">
        <f t="shared" ref="N184" ca="1" si="155">N183/IF(CUR_I_Report=2,N$88,1)</f>
        <v>-11689958.012344075</v>
      </c>
      <c r="O184" s="53">
        <f t="shared" ref="O184" ca="1" si="156">O183/IF(CUR_I_Report=2,O$88,1)</f>
        <v>-11689958.012344075</v>
      </c>
      <c r="P184" s="53">
        <f t="shared" ref="P184:Q184" ca="1" si="157">P183/IF(CUR_I_Report=2,P$88,1)</f>
        <v>-4052716.1685940754</v>
      </c>
      <c r="Q184" s="53">
        <f t="shared" ca="1" si="157"/>
        <v>0</v>
      </c>
      <c r="R184" s="19"/>
      <c r="S184" s="22"/>
    </row>
    <row r="185" spans="1:19" hidden="1" outlineLevel="2" x14ac:dyDescent="0.2">
      <c r="A185" s="19" t="str">
        <f ca="1">Language!A193</f>
        <v xml:space="preserve">    списано убытков предыдущих лет</v>
      </c>
      <c r="B185" s="19"/>
      <c r="C185" s="26" t="str">
        <f t="shared" ca="1" si="122"/>
        <v>руб.</v>
      </c>
      <c r="D185" s="46"/>
      <c r="E185" s="19"/>
      <c r="F185" s="53">
        <f t="shared" ref="F185:M185" ca="1" si="158">-IF(MIN(F175+F177-F179,F181)&gt;0,MIN(-F183,F175+F177-F179),0)</f>
        <v>0</v>
      </c>
      <c r="G185" s="53">
        <f t="shared" ca="1" si="158"/>
        <v>0</v>
      </c>
      <c r="H185" s="53">
        <f t="shared" ca="1" si="158"/>
        <v>0</v>
      </c>
      <c r="I185" s="53">
        <f t="shared" ca="1" si="158"/>
        <v>0</v>
      </c>
      <c r="J185" s="53">
        <f t="shared" ca="1" si="158"/>
        <v>0</v>
      </c>
      <c r="K185" s="53">
        <f t="shared" ca="1" si="158"/>
        <v>0</v>
      </c>
      <c r="L185" s="53">
        <f t="shared" ca="1" si="158"/>
        <v>0</v>
      </c>
      <c r="M185" s="53">
        <f t="shared" ca="1" si="158"/>
        <v>0</v>
      </c>
      <c r="N185" s="53">
        <f t="shared" ref="N185" ca="1" si="159">-IF(MIN(N175+N177-N179,N181)&gt;0,MIN(-N183,N175+N177-N179),0)</f>
        <v>0</v>
      </c>
      <c r="O185" s="53">
        <f t="shared" ref="O185" ca="1" si="160">-IF(MIN(O175+O177-O179,O181)&gt;0,MIN(-O183,O175+O177-O179),0)</f>
        <v>-7637241.84375</v>
      </c>
      <c r="P185" s="53">
        <f t="shared" ref="P185:Q185" ca="1" si="161">-IF(MIN(P175+P177-P179,P181)&gt;0,MIN(-P183,P175+P177-P179),0)</f>
        <v>-4052716.1685940754</v>
      </c>
      <c r="Q185" s="53">
        <f t="shared" ca="1" si="161"/>
        <v>0</v>
      </c>
      <c r="R185" s="19"/>
      <c r="S185" s="22"/>
    </row>
    <row r="186" spans="1:19" hidden="1" outlineLevel="2" x14ac:dyDescent="0.2">
      <c r="A186" s="19" t="str">
        <f ca="1">Language!A187</f>
        <v xml:space="preserve">         то же, в итоговой валюте</v>
      </c>
      <c r="B186" s="19"/>
      <c r="C186" s="5" t="str">
        <f ca="1">CUR_Report</f>
        <v>руб.</v>
      </c>
      <c r="D186" s="46"/>
      <c r="E186" s="19"/>
      <c r="F186" s="53">
        <f t="shared" ref="F186:M186" ca="1" si="162">F185/IF(CUR_I_Report=2,F$88,1)</f>
        <v>0</v>
      </c>
      <c r="G186" s="53">
        <f t="shared" ca="1" si="162"/>
        <v>0</v>
      </c>
      <c r="H186" s="53">
        <f t="shared" ca="1" si="162"/>
        <v>0</v>
      </c>
      <c r="I186" s="53">
        <f t="shared" ca="1" si="162"/>
        <v>0</v>
      </c>
      <c r="J186" s="53">
        <f t="shared" ca="1" si="162"/>
        <v>0</v>
      </c>
      <c r="K186" s="53">
        <f t="shared" ca="1" si="162"/>
        <v>0</v>
      </c>
      <c r="L186" s="53">
        <f t="shared" ca="1" si="162"/>
        <v>0</v>
      </c>
      <c r="M186" s="53">
        <f t="shared" ca="1" si="162"/>
        <v>0</v>
      </c>
      <c r="N186" s="53">
        <f t="shared" ref="N186" ca="1" si="163">N185/IF(CUR_I_Report=2,N$88,1)</f>
        <v>0</v>
      </c>
      <c r="O186" s="53">
        <f t="shared" ref="O186" ca="1" si="164">O185/IF(CUR_I_Report=2,O$88,1)</f>
        <v>-7637241.84375</v>
      </c>
      <c r="P186" s="53">
        <f t="shared" ref="P186:Q186" ca="1" si="165">P185/IF(CUR_I_Report=2,P$88,1)</f>
        <v>-4052716.1685940754</v>
      </c>
      <c r="Q186" s="53">
        <f t="shared" ca="1" si="165"/>
        <v>0</v>
      </c>
      <c r="R186" s="19"/>
      <c r="S186" s="22"/>
    </row>
    <row r="187" spans="1:19" hidden="1" outlineLevel="2" x14ac:dyDescent="0.2">
      <c r="A187" s="19" t="str">
        <f ca="1">Language!A194</f>
        <v xml:space="preserve">    прибыль, на которую начисляется налог</v>
      </c>
      <c r="B187" s="19"/>
      <c r="C187" s="26" t="str">
        <f t="shared" ca="1" si="122"/>
        <v>руб.</v>
      </c>
      <c r="D187" s="46"/>
      <c r="E187" s="19"/>
      <c r="F187" s="53">
        <f t="shared" ref="F187:M187" ca="1" si="166">MAX(IF(F181&gt;0,F175+F177-F179+F185,0),0)</f>
        <v>0</v>
      </c>
      <c r="G187" s="53">
        <f t="shared" ca="1" si="166"/>
        <v>0</v>
      </c>
      <c r="H187" s="53">
        <f t="shared" ca="1" si="166"/>
        <v>0</v>
      </c>
      <c r="I187" s="53">
        <f t="shared" ca="1" si="166"/>
        <v>0</v>
      </c>
      <c r="J187" s="53">
        <f t="shared" ca="1" si="166"/>
        <v>0</v>
      </c>
      <c r="K187" s="53">
        <f t="shared" ca="1" si="166"/>
        <v>0</v>
      </c>
      <c r="L187" s="53">
        <f t="shared" ca="1" si="166"/>
        <v>0</v>
      </c>
      <c r="M187" s="53">
        <f t="shared" ca="1" si="166"/>
        <v>0</v>
      </c>
      <c r="N187" s="53">
        <f t="shared" ref="N187" ca="1" si="167">MAX(IF(N181&gt;0,N175+N177-N179+N185,0),0)</f>
        <v>0</v>
      </c>
      <c r="O187" s="53">
        <f t="shared" ref="O187" ca="1" si="168">MAX(IF(O181&gt;0,O175+O177-O179+O185,0),0)</f>
        <v>0</v>
      </c>
      <c r="P187" s="53">
        <f t="shared" ref="P187:Q187" ca="1" si="169">MAX(IF(P181&gt;0,P175+P177-P179+P185,0),0)</f>
        <v>5623126.043905925</v>
      </c>
      <c r="Q187" s="53">
        <f t="shared" ca="1" si="169"/>
        <v>11034909.125</v>
      </c>
      <c r="R187" s="19"/>
      <c r="S187" s="22"/>
    </row>
    <row r="188" spans="1:19" hidden="1" outlineLevel="2" x14ac:dyDescent="0.2">
      <c r="A188" s="19" t="str">
        <f ca="1">Language!A187</f>
        <v xml:space="preserve">         то же, в итоговой валюте</v>
      </c>
      <c r="B188" s="19"/>
      <c r="C188" s="5" t="str">
        <f ca="1">CUR_Report</f>
        <v>руб.</v>
      </c>
      <c r="D188" s="46"/>
      <c r="E188" s="19"/>
      <c r="F188" s="53">
        <f t="shared" ref="F188:M188" ca="1" si="170">F187/IF(CUR_I_Report=2,F$88,1)</f>
        <v>0</v>
      </c>
      <c r="G188" s="53">
        <f t="shared" ca="1" si="170"/>
        <v>0</v>
      </c>
      <c r="H188" s="53">
        <f t="shared" ca="1" si="170"/>
        <v>0</v>
      </c>
      <c r="I188" s="53">
        <f t="shared" ca="1" si="170"/>
        <v>0</v>
      </c>
      <c r="J188" s="53">
        <f t="shared" ca="1" si="170"/>
        <v>0</v>
      </c>
      <c r="K188" s="53">
        <f t="shared" ca="1" si="170"/>
        <v>0</v>
      </c>
      <c r="L188" s="53">
        <f t="shared" ca="1" si="170"/>
        <v>0</v>
      </c>
      <c r="M188" s="53">
        <f t="shared" ca="1" si="170"/>
        <v>0</v>
      </c>
      <c r="N188" s="53">
        <f t="shared" ref="N188" ca="1" si="171">N187/IF(CUR_I_Report=2,N$88,1)</f>
        <v>0</v>
      </c>
      <c r="O188" s="53">
        <f t="shared" ref="O188" ca="1" si="172">O187/IF(CUR_I_Report=2,O$88,1)</f>
        <v>0</v>
      </c>
      <c r="P188" s="53">
        <f t="shared" ref="P188:Q188" ca="1" si="173">P187/IF(CUR_I_Report=2,P$88,1)</f>
        <v>5623126.043905925</v>
      </c>
      <c r="Q188" s="53">
        <f t="shared" ca="1" si="173"/>
        <v>11034909.125</v>
      </c>
      <c r="R188" s="19"/>
      <c r="S188" s="22"/>
    </row>
    <row r="189" spans="1:19" outlineLevel="1" x14ac:dyDescent="0.2">
      <c r="A189" s="19"/>
      <c r="B189" s="19"/>
      <c r="C189" s="26"/>
      <c r="D189" s="46"/>
      <c r="E189" s="19"/>
      <c r="F189" s="47"/>
      <c r="G189" s="47"/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19"/>
      <c r="S189" s="22"/>
    </row>
    <row r="190" spans="1:19" outlineLevel="1" x14ac:dyDescent="0.2">
      <c r="A190" s="63"/>
      <c r="B190" s="63"/>
      <c r="C190" s="67"/>
      <c r="D190" s="60"/>
      <c r="E190" s="63"/>
      <c r="F190" s="68"/>
      <c r="G190" s="68"/>
      <c r="H190" s="68"/>
      <c r="I190" s="68"/>
      <c r="J190" s="68"/>
      <c r="K190" s="68"/>
      <c r="L190" s="68"/>
      <c r="M190" s="68"/>
      <c r="N190" s="68"/>
      <c r="O190" s="68"/>
      <c r="P190" s="68"/>
      <c r="Q190" s="68"/>
      <c r="R190" s="63"/>
      <c r="S190" s="64"/>
    </row>
    <row r="191" spans="1:19" outlineLevel="1" collapsed="1" x14ac:dyDescent="0.2">
      <c r="A191" s="24" t="str">
        <f ca="1">Language!A195</f>
        <v>СПЕЦИАЛЬНЫЕ РЕЖИМЫ НАЛОГООБЛОЖЕНИЯ</v>
      </c>
      <c r="B191" s="19"/>
      <c r="C191" s="26"/>
      <c r="D191" s="46"/>
      <c r="E191" s="19"/>
      <c r="F191" s="47"/>
      <c r="G191" s="47"/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19"/>
      <c r="S191" s="22"/>
    </row>
    <row r="192" spans="1:19" hidden="1" outlineLevel="2" x14ac:dyDescent="0.2">
      <c r="A192" s="63"/>
      <c r="B192" s="63"/>
      <c r="C192" s="67"/>
      <c r="D192" s="60"/>
      <c r="E192" s="63"/>
      <c r="F192" s="68"/>
      <c r="G192" s="68"/>
      <c r="H192" s="68"/>
      <c r="I192" s="68"/>
      <c r="J192" s="68"/>
      <c r="K192" s="68"/>
      <c r="L192" s="68"/>
      <c r="M192" s="68"/>
      <c r="N192" s="68"/>
      <c r="O192" s="68"/>
      <c r="P192" s="68"/>
      <c r="Q192" s="68"/>
      <c r="R192" s="63"/>
      <c r="S192" s="64"/>
    </row>
    <row r="193" spans="1:19" ht="10.5" hidden="1" outlineLevel="2" x14ac:dyDescent="0.25">
      <c r="A193" s="62" t="str">
        <f ca="1">Language!A196</f>
        <v>ЕДИНЫЙ НАЛОГ НА ВМЕНЕННЫЙ ДОХОД</v>
      </c>
      <c r="B193" s="19"/>
      <c r="C193" s="26"/>
      <c r="D193" s="46"/>
      <c r="E193" s="19"/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19"/>
      <c r="S193" s="22"/>
    </row>
    <row r="194" spans="1:19" hidden="1" outlineLevel="2" x14ac:dyDescent="0.2">
      <c r="A194" s="19"/>
      <c r="B194" s="19"/>
      <c r="C194" s="26"/>
      <c r="D194" s="46"/>
      <c r="E194" s="19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19"/>
      <c r="S194" s="22"/>
    </row>
    <row r="195" spans="1:19" s="48" customFormat="1" hidden="1" outlineLevel="2" x14ac:dyDescent="0.2">
      <c r="A195" s="45" t="str">
        <f ca="1">Language!A184</f>
        <v xml:space="preserve">    ставка</v>
      </c>
      <c r="B195" s="260">
        <f>IF(B104=2,15%,0%)</f>
        <v>0</v>
      </c>
      <c r="C195" s="26" t="s">
        <v>177</v>
      </c>
      <c r="D195" s="16" t="s">
        <v>176</v>
      </c>
      <c r="E195" s="19"/>
      <c r="F195" s="47">
        <f>B195</f>
        <v>0</v>
      </c>
      <c r="G195" s="47">
        <f t="shared" ref="G195:Q195" si="174">F195</f>
        <v>0</v>
      </c>
      <c r="H195" s="47">
        <f t="shared" si="174"/>
        <v>0</v>
      </c>
      <c r="I195" s="47">
        <f t="shared" si="174"/>
        <v>0</v>
      </c>
      <c r="J195" s="47">
        <f t="shared" si="174"/>
        <v>0</v>
      </c>
      <c r="K195" s="47">
        <f t="shared" si="174"/>
        <v>0</v>
      </c>
      <c r="L195" s="47">
        <f t="shared" si="174"/>
        <v>0</v>
      </c>
      <c r="M195" s="47">
        <f t="shared" si="174"/>
        <v>0</v>
      </c>
      <c r="N195" s="47">
        <f t="shared" si="174"/>
        <v>0</v>
      </c>
      <c r="O195" s="47">
        <f t="shared" si="174"/>
        <v>0</v>
      </c>
      <c r="P195" s="47">
        <f t="shared" si="174"/>
        <v>0</v>
      </c>
      <c r="Q195" s="47">
        <f t="shared" si="174"/>
        <v>0</v>
      </c>
      <c r="R195" s="45"/>
      <c r="S195" s="77"/>
    </row>
    <row r="196" spans="1:19" s="48" customFormat="1" hidden="1" outlineLevel="2" x14ac:dyDescent="0.2">
      <c r="A196" s="45" t="str">
        <f ca="1">Language!A185</f>
        <v xml:space="preserve">    период уплаты</v>
      </c>
      <c r="B196" s="259">
        <v>90</v>
      </c>
      <c r="C196" s="26" t="str">
        <f ca="1">Language!A218</f>
        <v>дней</v>
      </c>
      <c r="D196" s="16"/>
      <c r="E196" s="19"/>
      <c r="F196" s="47"/>
      <c r="G196" s="47"/>
      <c r="H196" s="47"/>
      <c r="I196" s="47"/>
      <c r="J196" s="47"/>
      <c r="K196" s="47"/>
      <c r="L196" s="47"/>
      <c r="M196" s="47"/>
      <c r="N196" s="47"/>
      <c r="O196" s="47"/>
      <c r="P196" s="47"/>
      <c r="Q196" s="47"/>
      <c r="R196" s="45"/>
      <c r="S196" s="77"/>
    </row>
    <row r="197" spans="1:19" hidden="1" outlineLevel="2" x14ac:dyDescent="0.2">
      <c r="A197" s="19" t="str">
        <f ca="1">Language!A199</f>
        <v>Физический показатель доходности</v>
      </c>
      <c r="B197" s="265">
        <v>0</v>
      </c>
      <c r="C197" s="261" t="str">
        <f ca="1">Language!A529</f>
        <v>ед.</v>
      </c>
      <c r="D197" s="46"/>
      <c r="E197" s="19"/>
      <c r="F197" s="264">
        <f>B197</f>
        <v>0</v>
      </c>
      <c r="G197" s="264">
        <f t="shared" ref="G197:Q197" si="175">F197</f>
        <v>0</v>
      </c>
      <c r="H197" s="264">
        <f t="shared" si="175"/>
        <v>0</v>
      </c>
      <c r="I197" s="264">
        <f t="shared" si="175"/>
        <v>0</v>
      </c>
      <c r="J197" s="264">
        <f t="shared" si="175"/>
        <v>0</v>
      </c>
      <c r="K197" s="264">
        <f t="shared" si="175"/>
        <v>0</v>
      </c>
      <c r="L197" s="264">
        <f t="shared" si="175"/>
        <v>0</v>
      </c>
      <c r="M197" s="264">
        <f t="shared" si="175"/>
        <v>0</v>
      </c>
      <c r="N197" s="264">
        <f t="shared" si="175"/>
        <v>0</v>
      </c>
      <c r="O197" s="264">
        <f t="shared" si="175"/>
        <v>0</v>
      </c>
      <c r="P197" s="264">
        <f t="shared" si="175"/>
        <v>0</v>
      </c>
      <c r="Q197" s="264">
        <f t="shared" si="175"/>
        <v>0</v>
      </c>
      <c r="R197" s="19"/>
      <c r="S197" s="22"/>
    </row>
    <row r="198" spans="1:19" hidden="1" outlineLevel="2" x14ac:dyDescent="0.2">
      <c r="A198" s="19" t="str">
        <f ca="1">Language!A200</f>
        <v>Базовая доходность</v>
      </c>
      <c r="B198" s="265">
        <v>0</v>
      </c>
      <c r="C198" s="26" t="str">
        <f ca="1">CUR_Main&amp;" / "&amp;C197</f>
        <v>руб. / ед.</v>
      </c>
      <c r="D198" s="46"/>
      <c r="E198" s="19"/>
      <c r="F198" s="102">
        <f>B198</f>
        <v>0</v>
      </c>
      <c r="G198" s="102">
        <f t="shared" ref="G198:Q198" si="176">F198</f>
        <v>0</v>
      </c>
      <c r="H198" s="102">
        <f t="shared" si="176"/>
        <v>0</v>
      </c>
      <c r="I198" s="102">
        <f t="shared" si="176"/>
        <v>0</v>
      </c>
      <c r="J198" s="102">
        <f t="shared" si="176"/>
        <v>0</v>
      </c>
      <c r="K198" s="102">
        <f t="shared" si="176"/>
        <v>0</v>
      </c>
      <c r="L198" s="102">
        <f t="shared" si="176"/>
        <v>0</v>
      </c>
      <c r="M198" s="102">
        <f t="shared" si="176"/>
        <v>0</v>
      </c>
      <c r="N198" s="102">
        <f t="shared" si="176"/>
        <v>0</v>
      </c>
      <c r="O198" s="102">
        <f t="shared" si="176"/>
        <v>0</v>
      </c>
      <c r="P198" s="102">
        <f t="shared" si="176"/>
        <v>0</v>
      </c>
      <c r="Q198" s="102">
        <f t="shared" si="176"/>
        <v>0</v>
      </c>
      <c r="R198" s="19"/>
      <c r="S198" s="22"/>
    </row>
    <row r="199" spans="1:19" hidden="1" outlineLevel="2" x14ac:dyDescent="0.2">
      <c r="A199" s="19" t="str">
        <f ca="1">Language!A201</f>
        <v>Коэффициент-дефлятор К1</v>
      </c>
      <c r="B199" s="266">
        <v>1</v>
      </c>
      <c r="C199" s="26" t="str">
        <f ca="1">Language!A197</f>
        <v>разы</v>
      </c>
      <c r="D199" s="46"/>
      <c r="E199" s="19"/>
      <c r="F199" s="267">
        <f>B199</f>
        <v>1</v>
      </c>
      <c r="G199" s="267">
        <f t="shared" ref="G199:Q199" si="177">F199</f>
        <v>1</v>
      </c>
      <c r="H199" s="267">
        <f t="shared" si="177"/>
        <v>1</v>
      </c>
      <c r="I199" s="267">
        <f t="shared" si="177"/>
        <v>1</v>
      </c>
      <c r="J199" s="267">
        <f t="shared" si="177"/>
        <v>1</v>
      </c>
      <c r="K199" s="267">
        <f t="shared" si="177"/>
        <v>1</v>
      </c>
      <c r="L199" s="267">
        <f t="shared" si="177"/>
        <v>1</v>
      </c>
      <c r="M199" s="267">
        <f t="shared" si="177"/>
        <v>1</v>
      </c>
      <c r="N199" s="267">
        <f t="shared" si="177"/>
        <v>1</v>
      </c>
      <c r="O199" s="267">
        <f t="shared" si="177"/>
        <v>1</v>
      </c>
      <c r="P199" s="267">
        <f t="shared" si="177"/>
        <v>1</v>
      </c>
      <c r="Q199" s="267">
        <f t="shared" si="177"/>
        <v>1</v>
      </c>
      <c r="R199" s="19"/>
      <c r="S199" s="22"/>
    </row>
    <row r="200" spans="1:19" hidden="1" outlineLevel="2" x14ac:dyDescent="0.2">
      <c r="A200" s="19" t="str">
        <f ca="1">Language!A202</f>
        <v>Корректирующий коэффициент К2</v>
      </c>
      <c r="B200" s="266">
        <v>1</v>
      </c>
      <c r="C200" s="26" t="str">
        <f ca="1">Language!A197</f>
        <v>разы</v>
      </c>
      <c r="D200" s="46"/>
      <c r="E200" s="19"/>
      <c r="F200" s="267">
        <f>B200</f>
        <v>1</v>
      </c>
      <c r="G200" s="267">
        <f t="shared" ref="G200:Q200" si="178">F200</f>
        <v>1</v>
      </c>
      <c r="H200" s="267">
        <f t="shared" si="178"/>
        <v>1</v>
      </c>
      <c r="I200" s="267">
        <f t="shared" si="178"/>
        <v>1</v>
      </c>
      <c r="J200" s="267">
        <f t="shared" si="178"/>
        <v>1</v>
      </c>
      <c r="K200" s="267">
        <f t="shared" si="178"/>
        <v>1</v>
      </c>
      <c r="L200" s="267">
        <f t="shared" si="178"/>
        <v>1</v>
      </c>
      <c r="M200" s="267">
        <f t="shared" si="178"/>
        <v>1</v>
      </c>
      <c r="N200" s="267">
        <f t="shared" si="178"/>
        <v>1</v>
      </c>
      <c r="O200" s="267">
        <f t="shared" si="178"/>
        <v>1</v>
      </c>
      <c r="P200" s="267">
        <f t="shared" si="178"/>
        <v>1</v>
      </c>
      <c r="Q200" s="267">
        <f t="shared" si="178"/>
        <v>1</v>
      </c>
      <c r="R200" s="19"/>
      <c r="S200" s="22"/>
    </row>
    <row r="201" spans="1:19" ht="10.5" hidden="1" outlineLevel="2" x14ac:dyDescent="0.25">
      <c r="A201" s="125" t="str">
        <f ca="1">Language!A198</f>
        <v>Начисленный налог на вмененный доход</v>
      </c>
      <c r="B201" s="19"/>
      <c r="C201" s="26" t="str">
        <f ca="1">CUR_Main</f>
        <v>руб.</v>
      </c>
      <c r="D201" s="46"/>
      <c r="E201" s="19"/>
      <c r="F201" s="99">
        <f t="shared" ref="F201:M201" si="179">F203*F195-MIN(F204,50%*F203*F195)</f>
        <v>0</v>
      </c>
      <c r="G201" s="99">
        <f t="shared" si="179"/>
        <v>0</v>
      </c>
      <c r="H201" s="99">
        <f t="shared" si="179"/>
        <v>0</v>
      </c>
      <c r="I201" s="99">
        <f t="shared" si="179"/>
        <v>0</v>
      </c>
      <c r="J201" s="99">
        <f t="shared" si="179"/>
        <v>0</v>
      </c>
      <c r="K201" s="99">
        <f t="shared" si="179"/>
        <v>0</v>
      </c>
      <c r="L201" s="99">
        <f t="shared" si="179"/>
        <v>0</v>
      </c>
      <c r="M201" s="99">
        <f t="shared" si="179"/>
        <v>0</v>
      </c>
      <c r="N201" s="99">
        <f t="shared" ref="N201" si="180">N203*N195-MIN(N204,50%*N203*N195)</f>
        <v>0</v>
      </c>
      <c r="O201" s="99">
        <f t="shared" ref="O201" si="181">O203*O195-MIN(O204,50%*O203*O195)</f>
        <v>0</v>
      </c>
      <c r="P201" s="99">
        <f t="shared" ref="P201:Q201" si="182">P203*P195-MIN(P204,50%*P203*P195)</f>
        <v>0</v>
      </c>
      <c r="Q201" s="99">
        <f t="shared" si="182"/>
        <v>0</v>
      </c>
      <c r="R201" s="19"/>
      <c r="S201" s="97">
        <f>SUM(F201:Q201)</f>
        <v>0</v>
      </c>
    </row>
    <row r="202" spans="1:19" hidden="1" outlineLevel="2" x14ac:dyDescent="0.2">
      <c r="A202" s="24" t="str">
        <f ca="1">Language!A187</f>
        <v xml:space="preserve">         то же, в итоговой валюте</v>
      </c>
      <c r="B202" s="19"/>
      <c r="C202" s="5" t="str">
        <f ca="1">CUR_Report</f>
        <v>руб.</v>
      </c>
      <c r="D202" s="46"/>
      <c r="E202" s="19"/>
      <c r="F202" s="53">
        <f t="shared" ref="F202:M202" si="183">F201/IF(CUR_I_Report=2,F$88,1)</f>
        <v>0</v>
      </c>
      <c r="G202" s="53">
        <f t="shared" si="183"/>
        <v>0</v>
      </c>
      <c r="H202" s="53">
        <f t="shared" si="183"/>
        <v>0</v>
      </c>
      <c r="I202" s="53">
        <f t="shared" si="183"/>
        <v>0</v>
      </c>
      <c r="J202" s="53">
        <f t="shared" si="183"/>
        <v>0</v>
      </c>
      <c r="K202" s="53">
        <f t="shared" si="183"/>
        <v>0</v>
      </c>
      <c r="L202" s="53">
        <f t="shared" si="183"/>
        <v>0</v>
      </c>
      <c r="M202" s="53">
        <f t="shared" si="183"/>
        <v>0</v>
      </c>
      <c r="N202" s="53">
        <f t="shared" ref="N202" si="184">N201/IF(CUR_I_Report=2,N$88,1)</f>
        <v>0</v>
      </c>
      <c r="O202" s="53">
        <f t="shared" ref="O202" si="185">O201/IF(CUR_I_Report=2,O$88,1)</f>
        <v>0</v>
      </c>
      <c r="P202" s="53">
        <f t="shared" ref="P202:Q202" si="186">P201/IF(CUR_I_Report=2,P$88,1)</f>
        <v>0</v>
      </c>
      <c r="Q202" s="53">
        <f t="shared" si="186"/>
        <v>0</v>
      </c>
      <c r="R202" s="19"/>
      <c r="S202" s="66">
        <f>SUM(F202:Q202)</f>
        <v>0</v>
      </c>
    </row>
    <row r="203" spans="1:19" hidden="1" outlineLevel="2" x14ac:dyDescent="0.2">
      <c r="A203" s="19" t="str">
        <f ca="1">Language!A203</f>
        <v>Величина вмененного дохода</v>
      </c>
      <c r="B203" s="19"/>
      <c r="C203" s="26" t="str">
        <f ca="1">CUR_Main</f>
        <v>руб.</v>
      </c>
      <c r="D203" s="46"/>
      <c r="E203" s="19"/>
      <c r="F203" s="65">
        <f t="shared" ref="F203:M203" si="187">F197*F198*F199*F200</f>
        <v>0</v>
      </c>
      <c r="G203" s="65">
        <f t="shared" si="187"/>
        <v>0</v>
      </c>
      <c r="H203" s="65">
        <f t="shared" si="187"/>
        <v>0</v>
      </c>
      <c r="I203" s="65">
        <f t="shared" si="187"/>
        <v>0</v>
      </c>
      <c r="J203" s="65">
        <f t="shared" si="187"/>
        <v>0</v>
      </c>
      <c r="K203" s="65">
        <f t="shared" si="187"/>
        <v>0</v>
      </c>
      <c r="L203" s="65">
        <f t="shared" si="187"/>
        <v>0</v>
      </c>
      <c r="M203" s="65">
        <f t="shared" si="187"/>
        <v>0</v>
      </c>
      <c r="N203" s="65">
        <f t="shared" ref="N203" si="188">N197*N198*N199*N200</f>
        <v>0</v>
      </c>
      <c r="O203" s="65">
        <f t="shared" ref="O203" si="189">O197*O198*O199*O200</f>
        <v>0</v>
      </c>
      <c r="P203" s="65">
        <f t="shared" ref="P203:Q203" si="190">P197*P198*P199*P200</f>
        <v>0</v>
      </c>
      <c r="Q203" s="65">
        <f t="shared" si="190"/>
        <v>0</v>
      </c>
      <c r="R203" s="19"/>
      <c r="S203" s="66">
        <f>SUM(F203:Q203)</f>
        <v>0</v>
      </c>
    </row>
    <row r="204" spans="1:19" ht="10.5" hidden="1" outlineLevel="2" x14ac:dyDescent="0.25">
      <c r="A204" s="62" t="str">
        <f ca="1">Language!A204</f>
        <v>Взносы на обязательное пенсионное страхование</v>
      </c>
      <c r="B204" s="19"/>
      <c r="C204" s="26" t="str">
        <f ca="1">CUR_Main</f>
        <v>руб.</v>
      </c>
      <c r="D204" s="46"/>
      <c r="E204" s="19"/>
      <c r="F204" s="99">
        <f t="shared" ref="F204:M204" si="191">F205*F207</f>
        <v>0</v>
      </c>
      <c r="G204" s="99">
        <f t="shared" si="191"/>
        <v>0</v>
      </c>
      <c r="H204" s="99">
        <f t="shared" si="191"/>
        <v>0</v>
      </c>
      <c r="I204" s="99">
        <f t="shared" si="191"/>
        <v>0</v>
      </c>
      <c r="J204" s="99">
        <f t="shared" si="191"/>
        <v>0</v>
      </c>
      <c r="K204" s="99">
        <f t="shared" si="191"/>
        <v>0</v>
      </c>
      <c r="L204" s="99">
        <f t="shared" si="191"/>
        <v>0</v>
      </c>
      <c r="M204" s="99">
        <f t="shared" si="191"/>
        <v>0</v>
      </c>
      <c r="N204" s="99">
        <f t="shared" ref="N204" si="192">N205*N207</f>
        <v>0</v>
      </c>
      <c r="O204" s="99">
        <f t="shared" ref="O204" si="193">O205*O207</f>
        <v>0</v>
      </c>
      <c r="P204" s="99">
        <f t="shared" ref="P204:Q204" si="194">P205*P207</f>
        <v>0</v>
      </c>
      <c r="Q204" s="99">
        <f t="shared" si="194"/>
        <v>0</v>
      </c>
      <c r="R204" s="62"/>
      <c r="S204" s="97">
        <f>SUM(F204:Q204)</f>
        <v>0</v>
      </c>
    </row>
    <row r="205" spans="1:19" hidden="1" outlineLevel="2" x14ac:dyDescent="0.2">
      <c r="A205" s="19" t="str">
        <f ca="1">Language!A205</f>
        <v xml:space="preserve">    ставка</v>
      </c>
      <c r="B205" s="260">
        <f>IF(B104=2,14%,0%)</f>
        <v>0</v>
      </c>
      <c r="C205" s="26" t="s">
        <v>177</v>
      </c>
      <c r="D205" s="16" t="s">
        <v>176</v>
      </c>
      <c r="E205" s="19"/>
      <c r="F205" s="47">
        <f>B205</f>
        <v>0</v>
      </c>
      <c r="G205" s="47">
        <f t="shared" ref="G205:Q205" si="195">F205</f>
        <v>0</v>
      </c>
      <c r="H205" s="47">
        <f t="shared" si="195"/>
        <v>0</v>
      </c>
      <c r="I205" s="47">
        <f t="shared" si="195"/>
        <v>0</v>
      </c>
      <c r="J205" s="47">
        <f t="shared" si="195"/>
        <v>0</v>
      </c>
      <c r="K205" s="47">
        <f t="shared" si="195"/>
        <v>0</v>
      </c>
      <c r="L205" s="47">
        <f t="shared" si="195"/>
        <v>0</v>
      </c>
      <c r="M205" s="47">
        <f t="shared" si="195"/>
        <v>0</v>
      </c>
      <c r="N205" s="47">
        <f t="shared" si="195"/>
        <v>0</v>
      </c>
      <c r="O205" s="47">
        <f t="shared" si="195"/>
        <v>0</v>
      </c>
      <c r="P205" s="47">
        <f t="shared" si="195"/>
        <v>0</v>
      </c>
      <c r="Q205" s="47">
        <f t="shared" si="195"/>
        <v>0</v>
      </c>
      <c r="R205" s="19"/>
      <c r="S205" s="22"/>
    </row>
    <row r="206" spans="1:19" hidden="1" outlineLevel="2" x14ac:dyDescent="0.2">
      <c r="A206" s="19" t="str">
        <f ca="1">Language!A182</f>
        <v xml:space="preserve">    период уплаты</v>
      </c>
      <c r="B206" s="259">
        <v>90</v>
      </c>
      <c r="C206" s="26" t="str">
        <f ca="1">Language!A218</f>
        <v>дней</v>
      </c>
      <c r="D206" s="16"/>
      <c r="E206" s="19"/>
      <c r="F206" s="47"/>
      <c r="G206" s="47"/>
      <c r="H206" s="47"/>
      <c r="I206" s="47"/>
      <c r="J206" s="47"/>
      <c r="K206" s="47"/>
      <c r="L206" s="47"/>
      <c r="M206" s="47"/>
      <c r="N206" s="47"/>
      <c r="O206" s="47"/>
      <c r="P206" s="47"/>
      <c r="Q206" s="47"/>
      <c r="R206" s="19"/>
      <c r="S206" s="22"/>
    </row>
    <row r="207" spans="1:19" hidden="1" outlineLevel="2" x14ac:dyDescent="0.2">
      <c r="A207" s="19" t="str">
        <f ca="1">Language!A207</f>
        <v xml:space="preserve">    облагаемая база</v>
      </c>
      <c r="B207" s="19"/>
      <c r="C207" s="26" t="str">
        <f ca="1">CUR_Main</f>
        <v>руб.</v>
      </c>
      <c r="D207" s="46"/>
      <c r="E207" s="19"/>
      <c r="F207" s="65">
        <f t="shared" ref="F207:M207" si="196">F1011</f>
        <v>944000</v>
      </c>
      <c r="G207" s="65">
        <f t="shared" si="196"/>
        <v>584000</v>
      </c>
      <c r="H207" s="65">
        <f t="shared" si="196"/>
        <v>584000</v>
      </c>
      <c r="I207" s="65">
        <f t="shared" si="196"/>
        <v>584000</v>
      </c>
      <c r="J207" s="65">
        <f t="shared" si="196"/>
        <v>584000</v>
      </c>
      <c r="K207" s="65">
        <f t="shared" si="196"/>
        <v>584000</v>
      </c>
      <c r="L207" s="65">
        <f t="shared" si="196"/>
        <v>584000</v>
      </c>
      <c r="M207" s="65">
        <f t="shared" si="196"/>
        <v>584000</v>
      </c>
      <c r="N207" s="65">
        <f t="shared" ref="N207" si="197">N1011</f>
        <v>584000</v>
      </c>
      <c r="O207" s="65">
        <f t="shared" ref="O207" si="198">O1011</f>
        <v>584000</v>
      </c>
      <c r="P207" s="65">
        <f t="shared" ref="P207:Q207" si="199">P1011</f>
        <v>584000</v>
      </c>
      <c r="Q207" s="65">
        <f t="shared" si="199"/>
        <v>584000</v>
      </c>
      <c r="R207" s="19"/>
      <c r="S207" s="66">
        <f>SUM(F207:Q207)</f>
        <v>7368000</v>
      </c>
    </row>
    <row r="208" spans="1:19" hidden="1" outlineLevel="2" x14ac:dyDescent="0.2"/>
    <row r="209" spans="1:19" hidden="1" outlineLevel="2" x14ac:dyDescent="0.2">
      <c r="A209" s="63"/>
      <c r="B209" s="63"/>
      <c r="C209" s="63"/>
      <c r="D209" s="63"/>
      <c r="E209" s="63"/>
      <c r="F209" s="63"/>
      <c r="G209" s="63"/>
      <c r="H209" s="63"/>
      <c r="I209" s="63"/>
      <c r="J209" s="63"/>
      <c r="K209" s="63"/>
      <c r="L209" s="63"/>
      <c r="M209" s="63"/>
      <c r="N209" s="63"/>
      <c r="O209" s="63"/>
      <c r="P209" s="63"/>
      <c r="Q209" s="63"/>
      <c r="R209" s="63"/>
      <c r="S209" s="64"/>
    </row>
    <row r="210" spans="1:19" ht="10.5" hidden="1" outlineLevel="2" x14ac:dyDescent="0.25">
      <c r="A210" s="35" t="str">
        <f ca="1">Language!A209</f>
        <v>УПРОЩЕННАЯ СИСТЕМА НАЛОГООБЛОЖЕНИЯ</v>
      </c>
    </row>
    <row r="211" spans="1:19" hidden="1" outlineLevel="2" x14ac:dyDescent="0.2"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54"/>
    </row>
    <row r="212" spans="1:19" hidden="1" outlineLevel="2" x14ac:dyDescent="0.2">
      <c r="A212" t="str">
        <f ca="1">Language!A212</f>
        <v>Объект налогообложения</v>
      </c>
      <c r="B212" s="255">
        <v>1</v>
      </c>
      <c r="C212" s="292" t="str">
        <f ca="1">CHOOSE(B212,Language!A210,Language!A211)</f>
        <v>Доходы</v>
      </c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54"/>
    </row>
    <row r="213" spans="1:19" hidden="1" outlineLevel="2" x14ac:dyDescent="0.2">
      <c r="A213" s="19" t="str">
        <f ca="1">Language!A184</f>
        <v xml:space="preserve">    ставка</v>
      </c>
      <c r="B213" s="260">
        <f>IF(B104=3,IF(B212=1,6%,15%),0%)</f>
        <v>0.06</v>
      </c>
      <c r="C213" s="26" t="s">
        <v>177</v>
      </c>
      <c r="D213" s="16" t="s">
        <v>176</v>
      </c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54"/>
    </row>
    <row r="214" spans="1:19" hidden="1" outlineLevel="2" x14ac:dyDescent="0.2">
      <c r="A214" s="19" t="str">
        <f ca="1">Language!A185</f>
        <v xml:space="preserve">    период уплаты</v>
      </c>
      <c r="B214" s="259">
        <v>90</v>
      </c>
      <c r="C214" s="26" t="str">
        <f ca="1">Language!A218</f>
        <v>дней</v>
      </c>
      <c r="D214" s="16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54"/>
    </row>
    <row r="215" spans="1:19" ht="10.5" hidden="1" outlineLevel="2" x14ac:dyDescent="0.25">
      <c r="A215" s="62" t="str">
        <f ca="1">Language!A213</f>
        <v>Начисленный налог</v>
      </c>
      <c r="B215" s="73"/>
      <c r="C215" s="26" t="str">
        <f t="shared" ref="C215:C222" ca="1" si="200">CUR_Main</f>
        <v>руб.</v>
      </c>
      <c r="F215" s="58">
        <f t="shared" ref="F215:M215" ca="1" si="201">MAX(F222,F221*$B213)</f>
        <v>0</v>
      </c>
      <c r="G215" s="58">
        <f t="shared" ca="1" si="201"/>
        <v>0</v>
      </c>
      <c r="H215" s="58">
        <f t="shared" ca="1" si="201"/>
        <v>8155.2</v>
      </c>
      <c r="I215" s="58">
        <f t="shared" ca="1" si="201"/>
        <v>40776</v>
      </c>
      <c r="J215" s="58">
        <f t="shared" ca="1" si="201"/>
        <v>81552</v>
      </c>
      <c r="K215" s="58">
        <f t="shared" ca="1" si="201"/>
        <v>163104</v>
      </c>
      <c r="L215" s="58">
        <f t="shared" ca="1" si="201"/>
        <v>244656</v>
      </c>
      <c r="M215" s="58">
        <f t="shared" ca="1" si="201"/>
        <v>326208</v>
      </c>
      <c r="N215" s="58">
        <f t="shared" ref="N215" ca="1" si="202">MAX(N222,N221*$B213)</f>
        <v>448536</v>
      </c>
      <c r="O215" s="58">
        <f t="shared" ref="O215" ca="1" si="203">MAX(O222,O221*$B213)</f>
        <v>611640</v>
      </c>
      <c r="P215" s="58">
        <f t="shared" ref="P215:Q215" ca="1" si="204">MAX(P222,P221*$B213)</f>
        <v>733968</v>
      </c>
      <c r="Q215" s="58">
        <f t="shared" ca="1" si="204"/>
        <v>815520</v>
      </c>
      <c r="R215" s="43"/>
      <c r="S215" s="57">
        <f ca="1">SUM(F215:Q215)</f>
        <v>3474115.2</v>
      </c>
    </row>
    <row r="216" spans="1:19" hidden="1" outlineLevel="2" x14ac:dyDescent="0.2">
      <c r="A216" s="24" t="str">
        <f ca="1">Language!A187</f>
        <v xml:space="preserve">         то же, в итоговой валюте</v>
      </c>
      <c r="B216" s="19"/>
      <c r="C216" s="5" t="str">
        <f ca="1">CUR_Report</f>
        <v>руб.</v>
      </c>
      <c r="D216" s="46"/>
      <c r="E216" s="19"/>
      <c r="F216" s="53">
        <f t="shared" ref="F216:M216" ca="1" si="205">F215/IF(CUR_I_Report=2,F$88,1)</f>
        <v>0</v>
      </c>
      <c r="G216" s="53">
        <f t="shared" ca="1" si="205"/>
        <v>0</v>
      </c>
      <c r="H216" s="53">
        <f t="shared" ca="1" si="205"/>
        <v>8155.2</v>
      </c>
      <c r="I216" s="53">
        <f t="shared" ca="1" si="205"/>
        <v>40776</v>
      </c>
      <c r="J216" s="53">
        <f t="shared" ca="1" si="205"/>
        <v>81552</v>
      </c>
      <c r="K216" s="53">
        <f t="shared" ca="1" si="205"/>
        <v>163104</v>
      </c>
      <c r="L216" s="53">
        <f t="shared" ca="1" si="205"/>
        <v>244656</v>
      </c>
      <c r="M216" s="53">
        <f t="shared" ca="1" si="205"/>
        <v>326208</v>
      </c>
      <c r="N216" s="53">
        <f t="shared" ref="N216" ca="1" si="206">N215/IF(CUR_I_Report=2,N$88,1)</f>
        <v>448536</v>
      </c>
      <c r="O216" s="53">
        <f t="shared" ref="O216" ca="1" si="207">O215/IF(CUR_I_Report=2,O$88,1)</f>
        <v>611640</v>
      </c>
      <c r="P216" s="53">
        <f t="shared" ref="P216:Q216" ca="1" si="208">P215/IF(CUR_I_Report=2,P$88,1)</f>
        <v>733968</v>
      </c>
      <c r="Q216" s="53">
        <f t="shared" ca="1" si="208"/>
        <v>815520</v>
      </c>
      <c r="R216" s="19"/>
      <c r="S216" s="66">
        <f ca="1">SUM(F216:Q216)</f>
        <v>3474115.2</v>
      </c>
    </row>
    <row r="217" spans="1:19" hidden="1" outlineLevel="2" x14ac:dyDescent="0.2">
      <c r="A217" s="24" t="str">
        <f ca="1">Language!A214</f>
        <v>Облагаемая база до списания убытков</v>
      </c>
      <c r="C217" s="26" t="str">
        <f t="shared" ca="1" si="200"/>
        <v>руб.</v>
      </c>
      <c r="F217" s="43">
        <f ca="1">(F1423+F1430+F1442)*IF(CUR_I_Report=2,F$88,1)+IF($B212=1,0,(F1424+F1425+F1426+F1427+F1429+F1431)*IF(CUR_I_Report=2,F$88,1)-MAX(0,F438-E438)-MAX(0,F465-E465)-MAX(0,F452-E452)-MAX(0,F488-E488)-F223)-MAX(0,E222-E221*$B213)</f>
        <v>0</v>
      </c>
      <c r="G217" s="43">
        <f ca="1">(G1423+G1430+G1442)*IF(CUR_I_Report=2,G$88,1)+IF($B212=1,0,(G1424+G1425+G1426+G1427+G1429+G1431)*IF(CUR_I_Report=2,G$88,1)-MAX(0,G438-F438)-MAX(0,G465-F465)-MAX(0,G452-F452)-MAX(0,G488-F488)-G223)-MAX(0,F222-F221*$B213)</f>
        <v>0</v>
      </c>
      <c r="H217" s="43">
        <f ca="1">(H1423+H1430+H1442)*IF(CUR_I_Report=2,H$88,1)+IF($B212=1,0,(H1424+H1425+H1426+H1427+H1429+H1431)*IF(CUR_I_Report=2,H$88,1)-MAX(0,H438-G438)-MAX(0,H465-G465)-MAX(0,H452-G452)-MAX(0,H488-G488)-H223)-MAX(0,G222-G221*$B213)</f>
        <v>135920</v>
      </c>
      <c r="I217" s="43">
        <f ca="1">(I1423+I1430+I1442)*IF(CUR_I_Report=2,I$88,1)+IF($B212=1,0,(I1424+I1425+I1426+I1427+I1429+I1431)*IF(CUR_I_Report=2,I$88,1)-MAX(0,I438-H438)-MAX(0,I465-H465)-MAX(0,I452-H452)-MAX(0,I488-H488)-I223)-MAX(0,H222-H221*$B213)</f>
        <v>679600</v>
      </c>
      <c r="J217" s="43">
        <f ca="1">(J1423+J1430+J1442)*IF(CUR_I_Report=2,J$88,1)+IF($B212=1,0,(J1424+J1425+J1426+J1427+J1429+J1431)*IF(CUR_I_Report=2,J$88,1)-MAX(0,J438-I438)-MAX(0,J465-I465)-MAX(0,J452-I452)-MAX(0,J488-I488)-J223)-MAX(0,I222-I221*$B213)</f>
        <v>1359200</v>
      </c>
      <c r="K217" s="43">
        <f ca="1">(K1423+K1430+K1442)*IF(CUR_I_Report=2,K$88,1)+IF($B212=1,0,(K1424+K1425+K1426+K1427+K1429+K1431)*IF(CUR_I_Report=2,K$88,1)-MAX(0,K438-J438)-MAX(0,K465-J465)-MAX(0,K452-J452)-MAX(0,K488-J488)-K223)-MAX(0,J222-J221*$B213)</f>
        <v>2718400</v>
      </c>
      <c r="L217" s="43">
        <f ca="1">(L1423+L1430+L1442)*IF(CUR_I_Report=2,L$88,1)+IF($B212=1,0,(L1424+L1425+L1426+L1427+L1429+L1431)*IF(CUR_I_Report=2,L$88,1)-MAX(0,L438-K438)-MAX(0,L465-K465)-MAX(0,L452-K452)-MAX(0,L488-K488)-L223)-MAX(0,K222-K221*$B213)</f>
        <v>4077600</v>
      </c>
      <c r="M217" s="43">
        <f ca="1">(M1423+M1430+M1442)*IF(CUR_I_Report=2,M$88,1)+IF($B212=1,0,(M1424+M1425+M1426+M1427+M1429+M1431)*IF(CUR_I_Report=2,M$88,1)-MAX(0,M438-L438)-MAX(0,M465-L465)-MAX(0,M452-L452)-MAX(0,M488-L488)-M223)-MAX(0,L222-L221*$B213)</f>
        <v>5436800</v>
      </c>
      <c r="N217" s="43">
        <f ca="1">(N1423+N1430+N1442)*IF(CUR_I_Report=2,N$88,1)+IF($B212=1,0,(N1424+N1425+N1426+N1427+N1429+N1431)*IF(CUR_I_Report=2,N$88,1)-MAX(0,N438-M438)-MAX(0,N465-M465)-MAX(0,N452-M452)-MAX(0,N488-M488)-N223)-MAX(0,M222-M221*$B213)</f>
        <v>7475600</v>
      </c>
      <c r="O217" s="43">
        <f ca="1">(O1423+O1430+O1442)*IF(CUR_I_Report=2,O$88,1)+IF($B212=1,0,(O1424+O1425+O1426+O1427+O1429+O1431)*IF(CUR_I_Report=2,O$88,1)-MAX(0,O438-N438)-MAX(0,O465-N465)-MAX(0,O452-N452)-MAX(0,O488-N488)-O223)-MAX(0,N222-N221*$B213)</f>
        <v>10194000</v>
      </c>
      <c r="P217" s="43">
        <f ca="1">(P1423+P1430+P1442)*IF(CUR_I_Report=2,P$88,1)+IF($B212=1,0,(P1424+P1425+P1426+P1427+P1429+P1431)*IF(CUR_I_Report=2,P$88,1)-MAX(0,P438-O438)-MAX(0,P465-O465)-MAX(0,P452-O452)-MAX(0,P488-O488)-P223)-MAX(0,O222-O221*$B213)</f>
        <v>12232800</v>
      </c>
      <c r="Q217" s="43">
        <f ca="1">(Q1423+Q1430+Q1442)*IF(CUR_I_Report=2,Q$88,1)+IF($B212=1,0,(Q1424+Q1425+Q1426+Q1427+Q1429+Q1431)*IF(CUR_I_Report=2,Q$88,1)-MAX(0,Q438-P438)-MAX(0,Q465-P465)-MAX(0,Q452-P452)-MAX(0,Q488-P488)-Q223)-MAX(0,P222-P221*$B213)</f>
        <v>13592000</v>
      </c>
      <c r="R217" s="43"/>
      <c r="S217" s="54">
        <f ca="1">SUM(F217:Q217)</f>
        <v>57901920</v>
      </c>
    </row>
    <row r="218" spans="1:19" hidden="1" outlineLevel="2" x14ac:dyDescent="0.2">
      <c r="A218" s="45" t="str">
        <f ca="1">Language!A191</f>
        <v xml:space="preserve">    накопленная прибыль/убытки текущего года</v>
      </c>
      <c r="B218" s="19"/>
      <c r="C218" s="26" t="str">
        <f t="shared" ca="1" si="200"/>
        <v>руб.</v>
      </c>
      <c r="D218" s="16" t="s">
        <v>384</v>
      </c>
      <c r="E218" s="19"/>
      <c r="F218" s="53">
        <f t="shared" ref="F218:Q218" ca="1" si="209">IF(YEAR(F$31)=YEAR(E$31),E218,0)+F217</f>
        <v>0</v>
      </c>
      <c r="G218" s="53">
        <f t="shared" ca="1" si="209"/>
        <v>0</v>
      </c>
      <c r="H218" s="53">
        <f t="shared" ca="1" si="209"/>
        <v>135920</v>
      </c>
      <c r="I218" s="53">
        <f t="shared" ca="1" si="209"/>
        <v>815520</v>
      </c>
      <c r="J218" s="53">
        <f t="shared" ca="1" si="209"/>
        <v>2174720</v>
      </c>
      <c r="K218" s="53">
        <f t="shared" ca="1" si="209"/>
        <v>4893120</v>
      </c>
      <c r="L218" s="53">
        <f t="shared" ca="1" si="209"/>
        <v>8970720</v>
      </c>
      <c r="M218" s="53">
        <f t="shared" ca="1" si="209"/>
        <v>14407520</v>
      </c>
      <c r="N218" s="53">
        <f t="shared" ca="1" si="209"/>
        <v>21883120</v>
      </c>
      <c r="O218" s="53">
        <f t="shared" ca="1" si="209"/>
        <v>10194000</v>
      </c>
      <c r="P218" s="53">
        <f t="shared" ca="1" si="209"/>
        <v>22426800</v>
      </c>
      <c r="Q218" s="53">
        <f t="shared" ca="1" si="209"/>
        <v>36018800</v>
      </c>
      <c r="R218" s="19"/>
      <c r="S218" s="22"/>
    </row>
    <row r="219" spans="1:19" hidden="1" outlineLevel="2" x14ac:dyDescent="0.2">
      <c r="A219" s="45" t="str">
        <f ca="1">Language!A192</f>
        <v xml:space="preserve">    убытки предыдущих периодов</v>
      </c>
      <c r="B219" s="19"/>
      <c r="C219" s="26" t="str">
        <f t="shared" ca="1" si="200"/>
        <v>руб.</v>
      </c>
      <c r="D219" s="46"/>
      <c r="E219" s="19"/>
      <c r="F219" s="53">
        <f t="shared" ref="F219:Q219" si="210">IF(YEAR(F$31)&gt;YEAR(E$31),MIN(E218,0),0)+E219-E220</f>
        <v>0</v>
      </c>
      <c r="G219" s="53">
        <f t="shared" ca="1" si="210"/>
        <v>0</v>
      </c>
      <c r="H219" s="53">
        <f t="shared" ca="1" si="210"/>
        <v>0</v>
      </c>
      <c r="I219" s="53">
        <f t="shared" ca="1" si="210"/>
        <v>0</v>
      </c>
      <c r="J219" s="53">
        <f t="shared" ca="1" si="210"/>
        <v>0</v>
      </c>
      <c r="K219" s="53">
        <f t="shared" ca="1" si="210"/>
        <v>0</v>
      </c>
      <c r="L219" s="53">
        <f t="shared" ca="1" si="210"/>
        <v>0</v>
      </c>
      <c r="M219" s="53">
        <f t="shared" ca="1" si="210"/>
        <v>0</v>
      </c>
      <c r="N219" s="53">
        <f t="shared" ca="1" si="210"/>
        <v>0</v>
      </c>
      <c r="O219" s="53">
        <f t="shared" ca="1" si="210"/>
        <v>0</v>
      </c>
      <c r="P219" s="53">
        <f t="shared" ca="1" si="210"/>
        <v>0</v>
      </c>
      <c r="Q219" s="53">
        <f t="shared" ca="1" si="210"/>
        <v>0</v>
      </c>
      <c r="R219" s="19"/>
      <c r="S219" s="22"/>
    </row>
    <row r="220" spans="1:19" hidden="1" outlineLevel="2" x14ac:dyDescent="0.2">
      <c r="A220" s="45" t="str">
        <f ca="1">Language!A193</f>
        <v xml:space="preserve">    списано убытков предыдущих лет</v>
      </c>
      <c r="B220" s="19"/>
      <c r="C220" s="26" t="str">
        <f t="shared" ca="1" si="200"/>
        <v>руб.</v>
      </c>
      <c r="D220" s="46"/>
      <c r="E220" s="19"/>
      <c r="F220" s="53">
        <f t="shared" ref="F220:M220" ca="1" si="211">-IF(MIN(F217,F218)&gt;0,MIN(-F219,F217*0.3),0)</f>
        <v>0</v>
      </c>
      <c r="G220" s="53">
        <f t="shared" ca="1" si="211"/>
        <v>0</v>
      </c>
      <c r="H220" s="53">
        <f t="shared" ca="1" si="211"/>
        <v>0</v>
      </c>
      <c r="I220" s="53">
        <f t="shared" ca="1" si="211"/>
        <v>0</v>
      </c>
      <c r="J220" s="53">
        <f t="shared" ca="1" si="211"/>
        <v>0</v>
      </c>
      <c r="K220" s="53">
        <f t="shared" ca="1" si="211"/>
        <v>0</v>
      </c>
      <c r="L220" s="53">
        <f t="shared" ca="1" si="211"/>
        <v>0</v>
      </c>
      <c r="M220" s="53">
        <f t="shared" ca="1" si="211"/>
        <v>0</v>
      </c>
      <c r="N220" s="53">
        <f t="shared" ref="N220" ca="1" si="212">-IF(MIN(N217,N218)&gt;0,MIN(-N219,N217*0.3),0)</f>
        <v>0</v>
      </c>
      <c r="O220" s="53">
        <f t="shared" ref="O220" ca="1" si="213">-IF(MIN(O217,O218)&gt;0,MIN(-O219,O217*0.3),0)</f>
        <v>0</v>
      </c>
      <c r="P220" s="53">
        <f t="shared" ref="P220:Q220" ca="1" si="214">-IF(MIN(P217,P218)&gt;0,MIN(-P219,P217*0.3),0)</f>
        <v>0</v>
      </c>
      <c r="Q220" s="53">
        <f t="shared" ca="1" si="214"/>
        <v>0</v>
      </c>
      <c r="R220" s="19"/>
      <c r="S220" s="22"/>
    </row>
    <row r="221" spans="1:19" hidden="1" outlineLevel="2" x14ac:dyDescent="0.2">
      <c r="A221" s="45" t="str">
        <f ca="1">Language!A215</f>
        <v>База, на которую начисляется налог</v>
      </c>
      <c r="B221" s="19"/>
      <c r="C221" s="26" t="str">
        <f t="shared" ca="1" si="200"/>
        <v>руб.</v>
      </c>
      <c r="D221" s="46"/>
      <c r="E221" s="19"/>
      <c r="F221" s="53">
        <f t="shared" ref="F221:M221" ca="1" si="215">MAX(IF(F218&gt;0,F217+F220,0),0)</f>
        <v>0</v>
      </c>
      <c r="G221" s="53">
        <f t="shared" ca="1" si="215"/>
        <v>0</v>
      </c>
      <c r="H221" s="53">
        <f t="shared" ca="1" si="215"/>
        <v>135920</v>
      </c>
      <c r="I221" s="53">
        <f t="shared" ca="1" si="215"/>
        <v>679600</v>
      </c>
      <c r="J221" s="53">
        <f t="shared" ca="1" si="215"/>
        <v>1359200</v>
      </c>
      <c r="K221" s="53">
        <f t="shared" ca="1" si="215"/>
        <v>2718400</v>
      </c>
      <c r="L221" s="53">
        <f t="shared" ca="1" si="215"/>
        <v>4077600</v>
      </c>
      <c r="M221" s="53">
        <f t="shared" ca="1" si="215"/>
        <v>5436800</v>
      </c>
      <c r="N221" s="53">
        <f t="shared" ref="N221" ca="1" si="216">MAX(IF(N218&gt;0,N217+N220,0),0)</f>
        <v>7475600</v>
      </c>
      <c r="O221" s="53">
        <f t="shared" ref="O221" ca="1" si="217">MAX(IF(O218&gt;0,O217+O220,0),0)</f>
        <v>10194000</v>
      </c>
      <c r="P221" s="53">
        <f t="shared" ref="P221:Q221" ca="1" si="218">MAX(IF(P218&gt;0,P217+P220,0),0)</f>
        <v>12232800</v>
      </c>
      <c r="Q221" s="53">
        <f t="shared" ca="1" si="218"/>
        <v>13592000</v>
      </c>
      <c r="R221" s="19"/>
      <c r="S221" s="22"/>
    </row>
    <row r="222" spans="1:19" hidden="1" outlineLevel="2" x14ac:dyDescent="0.2">
      <c r="A222" s="45" t="str">
        <f ca="1">Language!A216</f>
        <v>Минимальный налог</v>
      </c>
      <c r="B222" s="19"/>
      <c r="C222" s="26" t="str">
        <f t="shared" ca="1" si="200"/>
        <v>руб.</v>
      </c>
      <c r="D222" s="46"/>
      <c r="E222" s="19"/>
      <c r="F222" s="53">
        <f>IF($B213=0,0,IF($B212=1,0,1%*(F1423+F1430+F1442)*IF(CUR_I_Report=2,F$88,1)))</f>
        <v>0</v>
      </c>
      <c r="G222" s="53">
        <f>IF($B213=0,0,IF($B212=1,0,1%*(G1423+G1430+G1442)*IF(CUR_I_Report=2,G$88,1)))</f>
        <v>0</v>
      </c>
      <c r="H222" s="53">
        <f>IF($B213=0,0,IF($B212=1,0,1%*(H1423+H1430+H1442)*IF(CUR_I_Report=2,H$88,1)))</f>
        <v>0</v>
      </c>
      <c r="I222" s="53">
        <f>IF($B213=0,0,IF($B212=1,0,1%*(I1423+I1430+I1442)*IF(CUR_I_Report=2,I$88,1)))</f>
        <v>0</v>
      </c>
      <c r="J222" s="53">
        <f>IF($B213=0,0,IF($B212=1,0,1%*(J1423+J1430+J1442)*IF(CUR_I_Report=2,J$88,1)))</f>
        <v>0</v>
      </c>
      <c r="K222" s="53">
        <f>IF($B213=0,0,IF($B212=1,0,1%*(K1423+K1430+K1442)*IF(CUR_I_Report=2,K$88,1)))</f>
        <v>0</v>
      </c>
      <c r="L222" s="53">
        <f>IF($B213=0,0,IF($B212=1,0,1%*(L1423+L1430+L1442)*IF(CUR_I_Report=2,L$88,1)))</f>
        <v>0</v>
      </c>
      <c r="M222" s="53">
        <f>IF($B213=0,0,IF($B212=1,0,1%*(M1423+M1430+M1442)*IF(CUR_I_Report=2,M$88,1)))</f>
        <v>0</v>
      </c>
      <c r="N222" s="53">
        <f>IF($B213=0,0,IF($B212=1,0,1%*(N1423+N1430+N1442)*IF(CUR_I_Report=2,N$88,1)))</f>
        <v>0</v>
      </c>
      <c r="O222" s="53">
        <f>IF($B213=0,0,IF($B212=1,0,1%*(O1423+O1430+O1442)*IF(CUR_I_Report=2,O$88,1)))</f>
        <v>0</v>
      </c>
      <c r="P222" s="53">
        <f>IF($B213=0,0,IF($B212=1,0,1%*(P1423+P1430+P1442)*IF(CUR_I_Report=2,P$88,1)))</f>
        <v>0</v>
      </c>
      <c r="Q222" s="53">
        <f>IF($B213=0,0,IF($B212=1,0,1%*(Q1423+Q1430+Q1442)*IF(CUR_I_Report=2,Q$88,1)))</f>
        <v>0</v>
      </c>
      <c r="R222" s="19"/>
      <c r="S222" s="22"/>
    </row>
    <row r="223" spans="1:19" ht="10.5" hidden="1" outlineLevel="2" x14ac:dyDescent="0.25">
      <c r="A223" s="62" t="str">
        <f ca="1">Language!A204</f>
        <v>Взносы на обязательное пенсионное страхование</v>
      </c>
      <c r="B223" s="19"/>
      <c r="C223" s="26"/>
      <c r="D223" s="46"/>
      <c r="E223" s="19"/>
      <c r="F223" s="99">
        <f t="shared" ref="F223:M223" si="219">F224*F226</f>
        <v>132160</v>
      </c>
      <c r="G223" s="99">
        <f t="shared" si="219"/>
        <v>81760.000000000015</v>
      </c>
      <c r="H223" s="99">
        <f t="shared" si="219"/>
        <v>81760.000000000015</v>
      </c>
      <c r="I223" s="99">
        <f t="shared" si="219"/>
        <v>81760.000000000015</v>
      </c>
      <c r="J223" s="99">
        <f t="shared" si="219"/>
        <v>81760.000000000015</v>
      </c>
      <c r="K223" s="99">
        <f t="shared" si="219"/>
        <v>81760.000000000015</v>
      </c>
      <c r="L223" s="99">
        <f t="shared" si="219"/>
        <v>81760.000000000015</v>
      </c>
      <c r="M223" s="99">
        <f t="shared" si="219"/>
        <v>81760.000000000015</v>
      </c>
      <c r="N223" s="99">
        <f t="shared" ref="N223" si="220">N224*N226</f>
        <v>81760.000000000015</v>
      </c>
      <c r="O223" s="99">
        <f t="shared" ref="O223" si="221">O224*O226</f>
        <v>81760.000000000015</v>
      </c>
      <c r="P223" s="99">
        <f t="shared" ref="P223:Q223" si="222">P224*P226</f>
        <v>81760.000000000015</v>
      </c>
      <c r="Q223" s="99">
        <f t="shared" si="222"/>
        <v>81760.000000000015</v>
      </c>
      <c r="R223" s="62"/>
      <c r="S223" s="97">
        <f>SUM(F223:Q223)</f>
        <v>1031520</v>
      </c>
    </row>
    <row r="224" spans="1:19" hidden="1" outlineLevel="2" x14ac:dyDescent="0.2">
      <c r="A224" s="19" t="str">
        <f ca="1">Language!A205</f>
        <v xml:space="preserve">    ставка</v>
      </c>
      <c r="B224" s="260">
        <f>IF(B104=3,14%,0%)</f>
        <v>0.14000000000000001</v>
      </c>
      <c r="C224" s="26" t="s">
        <v>177</v>
      </c>
      <c r="D224" s="16" t="s">
        <v>176</v>
      </c>
      <c r="E224" s="19"/>
      <c r="F224" s="47">
        <f>B224</f>
        <v>0.14000000000000001</v>
      </c>
      <c r="G224" s="47">
        <f t="shared" ref="G224:Q224" si="223">F224</f>
        <v>0.14000000000000001</v>
      </c>
      <c r="H224" s="47">
        <f t="shared" si="223"/>
        <v>0.14000000000000001</v>
      </c>
      <c r="I224" s="47">
        <f t="shared" si="223"/>
        <v>0.14000000000000001</v>
      </c>
      <c r="J224" s="47">
        <f t="shared" si="223"/>
        <v>0.14000000000000001</v>
      </c>
      <c r="K224" s="47">
        <f t="shared" si="223"/>
        <v>0.14000000000000001</v>
      </c>
      <c r="L224" s="47">
        <f t="shared" si="223"/>
        <v>0.14000000000000001</v>
      </c>
      <c r="M224" s="47">
        <f t="shared" si="223"/>
        <v>0.14000000000000001</v>
      </c>
      <c r="N224" s="47">
        <f t="shared" si="223"/>
        <v>0.14000000000000001</v>
      </c>
      <c r="O224" s="47">
        <f t="shared" si="223"/>
        <v>0.14000000000000001</v>
      </c>
      <c r="P224" s="47">
        <f t="shared" si="223"/>
        <v>0.14000000000000001</v>
      </c>
      <c r="Q224" s="47">
        <f t="shared" si="223"/>
        <v>0.14000000000000001</v>
      </c>
      <c r="R224" s="19"/>
      <c r="S224" s="22"/>
    </row>
    <row r="225" spans="1:21" hidden="1" outlineLevel="2" x14ac:dyDescent="0.2">
      <c r="A225" s="19" t="str">
        <f ca="1">Language!A185</f>
        <v xml:space="preserve">    период уплаты</v>
      </c>
      <c r="B225" s="259">
        <v>90</v>
      </c>
      <c r="C225" s="26" t="str">
        <f ca="1">Language!A218</f>
        <v>дней</v>
      </c>
      <c r="D225" s="16"/>
      <c r="E225" s="19"/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47"/>
      <c r="Q225" s="47"/>
      <c r="R225" s="19"/>
      <c r="S225" s="22"/>
    </row>
    <row r="226" spans="1:21" hidden="1" outlineLevel="2" x14ac:dyDescent="0.2">
      <c r="A226" s="19" t="str">
        <f ca="1">Language!A207</f>
        <v xml:space="preserve">    облагаемая база</v>
      </c>
      <c r="B226" s="19"/>
      <c r="C226" s="26" t="str">
        <f ca="1">CUR_Main</f>
        <v>руб.</v>
      </c>
      <c r="D226" s="46"/>
      <c r="E226" s="19"/>
      <c r="F226" s="65">
        <f t="shared" ref="F226:M226" si="224">F1011</f>
        <v>944000</v>
      </c>
      <c r="G226" s="65">
        <f t="shared" si="224"/>
        <v>584000</v>
      </c>
      <c r="H226" s="65">
        <f t="shared" si="224"/>
        <v>584000</v>
      </c>
      <c r="I226" s="65">
        <f t="shared" si="224"/>
        <v>584000</v>
      </c>
      <c r="J226" s="65">
        <f t="shared" si="224"/>
        <v>584000</v>
      </c>
      <c r="K226" s="65">
        <f t="shared" si="224"/>
        <v>584000</v>
      </c>
      <c r="L226" s="65">
        <f t="shared" si="224"/>
        <v>584000</v>
      </c>
      <c r="M226" s="65">
        <f t="shared" si="224"/>
        <v>584000</v>
      </c>
      <c r="N226" s="65">
        <f t="shared" ref="N226" si="225">N1011</f>
        <v>584000</v>
      </c>
      <c r="O226" s="65">
        <f t="shared" ref="O226" si="226">O1011</f>
        <v>584000</v>
      </c>
      <c r="P226" s="65">
        <f t="shared" ref="P226:Q226" si="227">P1011</f>
        <v>584000</v>
      </c>
      <c r="Q226" s="65">
        <f t="shared" si="227"/>
        <v>584000</v>
      </c>
      <c r="R226" s="19"/>
      <c r="S226" s="66">
        <f>SUM(F226:Q226)</f>
        <v>7368000</v>
      </c>
    </row>
    <row r="227" spans="1:21" outlineLevel="1" x14ac:dyDescent="0.2">
      <c r="A227" s="63"/>
      <c r="B227" s="63"/>
      <c r="C227" s="67"/>
      <c r="D227" s="60"/>
      <c r="E227" s="63"/>
      <c r="F227" s="68"/>
      <c r="G227" s="68"/>
      <c r="H227" s="68"/>
      <c r="I227" s="68"/>
      <c r="J227" s="68"/>
      <c r="K227" s="68"/>
      <c r="L227" s="68"/>
      <c r="M227" s="68"/>
      <c r="N227" s="68"/>
      <c r="O227" s="68"/>
      <c r="P227" s="68"/>
      <c r="Q227" s="68"/>
      <c r="R227" s="63"/>
      <c r="S227" s="64"/>
    </row>
    <row r="228" spans="1:21" ht="10.5" outlineLevel="1" x14ac:dyDescent="0.25">
      <c r="A228" s="129" t="str">
        <f ca="1">Language!A217</f>
        <v>Суммарные налоговые выплаты</v>
      </c>
      <c r="B228" s="27"/>
      <c r="C228" s="26" t="str">
        <f ca="1">CUR_Main</f>
        <v>руб.</v>
      </c>
      <c r="D228" s="28"/>
      <c r="E228" s="27"/>
      <c r="F228" s="99">
        <f t="shared" ref="F228:M228" ca="1" si="228">F107+F108+F126+F136+F143+F147+F157+F162+F173+F201+F215+F204+F223</f>
        <v>132160</v>
      </c>
      <c r="G228" s="99">
        <f t="shared" ca="1" si="228"/>
        <v>81760.000000000015</v>
      </c>
      <c r="H228" s="99">
        <f t="shared" ca="1" si="228"/>
        <v>89915.200000000012</v>
      </c>
      <c r="I228" s="99">
        <f t="shared" ca="1" si="228"/>
        <v>122536.00000000001</v>
      </c>
      <c r="J228" s="99">
        <f t="shared" ca="1" si="228"/>
        <v>163312</v>
      </c>
      <c r="K228" s="99">
        <f t="shared" ca="1" si="228"/>
        <v>244864</v>
      </c>
      <c r="L228" s="99">
        <f t="shared" ca="1" si="228"/>
        <v>326416</v>
      </c>
      <c r="M228" s="99">
        <f t="shared" ca="1" si="228"/>
        <v>407968</v>
      </c>
      <c r="N228" s="99">
        <f t="shared" ref="N228" ca="1" si="229">N107+N108+N126+N136+N143+N147+N157+N162+N173+N201+N215+N204+N223</f>
        <v>530296</v>
      </c>
      <c r="O228" s="99">
        <f t="shared" ref="O228" ca="1" si="230">O107+O108+O126+O136+O143+O147+O157+O162+O173+O201+O215+O204+O223</f>
        <v>693400</v>
      </c>
      <c r="P228" s="99">
        <f t="shared" ref="P228:Q228" ca="1" si="231">P107+P108+P126+P136+P143+P147+P157+P162+P173+P201+P215+P204+P223</f>
        <v>815728</v>
      </c>
      <c r="Q228" s="99">
        <f t="shared" ca="1" si="231"/>
        <v>897280</v>
      </c>
      <c r="R228" s="27"/>
      <c r="S228" s="145">
        <f ca="1">SUM(F228:Q228)</f>
        <v>4505635.2</v>
      </c>
    </row>
    <row r="229" spans="1:21" outlineLevel="1" x14ac:dyDescent="0.2">
      <c r="A229" s="63"/>
      <c r="B229" s="63"/>
      <c r="C229" s="67"/>
      <c r="D229" s="60"/>
      <c r="E229" s="63"/>
      <c r="F229" s="68"/>
      <c r="G229" s="68"/>
      <c r="H229" s="68"/>
      <c r="I229" s="68"/>
      <c r="J229" s="68"/>
      <c r="K229" s="68"/>
      <c r="L229" s="68"/>
      <c r="M229" s="68"/>
      <c r="N229" s="68"/>
      <c r="O229" s="68"/>
      <c r="P229" s="68"/>
      <c r="Q229" s="68"/>
      <c r="R229" s="63"/>
      <c r="S229" s="64"/>
    </row>
    <row r="230" spans="1:21" outlineLevel="1" x14ac:dyDescent="0.2">
      <c r="A230" s="19"/>
      <c r="B230" s="19"/>
      <c r="C230" s="26"/>
      <c r="D230" s="46"/>
      <c r="E230" s="19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47"/>
      <c r="Q230" s="47"/>
      <c r="R230" s="19"/>
      <c r="S230" s="22"/>
    </row>
    <row r="231" spans="1:21" s="4" customFormat="1" ht="16" customHeight="1" thickBot="1" x14ac:dyDescent="0.25">
      <c r="A231" s="166" t="str">
        <f ca="1">Language!A352</f>
        <v xml:space="preserve">         СУЩЕСТВУЮЩИЕ АКТИВЫ ПРОЕКТА</v>
      </c>
      <c r="B231" s="166"/>
      <c r="C231" s="166"/>
      <c r="D231" s="166"/>
      <c r="E231" s="166"/>
      <c r="F231" s="178" t="str">
        <f t="shared" ref="F231:Q231" si="232">PeriodTitle</f>
        <v>4/ 2024</v>
      </c>
      <c r="G231" s="178" t="str">
        <f t="shared" si="232"/>
        <v>5/ 2024</v>
      </c>
      <c r="H231" s="178" t="str">
        <f t="shared" si="232"/>
        <v>6/ 2024</v>
      </c>
      <c r="I231" s="178" t="str">
        <f t="shared" si="232"/>
        <v>7/ 2024</v>
      </c>
      <c r="J231" s="178" t="str">
        <f t="shared" si="232"/>
        <v>8/ 2024</v>
      </c>
      <c r="K231" s="178" t="str">
        <f t="shared" si="232"/>
        <v>9/ 2024</v>
      </c>
      <c r="L231" s="178" t="str">
        <f t="shared" si="232"/>
        <v>10/ 2024</v>
      </c>
      <c r="M231" s="178" t="str">
        <f t="shared" si="232"/>
        <v>11/ 2024</v>
      </c>
      <c r="N231" s="178" t="str">
        <f t="shared" si="232"/>
        <v>12/ 2024</v>
      </c>
      <c r="O231" s="178" t="str">
        <f t="shared" si="232"/>
        <v>1/ 2025</v>
      </c>
      <c r="P231" s="178" t="str">
        <f t="shared" si="232"/>
        <v>2/ 2025</v>
      </c>
      <c r="Q231" s="178" t="str">
        <f t="shared" si="232"/>
        <v>3/ 2025</v>
      </c>
      <c r="R231" s="166"/>
      <c r="S231" s="195" t="str">
        <f ca="1">Language!$A$371</f>
        <v>ИТОГО</v>
      </c>
      <c r="T231" s="143"/>
      <c r="U231" s="143"/>
    </row>
    <row r="232" spans="1:21" ht="10.5" outlineLevel="1" thickTop="1" x14ac:dyDescent="0.2">
      <c r="T232" s="116"/>
      <c r="U232" s="116"/>
    </row>
    <row r="233" spans="1:21" ht="10.5" outlineLevel="1" x14ac:dyDescent="0.25">
      <c r="A233" s="62" t="str">
        <f ca="1">Language!A364</f>
        <v>Земельные участки</v>
      </c>
      <c r="B233" s="19"/>
      <c r="C233" s="26"/>
      <c r="D233" s="19"/>
      <c r="T233" s="116"/>
      <c r="U233" s="116"/>
    </row>
    <row r="234" spans="1:21" outlineLevel="1" x14ac:dyDescent="0.2">
      <c r="A234" s="23" t="str">
        <f ca="1">Language!A$360</f>
        <v xml:space="preserve">    остаточная стоимость</v>
      </c>
      <c r="B234" s="19"/>
      <c r="C234" s="26" t="str">
        <f ca="1">CUR_Main</f>
        <v>руб.</v>
      </c>
      <c r="D234" s="19" t="s">
        <v>384</v>
      </c>
      <c r="E234" s="19">
        <f>F39*IF(B$37=1,1,F$88)</f>
        <v>0</v>
      </c>
      <c r="F234" s="48">
        <f>IF(SUM($F235:F235)&gt;0.01,0,E234)</f>
        <v>0</v>
      </c>
      <c r="G234" s="48">
        <f>IF(SUM($F235:G235)&gt;0.01,0,F234)</f>
        <v>0</v>
      </c>
      <c r="H234" s="48">
        <f>IF(SUM($F235:H235)&gt;0.01,0,G234)</f>
        <v>0</v>
      </c>
      <c r="I234" s="48">
        <f>IF(SUM($F235:I235)&gt;0.01,0,H234)</f>
        <v>0</v>
      </c>
      <c r="J234" s="48">
        <f>IF(SUM($F235:J235)&gt;0.01,0,I234)</f>
        <v>0</v>
      </c>
      <c r="K234" s="48">
        <f>IF(SUM($F235:K235)&gt;0.01,0,J234)</f>
        <v>0</v>
      </c>
      <c r="L234" s="48">
        <f>IF(SUM($F235:L235)&gt;0.01,0,K234)</f>
        <v>0</v>
      </c>
      <c r="M234" s="48">
        <f>IF(SUM($F235:M235)&gt;0.01,0,L234)</f>
        <v>0</v>
      </c>
      <c r="N234" s="48">
        <f>IF(SUM($F235:N235)&gt;0.01,0,M234)</f>
        <v>0</v>
      </c>
      <c r="O234" s="48">
        <f>IF(SUM($F235:O235)&gt;0.01,0,N234)</f>
        <v>0</v>
      </c>
      <c r="P234" s="48">
        <f>IF(SUM($F235:P235)&gt;0.01,0,O234)</f>
        <v>0</v>
      </c>
      <c r="Q234" s="48">
        <f>IF(SUM($F235:Q235)&gt;0.01,0,P234)</f>
        <v>0</v>
      </c>
      <c r="T234" s="116"/>
      <c r="U234" s="116"/>
    </row>
    <row r="235" spans="1:21" outlineLevel="1" collapsed="1" x14ac:dyDescent="0.2">
      <c r="A235" s="24" t="str">
        <f ca="1">Language!A$361</f>
        <v xml:space="preserve">    реализация актива (без НДС)</v>
      </c>
      <c r="B235" s="159"/>
      <c r="C235" s="26" t="str">
        <f ca="1">CUR_Main</f>
        <v>руб.</v>
      </c>
      <c r="D235" s="19"/>
      <c r="E235" s="19"/>
      <c r="F235" s="272">
        <v>0</v>
      </c>
      <c r="G235" s="272">
        <v>0</v>
      </c>
      <c r="H235" s="272">
        <v>0</v>
      </c>
      <c r="I235" s="272">
        <v>0</v>
      </c>
      <c r="J235" s="272">
        <v>0</v>
      </c>
      <c r="K235" s="272">
        <v>0</v>
      </c>
      <c r="L235" s="272">
        <v>0</v>
      </c>
      <c r="M235" s="272">
        <v>0</v>
      </c>
      <c r="N235" s="272">
        <v>0</v>
      </c>
      <c r="O235" s="272">
        <v>0</v>
      </c>
      <c r="P235" s="272">
        <v>0</v>
      </c>
      <c r="Q235" s="272">
        <v>0</v>
      </c>
      <c r="S235" s="11">
        <f>SUM(F235:Q235)</f>
        <v>0</v>
      </c>
      <c r="T235" s="116"/>
      <c r="U235" s="116"/>
    </row>
    <row r="236" spans="1:21" hidden="1" outlineLevel="2" x14ac:dyDescent="0.2">
      <c r="A236" s="24" t="str">
        <f ca="1">Language!A$362</f>
        <v xml:space="preserve">    прибыль/убыток от реализации актива</v>
      </c>
      <c r="B236" s="159"/>
      <c r="C236" s="26" t="str">
        <f ca="1">CUR_Main</f>
        <v>руб.</v>
      </c>
      <c r="D236" s="19"/>
      <c r="E236" s="19"/>
      <c r="F236" s="83">
        <f t="shared" ref="F236:Q236" si="233">IF(F235=0,0,F235-E234)</f>
        <v>0</v>
      </c>
      <c r="G236" s="83">
        <f t="shared" si="233"/>
        <v>0</v>
      </c>
      <c r="H236" s="83">
        <f t="shared" si="233"/>
        <v>0</v>
      </c>
      <c r="I236" s="83">
        <f t="shared" si="233"/>
        <v>0</v>
      </c>
      <c r="J236" s="83">
        <f t="shared" si="233"/>
        <v>0</v>
      </c>
      <c r="K236" s="83">
        <f t="shared" si="233"/>
        <v>0</v>
      </c>
      <c r="L236" s="83">
        <f t="shared" si="233"/>
        <v>0</v>
      </c>
      <c r="M236" s="83">
        <f t="shared" si="233"/>
        <v>0</v>
      </c>
      <c r="N236" s="83">
        <f t="shared" si="233"/>
        <v>0</v>
      </c>
      <c r="O236" s="83">
        <f t="shared" si="233"/>
        <v>0</v>
      </c>
      <c r="P236" s="83">
        <f t="shared" si="233"/>
        <v>0</v>
      </c>
      <c r="Q236" s="83">
        <f t="shared" si="233"/>
        <v>0</v>
      </c>
      <c r="S236" s="11">
        <f>SUM(F236:Q236)</f>
        <v>0</v>
      </c>
      <c r="T236" s="116"/>
      <c r="U236" s="116"/>
    </row>
    <row r="237" spans="1:21" hidden="1" outlineLevel="2" x14ac:dyDescent="0.2">
      <c r="A237" s="24" t="str">
        <f ca="1">Language!A$363</f>
        <v xml:space="preserve">    НДС к выручке от реализации актива</v>
      </c>
      <c r="B237" s="268">
        <v>0</v>
      </c>
      <c r="C237" s="26" t="str">
        <f ca="1">CUR_Main</f>
        <v>руб.</v>
      </c>
      <c r="D237" s="19"/>
      <c r="E237" s="19"/>
      <c r="F237" s="48">
        <f t="shared" ref="F237:M237" si="234">F235*$B237</f>
        <v>0</v>
      </c>
      <c r="G237" s="48">
        <f t="shared" si="234"/>
        <v>0</v>
      </c>
      <c r="H237" s="48">
        <f t="shared" si="234"/>
        <v>0</v>
      </c>
      <c r="I237" s="48">
        <f t="shared" si="234"/>
        <v>0</v>
      </c>
      <c r="J237" s="48">
        <f t="shared" si="234"/>
        <v>0</v>
      </c>
      <c r="K237" s="48">
        <f t="shared" si="234"/>
        <v>0</v>
      </c>
      <c r="L237" s="48">
        <f t="shared" si="234"/>
        <v>0</v>
      </c>
      <c r="M237" s="48">
        <f t="shared" si="234"/>
        <v>0</v>
      </c>
      <c r="N237" s="48">
        <f t="shared" ref="N237" si="235">N235*$B237</f>
        <v>0</v>
      </c>
      <c r="O237" s="48">
        <f t="shared" ref="O237" si="236">O235*$B237</f>
        <v>0</v>
      </c>
      <c r="P237" s="48">
        <f t="shared" ref="P237:Q237" si="237">P235*$B237</f>
        <v>0</v>
      </c>
      <c r="Q237" s="48">
        <f t="shared" si="237"/>
        <v>0</v>
      </c>
      <c r="S237" s="11">
        <f>SUM(F237:Q237)</f>
        <v>0</v>
      </c>
      <c r="T237" s="116"/>
      <c r="U237" s="116"/>
    </row>
    <row r="238" spans="1:21" ht="10.5" outlineLevel="1" x14ac:dyDescent="0.25">
      <c r="A238" s="35"/>
      <c r="B238" s="11" t="str">
        <f ca="1">Language!A$354</f>
        <v xml:space="preserve">  Амортизация</v>
      </c>
      <c r="T238" s="116"/>
      <c r="U238" s="116"/>
    </row>
    <row r="239" spans="1:21" ht="10.5" outlineLevel="1" x14ac:dyDescent="0.25">
      <c r="A239" s="35" t="str">
        <f ca="1">Language!A356</f>
        <v>Здания и сооружения</v>
      </c>
      <c r="B239" s="271">
        <v>20</v>
      </c>
      <c r="C239" s="40" t="str">
        <f ca="1">Language!A$33</f>
        <v>лет</v>
      </c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T239" s="116"/>
      <c r="U239" s="116"/>
    </row>
    <row r="240" spans="1:21" outlineLevel="1" x14ac:dyDescent="0.2">
      <c r="A240" s="23" t="str">
        <f ca="1">Language!A$360</f>
        <v xml:space="preserve">    остаточная стоимость</v>
      </c>
      <c r="B240" s="159"/>
      <c r="C240" s="26" t="str">
        <f ca="1">CUR_Main</f>
        <v>руб.</v>
      </c>
      <c r="D240" s="19" t="s">
        <v>384</v>
      </c>
      <c r="E240" s="106">
        <f>E242</f>
        <v>0</v>
      </c>
      <c r="F240" s="106">
        <f>IF(SUM($F241:F241)&gt;0.01,0,F242-F244)</f>
        <v>0</v>
      </c>
      <c r="G240" s="106">
        <f>IF(SUM($F241:G241)&gt;0.01,0,G242-G244)</f>
        <v>0</v>
      </c>
      <c r="H240" s="106">
        <f>IF(SUM($F241:H241)&gt;0.01,0,H242-H244)</f>
        <v>0</v>
      </c>
      <c r="I240" s="106">
        <f>IF(SUM($F241:I241)&gt;0.01,0,I242-I244)</f>
        <v>0</v>
      </c>
      <c r="J240" s="106">
        <f>IF(SUM($F241:J241)&gt;0.01,0,J242-J244)</f>
        <v>0</v>
      </c>
      <c r="K240" s="106">
        <f>IF(SUM($F241:K241)&gt;0.01,0,K242-K244)</f>
        <v>0</v>
      </c>
      <c r="L240" s="106">
        <f>IF(SUM($F241:L241)&gt;0.01,0,L242-L244)</f>
        <v>0</v>
      </c>
      <c r="M240" s="106">
        <f>IF(SUM($F241:M241)&gt;0.01,0,M242-M244)</f>
        <v>0</v>
      </c>
      <c r="N240" s="106">
        <f>IF(SUM($F241:N241)&gt;0.01,0,N242-N244)</f>
        <v>0</v>
      </c>
      <c r="O240" s="106">
        <f>IF(SUM($F241:O241)&gt;0.01,0,O242-O244)</f>
        <v>0</v>
      </c>
      <c r="P240" s="106">
        <f>IF(SUM($F241:P241)&gt;0.01,0,P242-P244)</f>
        <v>0</v>
      </c>
      <c r="Q240" s="106">
        <f>IF(SUM($F241:Q241)&gt;0.01,0,Q242-Q244)</f>
        <v>0</v>
      </c>
      <c r="T240" s="116"/>
      <c r="U240" s="116"/>
    </row>
    <row r="241" spans="1:21" outlineLevel="1" collapsed="1" x14ac:dyDescent="0.2">
      <c r="A241" s="23" t="str">
        <f ca="1">Language!A$361</f>
        <v xml:space="preserve">    реализация актива (без НДС)</v>
      </c>
      <c r="B241" s="159"/>
      <c r="C241" s="26" t="str">
        <f ca="1">CUR_Main</f>
        <v>руб.</v>
      </c>
      <c r="D241" s="19"/>
      <c r="E241" s="19"/>
      <c r="F241" s="272">
        <v>0</v>
      </c>
      <c r="G241" s="272">
        <v>0</v>
      </c>
      <c r="H241" s="272">
        <v>0</v>
      </c>
      <c r="I241" s="272">
        <v>0</v>
      </c>
      <c r="J241" s="272">
        <v>0</v>
      </c>
      <c r="K241" s="272">
        <v>0</v>
      </c>
      <c r="L241" s="272">
        <v>0</v>
      </c>
      <c r="M241" s="272">
        <v>0</v>
      </c>
      <c r="N241" s="272">
        <v>0</v>
      </c>
      <c r="O241" s="272">
        <v>0</v>
      </c>
      <c r="P241" s="272">
        <v>0</v>
      </c>
      <c r="Q241" s="272">
        <v>0</v>
      </c>
      <c r="S241" s="11">
        <f>SUM(F241:Q241)</f>
        <v>0</v>
      </c>
      <c r="T241" s="116"/>
      <c r="U241" s="116"/>
    </row>
    <row r="242" spans="1:21" hidden="1" outlineLevel="2" x14ac:dyDescent="0.2">
      <c r="A242" s="23" t="str">
        <f ca="1">Language!A$357</f>
        <v xml:space="preserve">    первоначальная стоимость</v>
      </c>
      <c r="B242" s="139"/>
      <c r="C242" s="5" t="str">
        <f t="shared" ref="C242:C277" ca="1" si="238">CUR_Main</f>
        <v>руб.</v>
      </c>
      <c r="D242" t="s">
        <v>384</v>
      </c>
      <c r="E242" s="48">
        <f>F40*IF(B$37=1,1,F$88)</f>
        <v>0</v>
      </c>
      <c r="F242" s="48">
        <f>IF(SUM($F241:F241)&gt;0.01,0,E242)</f>
        <v>0</v>
      </c>
      <c r="G242" s="48">
        <f>IF(SUM($F241:G241)&gt;0.01,0,F242)</f>
        <v>0</v>
      </c>
      <c r="H242" s="48">
        <f>IF(SUM($F241:H241)&gt;0.01,0,G242)</f>
        <v>0</v>
      </c>
      <c r="I242" s="48">
        <f>IF(SUM($F241:I241)&gt;0.01,0,H242)</f>
        <v>0</v>
      </c>
      <c r="J242" s="48">
        <f>IF(SUM($F241:J241)&gt;0.01,0,I242)</f>
        <v>0</v>
      </c>
      <c r="K242" s="48">
        <f>IF(SUM($F241:K241)&gt;0.01,0,J242)</f>
        <v>0</v>
      </c>
      <c r="L242" s="48">
        <f>IF(SUM($F241:L241)&gt;0.01,0,K242)</f>
        <v>0</v>
      </c>
      <c r="M242" s="48">
        <f>IF(SUM($F241:M241)&gt;0.01,0,L242)</f>
        <v>0</v>
      </c>
      <c r="N242" s="48">
        <f>IF(SUM($F241:N241)&gt;0.01,0,M242)</f>
        <v>0</v>
      </c>
      <c r="O242" s="48">
        <f>IF(SUM($F241:O241)&gt;0.01,0,N242)</f>
        <v>0</v>
      </c>
      <c r="P242" s="48">
        <f>IF(SUM($F241:P241)&gt;0.01,0,O242)</f>
        <v>0</v>
      </c>
      <c r="Q242" s="48">
        <f>IF(SUM($F241:Q241)&gt;0.01,0,P242)</f>
        <v>0</v>
      </c>
      <c r="T242" s="116"/>
      <c r="U242" s="116"/>
    </row>
    <row r="243" spans="1:21" hidden="1" outlineLevel="2" x14ac:dyDescent="0.2">
      <c r="A243" s="23" t="str">
        <f ca="1">Language!A$358</f>
        <v xml:space="preserve">    амортизация (линейная),       для срока использования:</v>
      </c>
      <c r="B243" s="139">
        <f>B239</f>
        <v>20</v>
      </c>
      <c r="C243" s="40" t="str">
        <f ca="1">Language!A$33</f>
        <v>лет</v>
      </c>
      <c r="E243" s="48"/>
      <c r="F243" s="84">
        <f>IF(AND($B243&gt;0,SUM($E241:F241)&lt;=0.01),MIN(F242*100%/$B243*PRJ_Step/360,E240+F242-E242),0)</f>
        <v>0</v>
      </c>
      <c r="G243" s="84">
        <f>IF(AND($B243&gt;0,SUM($E241:G241)&lt;=0.01),MIN(G242*100%/$B243*PRJ_Step/360,F240+G242-F242),0)</f>
        <v>0</v>
      </c>
      <c r="H243" s="84">
        <f>IF(AND($B243&gt;0,SUM($E241:H241)&lt;=0.01),MIN(H242*100%/$B243*PRJ_Step/360,G240+H242-G242),0)</f>
        <v>0</v>
      </c>
      <c r="I243" s="84">
        <f>IF(AND($B243&gt;0,SUM($E241:I241)&lt;=0.01),MIN(I242*100%/$B243*PRJ_Step/360,H240+I242-H242),0)</f>
        <v>0</v>
      </c>
      <c r="J243" s="84">
        <f>IF(AND($B243&gt;0,SUM($E241:J241)&lt;=0.01),MIN(J242*100%/$B243*PRJ_Step/360,I240+J242-I242),0)</f>
        <v>0</v>
      </c>
      <c r="K243" s="84">
        <f>IF(AND($B243&gt;0,SUM($E241:K241)&lt;=0.01),MIN(K242*100%/$B243*PRJ_Step/360,J240+K242-J242),0)</f>
        <v>0</v>
      </c>
      <c r="L243" s="84">
        <f>IF(AND($B243&gt;0,SUM($E241:L241)&lt;=0.01),MIN(L242*100%/$B243*PRJ_Step/360,K240+L242-K242),0)</f>
        <v>0</v>
      </c>
      <c r="M243" s="84">
        <f>IF(AND($B243&gt;0,SUM($E241:M241)&lt;=0.01),MIN(M242*100%/$B243*PRJ_Step/360,L240+M242-L242),0)</f>
        <v>0</v>
      </c>
      <c r="N243" s="84">
        <f>IF(AND($B243&gt;0,SUM($E241:N241)&lt;=0.01),MIN(N242*100%/$B243*PRJ_Step/360,M240+N242-M242),0)</f>
        <v>0</v>
      </c>
      <c r="O243" s="84">
        <f>IF(AND($B243&gt;0,SUM($E241:O241)&lt;=0.01),MIN(O242*100%/$B243*PRJ_Step/360,N240+O242-N242),0)</f>
        <v>0</v>
      </c>
      <c r="P243" s="84">
        <f>IF(AND($B243&gt;0,SUM($E241:P241)&lt;=0.01),MIN(P242*100%/$B243*PRJ_Step/360,O240+P242-O242),0)</f>
        <v>0</v>
      </c>
      <c r="Q243" s="84">
        <f>IF(AND($B243&gt;0,SUM($E241:Q241)&lt;=0.01),MIN(Q242*100%/$B243*PRJ_Step/360,P240+Q242-P242),0)</f>
        <v>0</v>
      </c>
      <c r="S243" s="11">
        <f>SUM(F243:Q243)</f>
        <v>0</v>
      </c>
      <c r="T243" s="116"/>
      <c r="U243" s="116"/>
    </row>
    <row r="244" spans="1:21" hidden="1" outlineLevel="2" x14ac:dyDescent="0.2">
      <c r="A244" s="23" t="str">
        <f ca="1">Language!A$359</f>
        <v xml:space="preserve">    накопленная амортизация</v>
      </c>
      <c r="B244" s="44"/>
      <c r="C244" s="5" t="str">
        <f t="shared" ca="1" si="238"/>
        <v>руб.</v>
      </c>
      <c r="D244" t="s">
        <v>384</v>
      </c>
      <c r="E244" s="48"/>
      <c r="F244" s="84">
        <f t="shared" ref="F244:Q244" si="239">E244+F243</f>
        <v>0</v>
      </c>
      <c r="G244" s="84">
        <f t="shared" si="239"/>
        <v>0</v>
      </c>
      <c r="H244" s="84">
        <f t="shared" si="239"/>
        <v>0</v>
      </c>
      <c r="I244" s="84">
        <f t="shared" si="239"/>
        <v>0</v>
      </c>
      <c r="J244" s="84">
        <f t="shared" si="239"/>
        <v>0</v>
      </c>
      <c r="K244" s="84">
        <f t="shared" si="239"/>
        <v>0</v>
      </c>
      <c r="L244" s="84">
        <f t="shared" si="239"/>
        <v>0</v>
      </c>
      <c r="M244" s="84">
        <f t="shared" si="239"/>
        <v>0</v>
      </c>
      <c r="N244" s="84">
        <f t="shared" si="239"/>
        <v>0</v>
      </c>
      <c r="O244" s="84">
        <f t="shared" si="239"/>
        <v>0</v>
      </c>
      <c r="P244" s="84">
        <f t="shared" si="239"/>
        <v>0</v>
      </c>
      <c r="Q244" s="84">
        <f t="shared" si="239"/>
        <v>0</v>
      </c>
      <c r="T244" s="116"/>
      <c r="U244" s="116"/>
    </row>
    <row r="245" spans="1:21" hidden="1" outlineLevel="2" x14ac:dyDescent="0.2">
      <c r="A245" s="23" t="str">
        <f ca="1">Language!A$362</f>
        <v xml:space="preserve">    прибыль/убыток от реализации актива</v>
      </c>
      <c r="B245" s="159"/>
      <c r="C245" s="26" t="str">
        <f t="shared" ca="1" si="238"/>
        <v>руб.</v>
      </c>
      <c r="D245" s="19"/>
      <c r="E245" s="19"/>
      <c r="F245" s="83">
        <f t="shared" ref="F245:Q245" si="240">IF(F241=0,0,F241-E240)</f>
        <v>0</v>
      </c>
      <c r="G245" s="83">
        <f t="shared" si="240"/>
        <v>0</v>
      </c>
      <c r="H245" s="83">
        <f t="shared" si="240"/>
        <v>0</v>
      </c>
      <c r="I245" s="83">
        <f t="shared" si="240"/>
        <v>0</v>
      </c>
      <c r="J245" s="83">
        <f t="shared" si="240"/>
        <v>0</v>
      </c>
      <c r="K245" s="83">
        <f t="shared" si="240"/>
        <v>0</v>
      </c>
      <c r="L245" s="83">
        <f t="shared" si="240"/>
        <v>0</v>
      </c>
      <c r="M245" s="83">
        <f t="shared" si="240"/>
        <v>0</v>
      </c>
      <c r="N245" s="83">
        <f t="shared" si="240"/>
        <v>0</v>
      </c>
      <c r="O245" s="83">
        <f t="shared" si="240"/>
        <v>0</v>
      </c>
      <c r="P245" s="83">
        <f t="shared" si="240"/>
        <v>0</v>
      </c>
      <c r="Q245" s="83">
        <f t="shared" si="240"/>
        <v>0</v>
      </c>
      <c r="S245" s="11">
        <f>SUM(F245:Q245)</f>
        <v>0</v>
      </c>
      <c r="T245" s="116"/>
      <c r="U245" s="116"/>
    </row>
    <row r="246" spans="1:21" hidden="1" outlineLevel="2" x14ac:dyDescent="0.2">
      <c r="A246" s="24" t="str">
        <f ca="1">Language!A$363</f>
        <v xml:space="preserve">    НДС к выручке от реализации актива</v>
      </c>
      <c r="B246" s="268">
        <f>VAT</f>
        <v>0</v>
      </c>
      <c r="C246" s="26" t="str">
        <f t="shared" ca="1" si="238"/>
        <v>руб.</v>
      </c>
      <c r="D246" s="19"/>
      <c r="E246" s="19"/>
      <c r="F246">
        <f t="shared" ref="F246:M246" si="241">F241*$B246</f>
        <v>0</v>
      </c>
      <c r="G246">
        <f t="shared" si="241"/>
        <v>0</v>
      </c>
      <c r="H246">
        <f t="shared" si="241"/>
        <v>0</v>
      </c>
      <c r="I246">
        <f t="shared" si="241"/>
        <v>0</v>
      </c>
      <c r="J246">
        <f t="shared" si="241"/>
        <v>0</v>
      </c>
      <c r="K246">
        <f t="shared" si="241"/>
        <v>0</v>
      </c>
      <c r="L246">
        <f t="shared" si="241"/>
        <v>0</v>
      </c>
      <c r="M246">
        <f t="shared" si="241"/>
        <v>0</v>
      </c>
      <c r="N246">
        <f t="shared" ref="N246" si="242">N241*$B246</f>
        <v>0</v>
      </c>
      <c r="O246">
        <f t="shared" ref="O246" si="243">O241*$B246</f>
        <v>0</v>
      </c>
      <c r="P246">
        <f t="shared" ref="P246:Q246" si="244">P241*$B246</f>
        <v>0</v>
      </c>
      <c r="Q246">
        <f t="shared" si="244"/>
        <v>0</v>
      </c>
      <c r="S246" s="11">
        <f>SUM(F246:Q246)</f>
        <v>0</v>
      </c>
      <c r="T246" s="116"/>
      <c r="U246" s="116"/>
    </row>
    <row r="247" spans="1:21" outlineLevel="1" x14ac:dyDescent="0.2">
      <c r="B247" s="11" t="str">
        <f ca="1">Language!A$354</f>
        <v xml:space="preserve">  Амортизация</v>
      </c>
    </row>
    <row r="248" spans="1:21" ht="10.5" outlineLevel="1" x14ac:dyDescent="0.25">
      <c r="A248" s="62" t="str">
        <f ca="1">Language!A365</f>
        <v>Нематериальные активы</v>
      </c>
      <c r="B248" s="271">
        <v>2</v>
      </c>
      <c r="C248" s="40" t="str">
        <f ca="1">Language!A$33</f>
        <v>лет</v>
      </c>
      <c r="D248" s="19"/>
      <c r="E248" s="19"/>
      <c r="F248" s="106"/>
      <c r="G248" s="106"/>
      <c r="H248" s="106"/>
      <c r="I248" s="106"/>
      <c r="J248" s="106"/>
      <c r="K248" s="106"/>
      <c r="L248" s="106"/>
      <c r="M248" s="106"/>
      <c r="N248" s="106"/>
      <c r="O248" s="106"/>
      <c r="P248" s="106"/>
      <c r="Q248" s="106"/>
      <c r="T248" s="116"/>
      <c r="U248" s="116"/>
    </row>
    <row r="249" spans="1:21" outlineLevel="1" x14ac:dyDescent="0.2">
      <c r="A249" s="24" t="str">
        <f ca="1">Language!A$360</f>
        <v xml:space="preserve">    остаточная стоимость</v>
      </c>
      <c r="B249" s="159"/>
      <c r="C249" s="26" t="str">
        <f ca="1">CUR_Main</f>
        <v>руб.</v>
      </c>
      <c r="D249" s="19" t="s">
        <v>384</v>
      </c>
      <c r="E249" s="19">
        <f>E251</f>
        <v>0</v>
      </c>
      <c r="F249" s="106">
        <f>IF(SUM($F250:F250)&gt;0.01,0,F251-F253)</f>
        <v>0</v>
      </c>
      <c r="G249" s="106">
        <f>IF(SUM($F250:G250)&gt;0.01,0,G251-G253)</f>
        <v>0</v>
      </c>
      <c r="H249" s="106">
        <f>IF(SUM($F250:H250)&gt;0.01,0,H251-H253)</f>
        <v>0</v>
      </c>
      <c r="I249" s="106">
        <f>IF(SUM($F250:I250)&gt;0.01,0,I251-I253)</f>
        <v>0</v>
      </c>
      <c r="J249" s="106">
        <f>IF(SUM($F250:J250)&gt;0.01,0,J251-J253)</f>
        <v>0</v>
      </c>
      <c r="K249" s="106">
        <f>IF(SUM($F250:K250)&gt;0.01,0,K251-K253)</f>
        <v>0</v>
      </c>
      <c r="L249" s="106">
        <f>IF(SUM($F250:L250)&gt;0.01,0,L251-L253)</f>
        <v>0</v>
      </c>
      <c r="M249" s="106">
        <f>IF(SUM($F250:M250)&gt;0.01,0,M251-M253)</f>
        <v>0</v>
      </c>
      <c r="N249" s="106">
        <f>IF(SUM($F250:N250)&gt;0.01,0,N251-N253)</f>
        <v>0</v>
      </c>
      <c r="O249" s="106">
        <f>IF(SUM($F250:O250)&gt;0.01,0,O251-O253)</f>
        <v>0</v>
      </c>
      <c r="P249" s="106">
        <f>IF(SUM($F250:P250)&gt;0.01,0,P251-P253)</f>
        <v>0</v>
      </c>
      <c r="Q249" s="106">
        <f>IF(SUM($F250:Q250)&gt;0.01,0,Q251-Q253)</f>
        <v>0</v>
      </c>
      <c r="T249" s="116"/>
      <c r="U249" s="116"/>
    </row>
    <row r="250" spans="1:21" outlineLevel="1" collapsed="1" x14ac:dyDescent="0.2">
      <c r="A250" s="24" t="str">
        <f ca="1">Language!A$361</f>
        <v xml:space="preserve">    реализация актива (без НДС)</v>
      </c>
      <c r="B250" s="159"/>
      <c r="C250" s="26" t="str">
        <f ca="1">CUR_Main</f>
        <v>руб.</v>
      </c>
      <c r="D250" s="19"/>
      <c r="E250" s="19"/>
      <c r="F250" s="272">
        <v>0</v>
      </c>
      <c r="G250" s="272">
        <v>0</v>
      </c>
      <c r="H250" s="272">
        <v>0</v>
      </c>
      <c r="I250" s="272">
        <v>0</v>
      </c>
      <c r="J250" s="272">
        <v>0</v>
      </c>
      <c r="K250" s="272">
        <v>0</v>
      </c>
      <c r="L250" s="272">
        <v>0</v>
      </c>
      <c r="M250" s="272">
        <v>0</v>
      </c>
      <c r="N250" s="272">
        <v>0</v>
      </c>
      <c r="O250" s="272">
        <v>0</v>
      </c>
      <c r="P250" s="272">
        <v>0</v>
      </c>
      <c r="Q250" s="272">
        <v>0</v>
      </c>
      <c r="S250" s="11">
        <f>SUM(F250:Q250)</f>
        <v>0</v>
      </c>
      <c r="T250" s="116"/>
      <c r="U250" s="116"/>
    </row>
    <row r="251" spans="1:21" hidden="1" outlineLevel="2" x14ac:dyDescent="0.2">
      <c r="A251" s="24" t="str">
        <f ca="1">Language!A$357</f>
        <v xml:space="preserve">    первоначальная стоимость</v>
      </c>
      <c r="B251" s="139"/>
      <c r="C251" s="26" t="str">
        <f t="shared" ca="1" si="238"/>
        <v>руб.</v>
      </c>
      <c r="D251" s="19" t="s">
        <v>384</v>
      </c>
      <c r="E251" s="19">
        <f>F41*IF(B$37=1,1,F$88)</f>
        <v>0</v>
      </c>
      <c r="F251" s="48">
        <f>IF(SUM($F250:F250)&gt;0.01,0,E251)</f>
        <v>0</v>
      </c>
      <c r="G251" s="48">
        <f>IF(SUM($F250:G250)&gt;0.01,0,F251)</f>
        <v>0</v>
      </c>
      <c r="H251" s="48">
        <f>IF(SUM($F250:H250)&gt;0.01,0,G251)</f>
        <v>0</v>
      </c>
      <c r="I251" s="48">
        <f>IF(SUM($F250:I250)&gt;0.01,0,H251)</f>
        <v>0</v>
      </c>
      <c r="J251" s="48">
        <f>IF(SUM($F250:J250)&gt;0.01,0,I251)</f>
        <v>0</v>
      </c>
      <c r="K251" s="48">
        <f>IF(SUM($F250:K250)&gt;0.01,0,J251)</f>
        <v>0</v>
      </c>
      <c r="L251" s="48">
        <f>IF(SUM($F250:L250)&gt;0.01,0,K251)</f>
        <v>0</v>
      </c>
      <c r="M251" s="48">
        <f>IF(SUM($F250:M250)&gt;0.01,0,L251)</f>
        <v>0</v>
      </c>
      <c r="N251" s="48">
        <f>IF(SUM($F250:N250)&gt;0.01,0,M251)</f>
        <v>0</v>
      </c>
      <c r="O251" s="48">
        <f>IF(SUM($F250:O250)&gt;0.01,0,N251)</f>
        <v>0</v>
      </c>
      <c r="P251" s="48">
        <f>IF(SUM($F250:P250)&gt;0.01,0,O251)</f>
        <v>0</v>
      </c>
      <c r="Q251" s="48">
        <f>IF(SUM($F250:Q250)&gt;0.01,0,P251)</f>
        <v>0</v>
      </c>
      <c r="T251" s="116"/>
      <c r="U251" s="116"/>
    </row>
    <row r="252" spans="1:21" hidden="1" outlineLevel="2" x14ac:dyDescent="0.2">
      <c r="A252" s="24" t="str">
        <f ca="1">Language!A$358</f>
        <v xml:space="preserve">    амортизация (линейная),       для срока использования:</v>
      </c>
      <c r="B252" s="139">
        <f>B248</f>
        <v>2</v>
      </c>
      <c r="C252" s="115" t="str">
        <f ca="1">Language!A$33</f>
        <v>лет</v>
      </c>
      <c r="D252" s="19"/>
      <c r="E252" s="19"/>
      <c r="F252" s="53">
        <f>IF(AND($B252&gt;0,SUM($E250:F250)&lt;=0.01),MIN(F251*100%/$B252*PRJ_Step/360,E249+F251-E251),0)</f>
        <v>0</v>
      </c>
      <c r="G252" s="53">
        <f>IF(AND($B252&gt;0,SUM($E250:G250)&lt;=0.01),MIN(G251*100%/$B252*PRJ_Step/360,F249+G251-F251),0)</f>
        <v>0</v>
      </c>
      <c r="H252" s="53">
        <f>IF(AND($B252&gt;0,SUM($E250:H250)&lt;=0.01),MIN(H251*100%/$B252*PRJ_Step/360,G249+H251-G251),0)</f>
        <v>0</v>
      </c>
      <c r="I252" s="53">
        <f>IF(AND($B252&gt;0,SUM($E250:I250)&lt;=0.01),MIN(I251*100%/$B252*PRJ_Step/360,H249+I251-H251),0)</f>
        <v>0</v>
      </c>
      <c r="J252" s="53">
        <f>IF(AND($B252&gt;0,SUM($E250:J250)&lt;=0.01),MIN(J251*100%/$B252*PRJ_Step/360,I249+J251-I251),0)</f>
        <v>0</v>
      </c>
      <c r="K252" s="53">
        <f>IF(AND($B252&gt;0,SUM($E250:K250)&lt;=0.01),MIN(K251*100%/$B252*PRJ_Step/360,J249+K251-J251),0)</f>
        <v>0</v>
      </c>
      <c r="L252" s="53">
        <f>IF(AND($B252&gt;0,SUM($E250:L250)&lt;=0.01),MIN(L251*100%/$B252*PRJ_Step/360,K249+L251-K251),0)</f>
        <v>0</v>
      </c>
      <c r="M252" s="53">
        <f>IF(AND($B252&gt;0,SUM($E250:M250)&lt;=0.01),MIN(M251*100%/$B252*PRJ_Step/360,L249+M251-L251),0)</f>
        <v>0</v>
      </c>
      <c r="N252" s="53">
        <f>IF(AND($B252&gt;0,SUM($E250:N250)&lt;=0.01),MIN(N251*100%/$B252*PRJ_Step/360,M249+N251-M251),0)</f>
        <v>0</v>
      </c>
      <c r="O252" s="53">
        <f>IF(AND($B252&gt;0,SUM($E250:O250)&lt;=0.01),MIN(O251*100%/$B252*PRJ_Step/360,N249+O251-N251),0)</f>
        <v>0</v>
      </c>
      <c r="P252" s="53">
        <f>IF(AND($B252&gt;0,SUM($E250:P250)&lt;=0.01),MIN(P251*100%/$B252*PRJ_Step/360,O249+P251-O251),0)</f>
        <v>0</v>
      </c>
      <c r="Q252" s="53">
        <f>IF(AND($B252&gt;0,SUM($E250:Q250)&lt;=0.01),MIN(Q251*100%/$B252*PRJ_Step/360,P249+Q251-P251),0)</f>
        <v>0</v>
      </c>
      <c r="S252" s="11">
        <f>SUM(F252:Q252)</f>
        <v>0</v>
      </c>
      <c r="T252" s="116"/>
      <c r="U252" s="116"/>
    </row>
    <row r="253" spans="1:21" hidden="1" outlineLevel="2" x14ac:dyDescent="0.2">
      <c r="A253" s="24" t="str">
        <f ca="1">Language!A$359</f>
        <v xml:space="preserve">    накопленная амортизация</v>
      </c>
      <c r="B253" s="159"/>
      <c r="C253" s="26" t="str">
        <f t="shared" ca="1" si="238"/>
        <v>руб.</v>
      </c>
      <c r="D253" s="19" t="s">
        <v>384</v>
      </c>
      <c r="E253" s="19"/>
      <c r="F253" s="53">
        <f t="shared" ref="F253:Q253" si="245">E253+F252</f>
        <v>0</v>
      </c>
      <c r="G253" s="53">
        <f t="shared" si="245"/>
        <v>0</v>
      </c>
      <c r="H253" s="53">
        <f t="shared" si="245"/>
        <v>0</v>
      </c>
      <c r="I253" s="53">
        <f t="shared" si="245"/>
        <v>0</v>
      </c>
      <c r="J253" s="53">
        <f t="shared" si="245"/>
        <v>0</v>
      </c>
      <c r="K253" s="53">
        <f t="shared" si="245"/>
        <v>0</v>
      </c>
      <c r="L253" s="53">
        <f t="shared" si="245"/>
        <v>0</v>
      </c>
      <c r="M253" s="53">
        <f t="shared" si="245"/>
        <v>0</v>
      </c>
      <c r="N253" s="53">
        <f t="shared" si="245"/>
        <v>0</v>
      </c>
      <c r="O253" s="53">
        <f t="shared" si="245"/>
        <v>0</v>
      </c>
      <c r="P253" s="53">
        <f t="shared" si="245"/>
        <v>0</v>
      </c>
      <c r="Q253" s="53">
        <f t="shared" si="245"/>
        <v>0</v>
      </c>
      <c r="T253" s="116"/>
      <c r="U253" s="116"/>
    </row>
    <row r="254" spans="1:21" hidden="1" outlineLevel="2" x14ac:dyDescent="0.2">
      <c r="A254" s="24" t="str">
        <f ca="1">Language!A$362</f>
        <v xml:space="preserve">    прибыль/убыток от реализации актива</v>
      </c>
      <c r="B254" s="159"/>
      <c r="C254" s="26" t="str">
        <f t="shared" ca="1" si="238"/>
        <v>руб.</v>
      </c>
      <c r="D254" s="19"/>
      <c r="E254" s="19"/>
      <c r="F254" s="83">
        <f t="shared" ref="F254:Q254" si="246">IF(F250=0,0,F250-E249)</f>
        <v>0</v>
      </c>
      <c r="G254" s="83">
        <f t="shared" si="246"/>
        <v>0</v>
      </c>
      <c r="H254" s="83">
        <f t="shared" si="246"/>
        <v>0</v>
      </c>
      <c r="I254" s="83">
        <f t="shared" si="246"/>
        <v>0</v>
      </c>
      <c r="J254" s="83">
        <f t="shared" si="246"/>
        <v>0</v>
      </c>
      <c r="K254" s="83">
        <f t="shared" si="246"/>
        <v>0</v>
      </c>
      <c r="L254" s="83">
        <f t="shared" si="246"/>
        <v>0</v>
      </c>
      <c r="M254" s="83">
        <f t="shared" si="246"/>
        <v>0</v>
      </c>
      <c r="N254" s="83">
        <f t="shared" si="246"/>
        <v>0</v>
      </c>
      <c r="O254" s="83">
        <f t="shared" si="246"/>
        <v>0</v>
      </c>
      <c r="P254" s="83">
        <f t="shared" si="246"/>
        <v>0</v>
      </c>
      <c r="Q254" s="83">
        <f t="shared" si="246"/>
        <v>0</v>
      </c>
      <c r="S254" s="11">
        <f>SUM(F254:Q254)</f>
        <v>0</v>
      </c>
      <c r="T254" s="116"/>
      <c r="U254" s="116"/>
    </row>
    <row r="255" spans="1:21" hidden="1" outlineLevel="2" x14ac:dyDescent="0.2">
      <c r="A255" s="24" t="str">
        <f ca="1">Language!A$363</f>
        <v xml:space="preserve">    НДС к выручке от реализации актива</v>
      </c>
      <c r="B255" s="268">
        <f>VAT</f>
        <v>0</v>
      </c>
      <c r="C255" s="26" t="str">
        <f t="shared" ca="1" si="238"/>
        <v>руб.</v>
      </c>
      <c r="D255" s="19"/>
      <c r="E255" s="19"/>
      <c r="F255">
        <f t="shared" ref="F255:M255" si="247">F250*$B255</f>
        <v>0</v>
      </c>
      <c r="G255">
        <f t="shared" si="247"/>
        <v>0</v>
      </c>
      <c r="H255">
        <f t="shared" si="247"/>
        <v>0</v>
      </c>
      <c r="I255">
        <f t="shared" si="247"/>
        <v>0</v>
      </c>
      <c r="J255">
        <f t="shared" si="247"/>
        <v>0</v>
      </c>
      <c r="K255">
        <f t="shared" si="247"/>
        <v>0</v>
      </c>
      <c r="L255">
        <f t="shared" si="247"/>
        <v>0</v>
      </c>
      <c r="M255">
        <f t="shared" si="247"/>
        <v>0</v>
      </c>
      <c r="N255">
        <f t="shared" ref="N255" si="248">N250*$B255</f>
        <v>0</v>
      </c>
      <c r="O255">
        <f t="shared" ref="O255" si="249">O250*$B255</f>
        <v>0</v>
      </c>
      <c r="P255">
        <f t="shared" ref="P255:Q255" si="250">P250*$B255</f>
        <v>0</v>
      </c>
      <c r="Q255">
        <f t="shared" si="250"/>
        <v>0</v>
      </c>
      <c r="S255" s="11">
        <f>SUM(F255:Q255)</f>
        <v>0</v>
      </c>
      <c r="T255" s="116"/>
      <c r="U255" s="116"/>
    </row>
    <row r="256" spans="1:21" s="48" customFormat="1" outlineLevel="1" x14ac:dyDescent="0.2">
      <c r="A256" s="128"/>
      <c r="B256" s="11" t="str">
        <f ca="1">Language!A$354</f>
        <v xml:space="preserve">  Амортизация</v>
      </c>
      <c r="C256" s="100"/>
      <c r="D256" s="45"/>
      <c r="E256" s="45"/>
      <c r="S256" s="41"/>
      <c r="T256" s="303"/>
      <c r="U256" s="303"/>
    </row>
    <row r="257" spans="1:21" ht="10.5" outlineLevel="1" x14ac:dyDescent="0.25">
      <c r="A257" s="62" t="str">
        <f ca="1">Language!A366</f>
        <v>Оборудование и другие активы</v>
      </c>
      <c r="B257" s="271">
        <v>5</v>
      </c>
      <c r="C257" s="40" t="str">
        <f ca="1">Language!A$33</f>
        <v>лет</v>
      </c>
      <c r="D257" s="19"/>
      <c r="E257" s="19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T257" s="116"/>
      <c r="U257" s="116"/>
    </row>
    <row r="258" spans="1:21" outlineLevel="1" x14ac:dyDescent="0.2">
      <c r="A258" s="24" t="str">
        <f ca="1">Language!A$360</f>
        <v xml:space="preserve">    остаточная стоимость</v>
      </c>
      <c r="B258" s="159"/>
      <c r="C258" s="26" t="str">
        <f ca="1">CUR_Main</f>
        <v>руб.</v>
      </c>
      <c r="D258" s="19" t="s">
        <v>384</v>
      </c>
      <c r="E258" s="19">
        <f>E260</f>
        <v>0</v>
      </c>
      <c r="F258" s="43">
        <f>IF(SUM($F259:F259)&gt;0.01,0,F260-F262)</f>
        <v>0</v>
      </c>
      <c r="G258" s="43">
        <f>IF(SUM($F259:G259)&gt;0.01,0,G260-G262)</f>
        <v>0</v>
      </c>
      <c r="H258" s="43">
        <f>IF(SUM($F259:H259)&gt;0.01,0,H260-H262)</f>
        <v>0</v>
      </c>
      <c r="I258" s="43">
        <f>IF(SUM($F259:I259)&gt;0.01,0,I260-I262)</f>
        <v>0</v>
      </c>
      <c r="J258" s="43">
        <f>IF(SUM($F259:J259)&gt;0.01,0,J260-J262)</f>
        <v>0</v>
      </c>
      <c r="K258" s="43">
        <f>IF(SUM($F259:K259)&gt;0.01,0,K260-K262)</f>
        <v>0</v>
      </c>
      <c r="L258" s="43">
        <f>IF(SUM($F259:L259)&gt;0.01,0,L260-L262)</f>
        <v>0</v>
      </c>
      <c r="M258" s="43">
        <f>IF(SUM($F259:M259)&gt;0.01,0,M260-M262)</f>
        <v>0</v>
      </c>
      <c r="N258" s="43">
        <f>IF(SUM($F259:N259)&gt;0.01,0,N260-N262)</f>
        <v>0</v>
      </c>
      <c r="O258" s="43">
        <f>IF(SUM($F259:O259)&gt;0.01,0,O260-O262)</f>
        <v>0</v>
      </c>
      <c r="P258" s="43">
        <f>IF(SUM($F259:P259)&gt;0.01,0,P260-P262)</f>
        <v>0</v>
      </c>
      <c r="Q258" s="43">
        <f>IF(SUM($F259:Q259)&gt;0.01,0,Q260-Q262)</f>
        <v>0</v>
      </c>
      <c r="T258" s="116"/>
      <c r="U258" s="116"/>
    </row>
    <row r="259" spans="1:21" outlineLevel="1" x14ac:dyDescent="0.2">
      <c r="A259" s="24" t="str">
        <f ca="1">Language!A$361</f>
        <v xml:space="preserve">    реализация актива (без НДС)</v>
      </c>
      <c r="B259" s="159"/>
      <c r="C259" s="26" t="str">
        <f ca="1">CUR_Main</f>
        <v>руб.</v>
      </c>
      <c r="D259" s="19"/>
      <c r="E259" s="19"/>
      <c r="F259" s="276">
        <v>0</v>
      </c>
      <c r="G259" s="276">
        <v>0</v>
      </c>
      <c r="H259" s="276">
        <v>0</v>
      </c>
      <c r="I259" s="276"/>
      <c r="J259" s="276"/>
      <c r="K259" s="276"/>
      <c r="L259" s="276"/>
      <c r="M259" s="276"/>
      <c r="N259" s="276"/>
      <c r="O259" s="276"/>
      <c r="P259" s="276"/>
      <c r="Q259" s="276"/>
      <c r="S259" s="11">
        <f>SUM(F259:Q259)</f>
        <v>0</v>
      </c>
      <c r="T259" s="116"/>
      <c r="U259" s="116"/>
    </row>
    <row r="260" spans="1:21" outlineLevel="2" x14ac:dyDescent="0.2">
      <c r="A260" s="24" t="str">
        <f ca="1">Language!A$357</f>
        <v xml:space="preserve">    первоначальная стоимость</v>
      </c>
      <c r="B260" s="139"/>
      <c r="C260" s="26" t="str">
        <f t="shared" ca="1" si="238"/>
        <v>руб.</v>
      </c>
      <c r="D260" s="19" t="s">
        <v>384</v>
      </c>
      <c r="E260" s="19">
        <f>F42*IF(B$37=1,1,F$88)</f>
        <v>0</v>
      </c>
      <c r="F260">
        <f>IF(SUM($F259:F259)&gt;0.01,0,E260)</f>
        <v>0</v>
      </c>
      <c r="G260">
        <f>IF(SUM($F259:G259)&gt;0.01,0,F260)</f>
        <v>0</v>
      </c>
      <c r="H260">
        <f>IF(SUM($F259:H259)&gt;0.01,0,G260)</f>
        <v>0</v>
      </c>
      <c r="I260">
        <f>IF(SUM($F259:I259)&gt;0.01,0,H260)</f>
        <v>0</v>
      </c>
      <c r="J260">
        <f>IF(SUM($F259:J259)&gt;0.01,0,I260)</f>
        <v>0</v>
      </c>
      <c r="K260">
        <f>IF(SUM($F259:K259)&gt;0.01,0,J260)</f>
        <v>0</v>
      </c>
      <c r="L260">
        <f>IF(SUM($F259:L259)&gt;0.01,0,K260)</f>
        <v>0</v>
      </c>
      <c r="M260">
        <f>IF(SUM($F259:M259)&gt;0.01,0,L260)</f>
        <v>0</v>
      </c>
      <c r="N260">
        <f>IF(SUM($F259:N259)&gt;0.01,0,M260)</f>
        <v>0</v>
      </c>
      <c r="O260">
        <f>IF(SUM($F259:O259)&gt;0.01,0,N260)</f>
        <v>0</v>
      </c>
      <c r="P260">
        <f>IF(SUM($F259:P259)&gt;0.01,0,O260)</f>
        <v>0</v>
      </c>
      <c r="Q260">
        <f>IF(SUM($F259:Q259)&gt;0.01,0,P260)</f>
        <v>0</v>
      </c>
      <c r="T260" s="116"/>
      <c r="U260" s="116"/>
    </row>
    <row r="261" spans="1:21" outlineLevel="2" x14ac:dyDescent="0.2">
      <c r="A261" s="24" t="str">
        <f ca="1">Language!A$358</f>
        <v xml:space="preserve">    амортизация (линейная),       для срока использования:</v>
      </c>
      <c r="B261" s="139">
        <f>B257</f>
        <v>5</v>
      </c>
      <c r="C261" s="115" t="str">
        <f ca="1">Language!A$33</f>
        <v>лет</v>
      </c>
      <c r="D261" s="19"/>
      <c r="E261" s="19"/>
      <c r="F261" s="53">
        <f>IF(AND($B261&gt;0,SUM($E259:F259)&lt;=0.01),MIN(F260*100%/$B261*PRJ_Step/360,E258+F260-E260),0)</f>
        <v>0</v>
      </c>
      <c r="G261" s="53">
        <f>IF(AND($B261&gt;0,SUM($E259:G259)&lt;=0.01),MIN(G260*100%/$B261*PRJ_Step/360,F258+G260-F260),0)</f>
        <v>0</v>
      </c>
      <c r="H261" s="53">
        <f>IF(AND($B261&gt;0,SUM($E259:H259)&lt;=0.01),MIN(H260*100%/$B261*PRJ_Step/360,G258+H260-G260),0)</f>
        <v>0</v>
      </c>
      <c r="I261" s="53">
        <f>IF(AND($B261&gt;0,SUM($E259:I259)&lt;=0.01),MIN(I260*100%/$B261*PRJ_Step/360,H258+I260-H260),0)</f>
        <v>0</v>
      </c>
      <c r="J261" s="53">
        <f>IF(AND($B261&gt;0,SUM($E259:J259)&lt;=0.01),MIN(J260*100%/$B261*PRJ_Step/360,I258+J260-I260),0)</f>
        <v>0</v>
      </c>
      <c r="K261" s="53">
        <f>IF(AND($B261&gt;0,SUM($E259:K259)&lt;=0.01),MIN(K260*100%/$B261*PRJ_Step/360,J258+K260-J260),0)</f>
        <v>0</v>
      </c>
      <c r="L261" s="53">
        <f>IF(AND($B261&gt;0,SUM($E259:L259)&lt;=0.01),MIN(L260*100%/$B261*PRJ_Step/360,K258+L260-K260),0)</f>
        <v>0</v>
      </c>
      <c r="M261" s="53">
        <f>IF(AND($B261&gt;0,SUM($E259:M259)&lt;=0.01),MIN(M260*100%/$B261*PRJ_Step/360,L258+M260-L260),0)</f>
        <v>0</v>
      </c>
      <c r="N261" s="53">
        <f>IF(AND($B261&gt;0,SUM($E259:N259)&lt;=0.01),MIN(N260*100%/$B261*PRJ_Step/360,M258+N260-M260),0)</f>
        <v>0</v>
      </c>
      <c r="O261" s="53">
        <f>IF(AND($B261&gt;0,SUM($E259:O259)&lt;=0.01),MIN(O260*100%/$B261*PRJ_Step/360,N258+O260-N260),0)</f>
        <v>0</v>
      </c>
      <c r="P261" s="53">
        <f>IF(AND($B261&gt;0,SUM($E259:P259)&lt;=0.01),MIN(P260*100%/$B261*PRJ_Step/360,O258+P260-O260),0)</f>
        <v>0</v>
      </c>
      <c r="Q261" s="53">
        <f>IF(AND($B261&gt;0,SUM($E259:Q259)&lt;=0.01),MIN(Q260*100%/$B261*PRJ_Step/360,P258+Q260-P260),0)</f>
        <v>0</v>
      </c>
      <c r="S261" s="11">
        <f>SUM(F261:Q261)</f>
        <v>0</v>
      </c>
      <c r="T261" s="116"/>
      <c r="U261" s="116"/>
    </row>
    <row r="262" spans="1:21" outlineLevel="2" x14ac:dyDescent="0.2">
      <c r="A262" s="24" t="str">
        <f ca="1">Language!A$359</f>
        <v xml:space="preserve">    накопленная амортизация</v>
      </c>
      <c r="B262" s="159"/>
      <c r="C262" s="26" t="str">
        <f t="shared" ca="1" si="238"/>
        <v>руб.</v>
      </c>
      <c r="D262" s="19" t="s">
        <v>384</v>
      </c>
      <c r="E262" s="19"/>
      <c r="F262" s="53">
        <f t="shared" ref="F262:Q262" si="251">E262+F261</f>
        <v>0</v>
      </c>
      <c r="G262" s="53">
        <f t="shared" si="251"/>
        <v>0</v>
      </c>
      <c r="H262" s="53">
        <f t="shared" si="251"/>
        <v>0</v>
      </c>
      <c r="I262" s="53">
        <f t="shared" si="251"/>
        <v>0</v>
      </c>
      <c r="J262" s="53">
        <f t="shared" si="251"/>
        <v>0</v>
      </c>
      <c r="K262" s="53">
        <f t="shared" si="251"/>
        <v>0</v>
      </c>
      <c r="L262" s="53">
        <f t="shared" si="251"/>
        <v>0</v>
      </c>
      <c r="M262" s="53">
        <f t="shared" si="251"/>
        <v>0</v>
      </c>
      <c r="N262" s="53">
        <f t="shared" si="251"/>
        <v>0</v>
      </c>
      <c r="O262" s="53">
        <f t="shared" si="251"/>
        <v>0</v>
      </c>
      <c r="P262" s="53">
        <f t="shared" si="251"/>
        <v>0</v>
      </c>
      <c r="Q262" s="53">
        <f t="shared" si="251"/>
        <v>0</v>
      </c>
      <c r="T262" s="116"/>
      <c r="U262" s="116"/>
    </row>
    <row r="263" spans="1:21" outlineLevel="2" x14ac:dyDescent="0.2">
      <c r="A263" s="24" t="str">
        <f ca="1">Language!A$362</f>
        <v xml:space="preserve">    прибыль/убыток от реализации актива</v>
      </c>
      <c r="B263" s="159"/>
      <c r="C263" s="26" t="str">
        <f t="shared" ca="1" si="238"/>
        <v>руб.</v>
      </c>
      <c r="D263" s="19"/>
      <c r="E263" s="19"/>
      <c r="F263" s="111">
        <f t="shared" ref="F263:Q263" si="252">IF(F259=0,0,F259-E258)</f>
        <v>0</v>
      </c>
      <c r="G263" s="111">
        <f t="shared" si="252"/>
        <v>0</v>
      </c>
      <c r="H263" s="111">
        <f t="shared" si="252"/>
        <v>0</v>
      </c>
      <c r="I263" s="111">
        <f t="shared" si="252"/>
        <v>0</v>
      </c>
      <c r="J263" s="111">
        <f t="shared" si="252"/>
        <v>0</v>
      </c>
      <c r="K263" s="111">
        <f t="shared" si="252"/>
        <v>0</v>
      </c>
      <c r="L263" s="111">
        <f t="shared" si="252"/>
        <v>0</v>
      </c>
      <c r="M263" s="111">
        <f t="shared" si="252"/>
        <v>0</v>
      </c>
      <c r="N263" s="111">
        <f t="shared" si="252"/>
        <v>0</v>
      </c>
      <c r="O263" s="111">
        <f t="shared" si="252"/>
        <v>0</v>
      </c>
      <c r="P263" s="111">
        <f t="shared" si="252"/>
        <v>0</v>
      </c>
      <c r="Q263" s="111">
        <f t="shared" si="252"/>
        <v>0</v>
      </c>
      <c r="S263" s="11">
        <f>SUM(F263:Q263)</f>
        <v>0</v>
      </c>
      <c r="T263" s="116"/>
      <c r="U263" s="116"/>
    </row>
    <row r="264" spans="1:21" outlineLevel="2" x14ac:dyDescent="0.2">
      <c r="A264" s="24" t="str">
        <f ca="1">Language!A$363</f>
        <v xml:space="preserve">    НДС к выручке от реализации актива</v>
      </c>
      <c r="B264" s="268">
        <f>VAT</f>
        <v>0</v>
      </c>
      <c r="C264" s="26" t="str">
        <f t="shared" ca="1" si="238"/>
        <v>руб.</v>
      </c>
      <c r="D264" s="19"/>
      <c r="E264" s="19"/>
      <c r="F264">
        <f t="shared" ref="F264:M264" si="253">F259*$B264</f>
        <v>0</v>
      </c>
      <c r="G264">
        <f t="shared" si="253"/>
        <v>0</v>
      </c>
      <c r="H264">
        <f t="shared" si="253"/>
        <v>0</v>
      </c>
      <c r="I264">
        <f t="shared" si="253"/>
        <v>0</v>
      </c>
      <c r="J264">
        <f t="shared" si="253"/>
        <v>0</v>
      </c>
      <c r="K264">
        <f t="shared" si="253"/>
        <v>0</v>
      </c>
      <c r="L264">
        <f t="shared" si="253"/>
        <v>0</v>
      </c>
      <c r="M264">
        <f t="shared" si="253"/>
        <v>0</v>
      </c>
      <c r="N264">
        <f t="shared" ref="N264" si="254">N259*$B264</f>
        <v>0</v>
      </c>
      <c r="O264">
        <f t="shared" ref="O264" si="255">O259*$B264</f>
        <v>0</v>
      </c>
      <c r="P264">
        <f t="shared" ref="P264:Q264" si="256">P259*$B264</f>
        <v>0</v>
      </c>
      <c r="Q264">
        <f t="shared" si="256"/>
        <v>0</v>
      </c>
      <c r="S264" s="11">
        <f>SUM(F264:Q264)</f>
        <v>0</v>
      </c>
      <c r="T264" s="116"/>
      <c r="U264" s="116"/>
    </row>
    <row r="265" spans="1:21" s="48" customFormat="1" outlineLevel="1" x14ac:dyDescent="0.2">
      <c r="A265" s="128"/>
      <c r="B265" s="11" t="str">
        <f ca="1">Language!A$354</f>
        <v xml:space="preserve">  Амортизация</v>
      </c>
      <c r="C265" s="100"/>
      <c r="D265" s="45"/>
      <c r="E265" s="45"/>
      <c r="S265" s="41"/>
      <c r="T265" s="303"/>
      <c r="U265" s="303"/>
    </row>
    <row r="266" spans="1:21" ht="10.5" outlineLevel="1" x14ac:dyDescent="0.25">
      <c r="A266" s="35" t="str">
        <f ca="1">Language!A$409</f>
        <v>Расходы будущих периодов</v>
      </c>
      <c r="B266" s="271">
        <v>2</v>
      </c>
      <c r="C266" s="40" t="str">
        <f ca="1">Language!A$33</f>
        <v>лет</v>
      </c>
      <c r="D266" s="19"/>
      <c r="E266" s="19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T266" s="116"/>
      <c r="U266" s="116"/>
    </row>
    <row r="267" spans="1:21" outlineLevel="1" collapsed="1" x14ac:dyDescent="0.2">
      <c r="A267" s="24" t="str">
        <f ca="1">Language!A$360</f>
        <v xml:space="preserve">    остаточная стоимость</v>
      </c>
      <c r="B267" s="159"/>
      <c r="C267" s="26" t="str">
        <f ca="1">CUR_Main</f>
        <v>руб.</v>
      </c>
      <c r="D267" s="19" t="s">
        <v>384</v>
      </c>
      <c r="E267" s="19">
        <f>E268</f>
        <v>0</v>
      </c>
      <c r="F267" s="43">
        <f t="shared" ref="F267:M267" si="257">F268-F270</f>
        <v>0</v>
      </c>
      <c r="G267" s="43">
        <f t="shared" si="257"/>
        <v>0</v>
      </c>
      <c r="H267" s="43">
        <f t="shared" si="257"/>
        <v>0</v>
      </c>
      <c r="I267" s="43">
        <f t="shared" si="257"/>
        <v>0</v>
      </c>
      <c r="J267" s="43">
        <f t="shared" si="257"/>
        <v>0</v>
      </c>
      <c r="K267" s="43">
        <f t="shared" si="257"/>
        <v>0</v>
      </c>
      <c r="L267" s="43">
        <f t="shared" si="257"/>
        <v>0</v>
      </c>
      <c r="M267" s="43">
        <f t="shared" si="257"/>
        <v>0</v>
      </c>
      <c r="N267" s="43">
        <f t="shared" ref="N267" si="258">N268-N270</f>
        <v>0</v>
      </c>
      <c r="O267" s="43">
        <f t="shared" ref="O267" si="259">O268-O270</f>
        <v>0</v>
      </c>
      <c r="P267" s="43">
        <f t="shared" ref="P267:Q267" si="260">P268-P270</f>
        <v>0</v>
      </c>
      <c r="Q267" s="43">
        <f t="shared" si="260"/>
        <v>0</v>
      </c>
      <c r="T267" s="116"/>
      <c r="U267" s="116"/>
    </row>
    <row r="268" spans="1:21" ht="11.25" hidden="1" customHeight="1" outlineLevel="2" x14ac:dyDescent="0.2">
      <c r="A268" s="24" t="str">
        <f ca="1">Language!A$357</f>
        <v xml:space="preserve">    первоначальная стоимость</v>
      </c>
      <c r="B268" s="139"/>
      <c r="C268" s="26" t="str">
        <f t="shared" ca="1" si="238"/>
        <v>руб.</v>
      </c>
      <c r="D268" s="19" t="s">
        <v>384</v>
      </c>
      <c r="E268" s="19">
        <f>F55*IF(B$37=1,1,F$88)</f>
        <v>0</v>
      </c>
      <c r="F268" s="43">
        <f t="shared" ref="F268:Q268" si="261">E268</f>
        <v>0</v>
      </c>
      <c r="G268" s="43">
        <f t="shared" si="261"/>
        <v>0</v>
      </c>
      <c r="H268" s="43">
        <f t="shared" si="261"/>
        <v>0</v>
      </c>
      <c r="I268" s="43">
        <f t="shared" si="261"/>
        <v>0</v>
      </c>
      <c r="J268" s="43">
        <f t="shared" si="261"/>
        <v>0</v>
      </c>
      <c r="K268" s="43">
        <f t="shared" si="261"/>
        <v>0</v>
      </c>
      <c r="L268" s="43">
        <f t="shared" si="261"/>
        <v>0</v>
      </c>
      <c r="M268" s="43">
        <f t="shared" si="261"/>
        <v>0</v>
      </c>
      <c r="N268" s="43">
        <f t="shared" si="261"/>
        <v>0</v>
      </c>
      <c r="O268" s="43">
        <f t="shared" si="261"/>
        <v>0</v>
      </c>
      <c r="P268" s="43">
        <f t="shared" si="261"/>
        <v>0</v>
      </c>
      <c r="Q268" s="43">
        <f t="shared" si="261"/>
        <v>0</v>
      </c>
      <c r="T268" s="116"/>
      <c r="U268" s="116"/>
    </row>
    <row r="269" spans="1:21" ht="11.25" hidden="1" customHeight="1" outlineLevel="2" x14ac:dyDescent="0.2">
      <c r="A269" s="24" t="str">
        <f ca="1">Language!A$358</f>
        <v xml:space="preserve">    амортизация (линейная),       для срока использования:</v>
      </c>
      <c r="B269" s="139">
        <f>B266</f>
        <v>2</v>
      </c>
      <c r="C269" s="115" t="str">
        <f ca="1">Language!A$33</f>
        <v>лет</v>
      </c>
      <c r="D269" s="19"/>
      <c r="E269" s="19"/>
      <c r="F269" s="53">
        <f t="shared" ref="F269:Q269" si="262">IF($B269&gt;0,MIN(F268*100%/$B269*PRJ_Step/360,E267+F268-E268),0)</f>
        <v>0</v>
      </c>
      <c r="G269" s="53">
        <f t="shared" si="262"/>
        <v>0</v>
      </c>
      <c r="H269" s="53">
        <f t="shared" si="262"/>
        <v>0</v>
      </c>
      <c r="I269" s="53">
        <f t="shared" si="262"/>
        <v>0</v>
      </c>
      <c r="J269" s="53">
        <f t="shared" si="262"/>
        <v>0</v>
      </c>
      <c r="K269" s="53">
        <f t="shared" si="262"/>
        <v>0</v>
      </c>
      <c r="L269" s="53">
        <f t="shared" si="262"/>
        <v>0</v>
      </c>
      <c r="M269" s="53">
        <f t="shared" si="262"/>
        <v>0</v>
      </c>
      <c r="N269" s="53">
        <f t="shared" si="262"/>
        <v>0</v>
      </c>
      <c r="O269" s="53">
        <f t="shared" si="262"/>
        <v>0</v>
      </c>
      <c r="P269" s="53">
        <f t="shared" si="262"/>
        <v>0</v>
      </c>
      <c r="Q269" s="53">
        <f t="shared" si="262"/>
        <v>0</v>
      </c>
      <c r="S269" s="11">
        <f>SUM(F269:Q269)</f>
        <v>0</v>
      </c>
      <c r="T269" s="116"/>
      <c r="U269" s="116"/>
    </row>
    <row r="270" spans="1:21" ht="11.25" hidden="1" customHeight="1" outlineLevel="2" x14ac:dyDescent="0.2">
      <c r="A270" s="24" t="str">
        <f ca="1">Language!A$359</f>
        <v xml:space="preserve">    накопленная амортизация</v>
      </c>
      <c r="B270" s="159"/>
      <c r="C270" s="26" t="str">
        <f ca="1">CUR_Main</f>
        <v>руб.</v>
      </c>
      <c r="D270" s="19" t="s">
        <v>384</v>
      </c>
      <c r="E270" s="19"/>
      <c r="F270" s="53">
        <f t="shared" ref="F270:Q270" si="263">E270+F269</f>
        <v>0</v>
      </c>
      <c r="G270" s="53">
        <f t="shared" si="263"/>
        <v>0</v>
      </c>
      <c r="H270" s="53">
        <f t="shared" si="263"/>
        <v>0</v>
      </c>
      <c r="I270" s="53">
        <f t="shared" si="263"/>
        <v>0</v>
      </c>
      <c r="J270" s="53">
        <f t="shared" si="263"/>
        <v>0</v>
      </c>
      <c r="K270" s="53">
        <f t="shared" si="263"/>
        <v>0</v>
      </c>
      <c r="L270" s="53">
        <f t="shared" si="263"/>
        <v>0</v>
      </c>
      <c r="M270" s="53">
        <f t="shared" si="263"/>
        <v>0</v>
      </c>
      <c r="N270" s="53">
        <f t="shared" si="263"/>
        <v>0</v>
      </c>
      <c r="O270" s="53">
        <f t="shared" si="263"/>
        <v>0</v>
      </c>
      <c r="P270" s="53">
        <f t="shared" si="263"/>
        <v>0</v>
      </c>
      <c r="Q270" s="53">
        <f t="shared" si="263"/>
        <v>0</v>
      </c>
      <c r="T270" s="116"/>
      <c r="U270" s="116"/>
    </row>
    <row r="271" spans="1:21" outlineLevel="1" x14ac:dyDescent="0.2"/>
    <row r="272" spans="1:21" ht="10.5" outlineLevel="1" x14ac:dyDescent="0.25">
      <c r="A272" s="35" t="str">
        <f ca="1">Language!A$406</f>
        <v>Финансовые вложения</v>
      </c>
      <c r="B272" s="19"/>
      <c r="C272" s="26"/>
      <c r="T272" s="116"/>
      <c r="U272" s="116"/>
    </row>
    <row r="273" spans="1:21" outlineLevel="1" x14ac:dyDescent="0.2">
      <c r="A273" s="24" t="str">
        <f ca="1">Language!A$360</f>
        <v xml:space="preserve">    остаточная стоимость</v>
      </c>
      <c r="B273" s="19"/>
      <c r="C273" s="26" t="str">
        <f t="shared" ca="1" si="238"/>
        <v>руб.</v>
      </c>
      <c r="D273" s="19" t="s">
        <v>384</v>
      </c>
      <c r="E273" s="19">
        <f>F49*IF(B$37=1,1,F$88)</f>
        <v>0</v>
      </c>
      <c r="F273">
        <f>IF(SUM($F275:F275)&gt;0.01,0,E273)</f>
        <v>0</v>
      </c>
      <c r="G273">
        <f>IF(SUM($F275:G275)&gt;0.01,0,F273)</f>
        <v>0</v>
      </c>
      <c r="H273">
        <f>IF(SUM($F275:H275)&gt;0.01,0,G273)</f>
        <v>0</v>
      </c>
      <c r="I273">
        <f>IF(SUM($F275:I275)&gt;0.01,0,H273)</f>
        <v>0</v>
      </c>
      <c r="J273">
        <f>IF(SUM($F275:J275)&gt;0.01,0,I273)</f>
        <v>0</v>
      </c>
      <c r="K273">
        <f>IF(SUM($F275:K275)&gt;0.01,0,J273)</f>
        <v>0</v>
      </c>
      <c r="L273">
        <f>IF(SUM($F275:L275)&gt;0.01,0,K273)</f>
        <v>0</v>
      </c>
      <c r="M273">
        <f>IF(SUM($F275:M275)&gt;0.01,0,L273)</f>
        <v>0</v>
      </c>
      <c r="N273">
        <f>IF(SUM($F275:N275)&gt;0.01,0,M273)</f>
        <v>0</v>
      </c>
      <c r="O273">
        <f>IF(SUM($F275:O275)&gt;0.01,0,N273)</f>
        <v>0</v>
      </c>
      <c r="P273">
        <f>IF(SUM($F275:P275)&gt;0.01,0,O273)</f>
        <v>0</v>
      </c>
      <c r="Q273">
        <f>IF(SUM($F275:Q275)&gt;0.01,0,P273)</f>
        <v>0</v>
      </c>
      <c r="T273" s="116"/>
      <c r="U273" s="116"/>
    </row>
    <row r="274" spans="1:21" outlineLevel="1" x14ac:dyDescent="0.2">
      <c r="A274" s="24" t="str">
        <f ca="1">Language!A369</f>
        <v xml:space="preserve">    доходность финансовых вложений</v>
      </c>
      <c r="B274" s="268">
        <v>0.1</v>
      </c>
      <c r="C274" s="26" t="str">
        <f t="shared" ca="1" si="238"/>
        <v>руб.</v>
      </c>
      <c r="D274" s="19"/>
      <c r="E274" s="19"/>
      <c r="F274" s="272">
        <f t="shared" ref="F274:M274" si="264">F273*$B274*PRJ_Step/360</f>
        <v>0</v>
      </c>
      <c r="G274" s="272">
        <f t="shared" si="264"/>
        <v>0</v>
      </c>
      <c r="H274" s="272">
        <f t="shared" si="264"/>
        <v>0</v>
      </c>
      <c r="I274" s="272">
        <f t="shared" si="264"/>
        <v>0</v>
      </c>
      <c r="J274" s="272">
        <f t="shared" si="264"/>
        <v>0</v>
      </c>
      <c r="K274" s="272">
        <f t="shared" si="264"/>
        <v>0</v>
      </c>
      <c r="L274" s="272">
        <f t="shared" si="264"/>
        <v>0</v>
      </c>
      <c r="M274" s="272">
        <f t="shared" si="264"/>
        <v>0</v>
      </c>
      <c r="N274" s="272">
        <f t="shared" ref="N274" si="265">N273*$B274*PRJ_Step/360</f>
        <v>0</v>
      </c>
      <c r="O274" s="272">
        <f t="shared" ref="O274" si="266">O273*$B274*PRJ_Step/360</f>
        <v>0</v>
      </c>
      <c r="P274" s="272">
        <f t="shared" ref="P274:Q274" si="267">P273*$B274*PRJ_Step/360</f>
        <v>0</v>
      </c>
      <c r="Q274" s="272">
        <f t="shared" si="267"/>
        <v>0</v>
      </c>
      <c r="S274" s="11">
        <f>SUM(F274:Q274)</f>
        <v>0</v>
      </c>
      <c r="T274" s="116"/>
      <c r="U274" s="116"/>
    </row>
    <row r="275" spans="1:21" outlineLevel="1" x14ac:dyDescent="0.2">
      <c r="A275" s="23" t="str">
        <f ca="1">Language!A$361</f>
        <v xml:space="preserve">    реализация актива (без НДС)</v>
      </c>
      <c r="B275" s="159"/>
      <c r="C275" s="26" t="str">
        <f t="shared" ca="1" si="238"/>
        <v>руб.</v>
      </c>
      <c r="D275" s="19"/>
      <c r="E275" s="19"/>
      <c r="F275" s="272">
        <v>0</v>
      </c>
      <c r="G275" s="272">
        <v>0</v>
      </c>
      <c r="H275" s="272">
        <v>0</v>
      </c>
      <c r="I275" s="272">
        <v>0</v>
      </c>
      <c r="J275" s="272">
        <v>0</v>
      </c>
      <c r="K275" s="272">
        <v>0</v>
      </c>
      <c r="L275" s="272">
        <v>0</v>
      </c>
      <c r="M275" s="272">
        <v>0</v>
      </c>
      <c r="N275" s="272">
        <v>0</v>
      </c>
      <c r="O275" s="272">
        <v>0</v>
      </c>
      <c r="P275" s="272">
        <v>0</v>
      </c>
      <c r="Q275" s="272">
        <v>0</v>
      </c>
      <c r="S275" s="11">
        <f>SUM(F275:Q275)</f>
        <v>0</v>
      </c>
      <c r="T275" s="116"/>
      <c r="U275" s="116"/>
    </row>
    <row r="276" spans="1:21" outlineLevel="2" x14ac:dyDescent="0.2">
      <c r="A276" s="23" t="str">
        <f ca="1">Language!A$362</f>
        <v xml:space="preserve">    прибыль/убыток от реализации актива</v>
      </c>
      <c r="B276" s="44"/>
      <c r="C276" s="5" t="str">
        <f t="shared" ca="1" si="238"/>
        <v>руб.</v>
      </c>
      <c r="F276" s="111">
        <f t="shared" ref="F276:Q276" si="268">IF(F275=0,0,F275-E273)</f>
        <v>0</v>
      </c>
      <c r="G276" s="111">
        <f t="shared" si="268"/>
        <v>0</v>
      </c>
      <c r="H276" s="111">
        <f t="shared" si="268"/>
        <v>0</v>
      </c>
      <c r="I276" s="111">
        <f t="shared" si="268"/>
        <v>0</v>
      </c>
      <c r="J276" s="111">
        <f t="shared" si="268"/>
        <v>0</v>
      </c>
      <c r="K276" s="111">
        <f t="shared" si="268"/>
        <v>0</v>
      </c>
      <c r="L276" s="111">
        <f t="shared" si="268"/>
        <v>0</v>
      </c>
      <c r="M276" s="111">
        <f t="shared" si="268"/>
        <v>0</v>
      </c>
      <c r="N276" s="111">
        <f t="shared" si="268"/>
        <v>0</v>
      </c>
      <c r="O276" s="111">
        <f t="shared" si="268"/>
        <v>0</v>
      </c>
      <c r="P276" s="111">
        <f t="shared" si="268"/>
        <v>0</v>
      </c>
      <c r="Q276" s="111">
        <f t="shared" si="268"/>
        <v>0</v>
      </c>
      <c r="S276" s="11">
        <f>SUM(F276:Q276)</f>
        <v>0</v>
      </c>
      <c r="T276" s="116"/>
      <c r="U276" s="116"/>
    </row>
    <row r="277" spans="1:21" outlineLevel="2" x14ac:dyDescent="0.2">
      <c r="A277" s="23" t="str">
        <f ca="1">Language!A$363</f>
        <v xml:space="preserve">    НДС к выручке от реализации актива</v>
      </c>
      <c r="B277" s="273">
        <f>VAT</f>
        <v>0</v>
      </c>
      <c r="C277" s="5" t="str">
        <f t="shared" ca="1" si="238"/>
        <v>руб.</v>
      </c>
      <c r="F277">
        <f t="shared" ref="F277:M277" si="269">F275*$B277</f>
        <v>0</v>
      </c>
      <c r="G277">
        <f t="shared" si="269"/>
        <v>0</v>
      </c>
      <c r="H277">
        <f t="shared" si="269"/>
        <v>0</v>
      </c>
      <c r="I277">
        <f t="shared" si="269"/>
        <v>0</v>
      </c>
      <c r="J277">
        <f t="shared" si="269"/>
        <v>0</v>
      </c>
      <c r="K277">
        <f t="shared" si="269"/>
        <v>0</v>
      </c>
      <c r="L277">
        <f t="shared" si="269"/>
        <v>0</v>
      </c>
      <c r="M277">
        <f t="shared" si="269"/>
        <v>0</v>
      </c>
      <c r="N277">
        <f t="shared" ref="N277" si="270">N275*$B277</f>
        <v>0</v>
      </c>
      <c r="O277">
        <f t="shared" ref="O277" si="271">O275*$B277</f>
        <v>0</v>
      </c>
      <c r="P277">
        <f t="shared" ref="P277:Q277" si="272">P275*$B277</f>
        <v>0</v>
      </c>
      <c r="Q277">
        <f t="shared" si="272"/>
        <v>0</v>
      </c>
      <c r="S277" s="11">
        <f>SUM(F277:Q277)</f>
        <v>0</v>
      </c>
      <c r="T277" s="116"/>
      <c r="U277" s="116"/>
    </row>
    <row r="278" spans="1:21" ht="10.5" outlineLevel="1" x14ac:dyDescent="0.25">
      <c r="A278" s="35"/>
      <c r="T278" s="116"/>
      <c r="U278" s="116"/>
    </row>
    <row r="279" spans="1:21" ht="10.5" outlineLevel="1" x14ac:dyDescent="0.25">
      <c r="A279" s="140"/>
      <c r="B279" s="63"/>
      <c r="C279" s="63"/>
      <c r="D279" s="63"/>
      <c r="E279" s="63"/>
      <c r="F279" s="63"/>
      <c r="G279" s="63"/>
      <c r="H279" s="63"/>
      <c r="I279" s="63"/>
      <c r="J279" s="63"/>
      <c r="K279" s="63"/>
      <c r="L279" s="63"/>
      <c r="M279" s="63"/>
      <c r="N279" s="63"/>
      <c r="O279" s="63"/>
      <c r="P279" s="63"/>
      <c r="Q279" s="63"/>
      <c r="R279" s="63"/>
      <c r="S279" s="64"/>
      <c r="T279" s="116"/>
      <c r="U279" s="116"/>
    </row>
    <row r="280" spans="1:21" ht="10.5" outlineLevel="1" x14ac:dyDescent="0.25">
      <c r="A280" s="35"/>
      <c r="T280" s="116"/>
      <c r="U280" s="116"/>
    </row>
    <row r="281" spans="1:21" s="4" customFormat="1" ht="16" customHeight="1" thickBot="1" x14ac:dyDescent="0.25">
      <c r="A281" s="166" t="str">
        <f ca="1">Language!A370</f>
        <v xml:space="preserve">         ИНВЕСТИЦИИ ПРОЕКТА</v>
      </c>
      <c r="B281" s="166"/>
      <c r="C281" s="166"/>
      <c r="D281" s="166"/>
      <c r="E281" s="166"/>
      <c r="F281" s="178" t="str">
        <f t="shared" ref="F281:Q281" si="273">PeriodTitle</f>
        <v>4/ 2024</v>
      </c>
      <c r="G281" s="178" t="str">
        <f t="shared" si="273"/>
        <v>5/ 2024</v>
      </c>
      <c r="H281" s="178" t="str">
        <f t="shared" si="273"/>
        <v>6/ 2024</v>
      </c>
      <c r="I281" s="178" t="str">
        <f t="shared" si="273"/>
        <v>7/ 2024</v>
      </c>
      <c r="J281" s="178" t="str">
        <f t="shared" si="273"/>
        <v>8/ 2024</v>
      </c>
      <c r="K281" s="178" t="str">
        <f t="shared" si="273"/>
        <v>9/ 2024</v>
      </c>
      <c r="L281" s="178" t="str">
        <f t="shared" si="273"/>
        <v>10/ 2024</v>
      </c>
      <c r="M281" s="178" t="str">
        <f t="shared" si="273"/>
        <v>11/ 2024</v>
      </c>
      <c r="N281" s="178" t="str">
        <f t="shared" si="273"/>
        <v>12/ 2024</v>
      </c>
      <c r="O281" s="178" t="str">
        <f t="shared" si="273"/>
        <v>1/ 2025</v>
      </c>
      <c r="P281" s="178" t="str">
        <f t="shared" si="273"/>
        <v>2/ 2025</v>
      </c>
      <c r="Q281" s="178" t="str">
        <f t="shared" si="273"/>
        <v>3/ 2025</v>
      </c>
      <c r="R281" s="166"/>
      <c r="S281" s="195" t="str">
        <f ca="1">Language!$A$371</f>
        <v>ИТОГО</v>
      </c>
      <c r="T281" s="143"/>
      <c r="U281" s="143"/>
    </row>
    <row r="282" spans="1:21" ht="11" outlineLevel="1" thickTop="1" x14ac:dyDescent="0.25">
      <c r="A282" s="35"/>
      <c r="T282" s="116"/>
      <c r="U282" s="116"/>
    </row>
    <row r="283" spans="1:21" ht="10.5" outlineLevel="1" x14ac:dyDescent="0.25">
      <c r="A283" s="35" t="str">
        <f ca="1">Language!A$378</f>
        <v>Земельные участки</v>
      </c>
      <c r="D283">
        <v>1</v>
      </c>
      <c r="E283" s="48">
        <v>13</v>
      </c>
      <c r="T283" s="116"/>
      <c r="U283" s="116"/>
    </row>
    <row r="284" spans="1:21" s="23" customFormat="1" outlineLevel="1" x14ac:dyDescent="0.2">
      <c r="A284" s="274" t="s">
        <v>185</v>
      </c>
      <c r="B284" s="36" t="str">
        <f ca="1">Language!A$73</f>
        <v>Валюта</v>
      </c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S284" s="39"/>
    </row>
    <row r="285" spans="1:21" s="23" customFormat="1" outlineLevel="1" collapsed="1" x14ac:dyDescent="0.2">
      <c r="A285" t="str">
        <f ca="1">Language!A$380</f>
        <v xml:space="preserve">    величина платежей</v>
      </c>
      <c r="B285" s="255">
        <v>1</v>
      </c>
      <c r="C285" s="40" t="str">
        <f ca="1">CHOOSE(B285,CUR_Main,CUR_Foreign)</f>
        <v>руб.</v>
      </c>
      <c r="D285" s="16" t="str">
        <f>TEXT(B285,"0")&amp;"_00"</f>
        <v>1_00</v>
      </c>
      <c r="F285" s="276">
        <v>0</v>
      </c>
      <c r="G285" s="276">
        <v>0</v>
      </c>
      <c r="H285" s="276">
        <v>0</v>
      </c>
      <c r="I285" s="276">
        <v>0</v>
      </c>
      <c r="J285" s="276">
        <v>0</v>
      </c>
      <c r="K285" s="276">
        <v>0</v>
      </c>
      <c r="L285" s="276">
        <v>0</v>
      </c>
      <c r="M285" s="276">
        <v>0</v>
      </c>
      <c r="N285" s="276">
        <v>0</v>
      </c>
      <c r="O285" s="276">
        <v>0</v>
      </c>
      <c r="P285" s="276">
        <v>0</v>
      </c>
      <c r="Q285" s="276">
        <v>0</v>
      </c>
      <c r="S285" s="54">
        <f>SUM(F285:Q285)</f>
        <v>0</v>
      </c>
    </row>
    <row r="286" spans="1:21" s="23" customFormat="1" hidden="1" outlineLevel="2" x14ac:dyDescent="0.2">
      <c r="A286" t="str">
        <f ca="1">Language!A$383</f>
        <v xml:space="preserve">    ранее осуществленные инвестиции (без НДС)</v>
      </c>
      <c r="B286" s="275">
        <f>F45*IF(B$37=1,1,F$88)</f>
        <v>0</v>
      </c>
      <c r="C286" s="40" t="str">
        <f ca="1">CUR_Main</f>
        <v>руб.</v>
      </c>
      <c r="D286" s="23" t="s">
        <v>2621</v>
      </c>
      <c r="S286" s="11"/>
    </row>
    <row r="287" spans="1:21" s="23" customFormat="1" hidden="1" outlineLevel="2" x14ac:dyDescent="0.2">
      <c r="A287" t="str">
        <f ca="1">Language!A$384</f>
        <v xml:space="preserve">    поставить на баланс с</v>
      </c>
      <c r="B287" s="271">
        <f ca="1">MATCH(OFFSET(S290,0,-2),F290:Q290,0)</f>
        <v>1</v>
      </c>
      <c r="C287" s="40" t="str">
        <f ca="1">Language!A$376</f>
        <v>периода</v>
      </c>
      <c r="S287" s="11"/>
    </row>
    <row r="288" spans="1:21" s="23" customFormat="1" hidden="1" outlineLevel="2" x14ac:dyDescent="0.2">
      <c r="A288" t="str">
        <f ca="1">Language!A$385</f>
        <v xml:space="preserve">    сумма платежей без НДС</v>
      </c>
      <c r="C288" s="40" t="str">
        <f t="shared" ref="C288:C296" ca="1" si="274">CUR_Main</f>
        <v>руб.</v>
      </c>
      <c r="D288" s="23" t="s">
        <v>188</v>
      </c>
      <c r="F288" s="84">
        <f t="shared" ref="F288:M288" si="275">F285*IF($B285=1,1,F$88)</f>
        <v>0</v>
      </c>
      <c r="G288" s="84">
        <f t="shared" si="275"/>
        <v>0</v>
      </c>
      <c r="H288" s="84">
        <f t="shared" si="275"/>
        <v>0</v>
      </c>
      <c r="I288" s="84">
        <f t="shared" si="275"/>
        <v>0</v>
      </c>
      <c r="J288" s="84">
        <f t="shared" si="275"/>
        <v>0</v>
      </c>
      <c r="K288" s="84">
        <f t="shared" si="275"/>
        <v>0</v>
      </c>
      <c r="L288" s="84">
        <f t="shared" si="275"/>
        <v>0</v>
      </c>
      <c r="M288" s="84">
        <f t="shared" si="275"/>
        <v>0</v>
      </c>
      <c r="N288" s="84">
        <f t="shared" ref="N288" si="276">N285*IF($B285=1,1,N$88)</f>
        <v>0</v>
      </c>
      <c r="O288" s="84">
        <f t="shared" ref="O288" si="277">O285*IF($B285=1,1,O$88)</f>
        <v>0</v>
      </c>
      <c r="P288" s="84">
        <f t="shared" ref="P288:Q288" si="278">P285*IF($B285=1,1,P$88)</f>
        <v>0</v>
      </c>
      <c r="Q288" s="84">
        <f t="shared" si="278"/>
        <v>0</v>
      </c>
      <c r="S288" s="54">
        <f>SUM(F288:Q288)</f>
        <v>0</v>
      </c>
    </row>
    <row r="289" spans="1:21" s="23" customFormat="1" ht="10.5" hidden="1" outlineLevel="2" x14ac:dyDescent="0.2">
      <c r="A289" t="str">
        <f ca="1">Language!A$386</f>
        <v xml:space="preserve">    общая стоимость актива (без НДС)</v>
      </c>
      <c r="B289" s="55">
        <f>S288+B286</f>
        <v>0</v>
      </c>
      <c r="C289" s="40" t="str">
        <f t="shared" ca="1" si="274"/>
        <v>руб.</v>
      </c>
      <c r="S289" s="11"/>
    </row>
    <row r="290" spans="1:21" s="23" customFormat="1" hidden="1" outlineLevel="2" x14ac:dyDescent="0.2">
      <c r="A290" t="str">
        <f ca="1">Language!A$387</f>
        <v xml:space="preserve">    полная сумма вложений в актив (без НДС)</v>
      </c>
      <c r="C290" s="40" t="str">
        <f t="shared" ca="1" si="274"/>
        <v>руб.</v>
      </c>
      <c r="D290" s="23" t="s">
        <v>2270</v>
      </c>
      <c r="F290" s="53">
        <f>B286+F288</f>
        <v>0</v>
      </c>
      <c r="G290" s="53">
        <f t="shared" ref="G290:Q290" si="279">F290+G288</f>
        <v>0</v>
      </c>
      <c r="H290" s="53">
        <f t="shared" si="279"/>
        <v>0</v>
      </c>
      <c r="I290" s="53">
        <f t="shared" si="279"/>
        <v>0</v>
      </c>
      <c r="J290" s="53">
        <f t="shared" si="279"/>
        <v>0</v>
      </c>
      <c r="K290" s="53">
        <f t="shared" si="279"/>
        <v>0</v>
      </c>
      <c r="L290" s="53">
        <f t="shared" si="279"/>
        <v>0</v>
      </c>
      <c r="M290" s="53">
        <f t="shared" si="279"/>
        <v>0</v>
      </c>
      <c r="N290" s="53">
        <f t="shared" si="279"/>
        <v>0</v>
      </c>
      <c r="O290" s="53">
        <f t="shared" si="279"/>
        <v>0</v>
      </c>
      <c r="P290" s="53">
        <f t="shared" si="279"/>
        <v>0</v>
      </c>
      <c r="Q290" s="53">
        <f t="shared" si="279"/>
        <v>0</v>
      </c>
      <c r="S290" s="54"/>
    </row>
    <row r="291" spans="1:21" s="23" customFormat="1" hidden="1" outlineLevel="2" x14ac:dyDescent="0.2">
      <c r="A291" t="str">
        <f ca="1">Language!A$388</f>
        <v xml:space="preserve">    полная балансовая стоимость</v>
      </c>
      <c r="C291" s="40" t="str">
        <f t="shared" ca="1" si="274"/>
        <v>руб.</v>
      </c>
      <c r="D291" s="23" t="s">
        <v>2271</v>
      </c>
      <c r="F291" s="53">
        <f ca="1">IF($B287&lt;=F$29,IF(SUM($E295:F295)&gt;0.01,0,$B289),0)</f>
        <v>0</v>
      </c>
      <c r="G291" s="53">
        <f ca="1">IF($B287&lt;=G$29,IF(SUM($E295:G295)&gt;0.01,0,$B289),0)</f>
        <v>0</v>
      </c>
      <c r="H291" s="53">
        <f ca="1">IF($B287&lt;=H$29,IF(SUM($E295:H295)&gt;0.01,0,$B289),0)</f>
        <v>0</v>
      </c>
      <c r="I291" s="53">
        <f ca="1">IF($B287&lt;=I$29,IF(SUM($E295:I295)&gt;0.01,0,$B289),0)</f>
        <v>0</v>
      </c>
      <c r="J291" s="53">
        <f ca="1">IF($B287&lt;=J$29,IF(SUM($E295:J295)&gt;0.01,0,$B289),0)</f>
        <v>0</v>
      </c>
      <c r="K291" s="53">
        <f ca="1">IF($B287&lt;=K$29,IF(SUM($E295:K295)&gt;0.01,0,$B289),0)</f>
        <v>0</v>
      </c>
      <c r="L291" s="53">
        <f ca="1">IF($B287&lt;=L$29,IF(SUM($E295:L295)&gt;0.01,0,$B289),0)</f>
        <v>0</v>
      </c>
      <c r="M291" s="53">
        <f ca="1">IF($B287&lt;=M$29,IF(SUM($E295:M295)&gt;0.01,0,$B289),0)</f>
        <v>0</v>
      </c>
      <c r="N291" s="53">
        <f ca="1">IF($B287&lt;=N$29,IF(SUM($E295:N295)&gt;0.01,0,$B289),0)</f>
        <v>0</v>
      </c>
      <c r="O291" s="53">
        <f ca="1">IF($B287&lt;=O$29,IF(SUM($E295:O295)&gt;0.01,0,$B289),0)</f>
        <v>0</v>
      </c>
      <c r="P291" s="53">
        <f ca="1">IF($B287&lt;=P$29,IF(SUM($E295:P295)&gt;0.01,0,$B289),0)</f>
        <v>0</v>
      </c>
      <c r="Q291" s="53">
        <f ca="1">IF($B287&lt;=Q$29,IF(SUM($E295:Q295)&gt;0.01,0,$B289),0)</f>
        <v>0</v>
      </c>
      <c r="S291" s="11"/>
    </row>
    <row r="292" spans="1:21" s="23" customFormat="1" hidden="1" outlineLevel="2" x14ac:dyDescent="0.2">
      <c r="A292" t="str">
        <f ca="1">Language!A$389</f>
        <v xml:space="preserve">    незавершенные инвестиции</v>
      </c>
      <c r="C292" s="40" t="str">
        <f t="shared" ca="1" si="274"/>
        <v>руб.</v>
      </c>
      <c r="D292" s="23" t="s">
        <v>2274</v>
      </c>
      <c r="F292" s="53">
        <f t="shared" ref="F292:M292" ca="1" si="280">IF($B287&gt;F$29,F290,0)</f>
        <v>0</v>
      </c>
      <c r="G292" s="53">
        <f t="shared" ca="1" si="280"/>
        <v>0</v>
      </c>
      <c r="H292" s="53">
        <f t="shared" ca="1" si="280"/>
        <v>0</v>
      </c>
      <c r="I292" s="53">
        <f t="shared" ca="1" si="280"/>
        <v>0</v>
      </c>
      <c r="J292" s="53">
        <f t="shared" ca="1" si="280"/>
        <v>0</v>
      </c>
      <c r="K292" s="53">
        <f t="shared" ca="1" si="280"/>
        <v>0</v>
      </c>
      <c r="L292" s="53">
        <f t="shared" ca="1" si="280"/>
        <v>0</v>
      </c>
      <c r="M292" s="53">
        <f t="shared" ca="1" si="280"/>
        <v>0</v>
      </c>
      <c r="N292" s="53">
        <f t="shared" ref="N292" ca="1" si="281">IF($B287&gt;N$29,N290,0)</f>
        <v>0</v>
      </c>
      <c r="O292" s="53">
        <f t="shared" ref="O292" ca="1" si="282">IF($B287&gt;O$29,O290,0)</f>
        <v>0</v>
      </c>
      <c r="P292" s="53">
        <f t="shared" ref="P292:Q292" ca="1" si="283">IF($B287&gt;P$29,P290,0)</f>
        <v>0</v>
      </c>
      <c r="Q292" s="53">
        <f t="shared" ca="1" si="283"/>
        <v>0</v>
      </c>
      <c r="S292" s="11"/>
    </row>
    <row r="293" spans="1:21" s="23" customFormat="1" hidden="1" outlineLevel="2" x14ac:dyDescent="0.2">
      <c r="A293" t="str">
        <f ca="1">Language!A$390</f>
        <v xml:space="preserve">    кредиторская задолженность</v>
      </c>
      <c r="C293" s="40" t="str">
        <f t="shared" ca="1" si="274"/>
        <v>руб.</v>
      </c>
      <c r="D293" s="23" t="s">
        <v>2275</v>
      </c>
      <c r="F293" s="53">
        <f ca="1">IF(OR($B287&lt;=F$29,AND(SUM($F295:F295)&gt;0,$B287&gt;F$29)),$B289-F290,0)</f>
        <v>0</v>
      </c>
      <c r="G293" s="53">
        <f ca="1">IF(OR($B287&lt;=G$29,AND(SUM($F295:G295)&gt;0,$B287&gt;G$29)),$B289-G290,0)</f>
        <v>0</v>
      </c>
      <c r="H293" s="53">
        <f ca="1">IF(OR($B287&lt;=H$29,AND(SUM($F295:H295)&gt;0,$B287&gt;H$29)),$B289-H290,0)</f>
        <v>0</v>
      </c>
      <c r="I293" s="53">
        <f ca="1">IF(OR($B287&lt;=I$29,AND(SUM($F295:I295)&gt;0,$B287&gt;I$29)),$B289-I290,0)</f>
        <v>0</v>
      </c>
      <c r="J293" s="53">
        <f ca="1">IF(OR($B287&lt;=J$29,AND(SUM($F295:J295)&gt;0,$B287&gt;J$29)),$B289-J290,0)</f>
        <v>0</v>
      </c>
      <c r="K293" s="53">
        <f ca="1">IF(OR($B287&lt;=K$29,AND(SUM($F295:K295)&gt;0,$B287&gt;K$29)),$B289-K290,0)</f>
        <v>0</v>
      </c>
      <c r="L293" s="53">
        <f ca="1">IF(OR($B287&lt;=L$29,AND(SUM($F295:L295)&gt;0,$B287&gt;L$29)),$B289-L290,0)</f>
        <v>0</v>
      </c>
      <c r="M293" s="53">
        <f ca="1">IF(OR($B287&lt;=M$29,AND(SUM($F295:M295)&gt;0,$B287&gt;M$29)),$B289-M290,0)</f>
        <v>0</v>
      </c>
      <c r="N293" s="53">
        <f ca="1">IF(OR($B287&lt;=N$29,AND(SUM($F295:N295)&gt;0,$B287&gt;N$29)),$B289-N290,0)</f>
        <v>0</v>
      </c>
      <c r="O293" s="53">
        <f ca="1">IF(OR($B287&lt;=O$29,AND(SUM($F295:O295)&gt;0,$B287&gt;O$29)),$B289-O290,0)</f>
        <v>0</v>
      </c>
      <c r="P293" s="53">
        <f ca="1">IF(OR($B287&lt;=P$29,AND(SUM($F295:P295)&gt;0,$B287&gt;P$29)),$B289-P290,0)</f>
        <v>0</v>
      </c>
      <c r="Q293" s="53">
        <f ca="1">IF(OR($B287&lt;=Q$29,AND(SUM($F295:Q295)&gt;0,$B287&gt;Q$29)),$B289-Q290,0)</f>
        <v>0</v>
      </c>
      <c r="S293" s="11"/>
    </row>
    <row r="294" spans="1:21" s="23" customFormat="1" hidden="1" outlineLevel="2" x14ac:dyDescent="0.2">
      <c r="A294" t="str">
        <f ca="1">Language!A$391</f>
        <v xml:space="preserve">    остаточная стоимость</v>
      </c>
      <c r="C294" s="40" t="str">
        <f t="shared" ca="1" si="274"/>
        <v>руб.</v>
      </c>
      <c r="D294" s="133" t="s">
        <v>2273</v>
      </c>
      <c r="F294" s="43">
        <f ca="1">IF(SUM($E295:F295)&gt;0.01,0,F291)</f>
        <v>0</v>
      </c>
      <c r="G294" s="43">
        <f ca="1">IF(SUM($E295:G295)&gt;0.01,0,G291)</f>
        <v>0</v>
      </c>
      <c r="H294" s="43">
        <f ca="1">IF(SUM($E295:H295)&gt;0.01,0,H291)</f>
        <v>0</v>
      </c>
      <c r="I294" s="43">
        <f ca="1">IF(SUM($E295:I295)&gt;0.01,0,I291)</f>
        <v>0</v>
      </c>
      <c r="J294" s="43">
        <f ca="1">IF(SUM($E295:J295)&gt;0.01,0,J291)</f>
        <v>0</v>
      </c>
      <c r="K294" s="43">
        <f ca="1">IF(SUM($E295:K295)&gt;0.01,0,K291)</f>
        <v>0</v>
      </c>
      <c r="L294" s="43">
        <f ca="1">IF(SUM($E295:L295)&gt;0.01,0,L291)</f>
        <v>0</v>
      </c>
      <c r="M294" s="43">
        <f ca="1">IF(SUM($E295:M295)&gt;0.01,0,M291)</f>
        <v>0</v>
      </c>
      <c r="N294" s="43">
        <f ca="1">IF(SUM($E295:N295)&gt;0.01,0,N291)</f>
        <v>0</v>
      </c>
      <c r="O294" s="43">
        <f ca="1">IF(SUM($E295:O295)&gt;0.01,0,O291)</f>
        <v>0</v>
      </c>
      <c r="P294" s="43">
        <f ca="1">IF(SUM($E295:P295)&gt;0.01,0,P291)</f>
        <v>0</v>
      </c>
      <c r="Q294" s="43">
        <f ca="1">IF(SUM($E295:Q295)&gt;0.01,0,Q291)</f>
        <v>0</v>
      </c>
      <c r="S294" s="11"/>
    </row>
    <row r="295" spans="1:21" s="23" customFormat="1" hidden="1" outlineLevel="2" x14ac:dyDescent="0.2">
      <c r="A295" s="63" t="str">
        <f ca="1">Language!A$361</f>
        <v xml:space="preserve">    реализация актива (без НДС)</v>
      </c>
      <c r="B295" s="112"/>
      <c r="C295" s="114" t="str">
        <f t="shared" ca="1" si="274"/>
        <v>руб.</v>
      </c>
      <c r="D295" s="23" t="s">
        <v>2268</v>
      </c>
      <c r="E295" s="112"/>
      <c r="F295" s="272">
        <v>0</v>
      </c>
      <c r="G295" s="272">
        <v>0</v>
      </c>
      <c r="H295" s="272">
        <v>0</v>
      </c>
      <c r="I295" s="272">
        <v>0</v>
      </c>
      <c r="J295" s="272">
        <v>0</v>
      </c>
      <c r="K295" s="272">
        <v>0</v>
      </c>
      <c r="L295" s="272">
        <v>0</v>
      </c>
      <c r="M295" s="272">
        <v>0</v>
      </c>
      <c r="N295" s="272">
        <v>0</v>
      </c>
      <c r="O295" s="272">
        <v>0</v>
      </c>
      <c r="P295" s="272">
        <v>0</v>
      </c>
      <c r="Q295" s="272">
        <v>0</v>
      </c>
      <c r="S295" s="54">
        <f>SUM(F295:Q295)</f>
        <v>0</v>
      </c>
    </row>
    <row r="296" spans="1:21" s="23" customFormat="1" hidden="1" outlineLevel="2" x14ac:dyDescent="0.2">
      <c r="A296" s="19" t="str">
        <f ca="1">Language!A$362</f>
        <v xml:space="preserve">    прибыль/убыток от реализации актива</v>
      </c>
      <c r="B296" s="24"/>
      <c r="C296" s="115" t="str">
        <f t="shared" ca="1" si="274"/>
        <v>руб.</v>
      </c>
      <c r="D296" s="23" t="s">
        <v>2269</v>
      </c>
      <c r="E296" s="24"/>
      <c r="F296" s="111">
        <f t="shared" ref="F296:Q296" si="284">IF(F295=0,0,F295-E294)</f>
        <v>0</v>
      </c>
      <c r="G296" s="111">
        <f t="shared" si="284"/>
        <v>0</v>
      </c>
      <c r="H296" s="111">
        <f t="shared" si="284"/>
        <v>0</v>
      </c>
      <c r="I296" s="111">
        <f t="shared" si="284"/>
        <v>0</v>
      </c>
      <c r="J296" s="111">
        <f t="shared" si="284"/>
        <v>0</v>
      </c>
      <c r="K296" s="111">
        <f t="shared" si="284"/>
        <v>0</v>
      </c>
      <c r="L296" s="111">
        <f t="shared" si="284"/>
        <v>0</v>
      </c>
      <c r="M296" s="111">
        <f t="shared" si="284"/>
        <v>0</v>
      </c>
      <c r="N296" s="111">
        <f t="shared" si="284"/>
        <v>0</v>
      </c>
      <c r="O296" s="111">
        <f t="shared" si="284"/>
        <v>0</v>
      </c>
      <c r="P296" s="111">
        <f t="shared" si="284"/>
        <v>0</v>
      </c>
      <c r="Q296" s="111">
        <f t="shared" si="284"/>
        <v>0</v>
      </c>
      <c r="S296" s="54">
        <f>SUM(F296:Q296)</f>
        <v>0</v>
      </c>
    </row>
    <row r="297" spans="1:21" ht="10.5" outlineLevel="1" x14ac:dyDescent="0.25">
      <c r="A297" s="35"/>
      <c r="T297" s="116"/>
      <c r="U297" s="116"/>
    </row>
    <row r="298" spans="1:21" ht="10.5" outlineLevel="1" x14ac:dyDescent="0.25">
      <c r="A298" s="35" t="str">
        <f ca="1">Language!A$392</f>
        <v>Здания и сооружения</v>
      </c>
      <c r="D298">
        <v>1</v>
      </c>
      <c r="E298" s="48">
        <v>21</v>
      </c>
    </row>
    <row r="299" spans="1:21" s="23" customFormat="1" outlineLevel="1" x14ac:dyDescent="0.2">
      <c r="A299" s="274" t="s">
        <v>185</v>
      </c>
      <c r="B299" s="36" t="str">
        <f ca="1">Language!A$73</f>
        <v>Валюта</v>
      </c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S299" s="39"/>
      <c r="T299" s="116"/>
      <c r="U299" s="116"/>
    </row>
    <row r="300" spans="1:21" s="23" customFormat="1" outlineLevel="1" collapsed="1" x14ac:dyDescent="0.2">
      <c r="A300" t="str">
        <f ca="1">Language!A$381</f>
        <v xml:space="preserve">    величина платежей (с НДС)</v>
      </c>
      <c r="B300" s="255">
        <v>1</v>
      </c>
      <c r="C300" s="40" t="str">
        <f ca="1">CHOOSE(B300,CUR_Main,CUR_Foreign)</f>
        <v>руб.</v>
      </c>
      <c r="D300" s="16" t="str">
        <f>TEXT(B300,"0")&amp;"_00"</f>
        <v>1_00</v>
      </c>
      <c r="F300" s="276">
        <v>0</v>
      </c>
      <c r="G300" s="276">
        <v>0</v>
      </c>
      <c r="H300" s="276">
        <v>0</v>
      </c>
      <c r="I300" s="276">
        <v>0</v>
      </c>
      <c r="J300" s="276">
        <v>0</v>
      </c>
      <c r="K300" s="276">
        <v>0</v>
      </c>
      <c r="L300" s="276">
        <v>0</v>
      </c>
      <c r="M300" s="276">
        <v>0</v>
      </c>
      <c r="N300" s="276">
        <v>0</v>
      </c>
      <c r="O300" s="276">
        <v>0</v>
      </c>
      <c r="P300" s="276">
        <v>0</v>
      </c>
      <c r="Q300" s="276">
        <v>0</v>
      </c>
      <c r="S300" s="54">
        <f>SUM(F300:Q300)</f>
        <v>0</v>
      </c>
      <c r="T300" s="116"/>
      <c r="U300" s="116"/>
    </row>
    <row r="301" spans="1:21" s="23" customFormat="1" hidden="1" outlineLevel="2" x14ac:dyDescent="0.2">
      <c r="A301" t="str">
        <f ca="1">Language!A$383</f>
        <v xml:space="preserve">    ранее осуществленные инвестиции (без НДС)</v>
      </c>
      <c r="B301" s="275">
        <f>F46*IF(B$37=1,1,F$88)</f>
        <v>0</v>
      </c>
      <c r="C301" s="40" t="str">
        <f ca="1">CUR_Main</f>
        <v>руб.</v>
      </c>
      <c r="D301" s="23" t="s">
        <v>2621</v>
      </c>
      <c r="S301" s="11"/>
      <c r="T301" s="116"/>
      <c r="U301" s="116"/>
    </row>
    <row r="302" spans="1:21" s="23" customFormat="1" hidden="1" outlineLevel="2" x14ac:dyDescent="0.2">
      <c r="A302" t="str">
        <f ca="1">Language!A$384</f>
        <v xml:space="preserve">    поставить на баланс с</v>
      </c>
      <c r="B302" s="271">
        <f ca="1">MATCH(OFFSET(S309,0,-2),F309:Q309,0)</f>
        <v>1</v>
      </c>
      <c r="C302" s="40" t="str">
        <f ca="1">Language!A$376</f>
        <v>периода</v>
      </c>
      <c r="S302" s="11"/>
      <c r="T302" s="116"/>
      <c r="U302" s="116"/>
    </row>
    <row r="303" spans="1:21" s="23" customFormat="1" hidden="1" outlineLevel="2" x14ac:dyDescent="0.2">
      <c r="A303" t="str">
        <f ca="1">Language!A$393</f>
        <v xml:space="preserve">    амортизация (линейная),       для срока использования:</v>
      </c>
      <c r="B303" s="271">
        <v>20</v>
      </c>
      <c r="C303" s="40" t="str">
        <f ca="1">Language!A$33</f>
        <v>лет</v>
      </c>
      <c r="D303" s="132" t="s">
        <v>2224</v>
      </c>
      <c r="F303" s="53">
        <f ca="1">IF(AND($B303&gt;0,SUM($E317:F317)&lt;=0.01),MIN(F310*100%/$B303*PRJ_Step/360,E314+F310-E310),0)</f>
        <v>0</v>
      </c>
      <c r="G303" s="53">
        <f ca="1">IF(AND($B303&gt;0,SUM($E317:G317)&lt;=0.01),MIN(G310*100%/$B303*PRJ_Step/360,F314+G310-F310),0)</f>
        <v>0</v>
      </c>
      <c r="H303" s="53">
        <f ca="1">IF(AND($B303&gt;0,SUM($E317:H317)&lt;=0.01),MIN(H310*100%/$B303*PRJ_Step/360,G314+H310-G310),0)</f>
        <v>0</v>
      </c>
      <c r="I303" s="53">
        <f ca="1">IF(AND($B303&gt;0,SUM($E317:I317)&lt;=0.01),MIN(I310*100%/$B303*PRJ_Step/360,H314+I310-H310),0)</f>
        <v>0</v>
      </c>
      <c r="J303" s="53">
        <f ca="1">IF(AND($B303&gt;0,SUM($E317:J317)&lt;=0.01),MIN(J310*100%/$B303*PRJ_Step/360,I314+J310-I310),0)</f>
        <v>0</v>
      </c>
      <c r="K303" s="53">
        <f ca="1">IF(AND($B303&gt;0,SUM($E317:K317)&lt;=0.01),MIN(K310*100%/$B303*PRJ_Step/360,J314+K310-J310),0)</f>
        <v>0</v>
      </c>
      <c r="L303" s="53">
        <f ca="1">IF(AND($B303&gt;0,SUM($E317:L317)&lt;=0.01),MIN(L310*100%/$B303*PRJ_Step/360,K314+L310-K310),0)</f>
        <v>0</v>
      </c>
      <c r="M303" s="53">
        <f ca="1">IF(AND($B303&gt;0,SUM($E317:M317)&lt;=0.01),MIN(M310*100%/$B303*PRJ_Step/360,L314+M310-L310),0)</f>
        <v>0</v>
      </c>
      <c r="N303" s="53">
        <f ca="1">IF(AND($B303&gt;0,SUM($E317:N317)&lt;=0.01),MIN(N310*100%/$B303*PRJ_Step/360,M314+N310-M310),0)</f>
        <v>0</v>
      </c>
      <c r="O303" s="53">
        <f ca="1">IF(AND($B303&gt;0,SUM($E317:O317)&lt;=0.01),MIN(O310*100%/$B303*PRJ_Step/360,N314+O310-N310),0)</f>
        <v>0</v>
      </c>
      <c r="P303" s="53">
        <f ca="1">IF(AND($B303&gt;0,SUM($E317:P317)&lt;=0.01),MIN(P310*100%/$B303*PRJ_Step/360,O314+P310-O310),0)</f>
        <v>0</v>
      </c>
      <c r="Q303" s="53">
        <f ca="1">IF(AND($B303&gt;0,SUM($E317:Q317)&lt;=0.01),MIN(Q310*100%/$B303*PRJ_Step/360,P314+Q310-P310),0)</f>
        <v>0</v>
      </c>
      <c r="S303" s="54">
        <f ca="1">SUM(F303:Q303)</f>
        <v>0</v>
      </c>
    </row>
    <row r="304" spans="1:21" s="23" customFormat="1" hidden="1" outlineLevel="2" x14ac:dyDescent="0.2">
      <c r="A304" t="str">
        <f ca="1">Language!A$394</f>
        <v xml:space="preserve">    амортизация (ускоренная),    для срока использования:</v>
      </c>
      <c r="B304" s="271">
        <v>0</v>
      </c>
      <c r="C304" s="40" t="str">
        <f ca="1">Language!A$33</f>
        <v>лет</v>
      </c>
      <c r="D304" s="23" t="s">
        <v>2264</v>
      </c>
      <c r="F304" s="84">
        <f ca="1">IF(SUM($E317:F317)&lt;=0.01,IF(OR($B304=0,E314+F310-E310=0),0,IF($B303&gt;0,0,IF(E314+F310-E310&gt;0.2*F310,MIN((E314+F310-E310)*2/$B304*PRJ_Step/360,E314+F310-E310),MIN(E314+F310-E310,F310*PRJ_Step/360/IF($B304&lt;4,1,IF($B304&gt;5,3,2)))))),0)</f>
        <v>0</v>
      </c>
      <c r="G304" s="84">
        <f ca="1">IF(SUM($E317:G317)&lt;=0.01,IF(OR($B304=0,F314+G310-F310=0),0,IF($B303&gt;0,0,IF(F314+G310-F310&gt;0.2*G310,MIN((F314+G310-F310)*2/$B304*PRJ_Step/360,F314+G310-F310),MIN(F314+G310-F310,G310*PRJ_Step/360/IF($B304&lt;4,1,IF($B304&gt;5,3,2)))))),0)</f>
        <v>0</v>
      </c>
      <c r="H304" s="84">
        <f ca="1">IF(SUM($E317:H317)&lt;=0.01,IF(OR($B304=0,G314+H310-G310=0),0,IF($B303&gt;0,0,IF(G314+H310-G310&gt;0.2*H310,MIN((G314+H310-G310)*2/$B304*PRJ_Step/360,G314+H310-G310),MIN(G314+H310-G310,H310*PRJ_Step/360/IF($B304&lt;4,1,IF($B304&gt;5,3,2)))))),0)</f>
        <v>0</v>
      </c>
      <c r="I304" s="84">
        <f ca="1">IF(SUM($E317:I317)&lt;=0.01,IF(OR($B304=0,H314+I310-H310=0),0,IF($B303&gt;0,0,IF(H314+I310-H310&gt;0.2*I310,MIN((H314+I310-H310)*2/$B304*PRJ_Step/360,H314+I310-H310),MIN(H314+I310-H310,I310*PRJ_Step/360/IF($B304&lt;4,1,IF($B304&gt;5,3,2)))))),0)</f>
        <v>0</v>
      </c>
      <c r="J304" s="84">
        <f ca="1">IF(SUM($E317:J317)&lt;=0.01,IF(OR($B304=0,I314+J310-I310=0),0,IF($B303&gt;0,0,IF(I314+J310-I310&gt;0.2*J310,MIN((I314+J310-I310)*2/$B304*PRJ_Step/360,I314+J310-I310),MIN(I314+J310-I310,J310*PRJ_Step/360/IF($B304&lt;4,1,IF($B304&gt;5,3,2)))))),0)</f>
        <v>0</v>
      </c>
      <c r="K304" s="84">
        <f ca="1">IF(SUM($E317:K317)&lt;=0.01,IF(OR($B304=0,J314+K310-J310=0),0,IF($B303&gt;0,0,IF(J314+K310-J310&gt;0.2*K310,MIN((J314+K310-J310)*2/$B304*PRJ_Step/360,J314+K310-J310),MIN(J314+K310-J310,K310*PRJ_Step/360/IF($B304&lt;4,1,IF($B304&gt;5,3,2)))))),0)</f>
        <v>0</v>
      </c>
      <c r="L304" s="84">
        <f ca="1">IF(SUM($E317:L317)&lt;=0.01,IF(OR($B304=0,K314+L310-K310=0),0,IF($B303&gt;0,0,IF(K314+L310-K310&gt;0.2*L310,MIN((K314+L310-K310)*2/$B304*PRJ_Step/360,K314+L310-K310),MIN(K314+L310-K310,L310*PRJ_Step/360/IF($B304&lt;4,1,IF($B304&gt;5,3,2)))))),0)</f>
        <v>0</v>
      </c>
      <c r="M304" s="84">
        <f ca="1">IF(SUM($E317:M317)&lt;=0.01,IF(OR($B304=0,L314+M310-L310=0),0,IF($B303&gt;0,0,IF(L314+M310-L310&gt;0.2*M310,MIN((L314+M310-L310)*2/$B304*PRJ_Step/360,L314+M310-L310),MIN(L314+M310-L310,M310*PRJ_Step/360/IF($B304&lt;4,1,IF($B304&gt;5,3,2)))))),0)</f>
        <v>0</v>
      </c>
      <c r="N304" s="84">
        <f ca="1">IF(SUM($E317:N317)&lt;=0.01,IF(OR($B304=0,M314+N310-M310=0),0,IF($B303&gt;0,0,IF(M314+N310-M310&gt;0.2*N310,MIN((M314+N310-M310)*2/$B304*PRJ_Step/360,M314+N310-M310),MIN(M314+N310-M310,N310*PRJ_Step/360/IF($B304&lt;4,1,IF($B304&gt;5,3,2)))))),0)</f>
        <v>0</v>
      </c>
      <c r="O304" s="84">
        <f ca="1">IF(SUM($E317:O317)&lt;=0.01,IF(OR($B304=0,N314+O310-N310=0),0,IF($B303&gt;0,0,IF(N314+O310-N310&gt;0.2*O310,MIN((N314+O310-N310)*2/$B304*PRJ_Step/360,N314+O310-N310),MIN(N314+O310-N310,O310*PRJ_Step/360/IF($B304&lt;4,1,IF($B304&gt;5,3,2)))))),0)</f>
        <v>0</v>
      </c>
      <c r="P304" s="84">
        <f ca="1">IF(SUM($E317:P317)&lt;=0.01,IF(OR($B304=0,O314+P310-O310=0),0,IF($B303&gt;0,0,IF(O314+P310-O310&gt;0.2*P310,MIN((O314+P310-O310)*2/$B304*PRJ_Step/360,O314+P310-O310),MIN(O314+P310-O310,P310*PRJ_Step/360/IF($B304&lt;4,1,IF($B304&gt;5,3,2)))))),0)</f>
        <v>0</v>
      </c>
      <c r="Q304" s="84">
        <f ca="1">IF(SUM($E317:Q317)&lt;=0.01,IF(OR($B304=0,P314+Q310-P310=0),0,IF($B303&gt;0,0,IF(P314+Q310-P310&gt;0.2*Q310,MIN((P314+Q310-P310)*2/$B304*PRJ_Step/360,P314+Q310-P310),MIN(P314+Q310-P310,Q310*PRJ_Step/360/IF($B304&lt;4,1,IF($B304&gt;5,3,2)))))),0)</f>
        <v>0</v>
      </c>
      <c r="S304" s="54">
        <f ca="1">SUM(F304:Q304)</f>
        <v>0</v>
      </c>
    </row>
    <row r="305" spans="1:19" s="23" customFormat="1" hidden="1" outlineLevel="2" x14ac:dyDescent="0.2">
      <c r="A305" t="str">
        <f ca="1">Language!A$395</f>
        <v xml:space="preserve">    выплаченный НДС</v>
      </c>
      <c r="B305" s="273">
        <f>VAT</f>
        <v>0</v>
      </c>
      <c r="C305" s="40" t="str">
        <f ca="1">CUR_Main</f>
        <v>руб.</v>
      </c>
      <c r="D305" s="23" t="s">
        <v>2265</v>
      </c>
      <c r="F305" s="111">
        <f t="shared" ref="F305:M305" si="285">F307*$B305</f>
        <v>0</v>
      </c>
      <c r="G305" s="111">
        <f t="shared" si="285"/>
        <v>0</v>
      </c>
      <c r="H305" s="111">
        <f t="shared" si="285"/>
        <v>0</v>
      </c>
      <c r="I305" s="111">
        <f t="shared" si="285"/>
        <v>0</v>
      </c>
      <c r="J305" s="111">
        <f t="shared" si="285"/>
        <v>0</v>
      </c>
      <c r="K305" s="111">
        <f t="shared" si="285"/>
        <v>0</v>
      </c>
      <c r="L305" s="111">
        <f t="shared" si="285"/>
        <v>0</v>
      </c>
      <c r="M305" s="111">
        <f t="shared" si="285"/>
        <v>0</v>
      </c>
      <c r="N305" s="111">
        <f t="shared" ref="N305" si="286">N307*$B305</f>
        <v>0</v>
      </c>
      <c r="O305" s="111">
        <f t="shared" ref="O305" si="287">O307*$B305</f>
        <v>0</v>
      </c>
      <c r="P305" s="111">
        <f t="shared" ref="P305:Q305" si="288">P307*$B305</f>
        <v>0</v>
      </c>
      <c r="Q305" s="111">
        <f t="shared" si="288"/>
        <v>0</v>
      </c>
      <c r="S305" s="54">
        <f>SUM(F305:Q305)</f>
        <v>0</v>
      </c>
    </row>
    <row r="306" spans="1:19" s="23" customFormat="1" hidden="1" outlineLevel="2" x14ac:dyDescent="0.2">
      <c r="A306" t="str">
        <f ca="1">Language!A$396</f>
        <v xml:space="preserve">    вариант зачета НДС</v>
      </c>
      <c r="B306" s="255">
        <v>2</v>
      </c>
      <c r="C306" s="85" t="str">
        <f ca="1">CHOOSE(B306,Language!A$372,Language!A$373)</f>
        <v>после постановки актива на баланс</v>
      </c>
      <c r="F306" s="111"/>
      <c r="G306" s="111"/>
      <c r="H306" s="111"/>
      <c r="I306" s="111"/>
      <c r="J306" s="111"/>
      <c r="K306" s="111"/>
      <c r="L306" s="111"/>
      <c r="M306" s="111"/>
      <c r="N306" s="111"/>
      <c r="O306" s="111"/>
      <c r="P306" s="111"/>
      <c r="Q306" s="111"/>
      <c r="S306" s="54"/>
    </row>
    <row r="307" spans="1:19" s="23" customFormat="1" hidden="1" outlineLevel="2" x14ac:dyDescent="0.2">
      <c r="A307" t="str">
        <f ca="1">Language!A$385</f>
        <v xml:space="preserve">    сумма платежей без НДС</v>
      </c>
      <c r="C307" s="40" t="str">
        <f t="shared" ref="C307:C319" ca="1" si="289">CUR_Main</f>
        <v>руб.</v>
      </c>
      <c r="D307" s="23" t="s">
        <v>188</v>
      </c>
      <c r="F307" s="84">
        <f t="shared" ref="F307:M307" si="290">F300*IF($B300=1,1,F$88)/(1+$B305)</f>
        <v>0</v>
      </c>
      <c r="G307" s="84">
        <f t="shared" si="290"/>
        <v>0</v>
      </c>
      <c r="H307" s="84">
        <f t="shared" si="290"/>
        <v>0</v>
      </c>
      <c r="I307" s="84">
        <f t="shared" si="290"/>
        <v>0</v>
      </c>
      <c r="J307" s="84">
        <f t="shared" si="290"/>
        <v>0</v>
      </c>
      <c r="K307" s="84">
        <f t="shared" si="290"/>
        <v>0</v>
      </c>
      <c r="L307" s="84">
        <f t="shared" si="290"/>
        <v>0</v>
      </c>
      <c r="M307" s="84">
        <f t="shared" si="290"/>
        <v>0</v>
      </c>
      <c r="N307" s="84">
        <f t="shared" ref="N307" si="291">N300*IF($B300=1,1,N$88)/(1+$B305)</f>
        <v>0</v>
      </c>
      <c r="O307" s="84">
        <f t="shared" ref="O307" si="292">O300*IF($B300=1,1,O$88)/(1+$B305)</f>
        <v>0</v>
      </c>
      <c r="P307" s="84">
        <f t="shared" ref="P307:Q307" si="293">P300*IF($B300=1,1,P$88)/(1+$B305)</f>
        <v>0</v>
      </c>
      <c r="Q307" s="84">
        <f t="shared" si="293"/>
        <v>0</v>
      </c>
      <c r="S307" s="54">
        <f>SUM(F307:Q307)</f>
        <v>0</v>
      </c>
    </row>
    <row r="308" spans="1:19" s="23" customFormat="1" ht="10.5" hidden="1" outlineLevel="2" x14ac:dyDescent="0.2">
      <c r="A308" t="str">
        <f ca="1">Language!A$386</f>
        <v xml:space="preserve">    общая стоимость актива (без НДС)</v>
      </c>
      <c r="B308" s="55">
        <f>S307+B301</f>
        <v>0</v>
      </c>
      <c r="C308" s="40" t="str">
        <f t="shared" ca="1" si="289"/>
        <v>руб.</v>
      </c>
      <c r="S308" s="11"/>
    </row>
    <row r="309" spans="1:19" s="23" customFormat="1" hidden="1" outlineLevel="2" x14ac:dyDescent="0.2">
      <c r="A309" t="str">
        <f ca="1">Language!A$387</f>
        <v xml:space="preserve">    полная сумма вложений в актив (без НДС)</v>
      </c>
      <c r="C309" s="40" t="str">
        <f t="shared" ca="1" si="289"/>
        <v>руб.</v>
      </c>
      <c r="D309" s="23" t="s">
        <v>2270</v>
      </c>
      <c r="F309" s="84">
        <f>B301+F307</f>
        <v>0</v>
      </c>
      <c r="G309" s="84">
        <f t="shared" ref="G309:Q309" si="294">F309+G307</f>
        <v>0</v>
      </c>
      <c r="H309" s="84">
        <f t="shared" si="294"/>
        <v>0</v>
      </c>
      <c r="I309" s="84">
        <f t="shared" si="294"/>
        <v>0</v>
      </c>
      <c r="J309" s="84">
        <f t="shared" si="294"/>
        <v>0</v>
      </c>
      <c r="K309" s="84">
        <f t="shared" si="294"/>
        <v>0</v>
      </c>
      <c r="L309" s="84">
        <f t="shared" si="294"/>
        <v>0</v>
      </c>
      <c r="M309" s="84">
        <f t="shared" si="294"/>
        <v>0</v>
      </c>
      <c r="N309" s="84">
        <f t="shared" si="294"/>
        <v>0</v>
      </c>
      <c r="O309" s="84">
        <f t="shared" si="294"/>
        <v>0</v>
      </c>
      <c r="P309" s="84">
        <f t="shared" si="294"/>
        <v>0</v>
      </c>
      <c r="Q309" s="84">
        <f t="shared" si="294"/>
        <v>0</v>
      </c>
      <c r="S309" s="54"/>
    </row>
    <row r="310" spans="1:19" s="23" customFormat="1" hidden="1" outlineLevel="2" x14ac:dyDescent="0.2">
      <c r="A310" t="str">
        <f ca="1">Language!A$388</f>
        <v xml:space="preserve">    полная балансовая стоимость</v>
      </c>
      <c r="C310" s="40" t="str">
        <f t="shared" ca="1" si="289"/>
        <v>руб.</v>
      </c>
      <c r="D310" s="23" t="s">
        <v>2271</v>
      </c>
      <c r="F310" s="84">
        <f ca="1">IF($B302&lt;=F$29,IF(SUM($E317:F317)&gt;0.01,0,$B308),0)</f>
        <v>0</v>
      </c>
      <c r="G310" s="84">
        <f ca="1">IF($B302&lt;=G$29,IF(SUM($E317:G317)&gt;0.01,0,$B308),0)</f>
        <v>0</v>
      </c>
      <c r="H310" s="84">
        <f ca="1">IF($B302&lt;=H$29,IF(SUM($E317:H317)&gt;0.01,0,$B308),0)</f>
        <v>0</v>
      </c>
      <c r="I310" s="84">
        <f ca="1">IF($B302&lt;=I$29,IF(SUM($E317:I317)&gt;0.01,0,$B308),0)</f>
        <v>0</v>
      </c>
      <c r="J310" s="84">
        <f ca="1">IF($B302&lt;=J$29,IF(SUM($E317:J317)&gt;0.01,0,$B308),0)</f>
        <v>0</v>
      </c>
      <c r="K310" s="84">
        <f ca="1">IF($B302&lt;=K$29,IF(SUM($E317:K317)&gt;0.01,0,$B308),0)</f>
        <v>0</v>
      </c>
      <c r="L310" s="84">
        <f ca="1">IF($B302&lt;=L$29,IF(SUM($E317:L317)&gt;0.01,0,$B308),0)</f>
        <v>0</v>
      </c>
      <c r="M310" s="84">
        <f ca="1">IF($B302&lt;=M$29,IF(SUM($E317:M317)&gt;0.01,0,$B308),0)</f>
        <v>0</v>
      </c>
      <c r="N310" s="84">
        <f ca="1">IF($B302&lt;=N$29,IF(SUM($E317:N317)&gt;0.01,0,$B308),0)</f>
        <v>0</v>
      </c>
      <c r="O310" s="84">
        <f ca="1">IF($B302&lt;=O$29,IF(SUM($E317:O317)&gt;0.01,0,$B308),0)</f>
        <v>0</v>
      </c>
      <c r="P310" s="84">
        <f ca="1">IF($B302&lt;=P$29,IF(SUM($E317:P317)&gt;0.01,0,$B308),0)</f>
        <v>0</v>
      </c>
      <c r="Q310" s="84">
        <f ca="1">IF($B302&lt;=Q$29,IF(SUM($E317:Q317)&gt;0.01,0,$B308),0)</f>
        <v>0</v>
      </c>
      <c r="S310" s="11"/>
    </row>
    <row r="311" spans="1:19" s="23" customFormat="1" hidden="1" outlineLevel="2" x14ac:dyDescent="0.2">
      <c r="A311" t="str">
        <f ca="1">Language!A$389</f>
        <v xml:space="preserve">    незавершенные инвестиции</v>
      </c>
      <c r="C311" s="40" t="str">
        <f t="shared" ca="1" si="289"/>
        <v>руб.</v>
      </c>
      <c r="D311" s="23" t="s">
        <v>2274</v>
      </c>
      <c r="F311" s="84">
        <f t="shared" ref="F311:M311" ca="1" si="295">IF($B302&gt;F$29,F309,0)</f>
        <v>0</v>
      </c>
      <c r="G311" s="84">
        <f t="shared" ca="1" si="295"/>
        <v>0</v>
      </c>
      <c r="H311" s="84">
        <f t="shared" ca="1" si="295"/>
        <v>0</v>
      </c>
      <c r="I311" s="84">
        <f t="shared" ca="1" si="295"/>
        <v>0</v>
      </c>
      <c r="J311" s="84">
        <f t="shared" ca="1" si="295"/>
        <v>0</v>
      </c>
      <c r="K311" s="84">
        <f t="shared" ca="1" si="295"/>
        <v>0</v>
      </c>
      <c r="L311" s="84">
        <f t="shared" ca="1" si="295"/>
        <v>0</v>
      </c>
      <c r="M311" s="84">
        <f t="shared" ca="1" si="295"/>
        <v>0</v>
      </c>
      <c r="N311" s="84">
        <f t="shared" ref="N311" ca="1" si="296">IF($B302&gt;N$29,N309,0)</f>
        <v>0</v>
      </c>
      <c r="O311" s="84">
        <f t="shared" ref="O311" ca="1" si="297">IF($B302&gt;O$29,O309,0)</f>
        <v>0</v>
      </c>
      <c r="P311" s="84">
        <f t="shared" ref="P311:Q311" ca="1" si="298">IF($B302&gt;P$29,P309,0)</f>
        <v>0</v>
      </c>
      <c r="Q311" s="84">
        <f t="shared" ca="1" si="298"/>
        <v>0</v>
      </c>
      <c r="S311" s="11"/>
    </row>
    <row r="312" spans="1:19" s="23" customFormat="1" hidden="1" outlineLevel="2" x14ac:dyDescent="0.2">
      <c r="A312" t="str">
        <f ca="1">Language!A$390</f>
        <v xml:space="preserve">    кредиторская задолженность</v>
      </c>
      <c r="C312" s="40" t="str">
        <f t="shared" ca="1" si="289"/>
        <v>руб.</v>
      </c>
      <c r="D312" s="23" t="s">
        <v>2275</v>
      </c>
      <c r="F312" s="84">
        <f ca="1">IF(OR($B302&lt;=F$29,AND(SUM($F317:F317)&gt;0,$B302&gt;F$29)),$B308-F309,0)</f>
        <v>0</v>
      </c>
      <c r="G312" s="84">
        <f ca="1">IF(OR($B302&lt;=G$29,AND(SUM($F317:G317)&gt;0,$B302&gt;G$29)),$B308-G309,0)</f>
        <v>0</v>
      </c>
      <c r="H312" s="84">
        <f ca="1">IF(OR($B302&lt;=H$29,AND(SUM($F317:H317)&gt;0,$B302&gt;H$29)),$B308-H309,0)</f>
        <v>0</v>
      </c>
      <c r="I312" s="84">
        <f ca="1">IF(OR($B302&lt;=I$29,AND(SUM($F317:I317)&gt;0,$B302&gt;I$29)),$B308-I309,0)</f>
        <v>0</v>
      </c>
      <c r="J312" s="84">
        <f ca="1">IF(OR($B302&lt;=J$29,AND(SUM($F317:J317)&gt;0,$B302&gt;J$29)),$B308-J309,0)</f>
        <v>0</v>
      </c>
      <c r="K312" s="84">
        <f ca="1">IF(OR($B302&lt;=K$29,AND(SUM($F317:K317)&gt;0,$B302&gt;K$29)),$B308-K309,0)</f>
        <v>0</v>
      </c>
      <c r="L312" s="84">
        <f ca="1">IF(OR($B302&lt;=L$29,AND(SUM($F317:L317)&gt;0,$B302&gt;L$29)),$B308-L309,0)</f>
        <v>0</v>
      </c>
      <c r="M312" s="84">
        <f ca="1">IF(OR($B302&lt;=M$29,AND(SUM($F317:M317)&gt;0,$B302&gt;M$29)),$B308-M309,0)</f>
        <v>0</v>
      </c>
      <c r="N312" s="84">
        <f ca="1">IF(OR($B302&lt;=N$29,AND(SUM($F317:N317)&gt;0,$B302&gt;N$29)),$B308-N309,0)</f>
        <v>0</v>
      </c>
      <c r="O312" s="84">
        <f ca="1">IF(OR($B302&lt;=O$29,AND(SUM($F317:O317)&gt;0,$B302&gt;O$29)),$B308-O309,0)</f>
        <v>0</v>
      </c>
      <c r="P312" s="84">
        <f ca="1">IF(OR($B302&lt;=P$29,AND(SUM($F317:P317)&gt;0,$B302&gt;P$29)),$B308-P309,0)</f>
        <v>0</v>
      </c>
      <c r="Q312" s="84">
        <f ca="1">IF(OR($B302&lt;=Q$29,AND(SUM($F317:Q317)&gt;0,$B302&gt;Q$29)),$B308-Q309,0)</f>
        <v>0</v>
      </c>
      <c r="S312" s="11"/>
    </row>
    <row r="313" spans="1:19" s="23" customFormat="1" hidden="1" outlineLevel="2" x14ac:dyDescent="0.2">
      <c r="A313" t="str">
        <f ca="1">Language!A$397</f>
        <v xml:space="preserve">    накопленная амортизация</v>
      </c>
      <c r="C313" s="40" t="str">
        <f t="shared" ca="1" si="289"/>
        <v>руб.</v>
      </c>
      <c r="D313" s="23" t="s">
        <v>2272</v>
      </c>
      <c r="F313" s="84">
        <f t="shared" ref="F313:Q313" ca="1" si="299">E313+F304+F303</f>
        <v>0</v>
      </c>
      <c r="G313" s="84">
        <f t="shared" ca="1" si="299"/>
        <v>0</v>
      </c>
      <c r="H313" s="84">
        <f t="shared" ca="1" si="299"/>
        <v>0</v>
      </c>
      <c r="I313" s="84">
        <f t="shared" ca="1" si="299"/>
        <v>0</v>
      </c>
      <c r="J313" s="84">
        <f t="shared" ca="1" si="299"/>
        <v>0</v>
      </c>
      <c r="K313" s="84">
        <f t="shared" ca="1" si="299"/>
        <v>0</v>
      </c>
      <c r="L313" s="84">
        <f t="shared" ca="1" si="299"/>
        <v>0</v>
      </c>
      <c r="M313" s="84">
        <f t="shared" ca="1" si="299"/>
        <v>0</v>
      </c>
      <c r="N313" s="84">
        <f t="shared" ca="1" si="299"/>
        <v>0</v>
      </c>
      <c r="O313" s="84">
        <f t="shared" ca="1" si="299"/>
        <v>0</v>
      </c>
      <c r="P313" s="84">
        <f t="shared" ca="1" si="299"/>
        <v>0</v>
      </c>
      <c r="Q313" s="84">
        <f t="shared" ca="1" si="299"/>
        <v>0</v>
      </c>
      <c r="S313" s="11"/>
    </row>
    <row r="314" spans="1:19" s="23" customFormat="1" hidden="1" outlineLevel="2" x14ac:dyDescent="0.2">
      <c r="A314" t="str">
        <f ca="1">Language!A$391</f>
        <v xml:space="preserve">    остаточная стоимость</v>
      </c>
      <c r="C314" s="40" t="str">
        <f t="shared" ca="1" si="289"/>
        <v>руб.</v>
      </c>
      <c r="D314" s="23" t="s">
        <v>2273</v>
      </c>
      <c r="F314" s="106">
        <f ca="1">IF(SUM($E317:F317)&gt;0.01,0,F310-F313)</f>
        <v>0</v>
      </c>
      <c r="G314" s="106">
        <f ca="1">IF(SUM($E317:G317)&gt;0.01,0,G310-G313)</f>
        <v>0</v>
      </c>
      <c r="H314" s="106">
        <f ca="1">IF(SUM($E317:H317)&gt;0.01,0,H310-H313)</f>
        <v>0</v>
      </c>
      <c r="I314" s="106">
        <f ca="1">IF(SUM($E317:I317)&gt;0.01,0,I310-I313)</f>
        <v>0</v>
      </c>
      <c r="J314" s="106">
        <f ca="1">IF(SUM($E317:J317)&gt;0.01,0,J310-J313)</f>
        <v>0</v>
      </c>
      <c r="K314" s="106">
        <f ca="1">IF(SUM($E317:K317)&gt;0.01,0,K310-K313)</f>
        <v>0</v>
      </c>
      <c r="L314" s="106">
        <f ca="1">IF(SUM($E317:L317)&gt;0.01,0,L310-L313)</f>
        <v>0</v>
      </c>
      <c r="M314" s="106">
        <f ca="1">IF(SUM($E317:M317)&gt;0.01,0,M310-M313)</f>
        <v>0</v>
      </c>
      <c r="N314" s="106">
        <f ca="1">IF(SUM($E317:N317)&gt;0.01,0,N310-N313)</f>
        <v>0</v>
      </c>
      <c r="O314" s="106">
        <f ca="1">IF(SUM($E317:O317)&gt;0.01,0,O310-O313)</f>
        <v>0</v>
      </c>
      <c r="P314" s="106">
        <f ca="1">IF(SUM($E317:P317)&gt;0.01,0,P310-P313)</f>
        <v>0</v>
      </c>
      <c r="Q314" s="106">
        <f ca="1">IF(SUM($E317:Q317)&gt;0.01,0,Q310-Q313)</f>
        <v>0</v>
      </c>
      <c r="S314" s="11"/>
    </row>
    <row r="315" spans="1:19" s="23" customFormat="1" hidden="1" outlineLevel="2" x14ac:dyDescent="0.2">
      <c r="A315" t="str">
        <f ca="1">Language!A$398</f>
        <v xml:space="preserve">    НДС к ранее осуществленным инвестициям</v>
      </c>
      <c r="B315" s="262">
        <f>B301*B305</f>
        <v>0</v>
      </c>
      <c r="C315" s="40" t="str">
        <f t="shared" ca="1" si="289"/>
        <v>руб.</v>
      </c>
      <c r="D315" s="23" t="s">
        <v>2266</v>
      </c>
      <c r="F315" s="52"/>
      <c r="G315" s="52"/>
      <c r="H315" s="52"/>
      <c r="I315" s="52"/>
      <c r="J315" s="52"/>
      <c r="K315" s="52"/>
      <c r="L315" s="52"/>
      <c r="M315" s="52"/>
      <c r="N315" s="52"/>
      <c r="O315" s="52"/>
      <c r="P315" s="52"/>
      <c r="Q315" s="52"/>
      <c r="S315" s="11"/>
    </row>
    <row r="316" spans="1:19" s="23" customFormat="1" hidden="1" outlineLevel="2" x14ac:dyDescent="0.2">
      <c r="A316" t="str">
        <f ca="1">Language!A$399</f>
        <v xml:space="preserve">    зачет НДС</v>
      </c>
      <c r="C316" s="40" t="str">
        <f t="shared" ca="1" si="289"/>
        <v>руб.</v>
      </c>
      <c r="D316" s="133" t="s">
        <v>2267</v>
      </c>
      <c r="F316" s="111">
        <f ca="1">IF($B306=2,IF($B302=F$29,$B315+$S305,0),F305+B315)</f>
        <v>0</v>
      </c>
      <c r="G316" s="111">
        <f ca="1">IF($B306=2,IF($B302=G$29,$B315+$S305,0),G305)</f>
        <v>0</v>
      </c>
      <c r="H316" s="111">
        <f ca="1">IF($B306=2,IF($B302=H$29,$B315+$S305,0),H305)</f>
        <v>0</v>
      </c>
      <c r="I316" s="111">
        <f ca="1">IF($B306=2,IF($B302=I$29,$B315+$S305,0),I305)</f>
        <v>0</v>
      </c>
      <c r="J316" s="111">
        <f ca="1">IF($B306=2,IF($B302=J$29,$B315+$S305,0),J305)</f>
        <v>0</v>
      </c>
      <c r="K316" s="111">
        <f ca="1">IF($B306=2,IF($B302=K$29,$B315+$S305,0),K305)</f>
        <v>0</v>
      </c>
      <c r="L316" s="111">
        <f ca="1">IF($B306=2,IF($B302=L$29,$B315+$S305,0),L305)</f>
        <v>0</v>
      </c>
      <c r="M316" s="111">
        <f ca="1">IF($B306=2,IF($B302=M$29,$B315+$S305,0),M305)</f>
        <v>0</v>
      </c>
      <c r="N316" s="111">
        <f ca="1">IF($B306=2,IF($B302=N$29,$B315+$S305,0),N305)</f>
        <v>0</v>
      </c>
      <c r="O316" s="111">
        <f ca="1">IF($B306=2,IF($B302=O$29,$B315+$S305,0),O305)</f>
        <v>0</v>
      </c>
      <c r="P316" s="111">
        <f ca="1">IF($B306=2,IF($B302=P$29,$B315+$S305,0),P305)</f>
        <v>0</v>
      </c>
      <c r="Q316" s="111">
        <f ca="1">IF($B306=2,IF($B302=Q$29,$B315+$S305,0),Q305)</f>
        <v>0</v>
      </c>
      <c r="S316" s="54">
        <f ca="1">SUM(F316:Q316)</f>
        <v>0</v>
      </c>
    </row>
    <row r="317" spans="1:19" s="23" customFormat="1" hidden="1" outlineLevel="2" x14ac:dyDescent="0.2">
      <c r="A317" s="63" t="str">
        <f ca="1">Language!A$361</f>
        <v xml:space="preserve">    реализация актива (без НДС)</v>
      </c>
      <c r="B317" s="112"/>
      <c r="C317" s="114" t="str">
        <f t="shared" ca="1" si="289"/>
        <v>руб.</v>
      </c>
      <c r="D317" s="23" t="s">
        <v>2268</v>
      </c>
      <c r="E317" s="112"/>
      <c r="F317" s="272">
        <v>0</v>
      </c>
      <c r="G317" s="272">
        <v>0</v>
      </c>
      <c r="H317" s="272">
        <v>0</v>
      </c>
      <c r="I317" s="272">
        <v>0</v>
      </c>
      <c r="J317" s="272">
        <v>0</v>
      </c>
      <c r="K317" s="272">
        <v>0</v>
      </c>
      <c r="L317" s="272">
        <v>0</v>
      </c>
      <c r="M317" s="272">
        <v>0</v>
      </c>
      <c r="N317" s="272">
        <v>0</v>
      </c>
      <c r="O317" s="272">
        <v>0</v>
      </c>
      <c r="P317" s="272">
        <v>0</v>
      </c>
      <c r="Q317" s="272">
        <v>0</v>
      </c>
      <c r="S317" s="54">
        <f>SUM(F317:Q317)</f>
        <v>0</v>
      </c>
    </row>
    <row r="318" spans="1:19" s="23" customFormat="1" hidden="1" outlineLevel="2" x14ac:dyDescent="0.2">
      <c r="A318" s="19" t="str">
        <f ca="1">Language!A$362</f>
        <v xml:space="preserve">    прибыль/убыток от реализации актива</v>
      </c>
      <c r="B318" s="24"/>
      <c r="C318" s="115" t="str">
        <f t="shared" ca="1" si="289"/>
        <v>руб.</v>
      </c>
      <c r="D318" s="23" t="s">
        <v>2269</v>
      </c>
      <c r="E318" s="24"/>
      <c r="F318" s="83">
        <f t="shared" ref="F318:Q318" si="300">IF(F317=0,0,F317-E314)</f>
        <v>0</v>
      </c>
      <c r="G318" s="83">
        <f t="shared" si="300"/>
        <v>0</v>
      </c>
      <c r="H318" s="83">
        <f t="shared" si="300"/>
        <v>0</v>
      </c>
      <c r="I318" s="83">
        <f t="shared" si="300"/>
        <v>0</v>
      </c>
      <c r="J318" s="83">
        <f t="shared" si="300"/>
        <v>0</v>
      </c>
      <c r="K318" s="83">
        <f t="shared" si="300"/>
        <v>0</v>
      </c>
      <c r="L318" s="83">
        <f t="shared" si="300"/>
        <v>0</v>
      </c>
      <c r="M318" s="83">
        <f t="shared" si="300"/>
        <v>0</v>
      </c>
      <c r="N318" s="83">
        <f t="shared" si="300"/>
        <v>0</v>
      </c>
      <c r="O318" s="83">
        <f t="shared" si="300"/>
        <v>0</v>
      </c>
      <c r="P318" s="83">
        <f t="shared" si="300"/>
        <v>0</v>
      </c>
      <c r="Q318" s="83">
        <f t="shared" si="300"/>
        <v>0</v>
      </c>
      <c r="S318" s="54">
        <f>SUM(F318:Q318)</f>
        <v>0</v>
      </c>
    </row>
    <row r="319" spans="1:19" s="23" customFormat="1" hidden="1" outlineLevel="2" x14ac:dyDescent="0.2">
      <c r="A319" t="str">
        <f ca="1">Language!A$400</f>
        <v xml:space="preserve">    НДС к выручке от реализации актива</v>
      </c>
      <c r="B319" s="273">
        <f>VAT</f>
        <v>0</v>
      </c>
      <c r="C319" s="40" t="str">
        <f t="shared" ca="1" si="289"/>
        <v>руб.</v>
      </c>
      <c r="D319" s="23" t="s">
        <v>549</v>
      </c>
      <c r="F319">
        <f t="shared" ref="F319:M319" si="301">F317*$B319</f>
        <v>0</v>
      </c>
      <c r="G319">
        <f t="shared" si="301"/>
        <v>0</v>
      </c>
      <c r="H319">
        <f t="shared" si="301"/>
        <v>0</v>
      </c>
      <c r="I319">
        <f t="shared" si="301"/>
        <v>0</v>
      </c>
      <c r="J319">
        <f t="shared" si="301"/>
        <v>0</v>
      </c>
      <c r="K319">
        <f t="shared" si="301"/>
        <v>0</v>
      </c>
      <c r="L319">
        <f t="shared" si="301"/>
        <v>0</v>
      </c>
      <c r="M319">
        <f t="shared" si="301"/>
        <v>0</v>
      </c>
      <c r="N319">
        <f t="shared" ref="N319" si="302">N317*$B319</f>
        <v>0</v>
      </c>
      <c r="O319">
        <f t="shared" ref="O319" si="303">O317*$B319</f>
        <v>0</v>
      </c>
      <c r="P319">
        <f t="shared" ref="P319:Q319" si="304">P317*$B319</f>
        <v>0</v>
      </c>
      <c r="Q319">
        <f t="shared" si="304"/>
        <v>0</v>
      </c>
      <c r="S319" s="54">
        <f>SUM(F319:Q319)</f>
        <v>0</v>
      </c>
    </row>
    <row r="320" spans="1:19" outlineLevel="1" x14ac:dyDescent="0.2"/>
    <row r="321" spans="1:20" ht="10.5" outlineLevel="1" x14ac:dyDescent="0.25">
      <c r="A321" s="35" t="str">
        <f ca="1">Language!A401</f>
        <v>Оборудование и другие активы</v>
      </c>
      <c r="D321">
        <v>1</v>
      </c>
      <c r="E321" s="48">
        <v>24</v>
      </c>
    </row>
    <row r="322" spans="1:20" s="23" customFormat="1" outlineLevel="1" x14ac:dyDescent="0.2">
      <c r="A322" s="274" t="s">
        <v>185</v>
      </c>
      <c r="B322" s="36" t="str">
        <f ca="1">Language!A$73</f>
        <v>Валюта</v>
      </c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S322" s="39"/>
    </row>
    <row r="323" spans="1:20" s="23" customFormat="1" outlineLevel="1" collapsed="1" x14ac:dyDescent="0.2">
      <c r="A323" t="str">
        <f ca="1">CHOOSE(B326,Language!A$382,Language!A$381)</f>
        <v xml:space="preserve">    величина платежей (с НДС)</v>
      </c>
      <c r="B323" s="255">
        <v>1</v>
      </c>
      <c r="C323" s="40" t="str">
        <f ca="1">CHOOSE(B323,CUR_Main,CUR_Foreign)</f>
        <v>руб.</v>
      </c>
      <c r="D323" s="16" t="str">
        <f>TEXT(B323,"0")&amp;"_00"</f>
        <v>1_00</v>
      </c>
      <c r="F323" s="276">
        <v>0</v>
      </c>
      <c r="G323" s="276">
        <v>0</v>
      </c>
      <c r="H323" s="276">
        <v>0</v>
      </c>
      <c r="I323" s="276">
        <v>0</v>
      </c>
      <c r="J323" s="276">
        <v>0</v>
      </c>
      <c r="K323" s="276">
        <v>0</v>
      </c>
      <c r="L323" s="276">
        <v>0</v>
      </c>
      <c r="M323" s="276">
        <v>0</v>
      </c>
      <c r="N323" s="276">
        <v>0</v>
      </c>
      <c r="O323" s="276">
        <v>0</v>
      </c>
      <c r="P323" s="276">
        <v>0</v>
      </c>
      <c r="Q323" s="276">
        <v>0</v>
      </c>
      <c r="S323" s="54">
        <f>SUM(F323:Q323)</f>
        <v>0</v>
      </c>
    </row>
    <row r="324" spans="1:20" s="23" customFormat="1" hidden="1" outlineLevel="2" x14ac:dyDescent="0.2">
      <c r="A324" t="str">
        <f ca="1">Language!A$383</f>
        <v xml:space="preserve">    ранее осуществленные инвестиции (без НДС)</v>
      </c>
      <c r="B324" s="275">
        <f>F48*IF(B$37=1,1,F$88)</f>
        <v>0</v>
      </c>
      <c r="C324" s="40" t="str">
        <f ca="1">CUR_Main</f>
        <v>руб.</v>
      </c>
      <c r="D324" s="23" t="s">
        <v>2621</v>
      </c>
      <c r="S324" s="11"/>
    </row>
    <row r="325" spans="1:20" s="23" customFormat="1" hidden="1" outlineLevel="2" x14ac:dyDescent="0.2">
      <c r="A325" t="str">
        <f ca="1">Language!A$384</f>
        <v xml:space="preserve">    поставить на баланс с</v>
      </c>
      <c r="B325" s="271">
        <f ca="1">MATCH(OFFSET(S335,0,-2),F335:Q335,0)</f>
        <v>1</v>
      </c>
      <c r="C325" s="40" t="str">
        <f ca="1">Language!A$376</f>
        <v>периода</v>
      </c>
      <c r="S325" s="11"/>
    </row>
    <row r="326" spans="1:20" s="16" customFormat="1" hidden="1" outlineLevel="2" x14ac:dyDescent="0.2">
      <c r="A326" s="74" t="str">
        <f ca="1">Language!A$402</f>
        <v xml:space="preserve">    импорт?</v>
      </c>
      <c r="B326" s="255">
        <v>2</v>
      </c>
      <c r="C326" s="117" t="str">
        <f ca="1">CHOOSE(B326,Language!A$374,Language!A$375)</f>
        <v>нет</v>
      </c>
      <c r="D326" s="46"/>
      <c r="E326" s="46"/>
      <c r="F326" s="111"/>
      <c r="G326" s="111"/>
      <c r="H326" s="111"/>
      <c r="I326" s="111"/>
      <c r="J326" s="111"/>
      <c r="K326" s="111"/>
      <c r="L326" s="111"/>
      <c r="M326" s="111"/>
      <c r="N326" s="111"/>
      <c r="O326" s="111"/>
      <c r="P326" s="111"/>
      <c r="Q326" s="111"/>
      <c r="R326" s="111"/>
      <c r="S326" s="118"/>
      <c r="T326" s="111"/>
    </row>
    <row r="327" spans="1:20" s="16" customFormat="1" hidden="1" outlineLevel="2" x14ac:dyDescent="0.2">
      <c r="A327" s="74" t="str">
        <f ca="1">Language!A$403</f>
        <v xml:space="preserve">    пересечение границы при импорте</v>
      </c>
      <c r="B327" s="259">
        <v>1</v>
      </c>
      <c r="C327" s="17" t="str">
        <f ca="1">Language!A$377</f>
        <v>период</v>
      </c>
      <c r="F327" s="111"/>
      <c r="G327" s="111"/>
      <c r="H327" s="111"/>
      <c r="I327" s="111"/>
      <c r="J327" s="111"/>
      <c r="K327" s="111"/>
      <c r="L327" s="111"/>
      <c r="M327" s="111"/>
      <c r="N327" s="111"/>
      <c r="O327" s="111"/>
      <c r="P327" s="111"/>
      <c r="Q327" s="111"/>
      <c r="R327" s="111"/>
      <c r="S327" s="118"/>
      <c r="T327" s="111"/>
    </row>
    <row r="328" spans="1:20" s="16" customFormat="1" hidden="1" outlineLevel="2" x14ac:dyDescent="0.2">
      <c r="A328" s="74" t="str">
        <f ca="1">Language!A$404</f>
        <v xml:space="preserve">    импортная пошлина</v>
      </c>
      <c r="B328" s="277">
        <f>IF(B326=1,10%,0%)</f>
        <v>0</v>
      </c>
      <c r="C328" s="115" t="str">
        <f ca="1">CUR_Main</f>
        <v>руб.</v>
      </c>
      <c r="D328" s="46" t="s">
        <v>2278</v>
      </c>
      <c r="E328" s="46"/>
      <c r="F328" s="83">
        <f>IF($B326=1,IF($B327&gt;0,IF(F$29=$B327,$S323*IF($B323=1,1,F$88)*$B328,0),0),0)</f>
        <v>0</v>
      </c>
      <c r="G328" s="83">
        <f>IF($B326=1,IF($B327&gt;0,IF(G$29=$B327,$S323*IF($B323=1,1,G$88)*$B328,0),0),0)</f>
        <v>0</v>
      </c>
      <c r="H328" s="83">
        <f>IF($B326=1,IF($B327&gt;0,IF(H$29=$B327,$S323*IF($B323=1,1,H$88)*$B328,0),0),0)</f>
        <v>0</v>
      </c>
      <c r="I328" s="83">
        <f>IF($B326=1,IF($B327&gt;0,IF(I$29=$B327,$S323*IF($B323=1,1,I$88)*$B328,0),0),0)</f>
        <v>0</v>
      </c>
      <c r="J328" s="83">
        <f>IF($B326=1,IF($B327&gt;0,IF(J$29=$B327,$S323*IF($B323=1,1,J$88)*$B328,0),0),0)</f>
        <v>0</v>
      </c>
      <c r="K328" s="83">
        <f>IF($B326=1,IF($B327&gt;0,IF(K$29=$B327,$S323*IF($B323=1,1,K$88)*$B328,0),0),0)</f>
        <v>0</v>
      </c>
      <c r="L328" s="83">
        <f>IF($B326=1,IF($B327&gt;0,IF(L$29=$B327,$S323*IF($B323=1,1,L$88)*$B328,0),0),0)</f>
        <v>0</v>
      </c>
      <c r="M328" s="83">
        <f>IF($B326=1,IF($B327&gt;0,IF(M$29=$B327,$S323*IF($B323=1,1,M$88)*$B328,0),0),0)</f>
        <v>0</v>
      </c>
      <c r="N328" s="83">
        <f>IF($B326=1,IF($B327&gt;0,IF(N$29=$B327,$S323*IF($B323=1,1,N$88)*$B328,0),0),0)</f>
        <v>0</v>
      </c>
      <c r="O328" s="83">
        <f>IF($B326=1,IF($B327&gt;0,IF(O$29=$B327,$S323*IF($B323=1,1,O$88)*$B328,0),0),0)</f>
        <v>0</v>
      </c>
      <c r="P328" s="83">
        <f>IF($B326=1,IF($B327&gt;0,IF(P$29=$B327,$S323*IF($B323=1,1,P$88)*$B328,0),0),0)</f>
        <v>0</v>
      </c>
      <c r="Q328" s="83">
        <f>IF($B326=1,IF($B327&gt;0,IF(Q$29=$B327,$S323*IF($B323=1,1,Q$88)*$B328,0),0),0)</f>
        <v>0</v>
      </c>
      <c r="R328" s="111"/>
      <c r="S328" s="54">
        <f>SUM(F328:Q328)</f>
        <v>0</v>
      </c>
      <c r="T328" s="118"/>
    </row>
    <row r="329" spans="1:20" s="23" customFormat="1" hidden="1" outlineLevel="2" x14ac:dyDescent="0.2">
      <c r="A329" t="str">
        <f ca="1">Language!A$393</f>
        <v xml:space="preserve">    амортизация (линейная),       для срока использования:</v>
      </c>
      <c r="B329" s="271">
        <v>5</v>
      </c>
      <c r="C329" s="40" t="str">
        <f ca="1">Language!A$33</f>
        <v>лет</v>
      </c>
      <c r="D329" s="132" t="s">
        <v>2224</v>
      </c>
      <c r="F329" s="53">
        <f ca="1">IF(AND($B329&gt;0,SUM($E343:F343)&lt;=0.01),MIN(F336*100%/$B329*PRJ_Step/360,E340+F336-E336),0)</f>
        <v>0</v>
      </c>
      <c r="G329" s="53">
        <f ca="1">IF(AND($B329&gt;0,SUM($E343:G343)&lt;=0.01),MIN(G336*100%/$B329*PRJ_Step/360,F340+G336-F336),0)</f>
        <v>0</v>
      </c>
      <c r="H329" s="53">
        <f ca="1">IF(AND($B329&gt;0,SUM($E343:H343)&lt;=0.01),MIN(H336*100%/$B329*PRJ_Step/360,G340+H336-G336),0)</f>
        <v>0</v>
      </c>
      <c r="I329" s="53">
        <f ca="1">IF(AND($B329&gt;0,SUM($E343:I343)&lt;=0.01),MIN(I336*100%/$B329*PRJ_Step/360,H340+I336-H336),0)</f>
        <v>0</v>
      </c>
      <c r="J329" s="53">
        <f ca="1">IF(AND($B329&gt;0,SUM($E343:J343)&lt;=0.01),MIN(J336*100%/$B329*PRJ_Step/360,I340+J336-I336),0)</f>
        <v>0</v>
      </c>
      <c r="K329" s="53">
        <f ca="1">IF(AND($B329&gt;0,SUM($E343:K343)&lt;=0.01),MIN(K336*100%/$B329*PRJ_Step/360,J340+K336-J336),0)</f>
        <v>0</v>
      </c>
      <c r="L329" s="53">
        <f ca="1">IF(AND($B329&gt;0,SUM($E343:L343)&lt;=0.01),MIN(L336*100%/$B329*PRJ_Step/360,K340+L336-K336),0)</f>
        <v>0</v>
      </c>
      <c r="M329" s="53">
        <f ca="1">IF(AND($B329&gt;0,SUM($E343:M343)&lt;=0.01),MIN(M336*100%/$B329*PRJ_Step/360,L340+M336-L336),0)</f>
        <v>0</v>
      </c>
      <c r="N329" s="53">
        <f ca="1">IF(AND($B329&gt;0,SUM($E343:N343)&lt;=0.01),MIN(N336*100%/$B329*PRJ_Step/360,M340+N336-M336),0)</f>
        <v>0</v>
      </c>
      <c r="O329" s="53">
        <f ca="1">IF(AND($B329&gt;0,SUM($E343:O343)&lt;=0.01),MIN(O336*100%/$B329*PRJ_Step/360,N340+O336-N336),0)</f>
        <v>0</v>
      </c>
      <c r="P329" s="53">
        <f ca="1">IF(AND($B329&gt;0,SUM($E343:P343)&lt;=0.01),MIN(P336*100%/$B329*PRJ_Step/360,O340+P336-O336),0)</f>
        <v>0</v>
      </c>
      <c r="Q329" s="53">
        <f ca="1">IF(AND($B329&gt;0,SUM($E343:Q343)&lt;=0.01),MIN(Q336*100%/$B329*PRJ_Step/360,P340+Q336-P336),0)</f>
        <v>0</v>
      </c>
      <c r="S329" s="54">
        <f ca="1">SUM(F329:Q329)</f>
        <v>0</v>
      </c>
    </row>
    <row r="330" spans="1:20" s="23" customFormat="1" hidden="1" outlineLevel="2" x14ac:dyDescent="0.2">
      <c r="A330" t="str">
        <f ca="1">Language!A$394</f>
        <v xml:space="preserve">    амортизация (ускоренная),    для срока использования:</v>
      </c>
      <c r="B330" s="271">
        <v>0</v>
      </c>
      <c r="C330" s="40" t="str">
        <f ca="1">Language!A$33</f>
        <v>лет</v>
      </c>
      <c r="D330" s="23" t="s">
        <v>2264</v>
      </c>
      <c r="F330" s="53">
        <f ca="1">IF(SUM($E343:F343)&lt;=0.01,IF(OR($B330=0,E340+F336-E336=0),0,IF($B329&gt;0,0,IF(E340+F336-E336&gt;0.2*F336,MIN((E340+F336-E336)*2/$B330*PRJ_Step/360,E340+F336-E336),MIN(E340+F336-E336,F336*PRJ_Step/360/IF($B330&lt;4,1,IF($B330&gt;5,3,2)))))),0)</f>
        <v>0</v>
      </c>
      <c r="G330" s="53">
        <f ca="1">IF(SUM($E343:G343)&lt;=0.01,IF(OR($B330=0,F340+G336-F336=0),0,IF($B329&gt;0,0,IF(F340+G336-F336&gt;0.2*G336,MIN((F340+G336-F336)*2/$B330*PRJ_Step/360,F340+G336-F336),MIN(F340+G336-F336,G336*PRJ_Step/360/IF($B330&lt;4,1,IF($B330&gt;5,3,2)))))),0)</f>
        <v>0</v>
      </c>
      <c r="H330" s="53">
        <f ca="1">IF(SUM($E343:H343)&lt;=0.01,IF(OR($B330=0,G340+H336-G336=0),0,IF($B329&gt;0,0,IF(G340+H336-G336&gt;0.2*H336,MIN((G340+H336-G336)*2/$B330*PRJ_Step/360,G340+H336-G336),MIN(G340+H336-G336,H336*PRJ_Step/360/IF($B330&lt;4,1,IF($B330&gt;5,3,2)))))),0)</f>
        <v>0</v>
      </c>
      <c r="I330" s="53">
        <f ca="1">IF(SUM($E343:I343)&lt;=0.01,IF(OR($B330=0,H340+I336-H336=0),0,IF($B329&gt;0,0,IF(H340+I336-H336&gt;0.2*I336,MIN((H340+I336-H336)*2/$B330*PRJ_Step/360,H340+I336-H336),MIN(H340+I336-H336,I336*PRJ_Step/360/IF($B330&lt;4,1,IF($B330&gt;5,3,2)))))),0)</f>
        <v>0</v>
      </c>
      <c r="J330" s="53">
        <f ca="1">IF(SUM($E343:J343)&lt;=0.01,IF(OR($B330=0,I340+J336-I336=0),0,IF($B329&gt;0,0,IF(I340+J336-I336&gt;0.2*J336,MIN((I340+J336-I336)*2/$B330*PRJ_Step/360,I340+J336-I336),MIN(I340+J336-I336,J336*PRJ_Step/360/IF($B330&lt;4,1,IF($B330&gt;5,3,2)))))),0)</f>
        <v>0</v>
      </c>
      <c r="K330" s="53">
        <f ca="1">IF(SUM($E343:K343)&lt;=0.01,IF(OR($B330=0,J340+K336-J336=0),0,IF($B329&gt;0,0,IF(J340+K336-J336&gt;0.2*K336,MIN((J340+K336-J336)*2/$B330*PRJ_Step/360,J340+K336-J336),MIN(J340+K336-J336,K336*PRJ_Step/360/IF($B330&lt;4,1,IF($B330&gt;5,3,2)))))),0)</f>
        <v>0</v>
      </c>
      <c r="L330" s="53">
        <f ca="1">IF(SUM($E343:L343)&lt;=0.01,IF(OR($B330=0,K340+L336-K336=0),0,IF($B329&gt;0,0,IF(K340+L336-K336&gt;0.2*L336,MIN((K340+L336-K336)*2/$B330*PRJ_Step/360,K340+L336-K336),MIN(K340+L336-K336,L336*PRJ_Step/360/IF($B330&lt;4,1,IF($B330&gt;5,3,2)))))),0)</f>
        <v>0</v>
      </c>
      <c r="M330" s="53">
        <f ca="1">IF(SUM($E343:M343)&lt;=0.01,IF(OR($B330=0,L340+M336-L336=0),0,IF($B329&gt;0,0,IF(L340+M336-L336&gt;0.2*M336,MIN((L340+M336-L336)*2/$B330*PRJ_Step/360,L340+M336-L336),MIN(L340+M336-L336,M336*PRJ_Step/360/IF($B330&lt;4,1,IF($B330&gt;5,3,2)))))),0)</f>
        <v>0</v>
      </c>
      <c r="N330" s="53">
        <f ca="1">IF(SUM($E343:N343)&lt;=0.01,IF(OR($B330=0,M340+N336-M336=0),0,IF($B329&gt;0,0,IF(M340+N336-M336&gt;0.2*N336,MIN((M340+N336-M336)*2/$B330*PRJ_Step/360,M340+N336-M336),MIN(M340+N336-M336,N336*PRJ_Step/360/IF($B330&lt;4,1,IF($B330&gt;5,3,2)))))),0)</f>
        <v>0</v>
      </c>
      <c r="O330" s="53">
        <f ca="1">IF(SUM($E343:O343)&lt;=0.01,IF(OR($B330=0,N340+O336-N336=0),0,IF($B329&gt;0,0,IF(N340+O336-N336&gt;0.2*O336,MIN((N340+O336-N336)*2/$B330*PRJ_Step/360,N340+O336-N336),MIN(N340+O336-N336,O336*PRJ_Step/360/IF($B330&lt;4,1,IF($B330&gt;5,3,2)))))),0)</f>
        <v>0</v>
      </c>
      <c r="P330" s="53">
        <f ca="1">IF(SUM($E343:P343)&lt;=0.01,IF(OR($B330=0,O340+P336-O336=0),0,IF($B329&gt;0,0,IF(O340+P336-O336&gt;0.2*P336,MIN((O340+P336-O336)*2/$B330*PRJ_Step/360,O340+P336-O336),MIN(O340+P336-O336,P336*PRJ_Step/360/IF($B330&lt;4,1,IF($B330&gt;5,3,2)))))),0)</f>
        <v>0</v>
      </c>
      <c r="Q330" s="53">
        <f ca="1">IF(SUM($E343:Q343)&lt;=0.01,IF(OR($B330=0,P340+Q336-P336=0),0,IF($B329&gt;0,0,IF(P340+Q336-P336&gt;0.2*Q336,MIN((P340+Q336-P336)*2/$B330*PRJ_Step/360,P340+Q336-P336),MIN(P340+Q336-P336,Q336*PRJ_Step/360/IF($B330&lt;4,1,IF($B330&gt;5,3,2)))))),0)</f>
        <v>0</v>
      </c>
      <c r="S330" s="54">
        <f ca="1">SUM(F330:Q330)</f>
        <v>0</v>
      </c>
    </row>
    <row r="331" spans="1:20" s="23" customFormat="1" hidden="1" outlineLevel="2" x14ac:dyDescent="0.2">
      <c r="A331" t="str">
        <f ca="1">Language!A$395</f>
        <v xml:space="preserve">    выплаченный НДС</v>
      </c>
      <c r="B331" s="273">
        <f>VAT</f>
        <v>0</v>
      </c>
      <c r="C331" s="40" t="str">
        <f ca="1">CUR_Main</f>
        <v>руб.</v>
      </c>
      <c r="D331" s="23" t="s">
        <v>2265</v>
      </c>
      <c r="F331" s="111">
        <f t="shared" ref="F331:M331" si="305">IF($B326=2,F333*$B331,IF(F$29=$B327,$B334*$B331,0))</f>
        <v>0</v>
      </c>
      <c r="G331" s="111">
        <f t="shared" si="305"/>
        <v>0</v>
      </c>
      <c r="H331" s="111">
        <f t="shared" si="305"/>
        <v>0</v>
      </c>
      <c r="I331" s="111">
        <f t="shared" si="305"/>
        <v>0</v>
      </c>
      <c r="J331" s="111">
        <f t="shared" si="305"/>
        <v>0</v>
      </c>
      <c r="K331" s="111">
        <f t="shared" si="305"/>
        <v>0</v>
      </c>
      <c r="L331" s="111">
        <f t="shared" si="305"/>
        <v>0</v>
      </c>
      <c r="M331" s="111">
        <f t="shared" si="305"/>
        <v>0</v>
      </c>
      <c r="N331" s="111">
        <f t="shared" ref="N331" si="306">IF($B326=2,N333*$B331,IF(N$29=$B327,$B334*$B331,0))</f>
        <v>0</v>
      </c>
      <c r="O331" s="111">
        <f t="shared" ref="O331" si="307">IF($B326=2,O333*$B331,IF(O$29=$B327,$B334*$B331,0))</f>
        <v>0</v>
      </c>
      <c r="P331" s="111">
        <f t="shared" ref="P331:Q331" si="308">IF($B326=2,P333*$B331,IF(P$29=$B327,$B334*$B331,0))</f>
        <v>0</v>
      </c>
      <c r="Q331" s="111">
        <f t="shared" si="308"/>
        <v>0</v>
      </c>
      <c r="S331" s="54">
        <f>SUM(F331:Q331)</f>
        <v>0</v>
      </c>
    </row>
    <row r="332" spans="1:20" s="23" customFormat="1" hidden="1" outlineLevel="2" x14ac:dyDescent="0.2">
      <c r="A332" t="str">
        <f ca="1">Language!A$396</f>
        <v xml:space="preserve">    вариант зачета НДС</v>
      </c>
      <c r="B332" s="255">
        <v>2</v>
      </c>
      <c r="C332" s="85" t="str">
        <f ca="1">CHOOSE(B332,Language!A$372,Language!A$373)</f>
        <v>после постановки актива на баланс</v>
      </c>
      <c r="F332" s="111"/>
      <c r="G332" s="111"/>
      <c r="H332" s="111"/>
      <c r="I332" s="111"/>
      <c r="J332" s="111"/>
      <c r="K332" s="111"/>
      <c r="L332" s="111"/>
      <c r="M332" s="111"/>
      <c r="N332" s="111"/>
      <c r="O332" s="111"/>
      <c r="P332" s="111"/>
      <c r="Q332" s="111"/>
      <c r="S332" s="54"/>
    </row>
    <row r="333" spans="1:20" s="23" customFormat="1" hidden="1" outlineLevel="2" x14ac:dyDescent="0.2">
      <c r="A333" t="str">
        <f ca="1">Language!A$385</f>
        <v xml:space="preserve">    сумма платежей без НДС</v>
      </c>
      <c r="C333" s="40" t="str">
        <f t="shared" ref="C333:C345" ca="1" si="309">CUR_Main</f>
        <v>руб.</v>
      </c>
      <c r="D333" s="23" t="s">
        <v>188</v>
      </c>
      <c r="F333" s="84">
        <f t="shared" ref="F333:M333" si="310">IF($B326=2,F323*IF($B323=1,1,F$88)/(1+$B331),F323*IF($B323=1,1,F$88))</f>
        <v>0</v>
      </c>
      <c r="G333" s="84">
        <f t="shared" si="310"/>
        <v>0</v>
      </c>
      <c r="H333" s="84">
        <f t="shared" si="310"/>
        <v>0</v>
      </c>
      <c r="I333" s="84">
        <f t="shared" si="310"/>
        <v>0</v>
      </c>
      <c r="J333" s="84">
        <f t="shared" si="310"/>
        <v>0</v>
      </c>
      <c r="K333" s="84">
        <f t="shared" si="310"/>
        <v>0</v>
      </c>
      <c r="L333" s="84">
        <f t="shared" si="310"/>
        <v>0</v>
      </c>
      <c r="M333" s="84">
        <f t="shared" si="310"/>
        <v>0</v>
      </c>
      <c r="N333" s="84">
        <f t="shared" ref="N333" si="311">IF($B326=2,N323*IF($B323=1,1,N$88)/(1+$B331),N323*IF($B323=1,1,N$88))</f>
        <v>0</v>
      </c>
      <c r="O333" s="84">
        <f t="shared" ref="O333" si="312">IF($B326=2,O323*IF($B323=1,1,O$88)/(1+$B331),O323*IF($B323=1,1,O$88))</f>
        <v>0</v>
      </c>
      <c r="P333" s="84">
        <f t="shared" ref="P333:Q333" si="313">IF($B326=2,P323*IF($B323=1,1,P$88)/(1+$B331),P323*IF($B323=1,1,P$88))</f>
        <v>0</v>
      </c>
      <c r="Q333" s="84">
        <f t="shared" si="313"/>
        <v>0</v>
      </c>
      <c r="S333" s="54">
        <f>SUM(F333:Q333)</f>
        <v>0</v>
      </c>
    </row>
    <row r="334" spans="1:20" s="23" customFormat="1" ht="10.5" hidden="1" outlineLevel="2" x14ac:dyDescent="0.2">
      <c r="A334" t="str">
        <f ca="1">Language!A$386</f>
        <v xml:space="preserve">    общая стоимость актива (без НДС)</v>
      </c>
      <c r="B334" s="55">
        <f>S333+B324+S328</f>
        <v>0</v>
      </c>
      <c r="C334" s="40" t="str">
        <f t="shared" ca="1" si="309"/>
        <v>руб.</v>
      </c>
      <c r="S334" s="11"/>
    </row>
    <row r="335" spans="1:20" s="23" customFormat="1" hidden="1" outlineLevel="2" x14ac:dyDescent="0.2">
      <c r="A335" t="str">
        <f ca="1">Language!A$387</f>
        <v xml:space="preserve">    полная сумма вложений в актив (без НДС)</v>
      </c>
      <c r="C335" s="40" t="str">
        <f t="shared" ca="1" si="309"/>
        <v>руб.</v>
      </c>
      <c r="D335" s="23" t="s">
        <v>2270</v>
      </c>
      <c r="F335" s="53">
        <f>B324+F333+F328</f>
        <v>0</v>
      </c>
      <c r="G335" s="53">
        <f t="shared" ref="G335:Q335" si="314">F335+G333+G328</f>
        <v>0</v>
      </c>
      <c r="H335" s="53">
        <f t="shared" si="314"/>
        <v>0</v>
      </c>
      <c r="I335" s="53">
        <f t="shared" si="314"/>
        <v>0</v>
      </c>
      <c r="J335" s="53">
        <f t="shared" si="314"/>
        <v>0</v>
      </c>
      <c r="K335" s="53">
        <f t="shared" si="314"/>
        <v>0</v>
      </c>
      <c r="L335" s="53">
        <f t="shared" si="314"/>
        <v>0</v>
      </c>
      <c r="M335" s="53">
        <f t="shared" si="314"/>
        <v>0</v>
      </c>
      <c r="N335" s="53">
        <f t="shared" si="314"/>
        <v>0</v>
      </c>
      <c r="O335" s="53">
        <f t="shared" si="314"/>
        <v>0</v>
      </c>
      <c r="P335" s="53">
        <f t="shared" si="314"/>
        <v>0</v>
      </c>
      <c r="Q335" s="53">
        <f t="shared" si="314"/>
        <v>0</v>
      </c>
      <c r="S335" s="54"/>
    </row>
    <row r="336" spans="1:20" s="23" customFormat="1" hidden="1" outlineLevel="2" x14ac:dyDescent="0.2">
      <c r="A336" t="str">
        <f ca="1">Language!A$388</f>
        <v xml:space="preserve">    полная балансовая стоимость</v>
      </c>
      <c r="C336" s="40" t="str">
        <f t="shared" ca="1" si="309"/>
        <v>руб.</v>
      </c>
      <c r="D336" s="23" t="s">
        <v>2271</v>
      </c>
      <c r="F336" s="53">
        <f ca="1">IF($B325&lt;=F$29,IF(SUM($E343:F343)&gt;0.01,0,$B334),0)</f>
        <v>0</v>
      </c>
      <c r="G336" s="53">
        <f ca="1">IF($B325&lt;=G$29,IF(SUM($E343:G343)&gt;0.01,0,$B334),0)</f>
        <v>0</v>
      </c>
      <c r="H336" s="53">
        <f ca="1">IF($B325&lt;=H$29,IF(SUM($E343:H343)&gt;0.01,0,$B334),0)</f>
        <v>0</v>
      </c>
      <c r="I336" s="53">
        <f ca="1">IF($B325&lt;=I$29,IF(SUM($E343:I343)&gt;0.01,0,$B334),0)</f>
        <v>0</v>
      </c>
      <c r="J336" s="53">
        <f ca="1">IF($B325&lt;=J$29,IF(SUM($E343:J343)&gt;0.01,0,$B334),0)</f>
        <v>0</v>
      </c>
      <c r="K336" s="53">
        <f ca="1">IF($B325&lt;=K$29,IF(SUM($E343:K343)&gt;0.01,0,$B334),0)</f>
        <v>0</v>
      </c>
      <c r="L336" s="53">
        <f ca="1">IF($B325&lt;=L$29,IF(SUM($E343:L343)&gt;0.01,0,$B334),0)</f>
        <v>0</v>
      </c>
      <c r="M336" s="53">
        <f ca="1">IF($B325&lt;=M$29,IF(SUM($E343:M343)&gt;0.01,0,$B334),0)</f>
        <v>0</v>
      </c>
      <c r="N336" s="53">
        <f ca="1">IF($B325&lt;=N$29,IF(SUM($E343:N343)&gt;0.01,0,$B334),0)</f>
        <v>0</v>
      </c>
      <c r="O336" s="53">
        <f ca="1">IF($B325&lt;=O$29,IF(SUM($E343:O343)&gt;0.01,0,$B334),0)</f>
        <v>0</v>
      </c>
      <c r="P336" s="53">
        <f ca="1">IF($B325&lt;=P$29,IF(SUM($E343:P343)&gt;0.01,0,$B334),0)</f>
        <v>0</v>
      </c>
      <c r="Q336" s="53">
        <f ca="1">IF($B325&lt;=Q$29,IF(SUM($E343:Q343)&gt;0.01,0,$B334),0)</f>
        <v>0</v>
      </c>
      <c r="S336" s="11"/>
    </row>
    <row r="337" spans="1:19" s="23" customFormat="1" hidden="1" outlineLevel="2" x14ac:dyDescent="0.2">
      <c r="A337" t="str">
        <f ca="1">Language!A$389</f>
        <v xml:space="preserve">    незавершенные инвестиции</v>
      </c>
      <c r="C337" s="40" t="str">
        <f t="shared" ca="1" si="309"/>
        <v>руб.</v>
      </c>
      <c r="D337" s="23" t="s">
        <v>2274</v>
      </c>
      <c r="F337" s="53">
        <f t="shared" ref="F337:M337" ca="1" si="315">IF($B325&gt;F$29,F335,0)</f>
        <v>0</v>
      </c>
      <c r="G337" s="53">
        <f t="shared" ca="1" si="315"/>
        <v>0</v>
      </c>
      <c r="H337" s="53">
        <f t="shared" ca="1" si="315"/>
        <v>0</v>
      </c>
      <c r="I337" s="53">
        <f t="shared" ca="1" si="315"/>
        <v>0</v>
      </c>
      <c r="J337" s="53">
        <f t="shared" ca="1" si="315"/>
        <v>0</v>
      </c>
      <c r="K337" s="53">
        <f t="shared" ca="1" si="315"/>
        <v>0</v>
      </c>
      <c r="L337" s="53">
        <f t="shared" ca="1" si="315"/>
        <v>0</v>
      </c>
      <c r="M337" s="53">
        <f t="shared" ca="1" si="315"/>
        <v>0</v>
      </c>
      <c r="N337" s="53">
        <f t="shared" ref="N337" ca="1" si="316">IF($B325&gt;N$29,N335,0)</f>
        <v>0</v>
      </c>
      <c r="O337" s="53">
        <f t="shared" ref="O337" ca="1" si="317">IF($B325&gt;O$29,O335,0)</f>
        <v>0</v>
      </c>
      <c r="P337" s="53">
        <f t="shared" ref="P337:Q337" ca="1" si="318">IF($B325&gt;P$29,P335,0)</f>
        <v>0</v>
      </c>
      <c r="Q337" s="53">
        <f t="shared" ca="1" si="318"/>
        <v>0</v>
      </c>
      <c r="S337" s="11"/>
    </row>
    <row r="338" spans="1:19" s="23" customFormat="1" hidden="1" outlineLevel="2" x14ac:dyDescent="0.2">
      <c r="A338" t="str">
        <f ca="1">Language!A$390</f>
        <v xml:space="preserve">    кредиторская задолженность</v>
      </c>
      <c r="C338" s="40" t="str">
        <f t="shared" ca="1" si="309"/>
        <v>руб.</v>
      </c>
      <c r="D338" s="23" t="s">
        <v>2275</v>
      </c>
      <c r="F338" s="53">
        <f ca="1">IF(OR($B325&lt;=F$29,AND(SUM($F343:F343)&gt;0,$B325&gt;F$29)),$B334-F335,0)</f>
        <v>0</v>
      </c>
      <c r="G338" s="53">
        <f ca="1">IF(OR($B325&lt;=G$29,AND(SUM($F343:G343)&gt;0,$B325&gt;G$29)),$B334-G335,0)</f>
        <v>0</v>
      </c>
      <c r="H338" s="53">
        <f ca="1">IF(OR($B325&lt;=H$29,AND(SUM($F343:H343)&gt;0,$B325&gt;H$29)),$B334-H335,0)</f>
        <v>0</v>
      </c>
      <c r="I338" s="53">
        <f ca="1">IF(OR($B325&lt;=I$29,AND(SUM($F343:I343)&gt;0,$B325&gt;I$29)),$B334-I335,0)</f>
        <v>0</v>
      </c>
      <c r="J338" s="53">
        <f ca="1">IF(OR($B325&lt;=J$29,AND(SUM($F343:J343)&gt;0,$B325&gt;J$29)),$B334-J335,0)</f>
        <v>0</v>
      </c>
      <c r="K338" s="53">
        <f ca="1">IF(OR($B325&lt;=K$29,AND(SUM($F343:K343)&gt;0,$B325&gt;K$29)),$B334-K335,0)</f>
        <v>0</v>
      </c>
      <c r="L338" s="53">
        <f ca="1">IF(OR($B325&lt;=L$29,AND(SUM($F343:L343)&gt;0,$B325&gt;L$29)),$B334-L335,0)</f>
        <v>0</v>
      </c>
      <c r="M338" s="53">
        <f ca="1">IF(OR($B325&lt;=M$29,AND(SUM($F343:M343)&gt;0,$B325&gt;M$29)),$B334-M335,0)</f>
        <v>0</v>
      </c>
      <c r="N338" s="53">
        <f ca="1">IF(OR($B325&lt;=N$29,AND(SUM($F343:N343)&gt;0,$B325&gt;N$29)),$B334-N335,0)</f>
        <v>0</v>
      </c>
      <c r="O338" s="53">
        <f ca="1">IF(OR($B325&lt;=O$29,AND(SUM($F343:O343)&gt;0,$B325&gt;O$29)),$B334-O335,0)</f>
        <v>0</v>
      </c>
      <c r="P338" s="53">
        <f ca="1">IF(OR($B325&lt;=P$29,AND(SUM($F343:P343)&gt;0,$B325&gt;P$29)),$B334-P335,0)</f>
        <v>0</v>
      </c>
      <c r="Q338" s="53">
        <f ca="1">IF(OR($B325&lt;=Q$29,AND(SUM($F343:Q343)&gt;0,$B325&gt;Q$29)),$B334-Q335,0)</f>
        <v>0</v>
      </c>
      <c r="S338" s="11"/>
    </row>
    <row r="339" spans="1:19" s="23" customFormat="1" hidden="1" outlineLevel="2" x14ac:dyDescent="0.2">
      <c r="A339" t="str">
        <f ca="1">Language!A$397</f>
        <v xml:space="preserve">    накопленная амортизация</v>
      </c>
      <c r="C339" s="40" t="str">
        <f t="shared" ca="1" si="309"/>
        <v>руб.</v>
      </c>
      <c r="D339" s="23" t="s">
        <v>2272</v>
      </c>
      <c r="F339" s="53">
        <f t="shared" ref="F339:Q339" ca="1" si="319">E339+F330+F329</f>
        <v>0</v>
      </c>
      <c r="G339" s="53">
        <f t="shared" ca="1" si="319"/>
        <v>0</v>
      </c>
      <c r="H339" s="53">
        <f t="shared" ca="1" si="319"/>
        <v>0</v>
      </c>
      <c r="I339" s="53">
        <f t="shared" ca="1" si="319"/>
        <v>0</v>
      </c>
      <c r="J339" s="53">
        <f t="shared" ca="1" si="319"/>
        <v>0</v>
      </c>
      <c r="K339" s="53">
        <f t="shared" ca="1" si="319"/>
        <v>0</v>
      </c>
      <c r="L339" s="53">
        <f t="shared" ca="1" si="319"/>
        <v>0</v>
      </c>
      <c r="M339" s="53">
        <f t="shared" ca="1" si="319"/>
        <v>0</v>
      </c>
      <c r="N339" s="53">
        <f t="shared" ca="1" si="319"/>
        <v>0</v>
      </c>
      <c r="O339" s="53">
        <f t="shared" ca="1" si="319"/>
        <v>0</v>
      </c>
      <c r="P339" s="53">
        <f t="shared" ca="1" si="319"/>
        <v>0</v>
      </c>
      <c r="Q339" s="53">
        <f t="shared" ca="1" si="319"/>
        <v>0</v>
      </c>
      <c r="S339" s="11"/>
    </row>
    <row r="340" spans="1:19" s="23" customFormat="1" hidden="1" outlineLevel="2" x14ac:dyDescent="0.2">
      <c r="A340" t="str">
        <f ca="1">Language!A$391</f>
        <v xml:space="preserve">    остаточная стоимость</v>
      </c>
      <c r="C340" s="40" t="str">
        <f t="shared" ca="1" si="309"/>
        <v>руб.</v>
      </c>
      <c r="D340" s="23" t="s">
        <v>2273</v>
      </c>
      <c r="F340" s="43">
        <f ca="1">IF(SUM($E343:F343)&gt;0.01,0,F336-F339)</f>
        <v>0</v>
      </c>
      <c r="G340" s="43">
        <f ca="1">IF(SUM($E343:G343)&gt;0.01,0,G336-G339)</f>
        <v>0</v>
      </c>
      <c r="H340" s="43">
        <f ca="1">IF(SUM($E343:H343)&gt;0.01,0,H336-H339)</f>
        <v>0</v>
      </c>
      <c r="I340" s="43">
        <f ca="1">IF(SUM($E343:I343)&gt;0.01,0,I336-I339)</f>
        <v>0</v>
      </c>
      <c r="J340" s="43">
        <f ca="1">IF(SUM($E343:J343)&gt;0.01,0,J336-J339)</f>
        <v>0</v>
      </c>
      <c r="K340" s="43">
        <f ca="1">IF(SUM($E343:K343)&gt;0.01,0,K336-K339)</f>
        <v>0</v>
      </c>
      <c r="L340" s="43">
        <f ca="1">IF(SUM($E343:L343)&gt;0.01,0,L336-L339)</f>
        <v>0</v>
      </c>
      <c r="M340" s="43">
        <f ca="1">IF(SUM($E343:M343)&gt;0.01,0,M336-M339)</f>
        <v>0</v>
      </c>
      <c r="N340" s="43">
        <f ca="1">IF(SUM($E343:N343)&gt;0.01,0,N336-N339)</f>
        <v>0</v>
      </c>
      <c r="O340" s="43">
        <f ca="1">IF(SUM($E343:O343)&gt;0.01,0,O336-O339)</f>
        <v>0</v>
      </c>
      <c r="P340" s="43">
        <f ca="1">IF(SUM($E343:P343)&gt;0.01,0,P336-P339)</f>
        <v>0</v>
      </c>
      <c r="Q340" s="43">
        <f ca="1">IF(SUM($E343:Q343)&gt;0.01,0,Q336-Q339)</f>
        <v>0</v>
      </c>
      <c r="S340" s="11"/>
    </row>
    <row r="341" spans="1:19" s="23" customFormat="1" hidden="1" outlineLevel="2" x14ac:dyDescent="0.2">
      <c r="A341" t="str">
        <f ca="1">Language!A$398</f>
        <v xml:space="preserve">    НДС к ранее осуществленным инвестициям</v>
      </c>
      <c r="B341" s="262">
        <f>B324*B331</f>
        <v>0</v>
      </c>
      <c r="C341" s="40" t="str">
        <f t="shared" ca="1" si="309"/>
        <v>руб.</v>
      </c>
      <c r="D341" s="23" t="s">
        <v>2266</v>
      </c>
      <c r="S341" s="11"/>
    </row>
    <row r="342" spans="1:19" s="23" customFormat="1" hidden="1" outlineLevel="2" x14ac:dyDescent="0.2">
      <c r="A342" t="str">
        <f ca="1">Language!A$399</f>
        <v xml:space="preserve">    зачет НДС</v>
      </c>
      <c r="C342" s="40" t="str">
        <f t="shared" ca="1" si="309"/>
        <v>руб.</v>
      </c>
      <c r="D342" s="133" t="s">
        <v>2267</v>
      </c>
      <c r="F342" s="111">
        <f ca="1">IF($B332=2,IF($B325=F$29,$B341+$S331,0),F331+B341)</f>
        <v>0</v>
      </c>
      <c r="G342" s="111">
        <f ca="1">IF($B332=2,IF($B325=G$29,$B341+$S331,0),G331)</f>
        <v>0</v>
      </c>
      <c r="H342" s="111">
        <f ca="1">IF($B332=2,IF($B325=H$29,$B341+$S331,0),H331)</f>
        <v>0</v>
      </c>
      <c r="I342" s="111">
        <f ca="1">IF($B332=2,IF($B325=I$29,$B341+$S331,0),I331)</f>
        <v>0</v>
      </c>
      <c r="J342" s="111">
        <f ca="1">IF($B332=2,IF($B325=J$29,$B341+$S331,0),J331)</f>
        <v>0</v>
      </c>
      <c r="K342" s="111">
        <f ca="1">IF($B332=2,IF($B325=K$29,$B341+$S331,0),K331)</f>
        <v>0</v>
      </c>
      <c r="L342" s="111">
        <f ca="1">IF($B332=2,IF($B325=L$29,$B341+$S331,0),L331)</f>
        <v>0</v>
      </c>
      <c r="M342" s="111">
        <f ca="1">IF($B332=2,IF($B325=M$29,$B341+$S331,0),M331)</f>
        <v>0</v>
      </c>
      <c r="N342" s="111">
        <f ca="1">IF($B332=2,IF($B325=N$29,$B341+$S331,0),N331)</f>
        <v>0</v>
      </c>
      <c r="O342" s="111">
        <f ca="1">IF($B332=2,IF($B325=O$29,$B341+$S331,0),O331)</f>
        <v>0</v>
      </c>
      <c r="P342" s="111">
        <f ca="1">IF($B332=2,IF($B325=P$29,$B341+$S331,0),P331)</f>
        <v>0</v>
      </c>
      <c r="Q342" s="111">
        <f ca="1">IF($B332=2,IF($B325=Q$29,$B341+$S331,0),Q331)</f>
        <v>0</v>
      </c>
      <c r="S342" s="54">
        <f ca="1">SUM(F342:Q342)</f>
        <v>0</v>
      </c>
    </row>
    <row r="343" spans="1:19" s="23" customFormat="1" hidden="1" outlineLevel="2" x14ac:dyDescent="0.2">
      <c r="A343" s="63" t="str">
        <f ca="1">Language!A$361</f>
        <v xml:space="preserve">    реализация актива (без НДС)</v>
      </c>
      <c r="B343" s="112"/>
      <c r="C343" s="114" t="str">
        <f t="shared" ca="1" si="309"/>
        <v>руб.</v>
      </c>
      <c r="D343" s="23" t="s">
        <v>2268</v>
      </c>
      <c r="E343" s="112"/>
      <c r="F343" s="272">
        <v>0</v>
      </c>
      <c r="G343" s="272">
        <v>0</v>
      </c>
      <c r="H343" s="272">
        <v>0</v>
      </c>
      <c r="I343" s="272">
        <v>0</v>
      </c>
      <c r="J343" s="272">
        <v>0</v>
      </c>
      <c r="K343" s="272">
        <v>0</v>
      </c>
      <c r="L343" s="272">
        <v>0</v>
      </c>
      <c r="M343" s="272">
        <v>0</v>
      </c>
      <c r="N343" s="272">
        <v>0</v>
      </c>
      <c r="O343" s="272">
        <v>0</v>
      </c>
      <c r="P343" s="272">
        <v>0</v>
      </c>
      <c r="Q343" s="272">
        <v>0</v>
      </c>
      <c r="S343" s="54">
        <f>SUM(F343:Q343)</f>
        <v>0</v>
      </c>
    </row>
    <row r="344" spans="1:19" s="23" customFormat="1" hidden="1" outlineLevel="2" x14ac:dyDescent="0.2">
      <c r="A344" s="19" t="str">
        <f ca="1">Language!A$362</f>
        <v xml:space="preserve">    прибыль/убыток от реализации актива</v>
      </c>
      <c r="B344" s="24"/>
      <c r="C344" s="115" t="str">
        <f t="shared" ca="1" si="309"/>
        <v>руб.</v>
      </c>
      <c r="D344" s="23" t="s">
        <v>2269</v>
      </c>
      <c r="E344" s="24"/>
      <c r="F344" s="111">
        <f t="shared" ref="F344:Q344" si="320">IF(F343=0,0,F343-E340)</f>
        <v>0</v>
      </c>
      <c r="G344" s="111">
        <f t="shared" si="320"/>
        <v>0</v>
      </c>
      <c r="H344" s="111">
        <f t="shared" si="320"/>
        <v>0</v>
      </c>
      <c r="I344" s="111">
        <f t="shared" si="320"/>
        <v>0</v>
      </c>
      <c r="J344" s="111">
        <f t="shared" si="320"/>
        <v>0</v>
      </c>
      <c r="K344" s="111">
        <f t="shared" si="320"/>
        <v>0</v>
      </c>
      <c r="L344" s="111">
        <f t="shared" si="320"/>
        <v>0</v>
      </c>
      <c r="M344" s="111">
        <f t="shared" si="320"/>
        <v>0</v>
      </c>
      <c r="N344" s="111">
        <f t="shared" si="320"/>
        <v>0</v>
      </c>
      <c r="O344" s="111">
        <f t="shared" si="320"/>
        <v>0</v>
      </c>
      <c r="P344" s="111">
        <f t="shared" si="320"/>
        <v>0</v>
      </c>
      <c r="Q344" s="111">
        <f t="shared" si="320"/>
        <v>0</v>
      </c>
      <c r="S344" s="54">
        <f>SUM(F344:Q344)</f>
        <v>0</v>
      </c>
    </row>
    <row r="345" spans="1:19" s="23" customFormat="1" hidden="1" outlineLevel="2" x14ac:dyDescent="0.2">
      <c r="A345" t="str">
        <f ca="1">Language!A$400</f>
        <v xml:space="preserve">    НДС к выручке от реализации актива</v>
      </c>
      <c r="B345" s="273">
        <f>VAT</f>
        <v>0</v>
      </c>
      <c r="C345" s="40" t="str">
        <f t="shared" ca="1" si="309"/>
        <v>руб.</v>
      </c>
      <c r="D345" s="23" t="s">
        <v>549</v>
      </c>
      <c r="F345">
        <f t="shared" ref="F345:M345" si="321">F343*$B345</f>
        <v>0</v>
      </c>
      <c r="G345">
        <f t="shared" si="321"/>
        <v>0</v>
      </c>
      <c r="H345">
        <f t="shared" si="321"/>
        <v>0</v>
      </c>
      <c r="I345">
        <f t="shared" si="321"/>
        <v>0</v>
      </c>
      <c r="J345">
        <f t="shared" si="321"/>
        <v>0</v>
      </c>
      <c r="K345">
        <f t="shared" si="321"/>
        <v>0</v>
      </c>
      <c r="L345">
        <f t="shared" si="321"/>
        <v>0</v>
      </c>
      <c r="M345">
        <f t="shared" si="321"/>
        <v>0</v>
      </c>
      <c r="N345">
        <f t="shared" ref="N345" si="322">N343*$B345</f>
        <v>0</v>
      </c>
      <c r="O345">
        <f t="shared" ref="O345" si="323">O343*$B345</f>
        <v>0</v>
      </c>
      <c r="P345">
        <f t="shared" ref="P345:Q345" si="324">P343*$B345</f>
        <v>0</v>
      </c>
      <c r="Q345">
        <f t="shared" si="324"/>
        <v>0</v>
      </c>
      <c r="S345" s="54">
        <f>SUM(F345:Q345)</f>
        <v>0</v>
      </c>
    </row>
    <row r="346" spans="1:19" ht="12" customHeight="1" outlineLevel="1" x14ac:dyDescent="0.25">
      <c r="A346" s="35"/>
    </row>
    <row r="347" spans="1:19" s="23" customFormat="1" ht="10.5" outlineLevel="1" x14ac:dyDescent="0.25">
      <c r="A347" s="130" t="str">
        <f ca="1">Language!A$405</f>
        <v>Нематериальные активы</v>
      </c>
      <c r="D347" s="23">
        <v>1</v>
      </c>
      <c r="E347" s="52">
        <v>21</v>
      </c>
      <c r="F347" s="109"/>
      <c r="G347" s="109"/>
      <c r="S347" s="11"/>
    </row>
    <row r="348" spans="1:19" s="23" customFormat="1" outlineLevel="1" x14ac:dyDescent="0.2">
      <c r="A348" s="274" t="str">
        <f ca="1">Language!A$379</f>
        <v>Наименование</v>
      </c>
      <c r="B348" s="36" t="str">
        <f ca="1">Language!A$73</f>
        <v>Валюта</v>
      </c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S348" s="39"/>
    </row>
    <row r="349" spans="1:19" s="23" customFormat="1" outlineLevel="1" collapsed="1" x14ac:dyDescent="0.2">
      <c r="A349" t="str">
        <f ca="1">Language!A$381</f>
        <v xml:space="preserve">    величина платежей (с НДС)</v>
      </c>
      <c r="B349" s="255">
        <v>1</v>
      </c>
      <c r="C349" s="40" t="str">
        <f ca="1">CHOOSE(B349,CUR_Main,CUR_Foreign)</f>
        <v>руб.</v>
      </c>
      <c r="D349" s="16" t="str">
        <f>TEXT(B349,"0")&amp;"_00"</f>
        <v>1_00</v>
      </c>
      <c r="F349" s="276">
        <v>0</v>
      </c>
      <c r="G349" s="276">
        <v>0</v>
      </c>
      <c r="H349" s="276">
        <v>0</v>
      </c>
      <c r="I349" s="276">
        <v>0</v>
      </c>
      <c r="J349" s="276">
        <v>0</v>
      </c>
      <c r="K349" s="276">
        <v>0</v>
      </c>
      <c r="L349" s="276">
        <v>0</v>
      </c>
      <c r="M349" s="276">
        <v>0</v>
      </c>
      <c r="N349" s="276">
        <v>0</v>
      </c>
      <c r="O349" s="276">
        <v>0</v>
      </c>
      <c r="P349" s="276">
        <v>0</v>
      </c>
      <c r="Q349" s="276">
        <v>0</v>
      </c>
      <c r="S349" s="54">
        <f>SUM(F349:Q349)</f>
        <v>0</v>
      </c>
    </row>
    <row r="350" spans="1:19" s="23" customFormat="1" hidden="1" outlineLevel="2" x14ac:dyDescent="0.2">
      <c r="A350" t="str">
        <f ca="1">Language!A$383</f>
        <v xml:space="preserve">    ранее осуществленные инвестиции (без НДС)</v>
      </c>
      <c r="B350" s="275">
        <f>F47*IF(B$37=1,1,F$88)</f>
        <v>0</v>
      </c>
      <c r="C350" s="40" t="str">
        <f ca="1">CUR_Main</f>
        <v>руб.</v>
      </c>
      <c r="D350" s="23" t="s">
        <v>2621</v>
      </c>
      <c r="S350" s="11"/>
    </row>
    <row r="351" spans="1:19" s="23" customFormat="1" hidden="1" outlineLevel="2" x14ac:dyDescent="0.2">
      <c r="A351" t="str">
        <f ca="1">Language!A$384</f>
        <v xml:space="preserve">    поставить на баланс с</v>
      </c>
      <c r="B351" s="271">
        <f ca="1">MATCH(OFFSET(S358,0,-2),F358:Q358,0)</f>
        <v>1</v>
      </c>
      <c r="C351" s="40" t="str">
        <f ca="1">Language!A$376</f>
        <v>периода</v>
      </c>
      <c r="S351" s="11"/>
    </row>
    <row r="352" spans="1:19" s="23" customFormat="1" hidden="1" outlineLevel="2" x14ac:dyDescent="0.2">
      <c r="A352" t="str">
        <f ca="1">Language!A$393</f>
        <v xml:space="preserve">    амортизация (линейная),       для срока использования:</v>
      </c>
      <c r="B352" s="271">
        <v>0</v>
      </c>
      <c r="C352" s="40" t="str">
        <f ca="1">Language!A$33</f>
        <v>лет</v>
      </c>
      <c r="D352" s="132" t="s">
        <v>2224</v>
      </c>
      <c r="F352" s="53">
        <f>IF(AND($B352&gt;0,SUM($E366:F366)&lt;=0.01),MIN(F359*100%/$B352*PRJ_Step/360,E363+F359-E359),0)</f>
        <v>0</v>
      </c>
      <c r="G352" s="53">
        <f>IF(AND($B352&gt;0,SUM($E366:G366)&lt;=0.01),MIN(G359*100%/$B352*PRJ_Step/360,F363+G359-F359),0)</f>
        <v>0</v>
      </c>
      <c r="H352" s="53">
        <f>IF(AND($B352&gt;0,SUM($E366:H366)&lt;=0.01),MIN(H359*100%/$B352*PRJ_Step/360,G363+H359-G359),0)</f>
        <v>0</v>
      </c>
      <c r="I352" s="53">
        <f>IF(AND($B352&gt;0,SUM($E366:I366)&lt;=0.01),MIN(I359*100%/$B352*PRJ_Step/360,H363+I359-H359),0)</f>
        <v>0</v>
      </c>
      <c r="J352" s="53">
        <f>IF(AND($B352&gt;0,SUM($E366:J366)&lt;=0.01),MIN(J359*100%/$B352*PRJ_Step/360,I363+J359-I359),0)</f>
        <v>0</v>
      </c>
      <c r="K352" s="53">
        <f>IF(AND($B352&gt;0,SUM($E366:K366)&lt;=0.01),MIN(K359*100%/$B352*PRJ_Step/360,J363+K359-J359),0)</f>
        <v>0</v>
      </c>
      <c r="L352" s="53">
        <f>IF(AND($B352&gt;0,SUM($E366:L366)&lt;=0.01),MIN(L359*100%/$B352*PRJ_Step/360,K363+L359-K359),0)</f>
        <v>0</v>
      </c>
      <c r="M352" s="53">
        <f>IF(AND($B352&gt;0,SUM($E366:M366)&lt;=0.01),MIN(M359*100%/$B352*PRJ_Step/360,L363+M359-L359),0)</f>
        <v>0</v>
      </c>
      <c r="N352" s="53">
        <f>IF(AND($B352&gt;0,SUM($E366:N366)&lt;=0.01),MIN(N359*100%/$B352*PRJ_Step/360,M363+N359-M359),0)</f>
        <v>0</v>
      </c>
      <c r="O352" s="53">
        <f>IF(AND($B352&gt;0,SUM($E366:O366)&lt;=0.01),MIN(O359*100%/$B352*PRJ_Step/360,N363+O359-N359),0)</f>
        <v>0</v>
      </c>
      <c r="P352" s="53">
        <f>IF(AND($B352&gt;0,SUM($E366:P366)&lt;=0.01),MIN(P359*100%/$B352*PRJ_Step/360,O363+P359-O359),0)</f>
        <v>0</v>
      </c>
      <c r="Q352" s="53">
        <f>IF(AND($B352&gt;0,SUM($E366:Q366)&lt;=0.01),MIN(Q359*100%/$B352*PRJ_Step/360,P363+Q359-P359),0)</f>
        <v>0</v>
      </c>
      <c r="S352" s="54">
        <f>SUM(F352:Q352)</f>
        <v>0</v>
      </c>
    </row>
    <row r="353" spans="1:19" s="23" customFormat="1" hidden="1" outlineLevel="2" x14ac:dyDescent="0.2">
      <c r="A353" t="str">
        <f ca="1">Language!A$394</f>
        <v xml:space="preserve">    амортизация (ускоренная),    для срока использования:</v>
      </c>
      <c r="B353" s="271">
        <v>0</v>
      </c>
      <c r="C353" s="40" t="str">
        <f ca="1">Language!A$33</f>
        <v>лет</v>
      </c>
      <c r="D353" s="23" t="s">
        <v>2264</v>
      </c>
      <c r="F353" s="53">
        <f ca="1">IF(SUM($E366:F366)&lt;=0.01,IF(OR($B353=0,E363+F359-E359=0),0,IF($B352&gt;0,0,IF(E363+F359-E359&gt;0.2*F359,MIN((E363+F359-E359)*2/$B353*PRJ_Step/360,E363+F359-E359),MIN(E363+F359-E359,F359*PRJ_Step/360/IF($B353&lt;4,1,IF($B353&gt;5,3,2)))))),0)</f>
        <v>0</v>
      </c>
      <c r="G353" s="53">
        <f ca="1">IF(SUM($E366:G366)&lt;=0.01,IF(OR($B353=0,F363+G359-F359=0),0,IF($B352&gt;0,0,IF(F363+G359-F359&gt;0.2*G359,MIN((F363+G359-F359)*2/$B353*PRJ_Step/360,F363+G359-F359),MIN(F363+G359-F359,G359*PRJ_Step/360/IF($B353&lt;4,1,IF($B353&gt;5,3,2)))))),0)</f>
        <v>0</v>
      </c>
      <c r="H353" s="53">
        <f ca="1">IF(SUM($E366:H366)&lt;=0.01,IF(OR($B353=0,G363+H359-G359=0),0,IF($B352&gt;0,0,IF(G363+H359-G359&gt;0.2*H359,MIN((G363+H359-G359)*2/$B353*PRJ_Step/360,G363+H359-G359),MIN(G363+H359-G359,H359*PRJ_Step/360/IF($B353&lt;4,1,IF($B353&gt;5,3,2)))))),0)</f>
        <v>0</v>
      </c>
      <c r="I353" s="53">
        <f ca="1">IF(SUM($E366:I366)&lt;=0.01,IF(OR($B353=0,H363+I359-H359=0),0,IF($B352&gt;0,0,IF(H363+I359-H359&gt;0.2*I359,MIN((H363+I359-H359)*2/$B353*PRJ_Step/360,H363+I359-H359),MIN(H363+I359-H359,I359*PRJ_Step/360/IF($B353&lt;4,1,IF($B353&gt;5,3,2)))))),0)</f>
        <v>0</v>
      </c>
      <c r="J353" s="53">
        <f ca="1">IF(SUM($E366:J366)&lt;=0.01,IF(OR($B353=0,I363+J359-I359=0),0,IF($B352&gt;0,0,IF(I363+J359-I359&gt;0.2*J359,MIN((I363+J359-I359)*2/$B353*PRJ_Step/360,I363+J359-I359),MIN(I363+J359-I359,J359*PRJ_Step/360/IF($B353&lt;4,1,IF($B353&gt;5,3,2)))))),0)</f>
        <v>0</v>
      </c>
      <c r="K353" s="53">
        <f ca="1">IF(SUM($E366:K366)&lt;=0.01,IF(OR($B353=0,J363+K359-J359=0),0,IF($B352&gt;0,0,IF(J363+K359-J359&gt;0.2*K359,MIN((J363+K359-J359)*2/$B353*PRJ_Step/360,J363+K359-J359),MIN(J363+K359-J359,K359*PRJ_Step/360/IF($B353&lt;4,1,IF($B353&gt;5,3,2)))))),0)</f>
        <v>0</v>
      </c>
      <c r="L353" s="53">
        <f ca="1">IF(SUM($E366:L366)&lt;=0.01,IF(OR($B353=0,K363+L359-K359=0),0,IF($B352&gt;0,0,IF(K363+L359-K359&gt;0.2*L359,MIN((K363+L359-K359)*2/$B353*PRJ_Step/360,K363+L359-K359),MIN(K363+L359-K359,L359*PRJ_Step/360/IF($B353&lt;4,1,IF($B353&gt;5,3,2)))))),0)</f>
        <v>0</v>
      </c>
      <c r="M353" s="53">
        <f ca="1">IF(SUM($E366:M366)&lt;=0.01,IF(OR($B353=0,L363+M359-L359=0),0,IF($B352&gt;0,0,IF(L363+M359-L359&gt;0.2*M359,MIN((L363+M359-L359)*2/$B353*PRJ_Step/360,L363+M359-L359),MIN(L363+M359-L359,M359*PRJ_Step/360/IF($B353&lt;4,1,IF($B353&gt;5,3,2)))))),0)</f>
        <v>0</v>
      </c>
      <c r="N353" s="53">
        <f ca="1">IF(SUM($E366:N366)&lt;=0.01,IF(OR($B353=0,M363+N359-M359=0),0,IF($B352&gt;0,0,IF(M363+N359-M359&gt;0.2*N359,MIN((M363+N359-M359)*2/$B353*PRJ_Step/360,M363+N359-M359),MIN(M363+N359-M359,N359*PRJ_Step/360/IF($B353&lt;4,1,IF($B353&gt;5,3,2)))))),0)</f>
        <v>0</v>
      </c>
      <c r="O353" s="53">
        <f ca="1">IF(SUM($E366:O366)&lt;=0.01,IF(OR($B353=0,N363+O359-N359=0),0,IF($B352&gt;0,0,IF(N363+O359-N359&gt;0.2*O359,MIN((N363+O359-N359)*2/$B353*PRJ_Step/360,N363+O359-N359),MIN(N363+O359-N359,O359*PRJ_Step/360/IF($B353&lt;4,1,IF($B353&gt;5,3,2)))))),0)</f>
        <v>0</v>
      </c>
      <c r="P353" s="53">
        <f ca="1">IF(SUM($E366:P366)&lt;=0.01,IF(OR($B353=0,O363+P359-O359=0),0,IF($B352&gt;0,0,IF(O363+P359-O359&gt;0.2*P359,MIN((O363+P359-O359)*2/$B353*PRJ_Step/360,O363+P359-O359),MIN(O363+P359-O359,P359*PRJ_Step/360/IF($B353&lt;4,1,IF($B353&gt;5,3,2)))))),0)</f>
        <v>0</v>
      </c>
      <c r="Q353" s="53">
        <f ca="1">IF(SUM($E366:Q366)&lt;=0.01,IF(OR($B353=0,P363+Q359-P359=0),0,IF($B352&gt;0,0,IF(P363+Q359-P359&gt;0.2*Q359,MIN((P363+Q359-P359)*2/$B353*PRJ_Step/360,P363+Q359-P359),MIN(P363+Q359-P359,Q359*PRJ_Step/360/IF($B353&lt;4,1,IF($B353&gt;5,3,2)))))),0)</f>
        <v>0</v>
      </c>
      <c r="S353" s="54">
        <f ca="1">SUM(F353:Q353)</f>
        <v>0</v>
      </c>
    </row>
    <row r="354" spans="1:19" s="23" customFormat="1" hidden="1" outlineLevel="2" x14ac:dyDescent="0.2">
      <c r="A354" t="str">
        <f ca="1">Language!A$395</f>
        <v xml:space="preserve">    выплаченный НДС</v>
      </c>
      <c r="B354" s="273">
        <f>VAT</f>
        <v>0</v>
      </c>
      <c r="C354" s="40" t="str">
        <f ca="1">CUR_Main</f>
        <v>руб.</v>
      </c>
      <c r="D354" s="23" t="s">
        <v>2265</v>
      </c>
      <c r="F354" s="111">
        <f t="shared" ref="F354:M354" si="325">F356*$B354</f>
        <v>0</v>
      </c>
      <c r="G354" s="111">
        <f t="shared" si="325"/>
        <v>0</v>
      </c>
      <c r="H354" s="111">
        <f t="shared" si="325"/>
        <v>0</v>
      </c>
      <c r="I354" s="111">
        <f t="shared" si="325"/>
        <v>0</v>
      </c>
      <c r="J354" s="111">
        <f t="shared" si="325"/>
        <v>0</v>
      </c>
      <c r="K354" s="111">
        <f t="shared" si="325"/>
        <v>0</v>
      </c>
      <c r="L354" s="111">
        <f t="shared" si="325"/>
        <v>0</v>
      </c>
      <c r="M354" s="111">
        <f t="shared" si="325"/>
        <v>0</v>
      </c>
      <c r="N354" s="111">
        <f t="shared" ref="N354" si="326">N356*$B354</f>
        <v>0</v>
      </c>
      <c r="O354" s="111">
        <f t="shared" ref="O354" si="327">O356*$B354</f>
        <v>0</v>
      </c>
      <c r="P354" s="111">
        <f t="shared" ref="P354:Q354" si="328">P356*$B354</f>
        <v>0</v>
      </c>
      <c r="Q354" s="111">
        <f t="shared" si="328"/>
        <v>0</v>
      </c>
      <c r="S354" s="54">
        <f>SUM(F354:Q354)</f>
        <v>0</v>
      </c>
    </row>
    <row r="355" spans="1:19" s="23" customFormat="1" hidden="1" outlineLevel="2" x14ac:dyDescent="0.2">
      <c r="A355" t="str">
        <f ca="1">Language!A$396</f>
        <v xml:space="preserve">    вариант зачета НДС</v>
      </c>
      <c r="B355" s="255">
        <v>2</v>
      </c>
      <c r="C355" s="85" t="str">
        <f ca="1">CHOOSE(B355,Language!A$372,Language!A$373)</f>
        <v>после постановки актива на баланс</v>
      </c>
      <c r="F355" s="111"/>
      <c r="G355" s="111"/>
      <c r="H355" s="111"/>
      <c r="I355" s="111"/>
      <c r="J355" s="111"/>
      <c r="K355" s="111"/>
      <c r="L355" s="111"/>
      <c r="M355" s="111"/>
      <c r="N355" s="111"/>
      <c r="O355" s="111"/>
      <c r="P355" s="111"/>
      <c r="Q355" s="111"/>
      <c r="S355" s="54"/>
    </row>
    <row r="356" spans="1:19" s="23" customFormat="1" hidden="1" outlineLevel="2" x14ac:dyDescent="0.2">
      <c r="A356" t="str">
        <f ca="1">Language!A$385</f>
        <v xml:space="preserve">    сумма платежей без НДС</v>
      </c>
      <c r="C356" s="40" t="str">
        <f t="shared" ref="C356:C368" ca="1" si="329">CUR_Main</f>
        <v>руб.</v>
      </c>
      <c r="D356" s="23" t="s">
        <v>188</v>
      </c>
      <c r="F356" s="84">
        <f t="shared" ref="F356:M356" si="330">F349*IF($B349=1,1,F$88)/(1+$B354)</f>
        <v>0</v>
      </c>
      <c r="G356" s="84">
        <f t="shared" si="330"/>
        <v>0</v>
      </c>
      <c r="H356" s="84">
        <f t="shared" si="330"/>
        <v>0</v>
      </c>
      <c r="I356" s="84">
        <f t="shared" si="330"/>
        <v>0</v>
      </c>
      <c r="J356" s="84">
        <f t="shared" si="330"/>
        <v>0</v>
      </c>
      <c r="K356" s="84">
        <f t="shared" si="330"/>
        <v>0</v>
      </c>
      <c r="L356" s="84">
        <f t="shared" si="330"/>
        <v>0</v>
      </c>
      <c r="M356" s="84">
        <f t="shared" si="330"/>
        <v>0</v>
      </c>
      <c r="N356" s="84">
        <f t="shared" ref="N356" si="331">N349*IF($B349=1,1,N$88)/(1+$B354)</f>
        <v>0</v>
      </c>
      <c r="O356" s="84">
        <f t="shared" ref="O356" si="332">O349*IF($B349=1,1,O$88)/(1+$B354)</f>
        <v>0</v>
      </c>
      <c r="P356" s="84">
        <f t="shared" ref="P356:Q356" si="333">P349*IF($B349=1,1,P$88)/(1+$B354)</f>
        <v>0</v>
      </c>
      <c r="Q356" s="84">
        <f t="shared" si="333"/>
        <v>0</v>
      </c>
      <c r="S356" s="54">
        <f>SUM(F356:Q356)</f>
        <v>0</v>
      </c>
    </row>
    <row r="357" spans="1:19" s="23" customFormat="1" ht="10.5" hidden="1" outlineLevel="2" x14ac:dyDescent="0.2">
      <c r="A357" t="str">
        <f ca="1">Language!A$386</f>
        <v xml:space="preserve">    общая стоимость актива (без НДС)</v>
      </c>
      <c r="B357" s="55">
        <f>S356+B350</f>
        <v>0</v>
      </c>
      <c r="C357" s="40" t="str">
        <f t="shared" ca="1" si="329"/>
        <v>руб.</v>
      </c>
      <c r="S357" s="11"/>
    </row>
    <row r="358" spans="1:19" s="23" customFormat="1" hidden="1" outlineLevel="2" x14ac:dyDescent="0.2">
      <c r="A358" t="str">
        <f ca="1">Language!A$387</f>
        <v xml:space="preserve">    полная сумма вложений в актив (без НДС)</v>
      </c>
      <c r="C358" s="40" t="str">
        <f t="shared" ca="1" si="329"/>
        <v>руб.</v>
      </c>
      <c r="D358" s="23" t="s">
        <v>2270</v>
      </c>
      <c r="F358" s="53">
        <f>B350+F356</f>
        <v>0</v>
      </c>
      <c r="G358" s="53">
        <f t="shared" ref="G358:Q358" si="334">F358+G356</f>
        <v>0</v>
      </c>
      <c r="H358" s="53">
        <f t="shared" si="334"/>
        <v>0</v>
      </c>
      <c r="I358" s="53">
        <f t="shared" si="334"/>
        <v>0</v>
      </c>
      <c r="J358" s="53">
        <f t="shared" si="334"/>
        <v>0</v>
      </c>
      <c r="K358" s="53">
        <f t="shared" si="334"/>
        <v>0</v>
      </c>
      <c r="L358" s="53">
        <f t="shared" si="334"/>
        <v>0</v>
      </c>
      <c r="M358" s="53">
        <f t="shared" si="334"/>
        <v>0</v>
      </c>
      <c r="N358" s="53">
        <f t="shared" si="334"/>
        <v>0</v>
      </c>
      <c r="O358" s="53">
        <f t="shared" si="334"/>
        <v>0</v>
      </c>
      <c r="P358" s="53">
        <f t="shared" si="334"/>
        <v>0</v>
      </c>
      <c r="Q358" s="53">
        <f t="shared" si="334"/>
        <v>0</v>
      </c>
      <c r="S358" s="54"/>
    </row>
    <row r="359" spans="1:19" s="23" customFormat="1" hidden="1" outlineLevel="2" x14ac:dyDescent="0.2">
      <c r="A359" t="str">
        <f ca="1">Language!A$388</f>
        <v xml:space="preserve">    полная балансовая стоимость</v>
      </c>
      <c r="C359" s="40" t="str">
        <f t="shared" ca="1" si="329"/>
        <v>руб.</v>
      </c>
      <c r="D359" s="23" t="s">
        <v>2271</v>
      </c>
      <c r="F359" s="53">
        <f ca="1">IF($B351&lt;=F$29,IF(SUM($E366:F366)&gt;0.01,0,$B357),0)</f>
        <v>0</v>
      </c>
      <c r="G359" s="53">
        <f ca="1">IF($B351&lt;=G$29,IF(SUM($E366:G366)&gt;0.01,0,$B357),0)</f>
        <v>0</v>
      </c>
      <c r="H359" s="53">
        <f ca="1">IF($B351&lt;=H$29,IF(SUM($E366:H366)&gt;0.01,0,$B357),0)</f>
        <v>0</v>
      </c>
      <c r="I359" s="53">
        <f ca="1">IF($B351&lt;=I$29,IF(SUM($E366:I366)&gt;0.01,0,$B357),0)</f>
        <v>0</v>
      </c>
      <c r="J359" s="53">
        <f ca="1">IF($B351&lt;=J$29,IF(SUM($E366:J366)&gt;0.01,0,$B357),0)</f>
        <v>0</v>
      </c>
      <c r="K359" s="53">
        <f ca="1">IF($B351&lt;=K$29,IF(SUM($E366:K366)&gt;0.01,0,$B357),0)</f>
        <v>0</v>
      </c>
      <c r="L359" s="53">
        <f ca="1">IF($B351&lt;=L$29,IF(SUM($E366:L366)&gt;0.01,0,$B357),0)</f>
        <v>0</v>
      </c>
      <c r="M359" s="53">
        <f ca="1">IF($B351&lt;=M$29,IF(SUM($E366:M366)&gt;0.01,0,$B357),0)</f>
        <v>0</v>
      </c>
      <c r="N359" s="53">
        <f ca="1">IF($B351&lt;=N$29,IF(SUM($E366:N366)&gt;0.01,0,$B357),0)</f>
        <v>0</v>
      </c>
      <c r="O359" s="53">
        <f ca="1">IF($B351&lt;=O$29,IF(SUM($E366:O366)&gt;0.01,0,$B357),0)</f>
        <v>0</v>
      </c>
      <c r="P359" s="53">
        <f ca="1">IF($B351&lt;=P$29,IF(SUM($E366:P366)&gt;0.01,0,$B357),0)</f>
        <v>0</v>
      </c>
      <c r="Q359" s="53">
        <f ca="1">IF($B351&lt;=Q$29,IF(SUM($E366:Q366)&gt;0.01,0,$B357),0)</f>
        <v>0</v>
      </c>
      <c r="S359" s="11"/>
    </row>
    <row r="360" spans="1:19" s="23" customFormat="1" hidden="1" outlineLevel="2" x14ac:dyDescent="0.2">
      <c r="A360" t="str">
        <f ca="1">Language!A$389</f>
        <v xml:space="preserve">    незавершенные инвестиции</v>
      </c>
      <c r="C360" s="40" t="str">
        <f t="shared" ca="1" si="329"/>
        <v>руб.</v>
      </c>
      <c r="D360" s="23" t="s">
        <v>2274</v>
      </c>
      <c r="F360" s="53">
        <f t="shared" ref="F360:M360" ca="1" si="335">IF($B351&gt;F$29,F358,0)</f>
        <v>0</v>
      </c>
      <c r="G360" s="53">
        <f t="shared" ca="1" si="335"/>
        <v>0</v>
      </c>
      <c r="H360" s="53">
        <f t="shared" ca="1" si="335"/>
        <v>0</v>
      </c>
      <c r="I360" s="53">
        <f t="shared" ca="1" si="335"/>
        <v>0</v>
      </c>
      <c r="J360" s="53">
        <f t="shared" ca="1" si="335"/>
        <v>0</v>
      </c>
      <c r="K360" s="53">
        <f t="shared" ca="1" si="335"/>
        <v>0</v>
      </c>
      <c r="L360" s="53">
        <f t="shared" ca="1" si="335"/>
        <v>0</v>
      </c>
      <c r="M360" s="53">
        <f t="shared" ca="1" si="335"/>
        <v>0</v>
      </c>
      <c r="N360" s="53">
        <f t="shared" ref="N360" ca="1" si="336">IF($B351&gt;N$29,N358,0)</f>
        <v>0</v>
      </c>
      <c r="O360" s="53">
        <f t="shared" ref="O360" ca="1" si="337">IF($B351&gt;O$29,O358,0)</f>
        <v>0</v>
      </c>
      <c r="P360" s="53">
        <f t="shared" ref="P360:Q360" ca="1" si="338">IF($B351&gt;P$29,P358,0)</f>
        <v>0</v>
      </c>
      <c r="Q360" s="53">
        <f t="shared" ca="1" si="338"/>
        <v>0</v>
      </c>
      <c r="S360" s="11"/>
    </row>
    <row r="361" spans="1:19" s="23" customFormat="1" hidden="1" outlineLevel="2" x14ac:dyDescent="0.2">
      <c r="A361" t="str">
        <f ca="1">Language!A$390</f>
        <v xml:space="preserve">    кредиторская задолженность</v>
      </c>
      <c r="C361" s="40" t="str">
        <f t="shared" ca="1" si="329"/>
        <v>руб.</v>
      </c>
      <c r="D361" s="23" t="s">
        <v>2275</v>
      </c>
      <c r="F361" s="53">
        <f ca="1">IF(OR($B351&lt;=F$29,AND(SUM($F366:F366)&gt;0,$B351&gt;F$29)),$B357-F358,0)</f>
        <v>0</v>
      </c>
      <c r="G361" s="53">
        <f ca="1">IF(OR($B351&lt;=G$29,AND(SUM($F366:G366)&gt;0,$B351&gt;G$29)),$B357-G358,0)</f>
        <v>0</v>
      </c>
      <c r="H361" s="53">
        <f ca="1">IF(OR($B351&lt;=H$29,AND(SUM($F366:H366)&gt;0,$B351&gt;H$29)),$B357-H358,0)</f>
        <v>0</v>
      </c>
      <c r="I361" s="53">
        <f ca="1">IF(OR($B351&lt;=I$29,AND(SUM($F366:I366)&gt;0,$B351&gt;I$29)),$B357-I358,0)</f>
        <v>0</v>
      </c>
      <c r="J361" s="53">
        <f ca="1">IF(OR($B351&lt;=J$29,AND(SUM($F366:J366)&gt;0,$B351&gt;J$29)),$B357-J358,0)</f>
        <v>0</v>
      </c>
      <c r="K361" s="53">
        <f ca="1">IF(OR($B351&lt;=K$29,AND(SUM($F366:K366)&gt;0,$B351&gt;K$29)),$B357-K358,0)</f>
        <v>0</v>
      </c>
      <c r="L361" s="53">
        <f ca="1">IF(OR($B351&lt;=L$29,AND(SUM($F366:L366)&gt;0,$B351&gt;L$29)),$B357-L358,0)</f>
        <v>0</v>
      </c>
      <c r="M361" s="53">
        <f ca="1">IF(OR($B351&lt;=M$29,AND(SUM($F366:M366)&gt;0,$B351&gt;M$29)),$B357-M358,0)</f>
        <v>0</v>
      </c>
      <c r="N361" s="53">
        <f ca="1">IF(OR($B351&lt;=N$29,AND(SUM($F366:N366)&gt;0,$B351&gt;N$29)),$B357-N358,0)</f>
        <v>0</v>
      </c>
      <c r="O361" s="53">
        <f ca="1">IF(OR($B351&lt;=O$29,AND(SUM($F366:O366)&gt;0,$B351&gt;O$29)),$B357-O358,0)</f>
        <v>0</v>
      </c>
      <c r="P361" s="53">
        <f ca="1">IF(OR($B351&lt;=P$29,AND(SUM($F366:P366)&gt;0,$B351&gt;P$29)),$B357-P358,0)</f>
        <v>0</v>
      </c>
      <c r="Q361" s="53">
        <f ca="1">IF(OR($B351&lt;=Q$29,AND(SUM($F366:Q366)&gt;0,$B351&gt;Q$29)),$B357-Q358,0)</f>
        <v>0</v>
      </c>
      <c r="S361" s="11"/>
    </row>
    <row r="362" spans="1:19" s="23" customFormat="1" hidden="1" outlineLevel="2" x14ac:dyDescent="0.2">
      <c r="A362" t="str">
        <f ca="1">Language!A$397</f>
        <v xml:space="preserve">    накопленная амортизация</v>
      </c>
      <c r="C362" s="40" t="str">
        <f t="shared" ca="1" si="329"/>
        <v>руб.</v>
      </c>
      <c r="D362" s="23" t="s">
        <v>2272</v>
      </c>
      <c r="F362" s="53">
        <f t="shared" ref="F362:Q362" ca="1" si="339">E362+F353+F352</f>
        <v>0</v>
      </c>
      <c r="G362" s="53">
        <f t="shared" ca="1" si="339"/>
        <v>0</v>
      </c>
      <c r="H362" s="53">
        <f t="shared" ca="1" si="339"/>
        <v>0</v>
      </c>
      <c r="I362" s="53">
        <f t="shared" ca="1" si="339"/>
        <v>0</v>
      </c>
      <c r="J362" s="53">
        <f t="shared" ca="1" si="339"/>
        <v>0</v>
      </c>
      <c r="K362" s="53">
        <f t="shared" ca="1" si="339"/>
        <v>0</v>
      </c>
      <c r="L362" s="53">
        <f t="shared" ca="1" si="339"/>
        <v>0</v>
      </c>
      <c r="M362" s="53">
        <f t="shared" ca="1" si="339"/>
        <v>0</v>
      </c>
      <c r="N362" s="53">
        <f t="shared" ca="1" si="339"/>
        <v>0</v>
      </c>
      <c r="O362" s="53">
        <f t="shared" ca="1" si="339"/>
        <v>0</v>
      </c>
      <c r="P362" s="53">
        <f t="shared" ca="1" si="339"/>
        <v>0</v>
      </c>
      <c r="Q362" s="53">
        <f t="shared" ca="1" si="339"/>
        <v>0</v>
      </c>
      <c r="S362" s="11"/>
    </row>
    <row r="363" spans="1:19" s="23" customFormat="1" hidden="1" outlineLevel="2" x14ac:dyDescent="0.2">
      <c r="A363" t="str">
        <f ca="1">Language!A$391</f>
        <v xml:space="preserve">    остаточная стоимость</v>
      </c>
      <c r="C363" s="40" t="str">
        <f t="shared" ca="1" si="329"/>
        <v>руб.</v>
      </c>
      <c r="D363" s="23" t="s">
        <v>2273</v>
      </c>
      <c r="F363" s="43">
        <f ca="1">IF(SUM($E366:F366)&gt;0.01,0,F359-F362)</f>
        <v>0</v>
      </c>
      <c r="G363" s="43">
        <f ca="1">IF(SUM($E366:G366)&gt;0.01,0,G359-G362)</f>
        <v>0</v>
      </c>
      <c r="H363" s="43">
        <f ca="1">IF(SUM($E366:H366)&gt;0.01,0,H359-H362)</f>
        <v>0</v>
      </c>
      <c r="I363" s="43">
        <f ca="1">IF(SUM($E366:I366)&gt;0.01,0,I359-I362)</f>
        <v>0</v>
      </c>
      <c r="J363" s="43">
        <f ca="1">IF(SUM($E366:J366)&gt;0.01,0,J359-J362)</f>
        <v>0</v>
      </c>
      <c r="K363" s="43">
        <f ca="1">IF(SUM($E366:K366)&gt;0.01,0,K359-K362)</f>
        <v>0</v>
      </c>
      <c r="L363" s="43">
        <f ca="1">IF(SUM($E366:L366)&gt;0.01,0,L359-L362)</f>
        <v>0</v>
      </c>
      <c r="M363" s="43">
        <f ca="1">IF(SUM($E366:M366)&gt;0.01,0,M359-M362)</f>
        <v>0</v>
      </c>
      <c r="N363" s="43">
        <f ca="1">IF(SUM($E366:N366)&gt;0.01,0,N359-N362)</f>
        <v>0</v>
      </c>
      <c r="O363" s="43">
        <f ca="1">IF(SUM($E366:O366)&gt;0.01,0,O359-O362)</f>
        <v>0</v>
      </c>
      <c r="P363" s="43">
        <f ca="1">IF(SUM($E366:P366)&gt;0.01,0,P359-P362)</f>
        <v>0</v>
      </c>
      <c r="Q363" s="43">
        <f ca="1">IF(SUM($E366:Q366)&gt;0.01,0,Q359-Q362)</f>
        <v>0</v>
      </c>
      <c r="S363" s="11"/>
    </row>
    <row r="364" spans="1:19" s="23" customFormat="1" hidden="1" outlineLevel="2" x14ac:dyDescent="0.2">
      <c r="A364" t="str">
        <f ca="1">Language!A$398</f>
        <v xml:space="preserve">    НДС к ранее осуществленным инвестициям</v>
      </c>
      <c r="B364" s="262">
        <f>B350*B354</f>
        <v>0</v>
      </c>
      <c r="C364" s="40" t="str">
        <f t="shared" ca="1" si="329"/>
        <v>руб.</v>
      </c>
      <c r="D364" s="23" t="s">
        <v>2266</v>
      </c>
      <c r="S364" s="11"/>
    </row>
    <row r="365" spans="1:19" s="23" customFormat="1" hidden="1" outlineLevel="2" x14ac:dyDescent="0.2">
      <c r="A365" t="str">
        <f ca="1">Language!A$399</f>
        <v xml:space="preserve">    зачет НДС</v>
      </c>
      <c r="C365" s="40" t="str">
        <f t="shared" ca="1" si="329"/>
        <v>руб.</v>
      </c>
      <c r="D365" s="133" t="s">
        <v>2267</v>
      </c>
      <c r="F365" s="111">
        <f ca="1">IF($B355=2,IF($B351=F$29,$B364+$S354,0),F354+B364)</f>
        <v>0</v>
      </c>
      <c r="G365" s="111">
        <f ca="1">IF($B355=2,IF($B351=G$29,$B364+$S354,0),G354)</f>
        <v>0</v>
      </c>
      <c r="H365" s="111">
        <f ca="1">IF($B355=2,IF($B351=H$29,$B364+$S354,0),H354)</f>
        <v>0</v>
      </c>
      <c r="I365" s="111">
        <f ca="1">IF($B355=2,IF($B351=I$29,$B364+$S354,0),I354)</f>
        <v>0</v>
      </c>
      <c r="J365" s="111">
        <f ca="1">IF($B355=2,IF($B351=J$29,$B364+$S354,0),J354)</f>
        <v>0</v>
      </c>
      <c r="K365" s="111">
        <f ca="1">IF($B355=2,IF($B351=K$29,$B364+$S354,0),K354)</f>
        <v>0</v>
      </c>
      <c r="L365" s="111">
        <f ca="1">IF($B355=2,IF($B351=L$29,$B364+$S354,0),L354)</f>
        <v>0</v>
      </c>
      <c r="M365" s="111">
        <f ca="1">IF($B355=2,IF($B351=M$29,$B364+$S354,0),M354)</f>
        <v>0</v>
      </c>
      <c r="N365" s="111">
        <f ca="1">IF($B355=2,IF($B351=N$29,$B364+$S354,0),N354)</f>
        <v>0</v>
      </c>
      <c r="O365" s="111">
        <f ca="1">IF($B355=2,IF($B351=O$29,$B364+$S354,0),O354)</f>
        <v>0</v>
      </c>
      <c r="P365" s="111">
        <f ca="1">IF($B355=2,IF($B351=P$29,$B364+$S354,0),P354)</f>
        <v>0</v>
      </c>
      <c r="Q365" s="111">
        <f ca="1">IF($B355=2,IF($B351=Q$29,$B364+$S354,0),Q354)</f>
        <v>0</v>
      </c>
      <c r="S365" s="54">
        <f ca="1">SUM(F365:Q365)</f>
        <v>0</v>
      </c>
    </row>
    <row r="366" spans="1:19" s="23" customFormat="1" hidden="1" outlineLevel="2" x14ac:dyDescent="0.2">
      <c r="A366" s="63" t="str">
        <f ca="1">Language!A$361</f>
        <v xml:space="preserve">    реализация актива (без НДС)</v>
      </c>
      <c r="B366" s="112"/>
      <c r="C366" s="114" t="str">
        <f t="shared" ca="1" si="329"/>
        <v>руб.</v>
      </c>
      <c r="D366" s="23" t="s">
        <v>2268</v>
      </c>
      <c r="E366" s="112"/>
      <c r="F366" s="272">
        <v>0</v>
      </c>
      <c r="G366" s="272">
        <v>0</v>
      </c>
      <c r="H366" s="272">
        <v>0</v>
      </c>
      <c r="I366" s="272">
        <v>0</v>
      </c>
      <c r="J366" s="272">
        <v>0</v>
      </c>
      <c r="K366" s="272">
        <v>0</v>
      </c>
      <c r="L366" s="272">
        <v>0</v>
      </c>
      <c r="M366" s="272">
        <v>0</v>
      </c>
      <c r="N366" s="272">
        <v>0</v>
      </c>
      <c r="O366" s="272">
        <v>0</v>
      </c>
      <c r="P366" s="272">
        <v>0</v>
      </c>
      <c r="Q366" s="272">
        <v>0</v>
      </c>
      <c r="S366" s="54">
        <f>SUM(F366:Q366)</f>
        <v>0</v>
      </c>
    </row>
    <row r="367" spans="1:19" s="23" customFormat="1" hidden="1" outlineLevel="2" x14ac:dyDescent="0.2">
      <c r="A367" s="19" t="str">
        <f ca="1">Language!A$362</f>
        <v xml:space="preserve">    прибыль/убыток от реализации актива</v>
      </c>
      <c r="B367" s="24"/>
      <c r="C367" s="115" t="str">
        <f t="shared" ca="1" si="329"/>
        <v>руб.</v>
      </c>
      <c r="D367" s="23" t="s">
        <v>2269</v>
      </c>
      <c r="E367" s="24"/>
      <c r="F367" s="111">
        <f t="shared" ref="F367:Q367" si="340">IF(F366=0,0,F366-E363)</f>
        <v>0</v>
      </c>
      <c r="G367" s="111">
        <f t="shared" si="340"/>
        <v>0</v>
      </c>
      <c r="H367" s="111">
        <f t="shared" si="340"/>
        <v>0</v>
      </c>
      <c r="I367" s="111">
        <f t="shared" si="340"/>
        <v>0</v>
      </c>
      <c r="J367" s="111">
        <f t="shared" si="340"/>
        <v>0</v>
      </c>
      <c r="K367" s="111">
        <f t="shared" si="340"/>
        <v>0</v>
      </c>
      <c r="L367" s="111">
        <f t="shared" si="340"/>
        <v>0</v>
      </c>
      <c r="M367" s="111">
        <f t="shared" si="340"/>
        <v>0</v>
      </c>
      <c r="N367" s="111">
        <f t="shared" si="340"/>
        <v>0</v>
      </c>
      <c r="O367" s="111">
        <f t="shared" si="340"/>
        <v>0</v>
      </c>
      <c r="P367" s="111">
        <f t="shared" si="340"/>
        <v>0</v>
      </c>
      <c r="Q367" s="111">
        <f t="shared" si="340"/>
        <v>0</v>
      </c>
      <c r="S367" s="54">
        <f>SUM(F367:Q367)</f>
        <v>0</v>
      </c>
    </row>
    <row r="368" spans="1:19" s="23" customFormat="1" hidden="1" outlineLevel="2" x14ac:dyDescent="0.2">
      <c r="A368" t="str">
        <f ca="1">Language!A$400</f>
        <v xml:space="preserve">    НДС к выручке от реализации актива</v>
      </c>
      <c r="B368" s="273">
        <f>VAT</f>
        <v>0</v>
      </c>
      <c r="C368" s="40" t="str">
        <f t="shared" ca="1" si="329"/>
        <v>руб.</v>
      </c>
      <c r="D368" s="23" t="s">
        <v>549</v>
      </c>
      <c r="F368">
        <f t="shared" ref="F368:M368" si="341">F366*$B368</f>
        <v>0</v>
      </c>
      <c r="G368">
        <f t="shared" si="341"/>
        <v>0</v>
      </c>
      <c r="H368">
        <f t="shared" si="341"/>
        <v>0</v>
      </c>
      <c r="I368">
        <f t="shared" si="341"/>
        <v>0</v>
      </c>
      <c r="J368">
        <f t="shared" si="341"/>
        <v>0</v>
      </c>
      <c r="K368">
        <f t="shared" si="341"/>
        <v>0</v>
      </c>
      <c r="L368">
        <f t="shared" si="341"/>
        <v>0</v>
      </c>
      <c r="M368">
        <f t="shared" si="341"/>
        <v>0</v>
      </c>
      <c r="N368">
        <f t="shared" ref="N368" si="342">N366*$B368</f>
        <v>0</v>
      </c>
      <c r="O368">
        <f t="shared" ref="O368" si="343">O366*$B368</f>
        <v>0</v>
      </c>
      <c r="P368">
        <f t="shared" ref="P368:Q368" si="344">P366*$B368</f>
        <v>0</v>
      </c>
      <c r="Q368">
        <f t="shared" si="344"/>
        <v>0</v>
      </c>
      <c r="S368" s="54">
        <f>SUM(F368:Q368)</f>
        <v>0</v>
      </c>
    </row>
    <row r="369" spans="1:19" s="23" customFormat="1" ht="10.5" outlineLevel="1" x14ac:dyDescent="0.25">
      <c r="A369" s="130"/>
      <c r="S369" s="11"/>
    </row>
    <row r="370" spans="1:19" ht="10.5" outlineLevel="1" x14ac:dyDescent="0.25">
      <c r="A370" s="35" t="str">
        <f ca="1">Language!A$406</f>
        <v>Финансовые вложения</v>
      </c>
      <c r="D370">
        <v>1</v>
      </c>
      <c r="E370" s="48">
        <v>15</v>
      </c>
    </row>
    <row r="371" spans="1:19" s="23" customFormat="1" outlineLevel="1" x14ac:dyDescent="0.2">
      <c r="A371" s="274" t="str">
        <f ca="1">Language!A$379</f>
        <v>Наименование</v>
      </c>
      <c r="B371" s="36" t="str">
        <f ca="1">Language!A$73</f>
        <v>Валюта</v>
      </c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S371" s="39"/>
    </row>
    <row r="372" spans="1:19" s="23" customFormat="1" outlineLevel="1" collapsed="1" x14ac:dyDescent="0.2">
      <c r="A372" t="str">
        <f ca="1">Language!A$380</f>
        <v xml:space="preserve">    величина платежей</v>
      </c>
      <c r="B372" s="255">
        <v>1</v>
      </c>
      <c r="C372" s="40" t="str">
        <f ca="1">CHOOSE(B372,CUR_Main,CUR_Foreign)</f>
        <v>руб.</v>
      </c>
      <c r="D372" s="16" t="str">
        <f>TEXT(B372,"0")&amp;"_00"</f>
        <v>1_00</v>
      </c>
      <c r="F372" s="276">
        <v>0</v>
      </c>
      <c r="G372" s="276">
        <v>0</v>
      </c>
      <c r="H372" s="276">
        <v>0</v>
      </c>
      <c r="I372" s="276">
        <v>0</v>
      </c>
      <c r="J372" s="276">
        <v>0</v>
      </c>
      <c r="K372" s="276">
        <v>0</v>
      </c>
      <c r="L372" s="276">
        <v>0</v>
      </c>
      <c r="M372" s="276">
        <v>0</v>
      </c>
      <c r="N372" s="276">
        <v>0</v>
      </c>
      <c r="O372" s="276">
        <v>0</v>
      </c>
      <c r="P372" s="276">
        <v>0</v>
      </c>
      <c r="Q372" s="276">
        <v>0</v>
      </c>
      <c r="S372" s="54">
        <f>SUM(F372:Q372)</f>
        <v>0</v>
      </c>
    </row>
    <row r="373" spans="1:19" s="23" customFormat="1" hidden="1" outlineLevel="2" x14ac:dyDescent="0.2">
      <c r="A373" t="str">
        <f ca="1">Language!A$384</f>
        <v xml:space="preserve">    поставить на баланс с</v>
      </c>
      <c r="B373" s="271">
        <f ca="1">MATCH(OFFSET(S378,0,-2),F378:Q378,0)</f>
        <v>1</v>
      </c>
      <c r="C373" s="40" t="str">
        <f ca="1">Language!A$376</f>
        <v>периода</v>
      </c>
      <c r="S373" s="11"/>
    </row>
    <row r="374" spans="1:19" s="23" customFormat="1" hidden="1" outlineLevel="2" x14ac:dyDescent="0.2">
      <c r="A374" t="str">
        <f ca="1">Language!A$395</f>
        <v xml:space="preserve">    выплаченный НДС</v>
      </c>
      <c r="B374" s="273">
        <v>0</v>
      </c>
      <c r="C374" s="40" t="str">
        <f ca="1">CUR_Main</f>
        <v>руб.</v>
      </c>
      <c r="D374" s="23" t="s">
        <v>2265</v>
      </c>
      <c r="F374" s="111">
        <f t="shared" ref="F374:M374" si="345">F376*$B374</f>
        <v>0</v>
      </c>
      <c r="G374" s="111">
        <f t="shared" si="345"/>
        <v>0</v>
      </c>
      <c r="H374" s="111">
        <f t="shared" si="345"/>
        <v>0</v>
      </c>
      <c r="I374" s="111">
        <f t="shared" si="345"/>
        <v>0</v>
      </c>
      <c r="J374" s="111">
        <f t="shared" si="345"/>
        <v>0</v>
      </c>
      <c r="K374" s="111">
        <f t="shared" si="345"/>
        <v>0</v>
      </c>
      <c r="L374" s="111">
        <f t="shared" si="345"/>
        <v>0</v>
      </c>
      <c r="M374" s="111">
        <f t="shared" si="345"/>
        <v>0</v>
      </c>
      <c r="N374" s="111">
        <f t="shared" ref="N374" si="346">N376*$B374</f>
        <v>0</v>
      </c>
      <c r="O374" s="111">
        <f t="shared" ref="O374" si="347">O376*$B374</f>
        <v>0</v>
      </c>
      <c r="P374" s="111">
        <f t="shared" ref="P374:Q374" si="348">P376*$B374</f>
        <v>0</v>
      </c>
      <c r="Q374" s="111">
        <f t="shared" si="348"/>
        <v>0</v>
      </c>
      <c r="S374" s="54">
        <f>SUM(F374:Q374)</f>
        <v>0</v>
      </c>
    </row>
    <row r="375" spans="1:19" hidden="1" outlineLevel="2" x14ac:dyDescent="0.2">
      <c r="A375" s="23" t="str">
        <f ca="1">Language!A$407</f>
        <v xml:space="preserve">    доходность финансовых вложений</v>
      </c>
      <c r="B375" s="273">
        <v>0.1</v>
      </c>
      <c r="C375" s="5" t="str">
        <f ca="1">CUR_Main</f>
        <v>руб.</v>
      </c>
      <c r="D375" t="s">
        <v>2276</v>
      </c>
      <c r="F375" s="272">
        <f t="shared" ref="F375:M375" ca="1" si="349">F379*$B375*PRJ_Step/360</f>
        <v>0</v>
      </c>
      <c r="G375" s="272">
        <f t="shared" ca="1" si="349"/>
        <v>0</v>
      </c>
      <c r="H375" s="272">
        <f t="shared" ca="1" si="349"/>
        <v>0</v>
      </c>
      <c r="I375" s="272">
        <f t="shared" ca="1" si="349"/>
        <v>0</v>
      </c>
      <c r="J375" s="272">
        <f t="shared" ca="1" si="349"/>
        <v>0</v>
      </c>
      <c r="K375" s="272">
        <f t="shared" ca="1" si="349"/>
        <v>0</v>
      </c>
      <c r="L375" s="272">
        <f t="shared" ca="1" si="349"/>
        <v>0</v>
      </c>
      <c r="M375" s="272">
        <f t="shared" ca="1" si="349"/>
        <v>0</v>
      </c>
      <c r="N375" s="272">
        <f t="shared" ref="N375" ca="1" si="350">N379*$B375*PRJ_Step/360</f>
        <v>0</v>
      </c>
      <c r="O375" s="272">
        <f t="shared" ref="O375" ca="1" si="351">O379*$B375*PRJ_Step/360</f>
        <v>0</v>
      </c>
      <c r="P375" s="272">
        <f t="shared" ref="P375:Q375" ca="1" si="352">P379*$B375*PRJ_Step/360</f>
        <v>0</v>
      </c>
      <c r="Q375" s="272">
        <f t="shared" ca="1" si="352"/>
        <v>0</v>
      </c>
      <c r="S375" s="54">
        <f ca="1">SUM(F375:Q375)</f>
        <v>0</v>
      </c>
    </row>
    <row r="376" spans="1:19" s="23" customFormat="1" hidden="1" outlineLevel="2" x14ac:dyDescent="0.2">
      <c r="A376" t="str">
        <f ca="1">Language!A$385</f>
        <v xml:space="preserve">    сумма платежей без НДС</v>
      </c>
      <c r="C376" s="40" t="str">
        <f t="shared" ref="C376:C385" ca="1" si="353">CUR_Main</f>
        <v>руб.</v>
      </c>
      <c r="D376" s="23" t="s">
        <v>188</v>
      </c>
      <c r="F376" s="84">
        <f t="shared" ref="F376:M376" si="354">F372*IF($B372=1,1,F$88)/(1+$B374)</f>
        <v>0</v>
      </c>
      <c r="G376" s="84">
        <f t="shared" si="354"/>
        <v>0</v>
      </c>
      <c r="H376" s="84">
        <f t="shared" si="354"/>
        <v>0</v>
      </c>
      <c r="I376" s="84">
        <f t="shared" si="354"/>
        <v>0</v>
      </c>
      <c r="J376" s="84">
        <f t="shared" si="354"/>
        <v>0</v>
      </c>
      <c r="K376" s="84">
        <f t="shared" si="354"/>
        <v>0</v>
      </c>
      <c r="L376" s="84">
        <f t="shared" si="354"/>
        <v>0</v>
      </c>
      <c r="M376" s="84">
        <f t="shared" si="354"/>
        <v>0</v>
      </c>
      <c r="N376" s="84">
        <f t="shared" ref="N376" si="355">N372*IF($B372=1,1,N$88)/(1+$B374)</f>
        <v>0</v>
      </c>
      <c r="O376" s="84">
        <f t="shared" ref="O376" si="356">O372*IF($B372=1,1,O$88)/(1+$B374)</f>
        <v>0</v>
      </c>
      <c r="P376" s="84">
        <f t="shared" ref="P376:Q376" si="357">P372*IF($B372=1,1,P$88)/(1+$B374)</f>
        <v>0</v>
      </c>
      <c r="Q376" s="84">
        <f t="shared" si="357"/>
        <v>0</v>
      </c>
      <c r="S376" s="54">
        <f>SUM(F376:Q376)</f>
        <v>0</v>
      </c>
    </row>
    <row r="377" spans="1:19" s="23" customFormat="1" ht="10.5" hidden="1" outlineLevel="2" x14ac:dyDescent="0.2">
      <c r="A377" t="str">
        <f ca="1">Language!A$386</f>
        <v xml:space="preserve">    общая стоимость актива (без НДС)</v>
      </c>
      <c r="B377" s="55">
        <f>S376</f>
        <v>0</v>
      </c>
      <c r="C377" s="40" t="str">
        <f t="shared" ca="1" si="353"/>
        <v>руб.</v>
      </c>
      <c r="S377" s="11"/>
    </row>
    <row r="378" spans="1:19" s="23" customFormat="1" hidden="1" outlineLevel="2" x14ac:dyDescent="0.2">
      <c r="A378" t="str">
        <f ca="1">Language!A$387</f>
        <v xml:space="preserve">    полная сумма вложений в актив (без НДС)</v>
      </c>
      <c r="C378" s="40" t="str">
        <f t="shared" ca="1" si="353"/>
        <v>руб.</v>
      </c>
      <c r="D378" s="23" t="s">
        <v>2270</v>
      </c>
      <c r="F378" s="53">
        <f t="shared" ref="F378:Q378" si="358">E378+F376</f>
        <v>0</v>
      </c>
      <c r="G378" s="53">
        <f t="shared" si="358"/>
        <v>0</v>
      </c>
      <c r="H378" s="53">
        <f t="shared" si="358"/>
        <v>0</v>
      </c>
      <c r="I378" s="53">
        <f t="shared" si="358"/>
        <v>0</v>
      </c>
      <c r="J378" s="53">
        <f t="shared" si="358"/>
        <v>0</v>
      </c>
      <c r="K378" s="53">
        <f t="shared" si="358"/>
        <v>0</v>
      </c>
      <c r="L378" s="53">
        <f t="shared" si="358"/>
        <v>0</v>
      </c>
      <c r="M378" s="53">
        <f t="shared" si="358"/>
        <v>0</v>
      </c>
      <c r="N378" s="53">
        <f t="shared" si="358"/>
        <v>0</v>
      </c>
      <c r="O378" s="53">
        <f t="shared" si="358"/>
        <v>0</v>
      </c>
      <c r="P378" s="53">
        <f t="shared" si="358"/>
        <v>0</v>
      </c>
      <c r="Q378" s="53">
        <f t="shared" si="358"/>
        <v>0</v>
      </c>
      <c r="S378" s="54"/>
    </row>
    <row r="379" spans="1:19" s="23" customFormat="1" hidden="1" outlineLevel="2" x14ac:dyDescent="0.2">
      <c r="A379" t="str">
        <f ca="1">Language!A$388</f>
        <v xml:space="preserve">    полная балансовая стоимость</v>
      </c>
      <c r="C379" s="40" t="str">
        <f t="shared" ca="1" si="353"/>
        <v>руб.</v>
      </c>
      <c r="D379" s="23" t="s">
        <v>2271</v>
      </c>
      <c r="F379" s="53">
        <f ca="1">IF($B373&lt;=F$29,IF(SUM($E383:F383)&gt;0.01,0,$B377),0)</f>
        <v>0</v>
      </c>
      <c r="G379" s="53">
        <f ca="1">IF($B373&lt;=G$29,IF(SUM($E383:G383)&gt;0.01,0,$B377),0)</f>
        <v>0</v>
      </c>
      <c r="H379" s="53">
        <f ca="1">IF($B373&lt;=H$29,IF(SUM($E383:H383)&gt;0.01,0,$B377),0)</f>
        <v>0</v>
      </c>
      <c r="I379" s="53">
        <f ca="1">IF($B373&lt;=I$29,IF(SUM($E383:I383)&gt;0.01,0,$B377),0)</f>
        <v>0</v>
      </c>
      <c r="J379" s="53">
        <f ca="1">IF($B373&lt;=J$29,IF(SUM($E383:J383)&gt;0.01,0,$B377),0)</f>
        <v>0</v>
      </c>
      <c r="K379" s="53">
        <f ca="1">IF($B373&lt;=K$29,IF(SUM($E383:K383)&gt;0.01,0,$B377),0)</f>
        <v>0</v>
      </c>
      <c r="L379" s="53">
        <f ca="1">IF($B373&lt;=L$29,IF(SUM($E383:L383)&gt;0.01,0,$B377),0)</f>
        <v>0</v>
      </c>
      <c r="M379" s="53">
        <f ca="1">IF($B373&lt;=M$29,IF(SUM($E383:M383)&gt;0.01,0,$B377),0)</f>
        <v>0</v>
      </c>
      <c r="N379" s="53">
        <f ca="1">IF($B373&lt;=N$29,IF(SUM($E383:N383)&gt;0.01,0,$B377),0)</f>
        <v>0</v>
      </c>
      <c r="O379" s="53">
        <f ca="1">IF($B373&lt;=O$29,IF(SUM($E383:O383)&gt;0.01,0,$B377),0)</f>
        <v>0</v>
      </c>
      <c r="P379" s="53">
        <f ca="1">IF($B373&lt;=P$29,IF(SUM($E383:P383)&gt;0.01,0,$B377),0)</f>
        <v>0</v>
      </c>
      <c r="Q379" s="53">
        <f ca="1">IF($B373&lt;=Q$29,IF(SUM($E383:Q383)&gt;0.01,0,$B377),0)</f>
        <v>0</v>
      </c>
      <c r="S379" s="11"/>
    </row>
    <row r="380" spans="1:19" s="23" customFormat="1" hidden="1" outlineLevel="2" x14ac:dyDescent="0.2">
      <c r="A380" s="48" t="str">
        <f ca="1">Language!A$408</f>
        <v xml:space="preserve">    авансы выданные</v>
      </c>
      <c r="C380" s="40" t="str">
        <f t="shared" ca="1" si="353"/>
        <v>руб.</v>
      </c>
      <c r="D380" s="23" t="s">
        <v>2277</v>
      </c>
      <c r="F380" s="84">
        <f ca="1">IF(OR($B373&gt;F$29,AND(SUM($F383:F383)&gt;0,$B373&gt;F$29)),F378,0)</f>
        <v>0</v>
      </c>
      <c r="G380" s="84">
        <f ca="1">IF(OR($B373&gt;G$29,AND(SUM($F383:G383)&gt;0,$B373&gt;G$29)),G378,0)</f>
        <v>0</v>
      </c>
      <c r="H380" s="84">
        <f ca="1">IF(OR($B373&gt;H$29,AND(SUM($F383:H383)&gt;0,$B373&gt;H$29)),H378,0)</f>
        <v>0</v>
      </c>
      <c r="I380" s="84">
        <f ca="1">IF(OR($B373&gt;I$29,AND(SUM($F383:I383)&gt;0,$B373&gt;I$29)),I378,0)</f>
        <v>0</v>
      </c>
      <c r="J380" s="84">
        <f ca="1">IF(OR($B373&gt;J$29,AND(SUM($F383:J383)&gt;0,$B373&gt;J$29)),J378,0)</f>
        <v>0</v>
      </c>
      <c r="K380" s="84">
        <f ca="1">IF(OR($B373&gt;K$29,AND(SUM($F383:K383)&gt;0,$B373&gt;K$29)),K378,0)</f>
        <v>0</v>
      </c>
      <c r="L380" s="84">
        <f ca="1">IF(OR($B373&gt;L$29,AND(SUM($F383:L383)&gt;0,$B373&gt;L$29)),L378,0)</f>
        <v>0</v>
      </c>
      <c r="M380" s="84">
        <f ca="1">IF(OR($B373&gt;M$29,AND(SUM($F383:M383)&gt;0,$B373&gt;M$29)),M378,0)</f>
        <v>0</v>
      </c>
      <c r="N380" s="84">
        <f ca="1">IF(OR($B373&gt;N$29,AND(SUM($F383:N383)&gt;0,$B373&gt;N$29)),N378,0)</f>
        <v>0</v>
      </c>
      <c r="O380" s="84">
        <f ca="1">IF(OR($B373&gt;O$29,AND(SUM($F383:O383)&gt;0,$B373&gt;O$29)),O378,0)</f>
        <v>0</v>
      </c>
      <c r="P380" s="84">
        <f ca="1">IF(OR($B373&gt;P$29,AND(SUM($F383:P383)&gt;0,$B373&gt;P$29)),P378,0)</f>
        <v>0</v>
      </c>
      <c r="Q380" s="84">
        <f ca="1">IF(OR($B373&gt;Q$29,AND(SUM($F383:Q383)&gt;0,$B373&gt;Q$29)),Q378,0)</f>
        <v>0</v>
      </c>
      <c r="S380" s="11"/>
    </row>
    <row r="381" spans="1:19" s="23" customFormat="1" hidden="1" outlineLevel="2" x14ac:dyDescent="0.2">
      <c r="A381" t="str">
        <f ca="1">Language!A$390</f>
        <v xml:space="preserve">    кредиторская задолженность</v>
      </c>
      <c r="C381" s="40" t="str">
        <f t="shared" ca="1" si="353"/>
        <v>руб.</v>
      </c>
      <c r="D381" s="23" t="s">
        <v>2275</v>
      </c>
      <c r="F381" s="53">
        <f ca="1">IF(OR($B373&lt;=F$29,AND(SUM($F383:F383)&gt;0,$B373&gt;F$29)),$B377-F378,0)</f>
        <v>0</v>
      </c>
      <c r="G381" s="53">
        <f ca="1">IF(OR($B373&lt;=G$29,AND(SUM($F383:G383)&gt;0,$B373&gt;G$29)),$B377-G378,0)</f>
        <v>0</v>
      </c>
      <c r="H381" s="53">
        <f ca="1">IF(OR($B373&lt;=H$29,AND(SUM($F383:H383)&gt;0,$B373&gt;H$29)),$B377-H378,0)</f>
        <v>0</v>
      </c>
      <c r="I381" s="53">
        <f ca="1">IF(OR($B373&lt;=I$29,AND(SUM($F383:I383)&gt;0,$B373&gt;I$29)),$B377-I378,0)</f>
        <v>0</v>
      </c>
      <c r="J381" s="53">
        <f ca="1">IF(OR($B373&lt;=J$29,AND(SUM($F383:J383)&gt;0,$B373&gt;J$29)),$B377-J378,0)</f>
        <v>0</v>
      </c>
      <c r="K381" s="53">
        <f ca="1">IF(OR($B373&lt;=K$29,AND(SUM($F383:K383)&gt;0,$B373&gt;K$29)),$B377-K378,0)</f>
        <v>0</v>
      </c>
      <c r="L381" s="53">
        <f ca="1">IF(OR($B373&lt;=L$29,AND(SUM($F383:L383)&gt;0,$B373&gt;L$29)),$B377-L378,0)</f>
        <v>0</v>
      </c>
      <c r="M381" s="53">
        <f ca="1">IF(OR($B373&lt;=M$29,AND(SUM($F383:M383)&gt;0,$B373&gt;M$29)),$B377-M378,0)</f>
        <v>0</v>
      </c>
      <c r="N381" s="53">
        <f ca="1">IF(OR($B373&lt;=N$29,AND(SUM($F383:N383)&gt;0,$B373&gt;N$29)),$B377-N378,0)</f>
        <v>0</v>
      </c>
      <c r="O381" s="53">
        <f ca="1">IF(OR($B373&lt;=O$29,AND(SUM($F383:O383)&gt;0,$B373&gt;O$29)),$B377-O378,0)</f>
        <v>0</v>
      </c>
      <c r="P381" s="53">
        <f ca="1">IF(OR($B373&lt;=P$29,AND(SUM($F383:P383)&gt;0,$B373&gt;P$29)),$B377-P378,0)</f>
        <v>0</v>
      </c>
      <c r="Q381" s="53">
        <f ca="1">IF(OR($B373&lt;=Q$29,AND(SUM($F383:Q383)&gt;0,$B373&gt;Q$29)),$B377-Q378,0)</f>
        <v>0</v>
      </c>
      <c r="S381" s="11"/>
    </row>
    <row r="382" spans="1:19" s="23" customFormat="1" hidden="1" outlineLevel="2" x14ac:dyDescent="0.2">
      <c r="A382" t="str">
        <f ca="1">Language!A$399</f>
        <v xml:space="preserve">    зачет НДС</v>
      </c>
      <c r="C382" s="40" t="str">
        <f t="shared" ca="1" si="353"/>
        <v>руб.</v>
      </c>
      <c r="D382" s="133" t="s">
        <v>2267</v>
      </c>
      <c r="F382" s="111">
        <f ca="1">IF($B373=F$29,$S374,0)</f>
        <v>0</v>
      </c>
      <c r="G382" s="111">
        <f ca="1">IF($B373=G$29,$S374,0)</f>
        <v>0</v>
      </c>
      <c r="H382" s="111">
        <f ca="1">IF($B373=H$29,$S374,0)</f>
        <v>0</v>
      </c>
      <c r="I382" s="111">
        <f ca="1">IF($B373=I$29,$S374,0)</f>
        <v>0</v>
      </c>
      <c r="J382" s="111">
        <f ca="1">IF($B373=J$29,$S374,0)</f>
        <v>0</v>
      </c>
      <c r="K382" s="111">
        <f ca="1">IF($B373=K$29,$S374,0)</f>
        <v>0</v>
      </c>
      <c r="L382" s="111">
        <f ca="1">IF($B373=L$29,$S374,0)</f>
        <v>0</v>
      </c>
      <c r="M382" s="111">
        <f ca="1">IF($B373=M$29,$S374,0)</f>
        <v>0</v>
      </c>
      <c r="N382" s="111">
        <f ca="1">IF($B373=N$29,$S374,0)</f>
        <v>0</v>
      </c>
      <c r="O382" s="111">
        <f ca="1">IF($B373=O$29,$S374,0)</f>
        <v>0</v>
      </c>
      <c r="P382" s="111">
        <f ca="1">IF($B373=P$29,$S374,0)</f>
        <v>0</v>
      </c>
      <c r="Q382" s="111">
        <f ca="1">IF($B373=Q$29,$S374,0)</f>
        <v>0</v>
      </c>
      <c r="S382" s="54">
        <f ca="1">SUM(F382:Q382)</f>
        <v>0</v>
      </c>
    </row>
    <row r="383" spans="1:19" s="23" customFormat="1" hidden="1" outlineLevel="2" x14ac:dyDescent="0.2">
      <c r="A383" s="63" t="str">
        <f ca="1">Language!A$361</f>
        <v xml:space="preserve">    реализация актива (без НДС)</v>
      </c>
      <c r="B383" s="112"/>
      <c r="C383" s="114" t="str">
        <f t="shared" ca="1" si="353"/>
        <v>руб.</v>
      </c>
      <c r="D383" s="23" t="s">
        <v>2268</v>
      </c>
      <c r="E383" s="112"/>
      <c r="F383" s="272">
        <v>0</v>
      </c>
      <c r="G383" s="272">
        <v>0</v>
      </c>
      <c r="H383" s="272">
        <v>0</v>
      </c>
      <c r="I383" s="272">
        <v>0</v>
      </c>
      <c r="J383" s="272">
        <v>0</v>
      </c>
      <c r="K383" s="272">
        <v>0</v>
      </c>
      <c r="L383" s="272">
        <v>0</v>
      </c>
      <c r="M383" s="272">
        <v>0</v>
      </c>
      <c r="N383" s="272">
        <v>0</v>
      </c>
      <c r="O383" s="272">
        <v>0</v>
      </c>
      <c r="P383" s="272">
        <v>0</v>
      </c>
      <c r="Q383" s="272">
        <v>0</v>
      </c>
      <c r="S383" s="54">
        <f>SUM(F383:Q383)</f>
        <v>0</v>
      </c>
    </row>
    <row r="384" spans="1:19" s="23" customFormat="1" hidden="1" outlineLevel="2" x14ac:dyDescent="0.2">
      <c r="A384" s="19" t="str">
        <f ca="1">Language!A$362</f>
        <v xml:space="preserve">    прибыль/убыток от реализации актива</v>
      </c>
      <c r="B384" s="24"/>
      <c r="C384" s="115" t="str">
        <f t="shared" ca="1" si="353"/>
        <v>руб.</v>
      </c>
      <c r="D384" s="23" t="s">
        <v>2269</v>
      </c>
      <c r="E384" s="24"/>
      <c r="F384" s="111">
        <f t="shared" ref="F384:Q384" si="359">IF(F383=0,0,F383-E379)</f>
        <v>0</v>
      </c>
      <c r="G384" s="111">
        <f t="shared" si="359"/>
        <v>0</v>
      </c>
      <c r="H384" s="111">
        <f t="shared" si="359"/>
        <v>0</v>
      </c>
      <c r="I384" s="111">
        <f t="shared" si="359"/>
        <v>0</v>
      </c>
      <c r="J384" s="111">
        <f t="shared" si="359"/>
        <v>0</v>
      </c>
      <c r="K384" s="111">
        <f t="shared" si="359"/>
        <v>0</v>
      </c>
      <c r="L384" s="111">
        <f t="shared" si="359"/>
        <v>0</v>
      </c>
      <c r="M384" s="111">
        <f t="shared" si="359"/>
        <v>0</v>
      </c>
      <c r="N384" s="111">
        <f t="shared" si="359"/>
        <v>0</v>
      </c>
      <c r="O384" s="111">
        <f t="shared" si="359"/>
        <v>0</v>
      </c>
      <c r="P384" s="111">
        <f t="shared" si="359"/>
        <v>0</v>
      </c>
      <c r="Q384" s="111">
        <f t="shared" si="359"/>
        <v>0</v>
      </c>
      <c r="S384" s="54">
        <f>SUM(F384:Q384)</f>
        <v>0</v>
      </c>
    </row>
    <row r="385" spans="1:19" s="23" customFormat="1" hidden="1" outlineLevel="2" x14ac:dyDescent="0.2">
      <c r="A385" t="str">
        <f ca="1">Language!A$400</f>
        <v xml:space="preserve">    НДС к выручке от реализации актива</v>
      </c>
      <c r="B385" s="273">
        <v>0</v>
      </c>
      <c r="C385" s="40" t="str">
        <f t="shared" ca="1" si="353"/>
        <v>руб.</v>
      </c>
      <c r="D385" s="23" t="s">
        <v>549</v>
      </c>
      <c r="F385">
        <f t="shared" ref="F385:M385" si="360">F383*$B385</f>
        <v>0</v>
      </c>
      <c r="G385">
        <f t="shared" si="360"/>
        <v>0</v>
      </c>
      <c r="H385">
        <f t="shared" si="360"/>
        <v>0</v>
      </c>
      <c r="I385">
        <f t="shared" si="360"/>
        <v>0</v>
      </c>
      <c r="J385">
        <f t="shared" si="360"/>
        <v>0</v>
      </c>
      <c r="K385">
        <f t="shared" si="360"/>
        <v>0</v>
      </c>
      <c r="L385">
        <f t="shared" si="360"/>
        <v>0</v>
      </c>
      <c r="M385">
        <f t="shared" si="360"/>
        <v>0</v>
      </c>
      <c r="N385">
        <f t="shared" ref="N385" si="361">N383*$B385</f>
        <v>0</v>
      </c>
      <c r="O385">
        <f t="shared" ref="O385" si="362">O383*$B385</f>
        <v>0</v>
      </c>
      <c r="P385">
        <f t="shared" ref="P385:Q385" si="363">P383*$B385</f>
        <v>0</v>
      </c>
      <c r="Q385">
        <f t="shared" si="363"/>
        <v>0</v>
      </c>
      <c r="S385" s="54">
        <f>SUM(F385:Q385)</f>
        <v>0</v>
      </c>
    </row>
    <row r="386" spans="1:19" s="23" customFormat="1" ht="10.5" outlineLevel="1" x14ac:dyDescent="0.25">
      <c r="A386" s="35"/>
      <c r="S386" s="11"/>
    </row>
    <row r="387" spans="1:19" ht="10.5" outlineLevel="1" x14ac:dyDescent="0.25">
      <c r="A387" s="35" t="str">
        <f ca="1">Language!A$409</f>
        <v>Расходы будущих периодов</v>
      </c>
      <c r="D387">
        <v>1</v>
      </c>
      <c r="E387" s="48">
        <v>14</v>
      </c>
    </row>
    <row r="388" spans="1:19" s="23" customFormat="1" outlineLevel="1" x14ac:dyDescent="0.2">
      <c r="A388" s="274" t="str">
        <f ca="1">Language!A$379</f>
        <v>Наименование</v>
      </c>
      <c r="B388" s="36" t="str">
        <f ca="1">Language!A$73</f>
        <v>Валюта</v>
      </c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S388" s="39"/>
    </row>
    <row r="389" spans="1:19" s="23" customFormat="1" outlineLevel="1" collapsed="1" x14ac:dyDescent="0.2">
      <c r="A389" t="str">
        <f ca="1">Language!A$381</f>
        <v xml:space="preserve">    величина платежей (с НДС)</v>
      </c>
      <c r="B389" s="255">
        <v>1</v>
      </c>
      <c r="C389" s="40" t="str">
        <f ca="1">CHOOSE(B389,CUR_Main,CUR_Foreign)</f>
        <v>руб.</v>
      </c>
      <c r="D389" s="16" t="str">
        <f>TEXT(B389,"0")&amp;"_00"</f>
        <v>1_00</v>
      </c>
      <c r="F389" s="276">
        <v>0</v>
      </c>
      <c r="G389" s="276">
        <v>0</v>
      </c>
      <c r="H389" s="276">
        <v>0</v>
      </c>
      <c r="I389" s="276">
        <v>0</v>
      </c>
      <c r="J389" s="276">
        <v>0</v>
      </c>
      <c r="K389" s="276">
        <v>0</v>
      </c>
      <c r="L389" s="276">
        <v>0</v>
      </c>
      <c r="M389" s="276">
        <v>0</v>
      </c>
      <c r="N389" s="276">
        <v>0</v>
      </c>
      <c r="O389" s="276">
        <v>0</v>
      </c>
      <c r="P389" s="276">
        <v>0</v>
      </c>
      <c r="Q389" s="276">
        <v>0</v>
      </c>
      <c r="S389" s="54">
        <f>SUM(F389:Q389)</f>
        <v>0</v>
      </c>
    </row>
    <row r="390" spans="1:19" s="23" customFormat="1" hidden="1" outlineLevel="2" x14ac:dyDescent="0.2">
      <c r="A390" t="str">
        <f ca="1">Language!A$384</f>
        <v xml:space="preserve">    поставить на баланс с</v>
      </c>
      <c r="B390" s="271">
        <f ca="1">MATCH(OFFSET(S395,0,-2),F395:Q395,0)</f>
        <v>1</v>
      </c>
      <c r="C390" s="40" t="str">
        <f ca="1">Language!A$376</f>
        <v>периода</v>
      </c>
      <c r="S390" s="11"/>
    </row>
    <row r="391" spans="1:19" s="23" customFormat="1" hidden="1" outlineLevel="2" x14ac:dyDescent="0.2">
      <c r="A391" t="str">
        <f ca="1">Language!A$393</f>
        <v xml:space="preserve">    амортизация (линейная),       для срока использования:</v>
      </c>
      <c r="B391" s="271">
        <v>2</v>
      </c>
      <c r="C391" s="40" t="str">
        <f ca="1">Language!A$33</f>
        <v>лет</v>
      </c>
      <c r="D391" s="132" t="s">
        <v>2224</v>
      </c>
      <c r="F391" s="84">
        <f t="shared" ref="F391:Q391" ca="1" si="364">IF($B391&gt;0,MIN(F396*100%/$B391*PRJ_Step/360,E400+F396-E396),0)</f>
        <v>0</v>
      </c>
      <c r="G391" s="84">
        <f t="shared" ca="1" si="364"/>
        <v>0</v>
      </c>
      <c r="H391" s="84">
        <f t="shared" ca="1" si="364"/>
        <v>0</v>
      </c>
      <c r="I391" s="84">
        <f t="shared" ca="1" si="364"/>
        <v>0</v>
      </c>
      <c r="J391" s="84">
        <f t="shared" ca="1" si="364"/>
        <v>0</v>
      </c>
      <c r="K391" s="84">
        <f t="shared" ca="1" si="364"/>
        <v>0</v>
      </c>
      <c r="L391" s="84">
        <f t="shared" ca="1" si="364"/>
        <v>0</v>
      </c>
      <c r="M391" s="84">
        <f t="shared" ca="1" si="364"/>
        <v>0</v>
      </c>
      <c r="N391" s="84">
        <f t="shared" ca="1" si="364"/>
        <v>0</v>
      </c>
      <c r="O391" s="84">
        <f t="shared" ca="1" si="364"/>
        <v>0</v>
      </c>
      <c r="P391" s="84">
        <f t="shared" ca="1" si="364"/>
        <v>0</v>
      </c>
      <c r="Q391" s="84">
        <f t="shared" ca="1" si="364"/>
        <v>0</v>
      </c>
      <c r="S391" s="54">
        <f ca="1">SUM(F391:Q391)</f>
        <v>0</v>
      </c>
    </row>
    <row r="392" spans="1:19" s="23" customFormat="1" hidden="1" outlineLevel="2" x14ac:dyDescent="0.2">
      <c r="A392" t="str">
        <f ca="1">Language!A$395</f>
        <v xml:space="preserve">    выплаченный НДС</v>
      </c>
      <c r="B392" s="273">
        <f>VAT</f>
        <v>0</v>
      </c>
      <c r="C392" s="40" t="str">
        <f ca="1">CUR_Main</f>
        <v>руб.</v>
      </c>
      <c r="D392" s="23" t="s">
        <v>2265</v>
      </c>
      <c r="F392" s="83">
        <f t="shared" ref="F392:Q392" si="365">F393*$B392</f>
        <v>0</v>
      </c>
      <c r="G392" s="83">
        <f t="shared" si="365"/>
        <v>0</v>
      </c>
      <c r="H392" s="83">
        <f t="shared" si="365"/>
        <v>0</v>
      </c>
      <c r="I392" s="83">
        <f t="shared" si="365"/>
        <v>0</v>
      </c>
      <c r="J392" s="83">
        <f t="shared" si="365"/>
        <v>0</v>
      </c>
      <c r="K392" s="83">
        <f t="shared" si="365"/>
        <v>0</v>
      </c>
      <c r="L392" s="83">
        <f t="shared" si="365"/>
        <v>0</v>
      </c>
      <c r="M392" s="83">
        <f t="shared" si="365"/>
        <v>0</v>
      </c>
      <c r="N392" s="83">
        <f t="shared" si="365"/>
        <v>0</v>
      </c>
      <c r="O392" s="83">
        <f t="shared" si="365"/>
        <v>0</v>
      </c>
      <c r="P392" s="83">
        <f t="shared" si="365"/>
        <v>0</v>
      </c>
      <c r="Q392" s="83">
        <f t="shared" si="365"/>
        <v>0</v>
      </c>
      <c r="S392" s="54">
        <f>SUM(F392:Q392)</f>
        <v>0</v>
      </c>
    </row>
    <row r="393" spans="1:19" s="23" customFormat="1" hidden="1" outlineLevel="2" x14ac:dyDescent="0.2">
      <c r="A393" t="str">
        <f ca="1">Language!A$385</f>
        <v xml:space="preserve">    сумма платежей без НДС</v>
      </c>
      <c r="C393" s="40" t="str">
        <f t="shared" ref="C393:C401" ca="1" si="366">CUR_Main</f>
        <v>руб.</v>
      </c>
      <c r="D393" s="23" t="s">
        <v>188</v>
      </c>
      <c r="F393" s="84">
        <f t="shared" ref="F393:M393" si="367">F389*IF($B389=1,1,F$88)/(1+$B392)</f>
        <v>0</v>
      </c>
      <c r="G393" s="84">
        <f t="shared" si="367"/>
        <v>0</v>
      </c>
      <c r="H393" s="84">
        <f t="shared" si="367"/>
        <v>0</v>
      </c>
      <c r="I393" s="84">
        <f t="shared" si="367"/>
        <v>0</v>
      </c>
      <c r="J393" s="84">
        <f t="shared" si="367"/>
        <v>0</v>
      </c>
      <c r="K393" s="84">
        <f t="shared" si="367"/>
        <v>0</v>
      </c>
      <c r="L393" s="84">
        <f t="shared" si="367"/>
        <v>0</v>
      </c>
      <c r="M393" s="84">
        <f t="shared" si="367"/>
        <v>0</v>
      </c>
      <c r="N393" s="84">
        <f t="shared" ref="N393" si="368">N389*IF($B389=1,1,N$88)/(1+$B392)</f>
        <v>0</v>
      </c>
      <c r="O393" s="84">
        <f t="shared" ref="O393" si="369">O389*IF($B389=1,1,O$88)/(1+$B392)</f>
        <v>0</v>
      </c>
      <c r="P393" s="84">
        <f t="shared" ref="P393:Q393" si="370">P389*IF($B389=1,1,P$88)/(1+$B392)</f>
        <v>0</v>
      </c>
      <c r="Q393" s="84">
        <f t="shared" si="370"/>
        <v>0</v>
      </c>
      <c r="S393" s="54">
        <f>SUM(F393:Q393)</f>
        <v>0</v>
      </c>
    </row>
    <row r="394" spans="1:19" s="23" customFormat="1" ht="10.5" hidden="1" outlineLevel="2" x14ac:dyDescent="0.2">
      <c r="A394" t="str">
        <f ca="1">Language!A$386</f>
        <v xml:space="preserve">    общая стоимость актива (без НДС)</v>
      </c>
      <c r="B394" s="55">
        <f>S393</f>
        <v>0</v>
      </c>
      <c r="C394" s="40" t="str">
        <f t="shared" ca="1" si="366"/>
        <v>руб.</v>
      </c>
      <c r="F394" s="52"/>
      <c r="G394" s="52"/>
      <c r="H394" s="52"/>
      <c r="I394" s="52"/>
      <c r="J394" s="52"/>
      <c r="K394" s="52"/>
      <c r="L394" s="52"/>
      <c r="M394" s="52"/>
      <c r="N394" s="52"/>
      <c r="O394" s="52"/>
      <c r="P394" s="52"/>
      <c r="Q394" s="52"/>
      <c r="S394" s="11"/>
    </row>
    <row r="395" spans="1:19" s="23" customFormat="1" hidden="1" outlineLevel="2" x14ac:dyDescent="0.2">
      <c r="A395" t="str">
        <f ca="1">Language!A$387</f>
        <v xml:space="preserve">    полная сумма вложений в актив (без НДС)</v>
      </c>
      <c r="C395" s="40" t="str">
        <f t="shared" ca="1" si="366"/>
        <v>руб.</v>
      </c>
      <c r="D395" s="23" t="s">
        <v>2270</v>
      </c>
      <c r="F395" s="84">
        <f>F393</f>
        <v>0</v>
      </c>
      <c r="G395" s="84">
        <f t="shared" ref="G395:Q395" si="371">F395+G393</f>
        <v>0</v>
      </c>
      <c r="H395" s="84">
        <f t="shared" si="371"/>
        <v>0</v>
      </c>
      <c r="I395" s="84">
        <f t="shared" si="371"/>
        <v>0</v>
      </c>
      <c r="J395" s="84">
        <f t="shared" si="371"/>
        <v>0</v>
      </c>
      <c r="K395" s="84">
        <f t="shared" si="371"/>
        <v>0</v>
      </c>
      <c r="L395" s="84">
        <f t="shared" si="371"/>
        <v>0</v>
      </c>
      <c r="M395" s="84">
        <f t="shared" si="371"/>
        <v>0</v>
      </c>
      <c r="N395" s="84">
        <f t="shared" si="371"/>
        <v>0</v>
      </c>
      <c r="O395" s="84">
        <f t="shared" si="371"/>
        <v>0</v>
      </c>
      <c r="P395" s="84">
        <f t="shared" si="371"/>
        <v>0</v>
      </c>
      <c r="Q395" s="84">
        <f t="shared" si="371"/>
        <v>0</v>
      </c>
      <c r="S395" s="54"/>
    </row>
    <row r="396" spans="1:19" s="23" customFormat="1" hidden="1" outlineLevel="2" x14ac:dyDescent="0.2">
      <c r="A396" t="str">
        <f ca="1">Language!A$388</f>
        <v xml:space="preserve">    полная балансовая стоимость</v>
      </c>
      <c r="C396" s="40" t="str">
        <f t="shared" ca="1" si="366"/>
        <v>руб.</v>
      </c>
      <c r="D396" s="23" t="s">
        <v>2271</v>
      </c>
      <c r="F396" s="84">
        <f t="shared" ref="F396:M396" ca="1" si="372">IF($B390&lt;=F$29,$B394,0)</f>
        <v>0</v>
      </c>
      <c r="G396" s="84">
        <f t="shared" ca="1" si="372"/>
        <v>0</v>
      </c>
      <c r="H396" s="84">
        <f t="shared" ca="1" si="372"/>
        <v>0</v>
      </c>
      <c r="I396" s="84">
        <f t="shared" ca="1" si="372"/>
        <v>0</v>
      </c>
      <c r="J396" s="84">
        <f t="shared" ca="1" si="372"/>
        <v>0</v>
      </c>
      <c r="K396" s="84">
        <f t="shared" ca="1" si="372"/>
        <v>0</v>
      </c>
      <c r="L396" s="84">
        <f t="shared" ca="1" si="372"/>
        <v>0</v>
      </c>
      <c r="M396" s="84">
        <f t="shared" ca="1" si="372"/>
        <v>0</v>
      </c>
      <c r="N396" s="84">
        <f t="shared" ref="N396" ca="1" si="373">IF($B390&lt;=N$29,$B394,0)</f>
        <v>0</v>
      </c>
      <c r="O396" s="84">
        <f t="shared" ref="O396" ca="1" si="374">IF($B390&lt;=O$29,$B394,0)</f>
        <v>0</v>
      </c>
      <c r="P396" s="84">
        <f t="shared" ref="P396:Q396" ca="1" si="375">IF($B390&lt;=P$29,$B394,0)</f>
        <v>0</v>
      </c>
      <c r="Q396" s="84">
        <f t="shared" ca="1" si="375"/>
        <v>0</v>
      </c>
      <c r="S396" s="11"/>
    </row>
    <row r="397" spans="1:19" s="23" customFormat="1" hidden="1" outlineLevel="2" x14ac:dyDescent="0.2">
      <c r="A397" s="48" t="str">
        <f ca="1">Language!A$408</f>
        <v xml:space="preserve">    авансы выданные</v>
      </c>
      <c r="C397" s="40" t="str">
        <f t="shared" ca="1" si="366"/>
        <v>руб.</v>
      </c>
      <c r="D397" s="23" t="s">
        <v>2277</v>
      </c>
      <c r="F397" s="84">
        <f t="shared" ref="F397:M397" ca="1" si="376">IF($B390&gt;F$29,F395,0)</f>
        <v>0</v>
      </c>
      <c r="G397" s="84">
        <f t="shared" ca="1" si="376"/>
        <v>0</v>
      </c>
      <c r="H397" s="84">
        <f t="shared" ca="1" si="376"/>
        <v>0</v>
      </c>
      <c r="I397" s="84">
        <f t="shared" ca="1" si="376"/>
        <v>0</v>
      </c>
      <c r="J397" s="84">
        <f t="shared" ca="1" si="376"/>
        <v>0</v>
      </c>
      <c r="K397" s="84">
        <f t="shared" ca="1" si="376"/>
        <v>0</v>
      </c>
      <c r="L397" s="84">
        <f t="shared" ca="1" si="376"/>
        <v>0</v>
      </c>
      <c r="M397" s="84">
        <f t="shared" ca="1" si="376"/>
        <v>0</v>
      </c>
      <c r="N397" s="84">
        <f t="shared" ref="N397" ca="1" si="377">IF($B390&gt;N$29,N395,0)</f>
        <v>0</v>
      </c>
      <c r="O397" s="84">
        <f t="shared" ref="O397" ca="1" si="378">IF($B390&gt;O$29,O395,0)</f>
        <v>0</v>
      </c>
      <c r="P397" s="84">
        <f t="shared" ref="P397:Q397" ca="1" si="379">IF($B390&gt;P$29,P395,0)</f>
        <v>0</v>
      </c>
      <c r="Q397" s="84">
        <f t="shared" ca="1" si="379"/>
        <v>0</v>
      </c>
      <c r="S397" s="11"/>
    </row>
    <row r="398" spans="1:19" s="23" customFormat="1" hidden="1" outlineLevel="2" x14ac:dyDescent="0.2">
      <c r="A398" t="str">
        <f ca="1">Language!A$390</f>
        <v xml:space="preserve">    кредиторская задолженность</v>
      </c>
      <c r="C398" s="40" t="str">
        <f t="shared" ca="1" si="366"/>
        <v>руб.</v>
      </c>
      <c r="D398" s="23" t="s">
        <v>2275</v>
      </c>
      <c r="F398" s="84">
        <f t="shared" ref="F398:M398" ca="1" si="380">IF($B390&lt;=F$29,$B394-F395,0)</f>
        <v>0</v>
      </c>
      <c r="G398" s="84">
        <f t="shared" ca="1" si="380"/>
        <v>0</v>
      </c>
      <c r="H398" s="84">
        <f t="shared" ca="1" si="380"/>
        <v>0</v>
      </c>
      <c r="I398" s="84">
        <f t="shared" ca="1" si="380"/>
        <v>0</v>
      </c>
      <c r="J398" s="84">
        <f t="shared" ca="1" si="380"/>
        <v>0</v>
      </c>
      <c r="K398" s="84">
        <f t="shared" ca="1" si="380"/>
        <v>0</v>
      </c>
      <c r="L398" s="84">
        <f t="shared" ca="1" si="380"/>
        <v>0</v>
      </c>
      <c r="M398" s="84">
        <f t="shared" ca="1" si="380"/>
        <v>0</v>
      </c>
      <c r="N398" s="84">
        <f t="shared" ref="N398" ca="1" si="381">IF($B390&lt;=N$29,$B394-N395,0)</f>
        <v>0</v>
      </c>
      <c r="O398" s="84">
        <f t="shared" ref="O398" ca="1" si="382">IF($B390&lt;=O$29,$B394-O395,0)</f>
        <v>0</v>
      </c>
      <c r="P398" s="84">
        <f t="shared" ref="P398:Q398" ca="1" si="383">IF($B390&lt;=P$29,$B394-P395,0)</f>
        <v>0</v>
      </c>
      <c r="Q398" s="84">
        <f t="shared" ca="1" si="383"/>
        <v>0</v>
      </c>
      <c r="S398" s="11"/>
    </row>
    <row r="399" spans="1:19" s="23" customFormat="1" hidden="1" outlineLevel="2" x14ac:dyDescent="0.2">
      <c r="A399" t="str">
        <f ca="1">Language!A$397</f>
        <v xml:space="preserve">    накопленная амортизация</v>
      </c>
      <c r="C399" s="40" t="str">
        <f t="shared" ca="1" si="366"/>
        <v>руб.</v>
      </c>
      <c r="D399" s="23" t="s">
        <v>2272</v>
      </c>
      <c r="F399" s="84">
        <f t="shared" ref="F399:Q399" ca="1" si="384">E399+F391</f>
        <v>0</v>
      </c>
      <c r="G399" s="84">
        <f t="shared" ca="1" si="384"/>
        <v>0</v>
      </c>
      <c r="H399" s="84">
        <f t="shared" ca="1" si="384"/>
        <v>0</v>
      </c>
      <c r="I399" s="84">
        <f t="shared" ca="1" si="384"/>
        <v>0</v>
      </c>
      <c r="J399" s="84">
        <f t="shared" ca="1" si="384"/>
        <v>0</v>
      </c>
      <c r="K399" s="84">
        <f t="shared" ca="1" si="384"/>
        <v>0</v>
      </c>
      <c r="L399" s="84">
        <f t="shared" ca="1" si="384"/>
        <v>0</v>
      </c>
      <c r="M399" s="84">
        <f t="shared" ca="1" si="384"/>
        <v>0</v>
      </c>
      <c r="N399" s="84">
        <f t="shared" ca="1" si="384"/>
        <v>0</v>
      </c>
      <c r="O399" s="84">
        <f t="shared" ca="1" si="384"/>
        <v>0</v>
      </c>
      <c r="P399" s="84">
        <f t="shared" ca="1" si="384"/>
        <v>0</v>
      </c>
      <c r="Q399" s="84">
        <f t="shared" ca="1" si="384"/>
        <v>0</v>
      </c>
      <c r="S399" s="11"/>
    </row>
    <row r="400" spans="1:19" s="23" customFormat="1" hidden="1" outlineLevel="2" x14ac:dyDescent="0.2">
      <c r="A400" t="str">
        <f ca="1">Language!A$391</f>
        <v xml:space="preserve">    остаточная стоимость</v>
      </c>
      <c r="C400" s="40" t="str">
        <f t="shared" ca="1" si="366"/>
        <v>руб.</v>
      </c>
      <c r="D400" s="23" t="s">
        <v>2273</v>
      </c>
      <c r="F400" s="106">
        <f t="shared" ref="F400:M400" ca="1" si="385">F396-F399</f>
        <v>0</v>
      </c>
      <c r="G400" s="106">
        <f t="shared" ca="1" si="385"/>
        <v>0</v>
      </c>
      <c r="H400" s="106">
        <f t="shared" ca="1" si="385"/>
        <v>0</v>
      </c>
      <c r="I400" s="106">
        <f t="shared" ca="1" si="385"/>
        <v>0</v>
      </c>
      <c r="J400" s="106">
        <f t="shared" ca="1" si="385"/>
        <v>0</v>
      </c>
      <c r="K400" s="106">
        <f t="shared" ca="1" si="385"/>
        <v>0</v>
      </c>
      <c r="L400" s="106">
        <f t="shared" ca="1" si="385"/>
        <v>0</v>
      </c>
      <c r="M400" s="106">
        <f t="shared" ca="1" si="385"/>
        <v>0</v>
      </c>
      <c r="N400" s="106">
        <f t="shared" ref="N400" ca="1" si="386">N396-N399</f>
        <v>0</v>
      </c>
      <c r="O400" s="106">
        <f t="shared" ref="O400" ca="1" si="387">O396-O399</f>
        <v>0</v>
      </c>
      <c r="P400" s="106">
        <f t="shared" ref="P400:Q400" ca="1" si="388">P396-P399</f>
        <v>0</v>
      </c>
      <c r="Q400" s="106">
        <f t="shared" ca="1" si="388"/>
        <v>0</v>
      </c>
      <c r="S400" s="11"/>
    </row>
    <row r="401" spans="1:19" s="23" customFormat="1" hidden="1" outlineLevel="2" x14ac:dyDescent="0.2">
      <c r="A401" t="str">
        <f ca="1">Language!A$399</f>
        <v xml:space="preserve">    зачет НДС</v>
      </c>
      <c r="C401" s="40" t="str">
        <f t="shared" ca="1" si="366"/>
        <v>руб.</v>
      </c>
      <c r="D401" s="24" t="s">
        <v>2267</v>
      </c>
      <c r="F401" s="111">
        <f ca="1">IF($B390=F$29,$S392,0)</f>
        <v>0</v>
      </c>
      <c r="G401" s="111">
        <f ca="1">IF($B390=G$29,$S392,0)</f>
        <v>0</v>
      </c>
      <c r="H401" s="111">
        <f ca="1">IF($B390=H$29,$S392,0)</f>
        <v>0</v>
      </c>
      <c r="I401" s="111">
        <f ca="1">IF($B390=I$29,$S392,0)</f>
        <v>0</v>
      </c>
      <c r="J401" s="111">
        <f ca="1">IF($B390=J$29,$S392,0)</f>
        <v>0</v>
      </c>
      <c r="K401" s="111">
        <f ca="1">IF($B390=K$29,$S392,0)</f>
        <v>0</v>
      </c>
      <c r="L401" s="111">
        <f ca="1">IF($B390=L$29,$S392,0)</f>
        <v>0</v>
      </c>
      <c r="M401" s="111">
        <f ca="1">IF($B390=M$29,$S392,0)</f>
        <v>0</v>
      </c>
      <c r="N401" s="111">
        <f ca="1">IF($B390=N$29,$S392,0)</f>
        <v>0</v>
      </c>
      <c r="O401" s="111">
        <f ca="1">IF($B390=O$29,$S392,0)</f>
        <v>0</v>
      </c>
      <c r="P401" s="111">
        <f ca="1">IF($B390=P$29,$S392,0)</f>
        <v>0</v>
      </c>
      <c r="Q401" s="111">
        <f ca="1">IF($B390=Q$29,$S392,0)</f>
        <v>0</v>
      </c>
      <c r="S401" s="54">
        <f ca="1">SUM(F401:Q401)</f>
        <v>0</v>
      </c>
    </row>
    <row r="402" spans="1:19" outlineLevel="1" x14ac:dyDescent="0.2">
      <c r="D402" s="19"/>
    </row>
    <row r="403" spans="1:19" ht="10.5" outlineLevel="1" x14ac:dyDescent="0.25">
      <c r="A403" s="35" t="str">
        <f ca="1">Language!A410</f>
        <v>Проценты по кредитам на инвестиционной фазе</v>
      </c>
      <c r="C403" s="40" t="str">
        <f ca="1">CUR_Main</f>
        <v>руб.</v>
      </c>
      <c r="F403" s="84">
        <f>IF(F29&lt;$B404,F1231,0)</f>
        <v>0</v>
      </c>
      <c r="G403" s="84">
        <f>IF(G29&lt;$B404,G1231,0)</f>
        <v>0</v>
      </c>
      <c r="H403" s="84">
        <f>IF(H29&lt;$B404,H1231,0)</f>
        <v>0</v>
      </c>
      <c r="I403" s="84">
        <f>IF(I29&lt;$B404,I1231,0)</f>
        <v>0</v>
      </c>
      <c r="J403" s="84">
        <f>IF(J29&lt;$B404,J1231,0)</f>
        <v>0</v>
      </c>
      <c r="K403" s="84">
        <f>IF(K29&lt;$B404,K1231,0)</f>
        <v>0</v>
      </c>
      <c r="L403" s="84">
        <f>IF(L29&lt;$B404,L1231,0)</f>
        <v>0</v>
      </c>
      <c r="M403" s="84">
        <f>IF(M29&lt;$B404,M1231,0)</f>
        <v>0</v>
      </c>
      <c r="N403" s="84">
        <f>IF(N29&lt;$B404,N1231,0)</f>
        <v>0</v>
      </c>
      <c r="O403" s="84">
        <f>IF(O29&lt;$B404,O1231,0)</f>
        <v>0</v>
      </c>
      <c r="P403" s="84">
        <f>IF(P29&lt;$B404,P1231,0)</f>
        <v>0</v>
      </c>
      <c r="Q403" s="84">
        <f>IF(Q29&lt;$B404,Q1231,0)</f>
        <v>0</v>
      </c>
      <c r="S403" s="54">
        <f>SUM(F403:Q403)</f>
        <v>0</v>
      </c>
    </row>
    <row r="404" spans="1:19" outlineLevel="1" collapsed="1" x14ac:dyDescent="0.2">
      <c r="A404" t="str">
        <f ca="1">Language!A411</f>
        <v xml:space="preserve">    инвестиционная фаза заканчивается с начала</v>
      </c>
      <c r="B404" s="259">
        <f>MAX(IF((S436+S428+S450)&gt;0,MAX(B302,B287,B325),1),IF((0)&gt;0,0,1))</f>
        <v>1</v>
      </c>
      <c r="C404" s="40" t="str">
        <f ca="1">Language!A$376</f>
        <v>периода</v>
      </c>
    </row>
    <row r="405" spans="1:19" hidden="1" outlineLevel="2" x14ac:dyDescent="0.2">
      <c r="A405" t="str">
        <f ca="1">Language!A$393</f>
        <v xml:space="preserve">    амортизация (линейная),       для срока использования:</v>
      </c>
      <c r="B405" s="271">
        <v>2</v>
      </c>
      <c r="C405" s="40" t="str">
        <f ca="1">Language!A$33</f>
        <v>лет</v>
      </c>
      <c r="F405" s="83">
        <f t="shared" ref="F405:Q405" si="389">IF($B405&gt;0,MIN(F407*(100%/$B405)*PRJ_Step/360,E408+F407-E407),0)</f>
        <v>0</v>
      </c>
      <c r="G405" s="83">
        <f t="shared" si="389"/>
        <v>0</v>
      </c>
      <c r="H405" s="83">
        <f t="shared" si="389"/>
        <v>0</v>
      </c>
      <c r="I405" s="83">
        <f t="shared" si="389"/>
        <v>0</v>
      </c>
      <c r="J405" s="83">
        <f t="shared" si="389"/>
        <v>0</v>
      </c>
      <c r="K405" s="83">
        <f t="shared" si="389"/>
        <v>0</v>
      </c>
      <c r="L405" s="83">
        <f t="shared" si="389"/>
        <v>0</v>
      </c>
      <c r="M405" s="83">
        <f t="shared" si="389"/>
        <v>0</v>
      </c>
      <c r="N405" s="83">
        <f t="shared" si="389"/>
        <v>0</v>
      </c>
      <c r="O405" s="83">
        <f t="shared" si="389"/>
        <v>0</v>
      </c>
      <c r="P405" s="83">
        <f t="shared" si="389"/>
        <v>0</v>
      </c>
      <c r="Q405" s="83">
        <f t="shared" si="389"/>
        <v>0</v>
      </c>
      <c r="S405" s="54">
        <f>SUM(F405:Q405)</f>
        <v>0</v>
      </c>
    </row>
    <row r="406" spans="1:19" hidden="1" outlineLevel="2" x14ac:dyDescent="0.2">
      <c r="A406" t="str">
        <f ca="1">Language!A$389</f>
        <v xml:space="preserve">    незавершенные инвестиции</v>
      </c>
      <c r="C406" s="40" t="str">
        <f ca="1">CUR_Main</f>
        <v>руб.</v>
      </c>
      <c r="D406" s="16" t="s">
        <v>384</v>
      </c>
      <c r="F406" s="53">
        <f t="shared" ref="F406:M406" si="390">IF(F29&lt;$B404,E406+F403,0)</f>
        <v>0</v>
      </c>
      <c r="G406" s="53">
        <f t="shared" si="390"/>
        <v>0</v>
      </c>
      <c r="H406" s="53">
        <f t="shared" si="390"/>
        <v>0</v>
      </c>
      <c r="I406" s="53">
        <f t="shared" si="390"/>
        <v>0</v>
      </c>
      <c r="J406" s="53">
        <f t="shared" si="390"/>
        <v>0</v>
      </c>
      <c r="K406" s="53">
        <f t="shared" si="390"/>
        <v>0</v>
      </c>
      <c r="L406" s="53">
        <f t="shared" si="390"/>
        <v>0</v>
      </c>
      <c r="M406" s="53">
        <f t="shared" si="390"/>
        <v>0</v>
      </c>
      <c r="N406" s="53">
        <f t="shared" ref="N406:O406" si="391">IF(N29&lt;$B404,M406+N403,0)</f>
        <v>0</v>
      </c>
      <c r="O406" s="53">
        <f t="shared" si="391"/>
        <v>0</v>
      </c>
      <c r="P406" s="53">
        <f t="shared" ref="P406:Q406" si="392">IF(P29&lt;$B404,O406+P403,0)</f>
        <v>0</v>
      </c>
      <c r="Q406" s="53">
        <f t="shared" si="392"/>
        <v>0</v>
      </c>
    </row>
    <row r="407" spans="1:19" hidden="1" outlineLevel="2" x14ac:dyDescent="0.2">
      <c r="A407" t="str">
        <f ca="1">Language!A$388</f>
        <v xml:space="preserve">    полная балансовая стоимость</v>
      </c>
      <c r="C407" s="40" t="str">
        <f ca="1">CUR_Main</f>
        <v>руб.</v>
      </c>
      <c r="D407" s="16" t="s">
        <v>384</v>
      </c>
      <c r="F407" s="84">
        <f>IF($B404&lt;=F$29,$S403,0)</f>
        <v>0</v>
      </c>
      <c r="G407" s="84">
        <f>IF($B404&lt;=G$29,$S403,0)</f>
        <v>0</v>
      </c>
      <c r="H407" s="84">
        <f>IF($B404&lt;=H$29,$S403,0)</f>
        <v>0</v>
      </c>
      <c r="I407" s="84">
        <f>IF($B404&lt;=I$29,$S403,0)</f>
        <v>0</v>
      </c>
      <c r="J407" s="84">
        <f>IF($B404&lt;=J$29,$S403,0)</f>
        <v>0</v>
      </c>
      <c r="K407" s="84">
        <f>IF($B404&lt;=K$29,$S403,0)</f>
        <v>0</v>
      </c>
      <c r="L407" s="84">
        <f>IF($B404&lt;=L$29,$S403,0)</f>
        <v>0</v>
      </c>
      <c r="M407" s="84">
        <f>IF($B404&lt;=M$29,$S403,0)</f>
        <v>0</v>
      </c>
      <c r="N407" s="84">
        <f>IF($B404&lt;=N$29,$S403,0)</f>
        <v>0</v>
      </c>
      <c r="O407" s="84">
        <f>IF($B404&lt;=O$29,$S403,0)</f>
        <v>0</v>
      </c>
      <c r="P407" s="84">
        <f>IF($B404&lt;=P$29,$S403,0)</f>
        <v>0</v>
      </c>
      <c r="Q407" s="84">
        <f>IF($B404&lt;=Q$29,$S403,0)</f>
        <v>0</v>
      </c>
    </row>
    <row r="408" spans="1:19" hidden="1" outlineLevel="2" x14ac:dyDescent="0.2">
      <c r="A408" t="str">
        <f ca="1">Language!A$391</f>
        <v xml:space="preserve">    остаточная стоимость</v>
      </c>
      <c r="C408" s="40" t="str">
        <f ca="1">CUR_Main</f>
        <v>руб.</v>
      </c>
      <c r="D408" s="16" t="s">
        <v>384</v>
      </c>
      <c r="F408" s="53">
        <f>F407-SUM($E405:F405)</f>
        <v>0</v>
      </c>
      <c r="G408" s="53">
        <f>G407-SUM($E405:G405)</f>
        <v>0</v>
      </c>
      <c r="H408" s="53">
        <f>H407-SUM($E405:H405)</f>
        <v>0</v>
      </c>
      <c r="I408" s="53">
        <f>I407-SUM($E405:I405)</f>
        <v>0</v>
      </c>
      <c r="J408" s="53">
        <f>J407-SUM($E405:J405)</f>
        <v>0</v>
      </c>
      <c r="K408" s="53">
        <f>K407-SUM($E405:K405)</f>
        <v>0</v>
      </c>
      <c r="L408" s="53">
        <f>L407-SUM($E405:L405)</f>
        <v>0</v>
      </c>
      <c r="M408" s="53">
        <f>M407-SUM($E405:M405)</f>
        <v>0</v>
      </c>
      <c r="N408" s="53">
        <f>N407-SUM($E405:N405)</f>
        <v>0</v>
      </c>
      <c r="O408" s="53">
        <f>O407-SUM($E405:O405)</f>
        <v>0</v>
      </c>
      <c r="P408" s="53">
        <f>P407-SUM($E405:P405)</f>
        <v>0</v>
      </c>
      <c r="Q408" s="53">
        <f>Q407-SUM($E405:Q405)</f>
        <v>0</v>
      </c>
    </row>
    <row r="409" spans="1:19" outlineLevel="1" x14ac:dyDescent="0.2"/>
    <row r="410" spans="1:19" ht="10.5" outlineLevel="1" x14ac:dyDescent="0.25">
      <c r="A410" s="35" t="str">
        <f ca="1">Language!A413</f>
        <v>Общая величина ранее осуществленных инвестиций</v>
      </c>
      <c r="C410" s="40"/>
    </row>
    <row r="411" spans="1:19" outlineLevel="1" x14ac:dyDescent="0.2">
      <c r="A411" s="23" t="str">
        <f ca="1">Language!A414</f>
        <v>Незавершенные инвестиции в стартовом балансе</v>
      </c>
      <c r="B411" s="131">
        <f>SUM(B413:B416)</f>
        <v>0</v>
      </c>
      <c r="C411" s="40" t="str">
        <f t="shared" ref="C411:C425" ca="1" si="393">CUR_Main</f>
        <v>руб.</v>
      </c>
    </row>
    <row r="412" spans="1:19" outlineLevel="2" x14ac:dyDescent="0.2">
      <c r="A412" s="23" t="str">
        <f ca="1">Language!A415</f>
        <v xml:space="preserve">     НДС к ранее осуществленным инвестициям</v>
      </c>
      <c r="B412" s="131">
        <f>F56*IF(B$37=1,1,F$88)</f>
        <v>0</v>
      </c>
      <c r="C412" s="40" t="str">
        <f t="shared" ca="1" si="393"/>
        <v>руб.</v>
      </c>
    </row>
    <row r="413" spans="1:19" outlineLevel="2" x14ac:dyDescent="0.2">
      <c r="A413" s="23" t="str">
        <f ca="1">Language!A76</f>
        <v xml:space="preserve">   - здания и сооружения</v>
      </c>
      <c r="B413" s="131">
        <f>F46*IF(B$37=1,1,F$88)</f>
        <v>0</v>
      </c>
      <c r="C413" s="40" t="str">
        <f t="shared" ca="1" si="393"/>
        <v>руб.</v>
      </c>
    </row>
    <row r="414" spans="1:19" outlineLevel="2" x14ac:dyDescent="0.2">
      <c r="A414" s="23" t="str">
        <f ca="1">Language!A77</f>
        <v xml:space="preserve">   - земельные участки</v>
      </c>
      <c r="B414" s="131">
        <f>F45*IF(B$37=1,1,F$88)</f>
        <v>0</v>
      </c>
      <c r="C414" s="40" t="str">
        <f t="shared" ca="1" si="393"/>
        <v>руб.</v>
      </c>
    </row>
    <row r="415" spans="1:19" outlineLevel="2" x14ac:dyDescent="0.2">
      <c r="A415" s="23" t="str">
        <f ca="1">Language!A78</f>
        <v xml:space="preserve">   - нематериальные активы</v>
      </c>
      <c r="B415" s="131">
        <f>F47*IF(B$37=1,1,F$88)</f>
        <v>0</v>
      </c>
      <c r="C415" s="40" t="str">
        <f t="shared" ca="1" si="393"/>
        <v>руб.</v>
      </c>
    </row>
    <row r="416" spans="1:19" outlineLevel="2" x14ac:dyDescent="0.2">
      <c r="A416" s="23" t="str">
        <f ca="1">Language!A79</f>
        <v xml:space="preserve">   - оборудование и другие активы</v>
      </c>
      <c r="B416" s="131">
        <f>F48*IF(B$37=1,1,F$88)</f>
        <v>0</v>
      </c>
      <c r="C416" s="40" t="str">
        <f t="shared" ca="1" si="393"/>
        <v>руб.</v>
      </c>
    </row>
    <row r="417" spans="1:19" outlineLevel="1" collapsed="1" x14ac:dyDescent="0.2">
      <c r="A417" s="23" t="str">
        <f ca="1">Language!A417</f>
        <v>Незавершенные инвестиции по данным текущей таблицы</v>
      </c>
      <c r="B417" s="131">
        <f>SUM(B418:B421)</f>
        <v>0</v>
      </c>
      <c r="C417" s="40" t="str">
        <f t="shared" ca="1" si="393"/>
        <v>руб.</v>
      </c>
    </row>
    <row r="418" spans="1:19" hidden="1" outlineLevel="2" x14ac:dyDescent="0.2">
      <c r="A418" s="23" t="str">
        <f ca="1">Language!A76</f>
        <v xml:space="preserve">   - здания и сооружения</v>
      </c>
      <c r="B418" s="131">
        <f>SUMIF(D298:D320,"*1_20*",B298:B320)</f>
        <v>0</v>
      </c>
      <c r="C418" s="40" t="str">
        <f t="shared" ca="1" si="393"/>
        <v>руб.</v>
      </c>
    </row>
    <row r="419" spans="1:19" hidden="1" outlineLevel="2" x14ac:dyDescent="0.2">
      <c r="A419" s="23" t="str">
        <f ca="1">Language!A77</f>
        <v xml:space="preserve">   - земельные участки</v>
      </c>
      <c r="B419" s="131">
        <f>SUMIF(D283:D297,"*1_20*",B283:B297)</f>
        <v>0</v>
      </c>
      <c r="C419" s="40" t="str">
        <f t="shared" ca="1" si="393"/>
        <v>руб.</v>
      </c>
    </row>
    <row r="420" spans="1:19" hidden="1" outlineLevel="2" x14ac:dyDescent="0.2">
      <c r="A420" s="23" t="str">
        <f ca="1">Language!A78</f>
        <v xml:space="preserve">   - нематериальные активы</v>
      </c>
      <c r="B420" s="131">
        <f>SUMIF(D347:D369,"*1_20*",B347:B369)</f>
        <v>0</v>
      </c>
      <c r="C420" s="40" t="str">
        <f t="shared" ca="1" si="393"/>
        <v>руб.</v>
      </c>
    </row>
    <row r="421" spans="1:19" hidden="1" outlineLevel="2" x14ac:dyDescent="0.2">
      <c r="A421" s="23" t="str">
        <f ca="1">Language!A79</f>
        <v xml:space="preserve">   - оборудование и другие активы</v>
      </c>
      <c r="B421" s="131">
        <f>SUMIF(D321:D346,"*1_20*",B321:B346)</f>
        <v>0</v>
      </c>
      <c r="C421" s="40" t="str">
        <f t="shared" ca="1" si="393"/>
        <v>руб.</v>
      </c>
    </row>
    <row r="422" spans="1:19" hidden="1" outlineLevel="2" x14ac:dyDescent="0.2">
      <c r="A422" s="19" t="str">
        <f ca="1">Language!A415</f>
        <v xml:space="preserve">     НДС к ранее осуществленным инвестициям</v>
      </c>
      <c r="B422" s="25">
        <f>SUMIF(D283:D402,"*1_11*",B283:B402)</f>
        <v>0</v>
      </c>
      <c r="C422" s="40" t="str">
        <f t="shared" ca="1" si="393"/>
        <v>руб.</v>
      </c>
    </row>
    <row r="423" spans="1:19" outlineLevel="1" collapsed="1" x14ac:dyDescent="0.2">
      <c r="A423" s="19" t="str">
        <f ca="1">Language!A353</f>
        <v>Существующие активы</v>
      </c>
      <c r="B423" s="25">
        <f>E234+E240+E249+E258+E267+E273</f>
        <v>0</v>
      </c>
      <c r="C423" s="40" t="str">
        <f t="shared" ca="1" si="393"/>
        <v>руб.</v>
      </c>
    </row>
    <row r="424" spans="1:19" hidden="1" outlineLevel="2" x14ac:dyDescent="0.2">
      <c r="A424" s="19" t="str">
        <f ca="1">Language!A416</f>
        <v xml:space="preserve">     НДС к существующим активам</v>
      </c>
      <c r="B424" s="25">
        <f>IF(B423&gt;0,MAX(0,B412-B422),0)</f>
        <v>0</v>
      </c>
      <c r="C424" s="40" t="str">
        <f t="shared" ca="1" si="393"/>
        <v>руб.</v>
      </c>
    </row>
    <row r="425" spans="1:19" outlineLevel="1" collapsed="1" x14ac:dyDescent="0.2">
      <c r="A425" t="str">
        <f ca="1">Language!A418</f>
        <v>Учитывать при оценке эффективности в сумме</v>
      </c>
      <c r="B425" s="256">
        <f>IF(B411&gt;B417,B411+B412,B417+B422)+B423+B424</f>
        <v>0</v>
      </c>
      <c r="C425" s="40" t="str">
        <f t="shared" ca="1" si="393"/>
        <v>руб.</v>
      </c>
    </row>
    <row r="426" spans="1:19" s="48" customFormat="1" hidden="1" outlineLevel="2" x14ac:dyDescent="0.2">
      <c r="A426" s="48" t="str">
        <f ca="1">Language!A187</f>
        <v xml:space="preserve">         то же, в итоговой валюте</v>
      </c>
      <c r="B426" s="299"/>
      <c r="C426" s="88" t="str">
        <f ca="1">CUR_Report</f>
        <v>руб.</v>
      </c>
      <c r="F426" s="106">
        <f>$B425/IF(CUR_I_Report=2,F$88,1)</f>
        <v>0</v>
      </c>
      <c r="G426" s="106">
        <v>0</v>
      </c>
      <c r="H426" s="106">
        <v>0</v>
      </c>
      <c r="I426" s="106">
        <v>0</v>
      </c>
      <c r="J426" s="106">
        <v>0</v>
      </c>
      <c r="K426" s="106">
        <v>0</v>
      </c>
      <c r="L426" s="106">
        <v>0</v>
      </c>
      <c r="M426" s="106">
        <v>0</v>
      </c>
      <c r="N426" s="106">
        <v>0</v>
      </c>
      <c r="O426" s="106">
        <v>0</v>
      </c>
      <c r="P426" s="106">
        <v>0</v>
      </c>
      <c r="Q426" s="106">
        <v>0</v>
      </c>
      <c r="S426" s="41"/>
    </row>
    <row r="427" spans="1:19" outlineLevel="1" x14ac:dyDescent="0.2"/>
    <row r="428" spans="1:19" s="35" customFormat="1" ht="10.5" outlineLevel="1" collapsed="1" x14ac:dyDescent="0.25">
      <c r="A428" s="130" t="str">
        <f ca="1">Language!A419</f>
        <v xml:space="preserve"> = Итого: Земельные участки</v>
      </c>
      <c r="C428" s="40" t="str">
        <f t="shared" ref="C428:C473" ca="1" si="394">CUR_Main</f>
        <v>руб.</v>
      </c>
      <c r="F428" s="58">
        <f t="shared" ref="F428:M428" si="395">SUMIF($D283:$D297,"*1_00*",F283:F297)+SUMIF($D283:$D297,"*2_00*",F283:F297)*F$88</f>
        <v>0</v>
      </c>
      <c r="G428" s="58">
        <f t="shared" si="395"/>
        <v>0</v>
      </c>
      <c r="H428" s="58">
        <f t="shared" si="395"/>
        <v>0</v>
      </c>
      <c r="I428" s="58">
        <f t="shared" si="395"/>
        <v>0</v>
      </c>
      <c r="J428" s="58">
        <f t="shared" si="395"/>
        <v>0</v>
      </c>
      <c r="K428" s="58">
        <f t="shared" si="395"/>
        <v>0</v>
      </c>
      <c r="L428" s="58">
        <f t="shared" si="395"/>
        <v>0</v>
      </c>
      <c r="M428" s="58">
        <f t="shared" si="395"/>
        <v>0</v>
      </c>
      <c r="N428" s="58">
        <f t="shared" ref="N428" si="396">SUMIF($D283:$D297,"*1_00*",N283:N297)+SUMIF($D283:$D297,"*2_00*",N283:N297)*N$88</f>
        <v>0</v>
      </c>
      <c r="O428" s="58">
        <f t="shared" ref="O428" si="397">SUMIF($D283:$D297,"*1_00*",O283:O297)+SUMIF($D283:$D297,"*2_00*",O283:O297)*O$88</f>
        <v>0</v>
      </c>
      <c r="P428" s="58">
        <f t="shared" ref="P428:Q428" si="398">SUMIF($D283:$D297,"*1_00*",P283:P297)+SUMIF($D283:$D297,"*2_00*",P283:P297)*P$88</f>
        <v>0</v>
      </c>
      <c r="Q428" s="58">
        <f t="shared" si="398"/>
        <v>0</v>
      </c>
      <c r="R428" s="58"/>
      <c r="S428" s="57">
        <f>SUM(F428:Q428)</f>
        <v>0</v>
      </c>
    </row>
    <row r="429" spans="1:19" hidden="1" outlineLevel="2" x14ac:dyDescent="0.2">
      <c r="A429" s="48" t="str">
        <f ca="1">Language!A$385</f>
        <v xml:space="preserve">    сумма платежей без НДС</v>
      </c>
      <c r="C429" s="40" t="str">
        <f t="shared" ca="1" si="394"/>
        <v>руб.</v>
      </c>
      <c r="F429" s="43">
        <f t="shared" ref="F429:M429" si="399">SUMIF($D283:$D297,"*1_01*",F283:F297)</f>
        <v>0</v>
      </c>
      <c r="G429" s="43">
        <f t="shared" si="399"/>
        <v>0</v>
      </c>
      <c r="H429" s="43">
        <f t="shared" si="399"/>
        <v>0</v>
      </c>
      <c r="I429" s="43">
        <f t="shared" si="399"/>
        <v>0</v>
      </c>
      <c r="J429" s="43">
        <f t="shared" si="399"/>
        <v>0</v>
      </c>
      <c r="K429" s="43">
        <f t="shared" si="399"/>
        <v>0</v>
      </c>
      <c r="L429" s="43">
        <f t="shared" si="399"/>
        <v>0</v>
      </c>
      <c r="M429" s="43">
        <f t="shared" si="399"/>
        <v>0</v>
      </c>
      <c r="N429" s="43">
        <f t="shared" ref="N429" si="400">SUMIF($D283:$D297,"*1_01*",N283:N297)</f>
        <v>0</v>
      </c>
      <c r="O429" s="43">
        <f t="shared" ref="O429" si="401">SUMIF($D283:$D297,"*1_01*",O283:O297)</f>
        <v>0</v>
      </c>
      <c r="P429" s="43">
        <f t="shared" ref="P429:Q429" si="402">SUMIF($D283:$D297,"*1_01*",P283:P297)</f>
        <v>0</v>
      </c>
      <c r="Q429" s="43">
        <f t="shared" si="402"/>
        <v>0</v>
      </c>
      <c r="R429" s="43"/>
      <c r="S429" s="54">
        <f>SUM(F429:Q429)</f>
        <v>0</v>
      </c>
    </row>
    <row r="430" spans="1:19" hidden="1" outlineLevel="2" x14ac:dyDescent="0.2">
      <c r="A430" s="48" t="str">
        <f ca="1">Language!A$388</f>
        <v xml:space="preserve">    полная балансовая стоимость</v>
      </c>
      <c r="C430" s="40" t="str">
        <f t="shared" ca="1" si="394"/>
        <v>руб.</v>
      </c>
      <c r="D430" s="16" t="s">
        <v>384</v>
      </c>
      <c r="F430" s="43">
        <f t="shared" ref="F430:M430" ca="1" si="403">SUMIF($D283:$D297,"*1_06*",F283:F297)</f>
        <v>0</v>
      </c>
      <c r="G430" s="43">
        <f t="shared" ca="1" si="403"/>
        <v>0</v>
      </c>
      <c r="H430" s="43">
        <f t="shared" ca="1" si="403"/>
        <v>0</v>
      </c>
      <c r="I430" s="43">
        <f t="shared" ca="1" si="403"/>
        <v>0</v>
      </c>
      <c r="J430" s="43">
        <f t="shared" ca="1" si="403"/>
        <v>0</v>
      </c>
      <c r="K430" s="43">
        <f t="shared" ca="1" si="403"/>
        <v>0</v>
      </c>
      <c r="L430" s="43">
        <f t="shared" ca="1" si="403"/>
        <v>0</v>
      </c>
      <c r="M430" s="43">
        <f t="shared" ca="1" si="403"/>
        <v>0</v>
      </c>
      <c r="N430" s="43">
        <f t="shared" ref="N430" ca="1" si="404">SUMIF($D283:$D297,"*1_06*",N283:N297)</f>
        <v>0</v>
      </c>
      <c r="O430" s="43">
        <f t="shared" ref="O430" ca="1" si="405">SUMIF($D283:$D297,"*1_06*",O283:O297)</f>
        <v>0</v>
      </c>
      <c r="P430" s="43">
        <f t="shared" ref="P430:Q430" ca="1" si="406">SUMIF($D283:$D297,"*1_06*",P283:P297)</f>
        <v>0</v>
      </c>
      <c r="Q430" s="43">
        <f t="shared" ca="1" si="406"/>
        <v>0</v>
      </c>
      <c r="R430" s="43"/>
      <c r="S430" s="54"/>
    </row>
    <row r="431" spans="1:19" hidden="1" outlineLevel="2" x14ac:dyDescent="0.2">
      <c r="A431" s="48" t="str">
        <f ca="1">Language!A$389</f>
        <v xml:space="preserve">    незавершенные инвестиции</v>
      </c>
      <c r="C431" s="40" t="str">
        <f t="shared" ca="1" si="394"/>
        <v>руб.</v>
      </c>
      <c r="D431" s="16" t="s">
        <v>384</v>
      </c>
      <c r="F431" s="43">
        <f t="shared" ref="F431:M431" ca="1" si="407">SUMIF($D283:$D297,"*1_07*",F283:F297)</f>
        <v>0</v>
      </c>
      <c r="G431" s="43">
        <f t="shared" ca="1" si="407"/>
        <v>0</v>
      </c>
      <c r="H431" s="43">
        <f t="shared" ca="1" si="407"/>
        <v>0</v>
      </c>
      <c r="I431" s="43">
        <f t="shared" ca="1" si="407"/>
        <v>0</v>
      </c>
      <c r="J431" s="43">
        <f t="shared" ca="1" si="407"/>
        <v>0</v>
      </c>
      <c r="K431" s="43">
        <f t="shared" ca="1" si="407"/>
        <v>0</v>
      </c>
      <c r="L431" s="43">
        <f t="shared" ca="1" si="407"/>
        <v>0</v>
      </c>
      <c r="M431" s="43">
        <f t="shared" ca="1" si="407"/>
        <v>0</v>
      </c>
      <c r="N431" s="43">
        <f t="shared" ref="N431" ca="1" si="408">SUMIF($D283:$D297,"*1_07*",N283:N297)</f>
        <v>0</v>
      </c>
      <c r="O431" s="43">
        <f t="shared" ref="O431" ca="1" si="409">SUMIF($D283:$D297,"*1_07*",O283:O297)</f>
        <v>0</v>
      </c>
      <c r="P431" s="43">
        <f t="shared" ref="P431:Q431" ca="1" si="410">SUMIF($D283:$D297,"*1_07*",P283:P297)</f>
        <v>0</v>
      </c>
      <c r="Q431" s="43">
        <f t="shared" ca="1" si="410"/>
        <v>0</v>
      </c>
      <c r="R431" s="43"/>
      <c r="S431" s="54"/>
    </row>
    <row r="432" spans="1:19" hidden="1" outlineLevel="2" x14ac:dyDescent="0.2">
      <c r="A432" s="48" t="str">
        <f ca="1">Language!A$390</f>
        <v xml:space="preserve">    кредиторская задолженность</v>
      </c>
      <c r="C432" s="40" t="str">
        <f t="shared" ca="1" si="394"/>
        <v>руб.</v>
      </c>
      <c r="D432" s="16" t="s">
        <v>384</v>
      </c>
      <c r="F432" s="43">
        <f t="shared" ref="F432:M432" ca="1" si="411">SUMIF($D283:$D297,"*1_08*",F283:F297)</f>
        <v>0</v>
      </c>
      <c r="G432" s="43">
        <f t="shared" ca="1" si="411"/>
        <v>0</v>
      </c>
      <c r="H432" s="43">
        <f t="shared" ca="1" si="411"/>
        <v>0</v>
      </c>
      <c r="I432" s="43">
        <f t="shared" ca="1" si="411"/>
        <v>0</v>
      </c>
      <c r="J432" s="43">
        <f t="shared" ca="1" si="411"/>
        <v>0</v>
      </c>
      <c r="K432" s="43">
        <f t="shared" ca="1" si="411"/>
        <v>0</v>
      </c>
      <c r="L432" s="43">
        <f t="shared" ca="1" si="411"/>
        <v>0</v>
      </c>
      <c r="M432" s="43">
        <f t="shared" ca="1" si="411"/>
        <v>0</v>
      </c>
      <c r="N432" s="43">
        <f t="shared" ref="N432" ca="1" si="412">SUMIF($D283:$D297,"*1_08*",N283:N297)</f>
        <v>0</v>
      </c>
      <c r="O432" s="43">
        <f t="shared" ref="O432" ca="1" si="413">SUMIF($D283:$D297,"*1_08*",O283:O297)</f>
        <v>0</v>
      </c>
      <c r="P432" s="43">
        <f t="shared" ref="P432:Q432" ca="1" si="414">SUMIF($D283:$D297,"*1_08*",P283:P297)</f>
        <v>0</v>
      </c>
      <c r="Q432" s="43">
        <f t="shared" ca="1" si="414"/>
        <v>0</v>
      </c>
      <c r="R432" s="43"/>
      <c r="S432" s="54"/>
    </row>
    <row r="433" spans="1:19" hidden="1" outlineLevel="2" x14ac:dyDescent="0.2">
      <c r="A433" s="48" t="str">
        <f ca="1">Language!A$391</f>
        <v xml:space="preserve">    остаточная стоимость</v>
      </c>
      <c r="C433" s="40" t="str">
        <f t="shared" ca="1" si="394"/>
        <v>руб.</v>
      </c>
      <c r="D433" s="16" t="s">
        <v>384</v>
      </c>
      <c r="F433" s="43">
        <f t="shared" ref="F433:M433" ca="1" si="415">SUMIF($D283:$D297,"*1_10*",F283:F297)</f>
        <v>0</v>
      </c>
      <c r="G433" s="43">
        <f t="shared" ca="1" si="415"/>
        <v>0</v>
      </c>
      <c r="H433" s="43">
        <f t="shared" ca="1" si="415"/>
        <v>0</v>
      </c>
      <c r="I433" s="43">
        <f t="shared" ca="1" si="415"/>
        <v>0</v>
      </c>
      <c r="J433" s="43">
        <f t="shared" ca="1" si="415"/>
        <v>0</v>
      </c>
      <c r="K433" s="43">
        <f t="shared" ca="1" si="415"/>
        <v>0</v>
      </c>
      <c r="L433" s="43">
        <f t="shared" ca="1" si="415"/>
        <v>0</v>
      </c>
      <c r="M433" s="43">
        <f t="shared" ca="1" si="415"/>
        <v>0</v>
      </c>
      <c r="N433" s="43">
        <f t="shared" ref="N433" ca="1" si="416">SUMIF($D283:$D297,"*1_10*",N283:N297)</f>
        <v>0</v>
      </c>
      <c r="O433" s="43">
        <f t="shared" ref="O433" ca="1" si="417">SUMIF($D283:$D297,"*1_10*",O283:O297)</f>
        <v>0</v>
      </c>
      <c r="P433" s="43">
        <f t="shared" ref="P433:Q433" ca="1" si="418">SUMIF($D283:$D297,"*1_10*",P283:P297)</f>
        <v>0</v>
      </c>
      <c r="Q433" s="43">
        <f t="shared" ca="1" si="418"/>
        <v>0</v>
      </c>
      <c r="R433" s="43"/>
      <c r="S433" s="54"/>
    </row>
    <row r="434" spans="1:19" hidden="1" outlineLevel="2" x14ac:dyDescent="0.2">
      <c r="A434" s="48" t="str">
        <f ca="1">Language!A$361</f>
        <v xml:space="preserve">    реализация актива (без НДС)</v>
      </c>
      <c r="C434" s="40" t="str">
        <f t="shared" ca="1" si="394"/>
        <v>руб.</v>
      </c>
      <c r="F434" s="43">
        <f t="shared" ref="F434:M434" si="419">SUMIF($D283:$D297,"*1_13*",F283:F297)</f>
        <v>0</v>
      </c>
      <c r="G434" s="43">
        <f t="shared" si="419"/>
        <v>0</v>
      </c>
      <c r="H434" s="43">
        <f t="shared" si="419"/>
        <v>0</v>
      </c>
      <c r="I434" s="43">
        <f t="shared" si="419"/>
        <v>0</v>
      </c>
      <c r="J434" s="43">
        <f t="shared" si="419"/>
        <v>0</v>
      </c>
      <c r="K434" s="43">
        <f t="shared" si="419"/>
        <v>0</v>
      </c>
      <c r="L434" s="43">
        <f t="shared" si="419"/>
        <v>0</v>
      </c>
      <c r="M434" s="43">
        <f t="shared" si="419"/>
        <v>0</v>
      </c>
      <c r="N434" s="43">
        <f t="shared" ref="N434" si="420">SUMIF($D283:$D297,"*1_13*",N283:N297)</f>
        <v>0</v>
      </c>
      <c r="O434" s="43">
        <f t="shared" ref="O434" si="421">SUMIF($D283:$D297,"*1_13*",O283:O297)</f>
        <v>0</v>
      </c>
      <c r="P434" s="43">
        <f t="shared" ref="P434:Q434" si="422">SUMIF($D283:$D297,"*1_13*",P283:P297)</f>
        <v>0</v>
      </c>
      <c r="Q434" s="43">
        <f t="shared" si="422"/>
        <v>0</v>
      </c>
      <c r="R434" s="43"/>
      <c r="S434" s="54">
        <f>SUM(F434:Q434)</f>
        <v>0</v>
      </c>
    </row>
    <row r="435" spans="1:19" hidden="1" outlineLevel="2" x14ac:dyDescent="0.2">
      <c r="A435" s="48" t="str">
        <f ca="1">Language!A$362</f>
        <v xml:space="preserve">    прибыль/убыток от реализации актива</v>
      </c>
      <c r="C435" s="40" t="str">
        <f t="shared" ca="1" si="394"/>
        <v>руб.</v>
      </c>
      <c r="F435" s="43">
        <f t="shared" ref="F435:M435" si="423">SUMIF($D283:$D297,"*1_14*",F283:F297)</f>
        <v>0</v>
      </c>
      <c r="G435" s="43">
        <f t="shared" si="423"/>
        <v>0</v>
      </c>
      <c r="H435" s="43">
        <f t="shared" si="423"/>
        <v>0</v>
      </c>
      <c r="I435" s="43">
        <f t="shared" si="423"/>
        <v>0</v>
      </c>
      <c r="J435" s="43">
        <f t="shared" si="423"/>
        <v>0</v>
      </c>
      <c r="K435" s="43">
        <f t="shared" si="423"/>
        <v>0</v>
      </c>
      <c r="L435" s="43">
        <f t="shared" si="423"/>
        <v>0</v>
      </c>
      <c r="M435" s="43">
        <f t="shared" si="423"/>
        <v>0</v>
      </c>
      <c r="N435" s="43">
        <f t="shared" ref="N435" si="424">SUMIF($D283:$D297,"*1_14*",N283:N297)</f>
        <v>0</v>
      </c>
      <c r="O435" s="43">
        <f t="shared" ref="O435" si="425">SUMIF($D283:$D297,"*1_14*",O283:O297)</f>
        <v>0</v>
      </c>
      <c r="P435" s="43">
        <f t="shared" ref="P435:Q435" si="426">SUMIF($D283:$D297,"*1_14*",P283:P297)</f>
        <v>0</v>
      </c>
      <c r="Q435" s="43">
        <f t="shared" si="426"/>
        <v>0</v>
      </c>
      <c r="R435" s="43"/>
      <c r="S435" s="54">
        <f>SUM(F435:Q435)</f>
        <v>0</v>
      </c>
    </row>
    <row r="436" spans="1:19" s="35" customFormat="1" ht="10.5" outlineLevel="1" collapsed="1" x14ac:dyDescent="0.25">
      <c r="A436" s="35" t="str">
        <f ca="1">Language!A420</f>
        <v xml:space="preserve"> = Итого: Здания и сооружения</v>
      </c>
      <c r="C436" s="40" t="str">
        <f t="shared" ca="1" si="394"/>
        <v>руб.</v>
      </c>
      <c r="F436" s="58">
        <f t="shared" ref="F436:M436" si="427">SUMIF($D298:$D320,"*1_00*",F298:F320)+SUMIF($D298:$D320,"*2_00*",F298:F320)*F$88</f>
        <v>0</v>
      </c>
      <c r="G436" s="58">
        <f t="shared" si="427"/>
        <v>0</v>
      </c>
      <c r="H436" s="58">
        <f t="shared" si="427"/>
        <v>0</v>
      </c>
      <c r="I436" s="58">
        <f t="shared" si="427"/>
        <v>0</v>
      </c>
      <c r="J436" s="58">
        <f t="shared" si="427"/>
        <v>0</v>
      </c>
      <c r="K436" s="58">
        <f t="shared" si="427"/>
        <v>0</v>
      </c>
      <c r="L436" s="58">
        <f t="shared" si="427"/>
        <v>0</v>
      </c>
      <c r="M436" s="58">
        <f t="shared" si="427"/>
        <v>0</v>
      </c>
      <c r="N436" s="58">
        <f t="shared" ref="N436" si="428">SUMIF($D298:$D320,"*1_00*",N298:N320)+SUMIF($D298:$D320,"*2_00*",N298:N320)*N$88</f>
        <v>0</v>
      </c>
      <c r="O436" s="58">
        <f t="shared" ref="O436" si="429">SUMIF($D298:$D320,"*1_00*",O298:O320)+SUMIF($D298:$D320,"*2_00*",O298:O320)*O$88</f>
        <v>0</v>
      </c>
      <c r="P436" s="58">
        <f t="shared" ref="P436:Q436" si="430">SUMIF($D298:$D320,"*1_00*",P298:P320)+SUMIF($D298:$D320,"*2_00*",P298:P320)*P$88</f>
        <v>0</v>
      </c>
      <c r="Q436" s="58">
        <f t="shared" si="430"/>
        <v>0</v>
      </c>
      <c r="R436" s="58"/>
      <c r="S436" s="57">
        <f>SUM(F436:Q436)</f>
        <v>0</v>
      </c>
    </row>
    <row r="437" spans="1:19" hidden="1" outlineLevel="2" x14ac:dyDescent="0.2">
      <c r="A437" s="48" t="str">
        <f ca="1">Language!A$385</f>
        <v xml:space="preserve">    сумма платежей без НДС</v>
      </c>
      <c r="C437" s="40" t="str">
        <f t="shared" ca="1" si="394"/>
        <v>руб.</v>
      </c>
      <c r="F437" s="43">
        <f t="shared" ref="F437:M437" si="431">SUMIF($D298:$D320,"*1_01*",F298:F320)</f>
        <v>0</v>
      </c>
      <c r="G437" s="43">
        <f t="shared" si="431"/>
        <v>0</v>
      </c>
      <c r="H437" s="43">
        <f t="shared" si="431"/>
        <v>0</v>
      </c>
      <c r="I437" s="43">
        <f t="shared" si="431"/>
        <v>0</v>
      </c>
      <c r="J437" s="43">
        <f t="shared" si="431"/>
        <v>0</v>
      </c>
      <c r="K437" s="43">
        <f t="shared" si="431"/>
        <v>0</v>
      </c>
      <c r="L437" s="43">
        <f t="shared" si="431"/>
        <v>0</v>
      </c>
      <c r="M437" s="43">
        <f t="shared" si="431"/>
        <v>0</v>
      </c>
      <c r="N437" s="43">
        <f t="shared" ref="N437" si="432">SUMIF($D298:$D320,"*1_01*",N298:N320)</f>
        <v>0</v>
      </c>
      <c r="O437" s="43">
        <f t="shared" ref="O437" si="433">SUMIF($D298:$D320,"*1_01*",O298:O320)</f>
        <v>0</v>
      </c>
      <c r="P437" s="43">
        <f t="shared" ref="P437:Q437" si="434">SUMIF($D298:$D320,"*1_01*",P298:P320)</f>
        <v>0</v>
      </c>
      <c r="Q437" s="43">
        <f t="shared" si="434"/>
        <v>0</v>
      </c>
      <c r="R437" s="43"/>
      <c r="S437" s="54">
        <f>SUM(F437:Q437)</f>
        <v>0</v>
      </c>
    </row>
    <row r="438" spans="1:19" hidden="1" outlineLevel="2" x14ac:dyDescent="0.2">
      <c r="A438" s="48" t="str">
        <f ca="1">Language!A$388</f>
        <v xml:space="preserve">    полная балансовая стоимость</v>
      </c>
      <c r="C438" s="40" t="str">
        <f t="shared" ca="1" si="394"/>
        <v>руб.</v>
      </c>
      <c r="D438" s="16" t="s">
        <v>384</v>
      </c>
      <c r="F438" s="43">
        <f t="shared" ref="F438:M438" ca="1" si="435">SUMIF($D298:$D320,"*1_06*",F298:F320)</f>
        <v>0</v>
      </c>
      <c r="G438" s="43">
        <f t="shared" ca="1" si="435"/>
        <v>0</v>
      </c>
      <c r="H438" s="43">
        <f t="shared" ca="1" si="435"/>
        <v>0</v>
      </c>
      <c r="I438" s="43">
        <f t="shared" ca="1" si="435"/>
        <v>0</v>
      </c>
      <c r="J438" s="43">
        <f t="shared" ca="1" si="435"/>
        <v>0</v>
      </c>
      <c r="K438" s="43">
        <f t="shared" ca="1" si="435"/>
        <v>0</v>
      </c>
      <c r="L438" s="43">
        <f t="shared" ca="1" si="435"/>
        <v>0</v>
      </c>
      <c r="M438" s="43">
        <f t="shared" ca="1" si="435"/>
        <v>0</v>
      </c>
      <c r="N438" s="43">
        <f t="shared" ref="N438" ca="1" si="436">SUMIF($D298:$D320,"*1_06*",N298:N320)</f>
        <v>0</v>
      </c>
      <c r="O438" s="43">
        <f t="shared" ref="O438" ca="1" si="437">SUMIF($D298:$D320,"*1_06*",O298:O320)</f>
        <v>0</v>
      </c>
      <c r="P438" s="43">
        <f t="shared" ref="P438:Q438" ca="1" si="438">SUMIF($D298:$D320,"*1_06*",P298:P320)</f>
        <v>0</v>
      </c>
      <c r="Q438" s="43">
        <f t="shared" ca="1" si="438"/>
        <v>0</v>
      </c>
      <c r="R438" s="43"/>
      <c r="S438" s="54"/>
    </row>
    <row r="439" spans="1:19" hidden="1" outlineLevel="2" x14ac:dyDescent="0.2">
      <c r="A439" s="48" t="str">
        <f ca="1">Language!A$389</f>
        <v xml:space="preserve">    незавершенные инвестиции</v>
      </c>
      <c r="C439" s="40" t="str">
        <f t="shared" ca="1" si="394"/>
        <v>руб.</v>
      </c>
      <c r="D439" s="16" t="s">
        <v>384</v>
      </c>
      <c r="F439" s="43">
        <f t="shared" ref="F439:M439" ca="1" si="439">SUMIF($D298:$D320,"*1_07*",F298:F320)</f>
        <v>0</v>
      </c>
      <c r="G439" s="43">
        <f t="shared" ca="1" si="439"/>
        <v>0</v>
      </c>
      <c r="H439" s="43">
        <f t="shared" ca="1" si="439"/>
        <v>0</v>
      </c>
      <c r="I439" s="43">
        <f t="shared" ca="1" si="439"/>
        <v>0</v>
      </c>
      <c r="J439" s="43">
        <f t="shared" ca="1" si="439"/>
        <v>0</v>
      </c>
      <c r="K439" s="43">
        <f t="shared" ca="1" si="439"/>
        <v>0</v>
      </c>
      <c r="L439" s="43">
        <f t="shared" ca="1" si="439"/>
        <v>0</v>
      </c>
      <c r="M439" s="43">
        <f t="shared" ca="1" si="439"/>
        <v>0</v>
      </c>
      <c r="N439" s="43">
        <f t="shared" ref="N439" ca="1" si="440">SUMIF($D298:$D320,"*1_07*",N298:N320)</f>
        <v>0</v>
      </c>
      <c r="O439" s="43">
        <f t="shared" ref="O439" ca="1" si="441">SUMIF($D298:$D320,"*1_07*",O298:O320)</f>
        <v>0</v>
      </c>
      <c r="P439" s="43">
        <f t="shared" ref="P439:Q439" ca="1" si="442">SUMIF($D298:$D320,"*1_07*",P298:P320)</f>
        <v>0</v>
      </c>
      <c r="Q439" s="43">
        <f t="shared" ca="1" si="442"/>
        <v>0</v>
      </c>
      <c r="R439" s="43"/>
      <c r="S439" s="54"/>
    </row>
    <row r="440" spans="1:19" hidden="1" outlineLevel="2" x14ac:dyDescent="0.2">
      <c r="A440" s="48" t="str">
        <f ca="1">Language!A$421</f>
        <v xml:space="preserve">    авансовая оплата</v>
      </c>
      <c r="C440" s="40" t="str">
        <f t="shared" ca="1" si="394"/>
        <v>руб.</v>
      </c>
      <c r="D440" s="16" t="s">
        <v>384</v>
      </c>
      <c r="F440" s="43">
        <f>0</f>
        <v>0</v>
      </c>
      <c r="G440" s="43">
        <f>0</f>
        <v>0</v>
      </c>
      <c r="H440" s="43">
        <f>0</f>
        <v>0</v>
      </c>
      <c r="I440" s="43">
        <f>0</f>
        <v>0</v>
      </c>
      <c r="J440" s="43">
        <f>0</f>
        <v>0</v>
      </c>
      <c r="K440" s="43">
        <f>0</f>
        <v>0</v>
      </c>
      <c r="L440" s="43">
        <f>0</f>
        <v>0</v>
      </c>
      <c r="M440" s="43">
        <f>0</f>
        <v>0</v>
      </c>
      <c r="N440" s="43">
        <f>0</f>
        <v>0</v>
      </c>
      <c r="O440" s="43">
        <f>0</f>
        <v>0</v>
      </c>
      <c r="P440" s="43">
        <f>0</f>
        <v>0</v>
      </c>
      <c r="Q440" s="43">
        <f>0</f>
        <v>0</v>
      </c>
      <c r="R440" s="43"/>
      <c r="S440" s="54"/>
    </row>
    <row r="441" spans="1:19" hidden="1" outlineLevel="2" x14ac:dyDescent="0.2">
      <c r="A441" s="48" t="str">
        <f ca="1">Language!A$390</f>
        <v xml:space="preserve">    кредиторская задолженность</v>
      </c>
      <c r="C441" s="40" t="str">
        <f t="shared" ca="1" si="394"/>
        <v>руб.</v>
      </c>
      <c r="D441" s="16" t="s">
        <v>384</v>
      </c>
      <c r="F441" s="43">
        <f t="shared" ref="F441:M441" ca="1" si="443">SUMIF($D298:$D320,"*1_08*",F298:F320)</f>
        <v>0</v>
      </c>
      <c r="G441" s="43">
        <f t="shared" ca="1" si="443"/>
        <v>0</v>
      </c>
      <c r="H441" s="43">
        <f t="shared" ca="1" si="443"/>
        <v>0</v>
      </c>
      <c r="I441" s="43">
        <f t="shared" ca="1" si="443"/>
        <v>0</v>
      </c>
      <c r="J441" s="43">
        <f t="shared" ca="1" si="443"/>
        <v>0</v>
      </c>
      <c r="K441" s="43">
        <f t="shared" ca="1" si="443"/>
        <v>0</v>
      </c>
      <c r="L441" s="43">
        <f t="shared" ca="1" si="443"/>
        <v>0</v>
      </c>
      <c r="M441" s="43">
        <f t="shared" ca="1" si="443"/>
        <v>0</v>
      </c>
      <c r="N441" s="43">
        <f t="shared" ref="N441" ca="1" si="444">SUMIF($D298:$D320,"*1_08*",N298:N320)</f>
        <v>0</v>
      </c>
      <c r="O441" s="43">
        <f t="shared" ref="O441" ca="1" si="445">SUMIF($D298:$D320,"*1_08*",O298:O320)</f>
        <v>0</v>
      </c>
      <c r="P441" s="43">
        <f t="shared" ref="P441:Q441" ca="1" si="446">SUMIF($D298:$D320,"*1_08*",P298:P320)</f>
        <v>0</v>
      </c>
      <c r="Q441" s="43">
        <f t="shared" ca="1" si="446"/>
        <v>0</v>
      </c>
      <c r="R441" s="43"/>
      <c r="S441" s="54"/>
    </row>
    <row r="442" spans="1:19" hidden="1" outlineLevel="2" x14ac:dyDescent="0.2">
      <c r="A442" s="48" t="str">
        <f ca="1">Language!A$422</f>
        <v xml:space="preserve">    амортизация</v>
      </c>
      <c r="C442" s="40" t="str">
        <f t="shared" ca="1" si="394"/>
        <v>руб.</v>
      </c>
      <c r="F442" s="43">
        <f t="shared" ref="F442:M442" ca="1" si="447">SUMIF($D298:$D320,"*1_02*",F298:F320)+SUMIF($D298:$D320,"*1_03*",F298:F320)</f>
        <v>0</v>
      </c>
      <c r="G442" s="43">
        <f t="shared" ca="1" si="447"/>
        <v>0</v>
      </c>
      <c r="H442" s="43">
        <f t="shared" ca="1" si="447"/>
        <v>0</v>
      </c>
      <c r="I442" s="43">
        <f t="shared" ca="1" si="447"/>
        <v>0</v>
      </c>
      <c r="J442" s="43">
        <f t="shared" ca="1" si="447"/>
        <v>0</v>
      </c>
      <c r="K442" s="43">
        <f t="shared" ca="1" si="447"/>
        <v>0</v>
      </c>
      <c r="L442" s="43">
        <f t="shared" ca="1" si="447"/>
        <v>0</v>
      </c>
      <c r="M442" s="43">
        <f t="shared" ca="1" si="447"/>
        <v>0</v>
      </c>
      <c r="N442" s="43">
        <f t="shared" ref="N442" ca="1" si="448">SUMIF($D298:$D320,"*1_02*",N298:N320)+SUMIF($D298:$D320,"*1_03*",N298:N320)</f>
        <v>0</v>
      </c>
      <c r="O442" s="43">
        <f t="shared" ref="O442" ca="1" si="449">SUMIF($D298:$D320,"*1_02*",O298:O320)+SUMIF($D298:$D320,"*1_03*",O298:O320)</f>
        <v>0</v>
      </c>
      <c r="P442" s="43">
        <f t="shared" ref="P442:Q442" ca="1" si="450">SUMIF($D298:$D320,"*1_02*",P298:P320)+SUMIF($D298:$D320,"*1_03*",P298:P320)</f>
        <v>0</v>
      </c>
      <c r="Q442" s="43">
        <f t="shared" ca="1" si="450"/>
        <v>0</v>
      </c>
      <c r="R442" s="43"/>
      <c r="S442" s="54">
        <f ca="1">SUM(F442:Q442)</f>
        <v>0</v>
      </c>
    </row>
    <row r="443" spans="1:19" hidden="1" outlineLevel="2" x14ac:dyDescent="0.2">
      <c r="A443" s="48" t="str">
        <f ca="1">Language!A$391</f>
        <v xml:space="preserve">    остаточная стоимость</v>
      </c>
      <c r="C443" s="40" t="str">
        <f t="shared" ca="1" si="394"/>
        <v>руб.</v>
      </c>
      <c r="D443" s="16" t="s">
        <v>384</v>
      </c>
      <c r="F443" s="43">
        <f t="shared" ref="F443:M443" ca="1" si="451">SUMIF($D298:$D320,"*1_10*",F298:F320)</f>
        <v>0</v>
      </c>
      <c r="G443" s="43">
        <f t="shared" ca="1" si="451"/>
        <v>0</v>
      </c>
      <c r="H443" s="43">
        <f t="shared" ca="1" si="451"/>
        <v>0</v>
      </c>
      <c r="I443" s="43">
        <f t="shared" ca="1" si="451"/>
        <v>0</v>
      </c>
      <c r="J443" s="43">
        <f t="shared" ca="1" si="451"/>
        <v>0</v>
      </c>
      <c r="K443" s="43">
        <f t="shared" ca="1" si="451"/>
        <v>0</v>
      </c>
      <c r="L443" s="43">
        <f t="shared" ca="1" si="451"/>
        <v>0</v>
      </c>
      <c r="M443" s="43">
        <f t="shared" ca="1" si="451"/>
        <v>0</v>
      </c>
      <c r="N443" s="43">
        <f t="shared" ref="N443" ca="1" si="452">SUMIF($D298:$D320,"*1_10*",N298:N320)</f>
        <v>0</v>
      </c>
      <c r="O443" s="43">
        <f t="shared" ref="O443" ca="1" si="453">SUMIF($D298:$D320,"*1_10*",O298:O320)</f>
        <v>0</v>
      </c>
      <c r="P443" s="43">
        <f t="shared" ref="P443:Q443" ca="1" si="454">SUMIF($D298:$D320,"*1_10*",P298:P320)</f>
        <v>0</v>
      </c>
      <c r="Q443" s="43">
        <f t="shared" ca="1" si="454"/>
        <v>0</v>
      </c>
      <c r="R443" s="43"/>
      <c r="S443" s="54"/>
    </row>
    <row r="444" spans="1:19" hidden="1" outlineLevel="2" x14ac:dyDescent="0.2">
      <c r="A444" s="48" t="str">
        <f ca="1">Language!A$395</f>
        <v xml:space="preserve">    выплаченный НДС</v>
      </c>
      <c r="C444" s="40" t="str">
        <f t="shared" ca="1" si="394"/>
        <v>руб.</v>
      </c>
      <c r="F444" s="43">
        <f t="shared" ref="F444:M444" si="455">SUMIF($D298:$D320,"*1_04*",F298:F320)</f>
        <v>0</v>
      </c>
      <c r="G444" s="43">
        <f t="shared" si="455"/>
        <v>0</v>
      </c>
      <c r="H444" s="43">
        <f t="shared" si="455"/>
        <v>0</v>
      </c>
      <c r="I444" s="43">
        <f t="shared" si="455"/>
        <v>0</v>
      </c>
      <c r="J444" s="43">
        <f t="shared" si="455"/>
        <v>0</v>
      </c>
      <c r="K444" s="43">
        <f t="shared" si="455"/>
        <v>0</v>
      </c>
      <c r="L444" s="43">
        <f t="shared" si="455"/>
        <v>0</v>
      </c>
      <c r="M444" s="43">
        <f t="shared" si="455"/>
        <v>0</v>
      </c>
      <c r="N444" s="43">
        <f t="shared" ref="N444" si="456">SUMIF($D298:$D320,"*1_04*",N298:N320)</f>
        <v>0</v>
      </c>
      <c r="O444" s="43">
        <f t="shared" ref="O444" si="457">SUMIF($D298:$D320,"*1_04*",O298:O320)</f>
        <v>0</v>
      </c>
      <c r="P444" s="43">
        <f t="shared" ref="P444:Q444" si="458">SUMIF($D298:$D320,"*1_04*",P298:P320)</f>
        <v>0</v>
      </c>
      <c r="Q444" s="43">
        <f t="shared" si="458"/>
        <v>0</v>
      </c>
      <c r="R444" s="43"/>
      <c r="S444" s="54">
        <f t="shared" ref="S444:S451" si="459">SUM(F444:Q444)</f>
        <v>0</v>
      </c>
    </row>
    <row r="445" spans="1:19" hidden="1" outlineLevel="2" x14ac:dyDescent="0.2">
      <c r="A445" s="48" t="str">
        <f ca="1">Language!A$399</f>
        <v xml:space="preserve">    зачет НДС</v>
      </c>
      <c r="C445" s="40" t="str">
        <f t="shared" ca="1" si="394"/>
        <v>руб.</v>
      </c>
      <c r="F445" s="43">
        <f t="shared" ref="F445:M445" ca="1" si="460">SUMIF($D298:$D320,"*1_12*",F298:F320)</f>
        <v>0</v>
      </c>
      <c r="G445" s="43">
        <f t="shared" ca="1" si="460"/>
        <v>0</v>
      </c>
      <c r="H445" s="43">
        <f t="shared" ca="1" si="460"/>
        <v>0</v>
      </c>
      <c r="I445" s="43">
        <f t="shared" ca="1" si="460"/>
        <v>0</v>
      </c>
      <c r="J445" s="43">
        <f t="shared" ca="1" si="460"/>
        <v>0</v>
      </c>
      <c r="K445" s="43">
        <f t="shared" ca="1" si="460"/>
        <v>0</v>
      </c>
      <c r="L445" s="43">
        <f t="shared" ca="1" si="460"/>
        <v>0</v>
      </c>
      <c r="M445" s="43">
        <f t="shared" ca="1" si="460"/>
        <v>0</v>
      </c>
      <c r="N445" s="43">
        <f t="shared" ref="N445" ca="1" si="461">SUMIF($D298:$D320,"*1_12*",N298:N320)</f>
        <v>0</v>
      </c>
      <c r="O445" s="43">
        <f t="shared" ref="O445" ca="1" si="462">SUMIF($D298:$D320,"*1_12*",O298:O320)</f>
        <v>0</v>
      </c>
      <c r="P445" s="43">
        <f t="shared" ref="P445:Q445" ca="1" si="463">SUMIF($D298:$D320,"*1_12*",P298:P320)</f>
        <v>0</v>
      </c>
      <c r="Q445" s="43">
        <f t="shared" ca="1" si="463"/>
        <v>0</v>
      </c>
      <c r="R445" s="43"/>
      <c r="S445" s="54">
        <f t="shared" ca="1" si="459"/>
        <v>0</v>
      </c>
    </row>
    <row r="446" spans="1:19" hidden="1" outlineLevel="2" x14ac:dyDescent="0.2">
      <c r="A446" s="48" t="str">
        <f ca="1">Language!A$361</f>
        <v xml:space="preserve">    реализация актива (без НДС)</v>
      </c>
      <c r="C446" s="40" t="str">
        <f t="shared" ca="1" si="394"/>
        <v>руб.</v>
      </c>
      <c r="F446" s="43">
        <f t="shared" ref="F446:M446" si="464">SUMIF($D298:$D320,"*1_13*",F298:F320)</f>
        <v>0</v>
      </c>
      <c r="G446" s="43">
        <f t="shared" si="464"/>
        <v>0</v>
      </c>
      <c r="H446" s="43">
        <f t="shared" si="464"/>
        <v>0</v>
      </c>
      <c r="I446" s="43">
        <f t="shared" si="464"/>
        <v>0</v>
      </c>
      <c r="J446" s="43">
        <f t="shared" si="464"/>
        <v>0</v>
      </c>
      <c r="K446" s="43">
        <f t="shared" si="464"/>
        <v>0</v>
      </c>
      <c r="L446" s="43">
        <f t="shared" si="464"/>
        <v>0</v>
      </c>
      <c r="M446" s="43">
        <f t="shared" si="464"/>
        <v>0</v>
      </c>
      <c r="N446" s="43">
        <f t="shared" ref="N446" si="465">SUMIF($D298:$D320,"*1_13*",N298:N320)</f>
        <v>0</v>
      </c>
      <c r="O446" s="43">
        <f t="shared" ref="O446" si="466">SUMIF($D298:$D320,"*1_13*",O298:O320)</f>
        <v>0</v>
      </c>
      <c r="P446" s="43">
        <f t="shared" ref="P446:Q446" si="467">SUMIF($D298:$D320,"*1_13*",P298:P320)</f>
        <v>0</v>
      </c>
      <c r="Q446" s="43">
        <f t="shared" si="467"/>
        <v>0</v>
      </c>
      <c r="R446" s="43"/>
      <c r="S446" s="54">
        <f t="shared" si="459"/>
        <v>0</v>
      </c>
    </row>
    <row r="447" spans="1:19" hidden="1" outlineLevel="2" x14ac:dyDescent="0.2">
      <c r="A447" s="48" t="str">
        <f ca="1">Language!A$362</f>
        <v xml:space="preserve">    прибыль/убыток от реализации актива</v>
      </c>
      <c r="C447" s="40" t="str">
        <f t="shared" ca="1" si="394"/>
        <v>руб.</v>
      </c>
      <c r="F447" s="43">
        <f t="shared" ref="F447:M447" si="468">SUMIF($D298:$D320,"*1_14*",F298:F320)</f>
        <v>0</v>
      </c>
      <c r="G447" s="43">
        <f t="shared" si="468"/>
        <v>0</v>
      </c>
      <c r="H447" s="43">
        <f t="shared" si="468"/>
        <v>0</v>
      </c>
      <c r="I447" s="43">
        <f t="shared" si="468"/>
        <v>0</v>
      </c>
      <c r="J447" s="43">
        <f t="shared" si="468"/>
        <v>0</v>
      </c>
      <c r="K447" s="43">
        <f t="shared" si="468"/>
        <v>0</v>
      </c>
      <c r="L447" s="43">
        <f t="shared" si="468"/>
        <v>0</v>
      </c>
      <c r="M447" s="43">
        <f t="shared" si="468"/>
        <v>0</v>
      </c>
      <c r="N447" s="43">
        <f t="shared" ref="N447" si="469">SUMIF($D298:$D320,"*1_14*",N298:N320)</f>
        <v>0</v>
      </c>
      <c r="O447" s="43">
        <f t="shared" ref="O447" si="470">SUMIF($D298:$D320,"*1_14*",O298:O320)</f>
        <v>0</v>
      </c>
      <c r="P447" s="43">
        <f t="shared" ref="P447:Q447" si="471">SUMIF($D298:$D320,"*1_14*",P298:P320)</f>
        <v>0</v>
      </c>
      <c r="Q447" s="43">
        <f t="shared" si="471"/>
        <v>0</v>
      </c>
      <c r="R447" s="43"/>
      <c r="S447" s="54">
        <f t="shared" si="459"/>
        <v>0</v>
      </c>
    </row>
    <row r="448" spans="1:19" hidden="1" outlineLevel="2" x14ac:dyDescent="0.2">
      <c r="A448" s="48" t="str">
        <f ca="1">Language!A$423</f>
        <v xml:space="preserve">    прибыль/убыток от строительной деятельности</v>
      </c>
      <c r="C448" s="40" t="str">
        <f t="shared" ca="1" si="394"/>
        <v>руб.</v>
      </c>
      <c r="F448" s="43">
        <f>0</f>
        <v>0</v>
      </c>
      <c r="G448" s="43">
        <f>0</f>
        <v>0</v>
      </c>
      <c r="H448" s="43">
        <f>0</f>
        <v>0</v>
      </c>
      <c r="I448" s="43">
        <f>0</f>
        <v>0</v>
      </c>
      <c r="J448" s="43">
        <f>0</f>
        <v>0</v>
      </c>
      <c r="K448" s="43">
        <f>0</f>
        <v>0</v>
      </c>
      <c r="L448" s="43">
        <f>0</f>
        <v>0</v>
      </c>
      <c r="M448" s="43">
        <f>0</f>
        <v>0</v>
      </c>
      <c r="N448" s="43">
        <f>0</f>
        <v>0</v>
      </c>
      <c r="O448" s="43">
        <f>0</f>
        <v>0</v>
      </c>
      <c r="P448" s="43">
        <f>0</f>
        <v>0</v>
      </c>
      <c r="Q448" s="43">
        <f>0</f>
        <v>0</v>
      </c>
      <c r="R448" s="43"/>
      <c r="S448" s="54">
        <f t="shared" si="459"/>
        <v>0</v>
      </c>
    </row>
    <row r="449" spans="1:19" hidden="1" outlineLevel="2" x14ac:dyDescent="0.2">
      <c r="A449" t="str">
        <f ca="1">Language!A$400</f>
        <v xml:space="preserve">    НДС к выручке от реализации актива</v>
      </c>
      <c r="C449" s="40" t="str">
        <f t="shared" ca="1" si="394"/>
        <v>руб.</v>
      </c>
      <c r="F449" s="43">
        <f t="shared" ref="F449:M449" si="472">SUMIF($D298:$D320,"*1_15*",F298:F320)</f>
        <v>0</v>
      </c>
      <c r="G449" s="43">
        <f t="shared" si="472"/>
        <v>0</v>
      </c>
      <c r="H449" s="43">
        <f t="shared" si="472"/>
        <v>0</v>
      </c>
      <c r="I449" s="43">
        <f t="shared" si="472"/>
        <v>0</v>
      </c>
      <c r="J449" s="43">
        <f t="shared" si="472"/>
        <v>0</v>
      </c>
      <c r="K449" s="43">
        <f t="shared" si="472"/>
        <v>0</v>
      </c>
      <c r="L449" s="43">
        <f t="shared" si="472"/>
        <v>0</v>
      </c>
      <c r="M449" s="43">
        <f t="shared" si="472"/>
        <v>0</v>
      </c>
      <c r="N449" s="43">
        <f t="shared" ref="N449" si="473">SUMIF($D298:$D320,"*1_15*",N298:N320)</f>
        <v>0</v>
      </c>
      <c r="O449" s="43">
        <f t="shared" ref="O449" si="474">SUMIF($D298:$D320,"*1_15*",O298:O320)</f>
        <v>0</v>
      </c>
      <c r="P449" s="43">
        <f t="shared" ref="P449:Q449" si="475">SUMIF($D298:$D320,"*1_15*",P298:P320)</f>
        <v>0</v>
      </c>
      <c r="Q449" s="43">
        <f t="shared" si="475"/>
        <v>0</v>
      </c>
      <c r="R449" s="43"/>
      <c r="S449" s="54">
        <f t="shared" si="459"/>
        <v>0</v>
      </c>
    </row>
    <row r="450" spans="1:19" s="35" customFormat="1" ht="10.5" outlineLevel="1" collapsed="1" x14ac:dyDescent="0.25">
      <c r="A450" s="35" t="str">
        <f ca="1">Language!A424</f>
        <v xml:space="preserve"> = Итого: Оборудование и другие активы</v>
      </c>
      <c r="C450" s="40" t="str">
        <f t="shared" ca="1" si="394"/>
        <v>руб.</v>
      </c>
      <c r="F450" s="58">
        <f t="shared" ref="F450:M450" si="476">F451+F457+F459</f>
        <v>0</v>
      </c>
      <c r="G450" s="58">
        <f t="shared" si="476"/>
        <v>0</v>
      </c>
      <c r="H450" s="58">
        <f t="shared" si="476"/>
        <v>0</v>
      </c>
      <c r="I450" s="58">
        <f t="shared" si="476"/>
        <v>0</v>
      </c>
      <c r="J450" s="58">
        <f t="shared" si="476"/>
        <v>0</v>
      </c>
      <c r="K450" s="58">
        <f t="shared" si="476"/>
        <v>0</v>
      </c>
      <c r="L450" s="58">
        <f t="shared" si="476"/>
        <v>0</v>
      </c>
      <c r="M450" s="58">
        <f t="shared" si="476"/>
        <v>0</v>
      </c>
      <c r="N450" s="58">
        <f t="shared" ref="N450" si="477">N451+N457+N459</f>
        <v>0</v>
      </c>
      <c r="O450" s="58">
        <f t="shared" ref="O450" si="478">O451+O457+O459</f>
        <v>0</v>
      </c>
      <c r="P450" s="58">
        <f t="shared" ref="P450:Q450" si="479">P451+P457+P459</f>
        <v>0</v>
      </c>
      <c r="Q450" s="58">
        <f t="shared" si="479"/>
        <v>0</v>
      </c>
      <c r="R450" s="58"/>
      <c r="S450" s="57">
        <f t="shared" si="459"/>
        <v>0</v>
      </c>
    </row>
    <row r="451" spans="1:19" hidden="1" outlineLevel="2" x14ac:dyDescent="0.2">
      <c r="A451" s="48" t="str">
        <f ca="1">Language!A$385</f>
        <v xml:space="preserve">    сумма платежей без НДС</v>
      </c>
      <c r="C451" s="40" t="str">
        <f t="shared" ca="1" si="394"/>
        <v>руб.</v>
      </c>
      <c r="F451" s="43">
        <f t="shared" ref="F451:M451" si="480">SUMIF($D321:$D346,"*1_01*",F321:F346)</f>
        <v>0</v>
      </c>
      <c r="G451" s="43">
        <f t="shared" si="480"/>
        <v>0</v>
      </c>
      <c r="H451" s="43">
        <f t="shared" si="480"/>
        <v>0</v>
      </c>
      <c r="I451" s="43">
        <f t="shared" si="480"/>
        <v>0</v>
      </c>
      <c r="J451" s="43">
        <f t="shared" si="480"/>
        <v>0</v>
      </c>
      <c r="K451" s="43">
        <f t="shared" si="480"/>
        <v>0</v>
      </c>
      <c r="L451" s="43">
        <f t="shared" si="480"/>
        <v>0</v>
      </c>
      <c r="M451" s="43">
        <f t="shared" si="480"/>
        <v>0</v>
      </c>
      <c r="N451" s="43">
        <f t="shared" ref="N451" si="481">SUMIF($D321:$D346,"*1_01*",N321:N346)</f>
        <v>0</v>
      </c>
      <c r="O451" s="43">
        <f t="shared" ref="O451" si="482">SUMIF($D321:$D346,"*1_01*",O321:O346)</f>
        <v>0</v>
      </c>
      <c r="P451" s="43">
        <f t="shared" ref="P451:Q451" si="483">SUMIF($D321:$D346,"*1_01*",P321:P346)</f>
        <v>0</v>
      </c>
      <c r="Q451" s="43">
        <f t="shared" si="483"/>
        <v>0</v>
      </c>
      <c r="R451" s="43"/>
      <c r="S451" s="54">
        <f t="shared" si="459"/>
        <v>0</v>
      </c>
    </row>
    <row r="452" spans="1:19" hidden="1" outlineLevel="2" x14ac:dyDescent="0.2">
      <c r="A452" s="48" t="str">
        <f ca="1">Language!A$388</f>
        <v xml:space="preserve">    полная балансовая стоимость</v>
      </c>
      <c r="C452" s="40" t="str">
        <f t="shared" ca="1" si="394"/>
        <v>руб.</v>
      </c>
      <c r="D452" s="16" t="s">
        <v>384</v>
      </c>
      <c r="F452" s="106">
        <f t="shared" ref="F452:M452" ca="1" si="484">SUMIF($D321:$D346,"*1_06*",F321:F346)+F407</f>
        <v>0</v>
      </c>
      <c r="G452" s="106">
        <f t="shared" ca="1" si="484"/>
        <v>0</v>
      </c>
      <c r="H452" s="106">
        <f t="shared" ca="1" si="484"/>
        <v>0</v>
      </c>
      <c r="I452" s="106">
        <f t="shared" ca="1" si="484"/>
        <v>0</v>
      </c>
      <c r="J452" s="106">
        <f t="shared" ca="1" si="484"/>
        <v>0</v>
      </c>
      <c r="K452" s="106">
        <f t="shared" ca="1" si="484"/>
        <v>0</v>
      </c>
      <c r="L452" s="106">
        <f t="shared" ca="1" si="484"/>
        <v>0</v>
      </c>
      <c r="M452" s="106">
        <f t="shared" ca="1" si="484"/>
        <v>0</v>
      </c>
      <c r="N452" s="106">
        <f t="shared" ref="N452" ca="1" si="485">SUMIF($D321:$D346,"*1_06*",N321:N346)+N407</f>
        <v>0</v>
      </c>
      <c r="O452" s="106">
        <f t="shared" ref="O452" ca="1" si="486">SUMIF($D321:$D346,"*1_06*",O321:O346)+O407</f>
        <v>0</v>
      </c>
      <c r="P452" s="106">
        <f t="shared" ref="P452:Q452" ca="1" si="487">SUMIF($D321:$D346,"*1_06*",P321:P346)+P407</f>
        <v>0</v>
      </c>
      <c r="Q452" s="106">
        <f t="shared" ca="1" si="487"/>
        <v>0</v>
      </c>
      <c r="R452" s="43"/>
      <c r="S452" s="54"/>
    </row>
    <row r="453" spans="1:19" hidden="1" outlineLevel="2" x14ac:dyDescent="0.2">
      <c r="A453" s="48" t="str">
        <f ca="1">Language!A$389</f>
        <v xml:space="preserve">    незавершенные инвестиции</v>
      </c>
      <c r="C453" s="40" t="str">
        <f t="shared" ca="1" si="394"/>
        <v>руб.</v>
      </c>
      <c r="D453" s="16" t="s">
        <v>384</v>
      </c>
      <c r="F453" s="106">
        <f t="shared" ref="F453:M453" ca="1" si="488">SUMIF($D321:$D346,"*1_07*",F321:F346)+F406</f>
        <v>0</v>
      </c>
      <c r="G453" s="106">
        <f t="shared" ca="1" si="488"/>
        <v>0</v>
      </c>
      <c r="H453" s="106">
        <f t="shared" ca="1" si="488"/>
        <v>0</v>
      </c>
      <c r="I453" s="106">
        <f t="shared" ca="1" si="488"/>
        <v>0</v>
      </c>
      <c r="J453" s="106">
        <f t="shared" ca="1" si="488"/>
        <v>0</v>
      </c>
      <c r="K453" s="106">
        <f t="shared" ca="1" si="488"/>
        <v>0</v>
      </c>
      <c r="L453" s="106">
        <f t="shared" ca="1" si="488"/>
        <v>0</v>
      </c>
      <c r="M453" s="106">
        <f t="shared" ca="1" si="488"/>
        <v>0</v>
      </c>
      <c r="N453" s="106">
        <f t="shared" ref="N453" ca="1" si="489">SUMIF($D321:$D346,"*1_07*",N321:N346)+N406</f>
        <v>0</v>
      </c>
      <c r="O453" s="106">
        <f t="shared" ref="O453" ca="1" si="490">SUMIF($D321:$D346,"*1_07*",O321:O346)+O406</f>
        <v>0</v>
      </c>
      <c r="P453" s="106">
        <f t="shared" ref="P453:Q453" ca="1" si="491">SUMIF($D321:$D346,"*1_07*",P321:P346)+P406</f>
        <v>0</v>
      </c>
      <c r="Q453" s="106">
        <f t="shared" ca="1" si="491"/>
        <v>0</v>
      </c>
      <c r="R453" s="43"/>
      <c r="S453" s="54"/>
    </row>
    <row r="454" spans="1:19" hidden="1" outlineLevel="2" x14ac:dyDescent="0.2">
      <c r="A454" s="48" t="str">
        <f ca="1">Language!A$390</f>
        <v xml:space="preserve">    кредиторская задолженность</v>
      </c>
      <c r="C454" s="40" t="str">
        <f t="shared" ca="1" si="394"/>
        <v>руб.</v>
      </c>
      <c r="D454" s="16" t="s">
        <v>384</v>
      </c>
      <c r="F454" s="43">
        <f t="shared" ref="F454:M454" ca="1" si="492">SUMIF($D321:$D346,"*1_08*",F321:F346)</f>
        <v>0</v>
      </c>
      <c r="G454" s="43">
        <f t="shared" ca="1" si="492"/>
        <v>0</v>
      </c>
      <c r="H454" s="43">
        <f t="shared" ca="1" si="492"/>
        <v>0</v>
      </c>
      <c r="I454" s="43">
        <f t="shared" ca="1" si="492"/>
        <v>0</v>
      </c>
      <c r="J454" s="43">
        <f t="shared" ca="1" si="492"/>
        <v>0</v>
      </c>
      <c r="K454" s="43">
        <f t="shared" ca="1" si="492"/>
        <v>0</v>
      </c>
      <c r="L454" s="43">
        <f t="shared" ca="1" si="492"/>
        <v>0</v>
      </c>
      <c r="M454" s="43">
        <f t="shared" ca="1" si="492"/>
        <v>0</v>
      </c>
      <c r="N454" s="43">
        <f t="shared" ref="N454" ca="1" si="493">SUMIF($D321:$D346,"*1_08*",N321:N346)</f>
        <v>0</v>
      </c>
      <c r="O454" s="43">
        <f t="shared" ref="O454" ca="1" si="494">SUMIF($D321:$D346,"*1_08*",O321:O346)</f>
        <v>0</v>
      </c>
      <c r="P454" s="43">
        <f t="shared" ref="P454:Q454" ca="1" si="495">SUMIF($D321:$D346,"*1_08*",P321:P346)</f>
        <v>0</v>
      </c>
      <c r="Q454" s="43">
        <f t="shared" ca="1" si="495"/>
        <v>0</v>
      </c>
      <c r="R454" s="43"/>
      <c r="S454" s="54"/>
    </row>
    <row r="455" spans="1:19" hidden="1" outlineLevel="2" x14ac:dyDescent="0.2">
      <c r="A455" s="48" t="str">
        <f ca="1">Language!A$422</f>
        <v xml:space="preserve">    амортизация</v>
      </c>
      <c r="C455" s="40" t="str">
        <f t="shared" ca="1" si="394"/>
        <v>руб.</v>
      </c>
      <c r="F455" s="106">
        <f t="shared" ref="F455:M455" ca="1" si="496">SUMIF($D321:$D346,"*1_02*",F321:F346)+SUMIF($D321:$D346,"*1_03*",F321:F346)+F405</f>
        <v>0</v>
      </c>
      <c r="G455" s="106">
        <f t="shared" ca="1" si="496"/>
        <v>0</v>
      </c>
      <c r="H455" s="106">
        <f t="shared" ca="1" si="496"/>
        <v>0</v>
      </c>
      <c r="I455" s="106">
        <f t="shared" ca="1" si="496"/>
        <v>0</v>
      </c>
      <c r="J455" s="106">
        <f t="shared" ca="1" si="496"/>
        <v>0</v>
      </c>
      <c r="K455" s="106">
        <f t="shared" ca="1" si="496"/>
        <v>0</v>
      </c>
      <c r="L455" s="106">
        <f t="shared" ca="1" si="496"/>
        <v>0</v>
      </c>
      <c r="M455" s="106">
        <f t="shared" ca="1" si="496"/>
        <v>0</v>
      </c>
      <c r="N455" s="106">
        <f t="shared" ref="N455" ca="1" si="497">SUMIF($D321:$D346,"*1_02*",N321:N346)+SUMIF($D321:$D346,"*1_03*",N321:N346)+N405</f>
        <v>0</v>
      </c>
      <c r="O455" s="106">
        <f t="shared" ref="O455" ca="1" si="498">SUMIF($D321:$D346,"*1_02*",O321:O346)+SUMIF($D321:$D346,"*1_03*",O321:O346)+O405</f>
        <v>0</v>
      </c>
      <c r="P455" s="106">
        <f t="shared" ref="P455:Q455" ca="1" si="499">SUMIF($D321:$D346,"*1_02*",P321:P346)+SUMIF($D321:$D346,"*1_03*",P321:P346)+P405</f>
        <v>0</v>
      </c>
      <c r="Q455" s="106">
        <f t="shared" ca="1" si="499"/>
        <v>0</v>
      </c>
      <c r="R455" s="43"/>
      <c r="S455" s="54">
        <f ca="1">SUM(F455:Q455)</f>
        <v>0</v>
      </c>
    </row>
    <row r="456" spans="1:19" hidden="1" outlineLevel="2" x14ac:dyDescent="0.2">
      <c r="A456" s="48" t="str">
        <f ca="1">Language!A$391</f>
        <v xml:space="preserve">    остаточная стоимость</v>
      </c>
      <c r="C456" s="40" t="str">
        <f t="shared" ca="1" si="394"/>
        <v>руб.</v>
      </c>
      <c r="D456" s="16" t="s">
        <v>384</v>
      </c>
      <c r="F456" s="106">
        <f t="shared" ref="F456:M456" ca="1" si="500">SUMIF($D321:$D346,"*1_10*",F321:F346)+F408</f>
        <v>0</v>
      </c>
      <c r="G456" s="106">
        <f t="shared" ca="1" si="500"/>
        <v>0</v>
      </c>
      <c r="H456" s="106">
        <f t="shared" ca="1" si="500"/>
        <v>0</v>
      </c>
      <c r="I456" s="106">
        <f t="shared" ca="1" si="500"/>
        <v>0</v>
      </c>
      <c r="J456" s="106">
        <f t="shared" ca="1" si="500"/>
        <v>0</v>
      </c>
      <c r="K456" s="106">
        <f t="shared" ca="1" si="500"/>
        <v>0</v>
      </c>
      <c r="L456" s="106">
        <f t="shared" ca="1" si="500"/>
        <v>0</v>
      </c>
      <c r="M456" s="106">
        <f t="shared" ca="1" si="500"/>
        <v>0</v>
      </c>
      <c r="N456" s="106">
        <f t="shared" ref="N456" ca="1" si="501">SUMIF($D321:$D346,"*1_10*",N321:N346)+N408</f>
        <v>0</v>
      </c>
      <c r="O456" s="106">
        <f t="shared" ref="O456" ca="1" si="502">SUMIF($D321:$D346,"*1_10*",O321:O346)+O408</f>
        <v>0</v>
      </c>
      <c r="P456" s="106">
        <f t="shared" ref="P456:Q456" ca="1" si="503">SUMIF($D321:$D346,"*1_10*",P321:P346)+P408</f>
        <v>0</v>
      </c>
      <c r="Q456" s="106">
        <f t="shared" ca="1" si="503"/>
        <v>0</v>
      </c>
      <c r="R456" s="43"/>
      <c r="S456" s="54"/>
    </row>
    <row r="457" spans="1:19" hidden="1" outlineLevel="2" x14ac:dyDescent="0.2">
      <c r="A457" s="48" t="str">
        <f ca="1">Language!A$395</f>
        <v xml:space="preserve">    выплаченный НДС</v>
      </c>
      <c r="C457" s="40" t="str">
        <f t="shared" ca="1" si="394"/>
        <v>руб.</v>
      </c>
      <c r="F457" s="43">
        <f t="shared" ref="F457:M457" si="504">SUMIF($D321:$D346,"*1_04*",F321:F346)</f>
        <v>0</v>
      </c>
      <c r="G457" s="43">
        <f t="shared" si="504"/>
        <v>0</v>
      </c>
      <c r="H457" s="43">
        <f t="shared" si="504"/>
        <v>0</v>
      </c>
      <c r="I457" s="43">
        <f t="shared" si="504"/>
        <v>0</v>
      </c>
      <c r="J457" s="43">
        <f t="shared" si="504"/>
        <v>0</v>
      </c>
      <c r="K457" s="43">
        <f t="shared" si="504"/>
        <v>0</v>
      </c>
      <c r="L457" s="43">
        <f t="shared" si="504"/>
        <v>0</v>
      </c>
      <c r="M457" s="43">
        <f t="shared" si="504"/>
        <v>0</v>
      </c>
      <c r="N457" s="43">
        <f t="shared" ref="N457" si="505">SUMIF($D321:$D346,"*1_04*",N321:N346)</f>
        <v>0</v>
      </c>
      <c r="O457" s="43">
        <f t="shared" ref="O457" si="506">SUMIF($D321:$D346,"*1_04*",O321:O346)</f>
        <v>0</v>
      </c>
      <c r="P457" s="43">
        <f t="shared" ref="P457:Q457" si="507">SUMIF($D321:$D346,"*1_04*",P321:P346)</f>
        <v>0</v>
      </c>
      <c r="Q457" s="43">
        <f t="shared" si="507"/>
        <v>0</v>
      </c>
      <c r="R457" s="43"/>
      <c r="S457" s="54">
        <f t="shared" ref="S457:S464" si="508">SUM(F457:Q457)</f>
        <v>0</v>
      </c>
    </row>
    <row r="458" spans="1:19" hidden="1" outlineLevel="2" x14ac:dyDescent="0.2">
      <c r="A458" s="48" t="str">
        <f ca="1">Language!A$399</f>
        <v xml:space="preserve">    зачет НДС</v>
      </c>
      <c r="C458" s="40" t="str">
        <f t="shared" ca="1" si="394"/>
        <v>руб.</v>
      </c>
      <c r="F458" s="43">
        <f t="shared" ref="F458:M458" ca="1" si="509">SUMIF($D321:$D346,"*1_12*",F321:F346)</f>
        <v>0</v>
      </c>
      <c r="G458" s="43">
        <f t="shared" ca="1" si="509"/>
        <v>0</v>
      </c>
      <c r="H458" s="43">
        <f t="shared" ca="1" si="509"/>
        <v>0</v>
      </c>
      <c r="I458" s="43">
        <f t="shared" ca="1" si="509"/>
        <v>0</v>
      </c>
      <c r="J458" s="43">
        <f t="shared" ca="1" si="509"/>
        <v>0</v>
      </c>
      <c r="K458" s="43">
        <f t="shared" ca="1" si="509"/>
        <v>0</v>
      </c>
      <c r="L458" s="43">
        <f t="shared" ca="1" si="509"/>
        <v>0</v>
      </c>
      <c r="M458" s="43">
        <f t="shared" ca="1" si="509"/>
        <v>0</v>
      </c>
      <c r="N458" s="43">
        <f t="shared" ref="N458" ca="1" si="510">SUMIF($D321:$D346,"*1_12*",N321:N346)</f>
        <v>0</v>
      </c>
      <c r="O458" s="43">
        <f t="shared" ref="O458" ca="1" si="511">SUMIF($D321:$D346,"*1_12*",O321:O346)</f>
        <v>0</v>
      </c>
      <c r="P458" s="43">
        <f t="shared" ref="P458:Q458" ca="1" si="512">SUMIF($D321:$D346,"*1_12*",P321:P346)</f>
        <v>0</v>
      </c>
      <c r="Q458" s="43">
        <f t="shared" ca="1" si="512"/>
        <v>0</v>
      </c>
      <c r="R458" s="43"/>
      <c r="S458" s="54">
        <f t="shared" ca="1" si="508"/>
        <v>0</v>
      </c>
    </row>
    <row r="459" spans="1:19" hidden="1" outlineLevel="2" x14ac:dyDescent="0.2">
      <c r="A459" s="74" t="str">
        <f ca="1">Language!A$404</f>
        <v xml:space="preserve">    импортная пошлина</v>
      </c>
      <c r="C459" s="40" t="str">
        <f t="shared" ca="1" si="394"/>
        <v>руб.</v>
      </c>
      <c r="F459" s="43">
        <f t="shared" ref="F459:M459" si="513">SUMIF($D321:$D346,"*1_18*",F321:F346)</f>
        <v>0</v>
      </c>
      <c r="G459" s="43">
        <f t="shared" si="513"/>
        <v>0</v>
      </c>
      <c r="H459" s="43">
        <f t="shared" si="513"/>
        <v>0</v>
      </c>
      <c r="I459" s="43">
        <f t="shared" si="513"/>
        <v>0</v>
      </c>
      <c r="J459" s="43">
        <f t="shared" si="513"/>
        <v>0</v>
      </c>
      <c r="K459" s="43">
        <f t="shared" si="513"/>
        <v>0</v>
      </c>
      <c r="L459" s="43">
        <f t="shared" si="513"/>
        <v>0</v>
      </c>
      <c r="M459" s="43">
        <f t="shared" si="513"/>
        <v>0</v>
      </c>
      <c r="N459" s="43">
        <f t="shared" ref="N459" si="514">SUMIF($D321:$D346,"*1_18*",N321:N346)</f>
        <v>0</v>
      </c>
      <c r="O459" s="43">
        <f t="shared" ref="O459" si="515">SUMIF($D321:$D346,"*1_18*",O321:O346)</f>
        <v>0</v>
      </c>
      <c r="P459" s="43">
        <f t="shared" ref="P459:Q459" si="516">SUMIF($D321:$D346,"*1_18*",P321:P346)</f>
        <v>0</v>
      </c>
      <c r="Q459" s="43">
        <f t="shared" si="516"/>
        <v>0</v>
      </c>
      <c r="R459" s="43"/>
      <c r="S459" s="54">
        <f t="shared" si="508"/>
        <v>0</v>
      </c>
    </row>
    <row r="460" spans="1:19" hidden="1" outlineLevel="2" x14ac:dyDescent="0.2">
      <c r="A460" s="19" t="str">
        <f ca="1">Language!A$361</f>
        <v xml:space="preserve">    реализация актива (без НДС)</v>
      </c>
      <c r="C460" s="40" t="str">
        <f t="shared" ca="1" si="394"/>
        <v>руб.</v>
      </c>
      <c r="F460" s="43">
        <f t="shared" ref="F460:M460" si="517">SUMIF($D321:$D346,"*1_13*",F321:F346)</f>
        <v>0</v>
      </c>
      <c r="G460" s="43">
        <f t="shared" si="517"/>
        <v>0</v>
      </c>
      <c r="H460" s="43">
        <f t="shared" si="517"/>
        <v>0</v>
      </c>
      <c r="I460" s="43">
        <f t="shared" si="517"/>
        <v>0</v>
      </c>
      <c r="J460" s="43">
        <f t="shared" si="517"/>
        <v>0</v>
      </c>
      <c r="K460" s="43">
        <f t="shared" si="517"/>
        <v>0</v>
      </c>
      <c r="L460" s="43">
        <f t="shared" si="517"/>
        <v>0</v>
      </c>
      <c r="M460" s="43">
        <f t="shared" si="517"/>
        <v>0</v>
      </c>
      <c r="N460" s="43">
        <f t="shared" ref="N460" si="518">SUMIF($D321:$D346,"*1_13*",N321:N346)</f>
        <v>0</v>
      </c>
      <c r="O460" s="43">
        <f t="shared" ref="O460" si="519">SUMIF($D321:$D346,"*1_13*",O321:O346)</f>
        <v>0</v>
      </c>
      <c r="P460" s="43">
        <f t="shared" ref="P460:Q460" si="520">SUMIF($D321:$D346,"*1_13*",P321:P346)</f>
        <v>0</v>
      </c>
      <c r="Q460" s="43">
        <f t="shared" si="520"/>
        <v>0</v>
      </c>
      <c r="R460" s="43"/>
      <c r="S460" s="54">
        <f t="shared" si="508"/>
        <v>0</v>
      </c>
    </row>
    <row r="461" spans="1:19" hidden="1" outlineLevel="2" x14ac:dyDescent="0.2">
      <c r="A461" s="19" t="str">
        <f ca="1">Language!A$362</f>
        <v xml:space="preserve">    прибыль/убыток от реализации актива</v>
      </c>
      <c r="C461" s="40" t="str">
        <f t="shared" ca="1" si="394"/>
        <v>руб.</v>
      </c>
      <c r="F461" s="43">
        <f t="shared" ref="F461:M461" si="521">SUMIF($D321:$D346,"*1_14*",F321:F346)</f>
        <v>0</v>
      </c>
      <c r="G461" s="43">
        <f t="shared" si="521"/>
        <v>0</v>
      </c>
      <c r="H461" s="43">
        <f t="shared" si="521"/>
        <v>0</v>
      </c>
      <c r="I461" s="43">
        <f t="shared" si="521"/>
        <v>0</v>
      </c>
      <c r="J461" s="43">
        <f t="shared" si="521"/>
        <v>0</v>
      </c>
      <c r="K461" s="43">
        <f t="shared" si="521"/>
        <v>0</v>
      </c>
      <c r="L461" s="43">
        <f t="shared" si="521"/>
        <v>0</v>
      </c>
      <c r="M461" s="43">
        <f t="shared" si="521"/>
        <v>0</v>
      </c>
      <c r="N461" s="43">
        <f t="shared" ref="N461" si="522">SUMIF($D321:$D346,"*1_14*",N321:N346)</f>
        <v>0</v>
      </c>
      <c r="O461" s="43">
        <f t="shared" ref="O461" si="523">SUMIF($D321:$D346,"*1_14*",O321:O346)</f>
        <v>0</v>
      </c>
      <c r="P461" s="43">
        <f t="shared" ref="P461:Q461" si="524">SUMIF($D321:$D346,"*1_14*",P321:P346)</f>
        <v>0</v>
      </c>
      <c r="Q461" s="43">
        <f t="shared" si="524"/>
        <v>0</v>
      </c>
      <c r="R461" s="43"/>
      <c r="S461" s="54">
        <f t="shared" si="508"/>
        <v>0</v>
      </c>
    </row>
    <row r="462" spans="1:19" hidden="1" outlineLevel="2" x14ac:dyDescent="0.2">
      <c r="A462" t="str">
        <f ca="1">Language!A$400</f>
        <v xml:space="preserve">    НДС к выручке от реализации актива</v>
      </c>
      <c r="C462" s="40" t="str">
        <f t="shared" ca="1" si="394"/>
        <v>руб.</v>
      </c>
      <c r="F462" s="43">
        <f t="shared" ref="F462:M462" si="525">SUMIF($D321:$D346,"*1_15*",F321:F346)</f>
        <v>0</v>
      </c>
      <c r="G462" s="43">
        <f t="shared" si="525"/>
        <v>0</v>
      </c>
      <c r="H462" s="43">
        <f t="shared" si="525"/>
        <v>0</v>
      </c>
      <c r="I462" s="43">
        <f t="shared" si="525"/>
        <v>0</v>
      </c>
      <c r="J462" s="43">
        <f t="shared" si="525"/>
        <v>0</v>
      </c>
      <c r="K462" s="43">
        <f t="shared" si="525"/>
        <v>0</v>
      </c>
      <c r="L462" s="43">
        <f t="shared" si="525"/>
        <v>0</v>
      </c>
      <c r="M462" s="43">
        <f t="shared" si="525"/>
        <v>0</v>
      </c>
      <c r="N462" s="43">
        <f t="shared" ref="N462" si="526">SUMIF($D321:$D346,"*1_15*",N321:N346)</f>
        <v>0</v>
      </c>
      <c r="O462" s="43">
        <f t="shared" ref="O462" si="527">SUMIF($D321:$D346,"*1_15*",O321:O346)</f>
        <v>0</v>
      </c>
      <c r="P462" s="43">
        <f t="shared" ref="P462:Q462" si="528">SUMIF($D321:$D346,"*1_15*",P321:P346)</f>
        <v>0</v>
      </c>
      <c r="Q462" s="43">
        <f t="shared" si="528"/>
        <v>0</v>
      </c>
      <c r="R462" s="43"/>
      <c r="S462" s="54">
        <f t="shared" si="508"/>
        <v>0</v>
      </c>
    </row>
    <row r="463" spans="1:19" ht="10.5" outlineLevel="1" collapsed="1" x14ac:dyDescent="0.25">
      <c r="A463" s="130" t="str">
        <f ca="1">Language!A425</f>
        <v xml:space="preserve"> = Итого: Нематериальные активы</v>
      </c>
      <c r="C463" s="40" t="str">
        <f t="shared" ca="1" si="394"/>
        <v>руб.</v>
      </c>
      <c r="F463" s="58">
        <f t="shared" ref="F463:M463" si="529">SUMIF($D347:$D369,"*1_00*",F347:F369)+SUMIF($D347:$D369,"*2_00*",F347:F369)*F$88</f>
        <v>0</v>
      </c>
      <c r="G463" s="58">
        <f t="shared" si="529"/>
        <v>0</v>
      </c>
      <c r="H463" s="58">
        <f t="shared" si="529"/>
        <v>0</v>
      </c>
      <c r="I463" s="58">
        <f t="shared" si="529"/>
        <v>0</v>
      </c>
      <c r="J463" s="58">
        <f t="shared" si="529"/>
        <v>0</v>
      </c>
      <c r="K463" s="58">
        <f t="shared" si="529"/>
        <v>0</v>
      </c>
      <c r="L463" s="58">
        <f t="shared" si="529"/>
        <v>0</v>
      </c>
      <c r="M463" s="58">
        <f t="shared" si="529"/>
        <v>0</v>
      </c>
      <c r="N463" s="58">
        <f t="shared" ref="N463" si="530">SUMIF($D347:$D369,"*1_00*",N347:N369)+SUMIF($D347:$D369,"*2_00*",N347:N369)*N$88</f>
        <v>0</v>
      </c>
      <c r="O463" s="58">
        <f t="shared" ref="O463" si="531">SUMIF($D347:$D369,"*1_00*",O347:O369)+SUMIF($D347:$D369,"*2_00*",O347:O369)*O$88</f>
        <v>0</v>
      </c>
      <c r="P463" s="58">
        <f t="shared" ref="P463:Q463" si="532">SUMIF($D347:$D369,"*1_00*",P347:P369)+SUMIF($D347:$D369,"*2_00*",P347:P369)*P$88</f>
        <v>0</v>
      </c>
      <c r="Q463" s="58">
        <f t="shared" si="532"/>
        <v>0</v>
      </c>
      <c r="R463" s="43"/>
      <c r="S463" s="57">
        <f t="shared" si="508"/>
        <v>0</v>
      </c>
    </row>
    <row r="464" spans="1:19" hidden="1" outlineLevel="2" x14ac:dyDescent="0.2">
      <c r="A464" s="48" t="str">
        <f ca="1">Language!A$385</f>
        <v xml:space="preserve">    сумма платежей без НДС</v>
      </c>
      <c r="C464" s="40" t="str">
        <f t="shared" ca="1" si="394"/>
        <v>руб.</v>
      </c>
      <c r="F464" s="43">
        <f t="shared" ref="F464:M464" si="533">SUMIF($D347:$D369,"*1_01*",F347:F369)</f>
        <v>0</v>
      </c>
      <c r="G464" s="43">
        <f t="shared" si="533"/>
        <v>0</v>
      </c>
      <c r="H464" s="43">
        <f t="shared" si="533"/>
        <v>0</v>
      </c>
      <c r="I464" s="43">
        <f t="shared" si="533"/>
        <v>0</v>
      </c>
      <c r="J464" s="43">
        <f t="shared" si="533"/>
        <v>0</v>
      </c>
      <c r="K464" s="43">
        <f t="shared" si="533"/>
        <v>0</v>
      </c>
      <c r="L464" s="43">
        <f t="shared" si="533"/>
        <v>0</v>
      </c>
      <c r="M464" s="43">
        <f t="shared" si="533"/>
        <v>0</v>
      </c>
      <c r="N464" s="43">
        <f t="shared" ref="N464" si="534">SUMIF($D347:$D369,"*1_01*",N347:N369)</f>
        <v>0</v>
      </c>
      <c r="O464" s="43">
        <f t="shared" ref="O464" si="535">SUMIF($D347:$D369,"*1_01*",O347:O369)</f>
        <v>0</v>
      </c>
      <c r="P464" s="43">
        <f t="shared" ref="P464:Q464" si="536">SUMIF($D347:$D369,"*1_01*",P347:P369)</f>
        <v>0</v>
      </c>
      <c r="Q464" s="43">
        <f t="shared" si="536"/>
        <v>0</v>
      </c>
      <c r="R464" s="43"/>
      <c r="S464" s="54">
        <f t="shared" si="508"/>
        <v>0</v>
      </c>
    </row>
    <row r="465" spans="1:19" hidden="1" outlineLevel="2" x14ac:dyDescent="0.2">
      <c r="A465" s="48" t="str">
        <f ca="1">Language!A$388</f>
        <v xml:space="preserve">    полная балансовая стоимость</v>
      </c>
      <c r="C465" s="40" t="str">
        <f t="shared" ca="1" si="394"/>
        <v>руб.</v>
      </c>
      <c r="D465" s="16" t="s">
        <v>384</v>
      </c>
      <c r="F465" s="43">
        <f t="shared" ref="F465:M465" ca="1" si="537">SUMIF($D347:$D369,"*1_06*",F347:F369)</f>
        <v>0</v>
      </c>
      <c r="G465" s="43">
        <f t="shared" ca="1" si="537"/>
        <v>0</v>
      </c>
      <c r="H465" s="43">
        <f t="shared" ca="1" si="537"/>
        <v>0</v>
      </c>
      <c r="I465" s="43">
        <f t="shared" ca="1" si="537"/>
        <v>0</v>
      </c>
      <c r="J465" s="43">
        <f t="shared" ca="1" si="537"/>
        <v>0</v>
      </c>
      <c r="K465" s="43">
        <f t="shared" ca="1" si="537"/>
        <v>0</v>
      </c>
      <c r="L465" s="43">
        <f t="shared" ca="1" si="537"/>
        <v>0</v>
      </c>
      <c r="M465" s="43">
        <f t="shared" ca="1" si="537"/>
        <v>0</v>
      </c>
      <c r="N465" s="43">
        <f t="shared" ref="N465" ca="1" si="538">SUMIF($D347:$D369,"*1_06*",N347:N369)</f>
        <v>0</v>
      </c>
      <c r="O465" s="43">
        <f t="shared" ref="O465" ca="1" si="539">SUMIF($D347:$D369,"*1_06*",O347:O369)</f>
        <v>0</v>
      </c>
      <c r="P465" s="43">
        <f t="shared" ref="P465:Q465" ca="1" si="540">SUMIF($D347:$D369,"*1_06*",P347:P369)</f>
        <v>0</v>
      </c>
      <c r="Q465" s="43">
        <f t="shared" ca="1" si="540"/>
        <v>0</v>
      </c>
      <c r="R465" s="43"/>
      <c r="S465" s="54"/>
    </row>
    <row r="466" spans="1:19" hidden="1" outlineLevel="2" x14ac:dyDescent="0.2">
      <c r="A466" s="48" t="str">
        <f ca="1">Language!A$389</f>
        <v xml:space="preserve">    незавершенные инвестиции</v>
      </c>
      <c r="C466" s="40" t="str">
        <f t="shared" ca="1" si="394"/>
        <v>руб.</v>
      </c>
      <c r="D466" s="16" t="s">
        <v>384</v>
      </c>
      <c r="F466" s="43">
        <f t="shared" ref="F466:M466" ca="1" si="541">SUMIF($D347:$D369,"*1_07*",F347:F369)</f>
        <v>0</v>
      </c>
      <c r="G466" s="43">
        <f t="shared" ca="1" si="541"/>
        <v>0</v>
      </c>
      <c r="H466" s="43">
        <f t="shared" ca="1" si="541"/>
        <v>0</v>
      </c>
      <c r="I466" s="43">
        <f t="shared" ca="1" si="541"/>
        <v>0</v>
      </c>
      <c r="J466" s="43">
        <f t="shared" ca="1" si="541"/>
        <v>0</v>
      </c>
      <c r="K466" s="43">
        <f t="shared" ca="1" si="541"/>
        <v>0</v>
      </c>
      <c r="L466" s="43">
        <f t="shared" ca="1" si="541"/>
        <v>0</v>
      </c>
      <c r="M466" s="43">
        <f t="shared" ca="1" si="541"/>
        <v>0</v>
      </c>
      <c r="N466" s="43">
        <f t="shared" ref="N466" ca="1" si="542">SUMIF($D347:$D369,"*1_07*",N347:N369)</f>
        <v>0</v>
      </c>
      <c r="O466" s="43">
        <f t="shared" ref="O466" ca="1" si="543">SUMIF($D347:$D369,"*1_07*",O347:O369)</f>
        <v>0</v>
      </c>
      <c r="P466" s="43">
        <f t="shared" ref="P466:Q466" ca="1" si="544">SUMIF($D347:$D369,"*1_07*",P347:P369)</f>
        <v>0</v>
      </c>
      <c r="Q466" s="43">
        <f t="shared" ca="1" si="544"/>
        <v>0</v>
      </c>
      <c r="R466" s="43"/>
      <c r="S466" s="54"/>
    </row>
    <row r="467" spans="1:19" hidden="1" outlineLevel="2" x14ac:dyDescent="0.2">
      <c r="A467" s="48" t="str">
        <f ca="1">Language!A$390</f>
        <v xml:space="preserve">    кредиторская задолженность</v>
      </c>
      <c r="C467" s="40" t="str">
        <f t="shared" ca="1" si="394"/>
        <v>руб.</v>
      </c>
      <c r="D467" s="16" t="s">
        <v>384</v>
      </c>
      <c r="F467" s="43">
        <f t="shared" ref="F467:M467" ca="1" si="545">SUMIF($D347:$D369,"*1_08*",F347:F369)</f>
        <v>0</v>
      </c>
      <c r="G467" s="43">
        <f t="shared" ca="1" si="545"/>
        <v>0</v>
      </c>
      <c r="H467" s="43">
        <f t="shared" ca="1" si="545"/>
        <v>0</v>
      </c>
      <c r="I467" s="43">
        <f t="shared" ca="1" si="545"/>
        <v>0</v>
      </c>
      <c r="J467" s="43">
        <f t="shared" ca="1" si="545"/>
        <v>0</v>
      </c>
      <c r="K467" s="43">
        <f t="shared" ca="1" si="545"/>
        <v>0</v>
      </c>
      <c r="L467" s="43">
        <f t="shared" ca="1" si="545"/>
        <v>0</v>
      </c>
      <c r="M467" s="43">
        <f t="shared" ca="1" si="545"/>
        <v>0</v>
      </c>
      <c r="N467" s="43">
        <f t="shared" ref="N467" ca="1" si="546">SUMIF($D347:$D369,"*1_08*",N347:N369)</f>
        <v>0</v>
      </c>
      <c r="O467" s="43">
        <f t="shared" ref="O467" ca="1" si="547">SUMIF($D347:$D369,"*1_08*",O347:O369)</f>
        <v>0</v>
      </c>
      <c r="P467" s="43">
        <f t="shared" ref="P467:Q467" ca="1" si="548">SUMIF($D347:$D369,"*1_08*",P347:P369)</f>
        <v>0</v>
      </c>
      <c r="Q467" s="43">
        <f t="shared" ca="1" si="548"/>
        <v>0</v>
      </c>
      <c r="R467" s="43"/>
      <c r="S467" s="54"/>
    </row>
    <row r="468" spans="1:19" hidden="1" outlineLevel="2" x14ac:dyDescent="0.2">
      <c r="A468" s="48" t="str">
        <f ca="1">Language!A$422</f>
        <v xml:space="preserve">    амортизация</v>
      </c>
      <c r="C468" s="40" t="str">
        <f t="shared" ca="1" si="394"/>
        <v>руб.</v>
      </c>
      <c r="F468" s="43">
        <f t="shared" ref="F468:M468" ca="1" si="549">SUMIF($D347:$D369,"*1_02*",F347:F369)+SUMIF($D347:$D369,"*1_03*",F347:F369)</f>
        <v>0</v>
      </c>
      <c r="G468" s="43">
        <f t="shared" ca="1" si="549"/>
        <v>0</v>
      </c>
      <c r="H468" s="43">
        <f t="shared" ca="1" si="549"/>
        <v>0</v>
      </c>
      <c r="I468" s="43">
        <f t="shared" ca="1" si="549"/>
        <v>0</v>
      </c>
      <c r="J468" s="43">
        <f t="shared" ca="1" si="549"/>
        <v>0</v>
      </c>
      <c r="K468" s="43">
        <f t="shared" ca="1" si="549"/>
        <v>0</v>
      </c>
      <c r="L468" s="43">
        <f t="shared" ca="1" si="549"/>
        <v>0</v>
      </c>
      <c r="M468" s="43">
        <f t="shared" ca="1" si="549"/>
        <v>0</v>
      </c>
      <c r="N468" s="43">
        <f t="shared" ref="N468" ca="1" si="550">SUMIF($D347:$D369,"*1_02*",N347:N369)+SUMIF($D347:$D369,"*1_03*",N347:N369)</f>
        <v>0</v>
      </c>
      <c r="O468" s="43">
        <f t="shared" ref="O468" ca="1" si="551">SUMIF($D347:$D369,"*1_02*",O347:O369)+SUMIF($D347:$D369,"*1_03*",O347:O369)</f>
        <v>0</v>
      </c>
      <c r="P468" s="43">
        <f t="shared" ref="P468:Q468" ca="1" si="552">SUMIF($D347:$D369,"*1_02*",P347:P369)+SUMIF($D347:$D369,"*1_03*",P347:P369)</f>
        <v>0</v>
      </c>
      <c r="Q468" s="43">
        <f t="shared" ca="1" si="552"/>
        <v>0</v>
      </c>
      <c r="R468" s="43"/>
      <c r="S468" s="54">
        <f ca="1">SUM(F468:Q468)</f>
        <v>0</v>
      </c>
    </row>
    <row r="469" spans="1:19" hidden="1" outlineLevel="2" x14ac:dyDescent="0.2">
      <c r="A469" s="48" t="str">
        <f ca="1">Language!A$391</f>
        <v xml:space="preserve">    остаточная стоимость</v>
      </c>
      <c r="C469" s="40" t="str">
        <f t="shared" ca="1" si="394"/>
        <v>руб.</v>
      </c>
      <c r="D469" s="16" t="s">
        <v>384</v>
      </c>
      <c r="F469" s="43">
        <f t="shared" ref="F469:M469" ca="1" si="553">SUMIF($D347:$D369,"*1_10*",F347:F369)</f>
        <v>0</v>
      </c>
      <c r="G469" s="43">
        <f t="shared" ca="1" si="553"/>
        <v>0</v>
      </c>
      <c r="H469" s="43">
        <f t="shared" ca="1" si="553"/>
        <v>0</v>
      </c>
      <c r="I469" s="43">
        <f t="shared" ca="1" si="553"/>
        <v>0</v>
      </c>
      <c r="J469" s="43">
        <f t="shared" ca="1" si="553"/>
        <v>0</v>
      </c>
      <c r="K469" s="43">
        <f t="shared" ca="1" si="553"/>
        <v>0</v>
      </c>
      <c r="L469" s="43">
        <f t="shared" ca="1" si="553"/>
        <v>0</v>
      </c>
      <c r="M469" s="43">
        <f t="shared" ca="1" si="553"/>
        <v>0</v>
      </c>
      <c r="N469" s="43">
        <f t="shared" ref="N469" ca="1" si="554">SUMIF($D347:$D369,"*1_10*",N347:N369)</f>
        <v>0</v>
      </c>
      <c r="O469" s="43">
        <f t="shared" ref="O469" ca="1" si="555">SUMIF($D347:$D369,"*1_10*",O347:O369)</f>
        <v>0</v>
      </c>
      <c r="P469" s="43">
        <f t="shared" ref="P469:Q469" ca="1" si="556">SUMIF($D347:$D369,"*1_10*",P347:P369)</f>
        <v>0</v>
      </c>
      <c r="Q469" s="43">
        <f t="shared" ca="1" si="556"/>
        <v>0</v>
      </c>
      <c r="R469" s="43"/>
      <c r="S469" s="54"/>
    </row>
    <row r="470" spans="1:19" hidden="1" outlineLevel="2" x14ac:dyDescent="0.2">
      <c r="A470" s="48" t="str">
        <f ca="1">Language!A$395</f>
        <v xml:space="preserve">    выплаченный НДС</v>
      </c>
      <c r="C470" s="40" t="str">
        <f t="shared" ca="1" si="394"/>
        <v>руб.</v>
      </c>
      <c r="F470" s="43">
        <f t="shared" ref="F470:M470" si="557">SUMIF($D347:$D369,"*1_04*",F347:F369)</f>
        <v>0</v>
      </c>
      <c r="G470" s="43">
        <f t="shared" si="557"/>
        <v>0</v>
      </c>
      <c r="H470" s="43">
        <f t="shared" si="557"/>
        <v>0</v>
      </c>
      <c r="I470" s="43">
        <f t="shared" si="557"/>
        <v>0</v>
      </c>
      <c r="J470" s="43">
        <f t="shared" si="557"/>
        <v>0</v>
      </c>
      <c r="K470" s="43">
        <f t="shared" si="557"/>
        <v>0</v>
      </c>
      <c r="L470" s="43">
        <f t="shared" si="557"/>
        <v>0</v>
      </c>
      <c r="M470" s="43">
        <f t="shared" si="557"/>
        <v>0</v>
      </c>
      <c r="N470" s="43">
        <f t="shared" ref="N470" si="558">SUMIF($D347:$D369,"*1_04*",N347:N369)</f>
        <v>0</v>
      </c>
      <c r="O470" s="43">
        <f t="shared" ref="O470" si="559">SUMIF($D347:$D369,"*1_04*",O347:O369)</f>
        <v>0</v>
      </c>
      <c r="P470" s="43">
        <f t="shared" ref="P470:Q470" si="560">SUMIF($D347:$D369,"*1_04*",P347:P369)</f>
        <v>0</v>
      </c>
      <c r="Q470" s="43">
        <f t="shared" si="560"/>
        <v>0</v>
      </c>
      <c r="R470" s="43"/>
      <c r="S470" s="54">
        <f t="shared" ref="S470:S476" si="561">SUM(F470:Q470)</f>
        <v>0</v>
      </c>
    </row>
    <row r="471" spans="1:19" hidden="1" outlineLevel="2" x14ac:dyDescent="0.2">
      <c r="A471" s="48" t="str">
        <f ca="1">Language!A$399</f>
        <v xml:space="preserve">    зачет НДС</v>
      </c>
      <c r="C471" s="40" t="str">
        <f t="shared" ca="1" si="394"/>
        <v>руб.</v>
      </c>
      <c r="F471" s="43">
        <f t="shared" ref="F471:M471" ca="1" si="562">SUMIF($D347:$D369,"*1_12*",F347:F369)</f>
        <v>0</v>
      </c>
      <c r="G471" s="43">
        <f t="shared" ca="1" si="562"/>
        <v>0</v>
      </c>
      <c r="H471" s="43">
        <f t="shared" ca="1" si="562"/>
        <v>0</v>
      </c>
      <c r="I471" s="43">
        <f t="shared" ca="1" si="562"/>
        <v>0</v>
      </c>
      <c r="J471" s="43">
        <f t="shared" ca="1" si="562"/>
        <v>0</v>
      </c>
      <c r="K471" s="43">
        <f t="shared" ca="1" si="562"/>
        <v>0</v>
      </c>
      <c r="L471" s="43">
        <f t="shared" ca="1" si="562"/>
        <v>0</v>
      </c>
      <c r="M471" s="43">
        <f t="shared" ca="1" si="562"/>
        <v>0</v>
      </c>
      <c r="N471" s="43">
        <f t="shared" ref="N471" ca="1" si="563">SUMIF($D347:$D369,"*1_12*",N347:N369)</f>
        <v>0</v>
      </c>
      <c r="O471" s="43">
        <f t="shared" ref="O471" ca="1" si="564">SUMIF($D347:$D369,"*1_12*",O347:O369)</f>
        <v>0</v>
      </c>
      <c r="P471" s="43">
        <f t="shared" ref="P471:Q471" ca="1" si="565">SUMIF($D347:$D369,"*1_12*",P347:P369)</f>
        <v>0</v>
      </c>
      <c r="Q471" s="43">
        <f t="shared" ca="1" si="565"/>
        <v>0</v>
      </c>
      <c r="R471" s="43"/>
      <c r="S471" s="54">
        <f t="shared" ca="1" si="561"/>
        <v>0</v>
      </c>
    </row>
    <row r="472" spans="1:19" hidden="1" outlineLevel="2" x14ac:dyDescent="0.2">
      <c r="A472" s="19" t="str">
        <f ca="1">Language!A$361</f>
        <v xml:space="preserve">    реализация актива (без НДС)</v>
      </c>
      <c r="C472" s="40" t="str">
        <f t="shared" ca="1" si="394"/>
        <v>руб.</v>
      </c>
      <c r="F472" s="43">
        <f t="shared" ref="F472:M472" si="566">SUMIF($D347:$D369,"*1_13*",F347:F369)</f>
        <v>0</v>
      </c>
      <c r="G472" s="43">
        <f t="shared" si="566"/>
        <v>0</v>
      </c>
      <c r="H472" s="43">
        <f t="shared" si="566"/>
        <v>0</v>
      </c>
      <c r="I472" s="43">
        <f t="shared" si="566"/>
        <v>0</v>
      </c>
      <c r="J472" s="43">
        <f t="shared" si="566"/>
        <v>0</v>
      </c>
      <c r="K472" s="43">
        <f t="shared" si="566"/>
        <v>0</v>
      </c>
      <c r="L472" s="43">
        <f t="shared" si="566"/>
        <v>0</v>
      </c>
      <c r="M472" s="43">
        <f t="shared" si="566"/>
        <v>0</v>
      </c>
      <c r="N472" s="43">
        <f t="shared" ref="N472" si="567">SUMIF($D347:$D369,"*1_13*",N347:N369)</f>
        <v>0</v>
      </c>
      <c r="O472" s="43">
        <f t="shared" ref="O472" si="568">SUMIF($D347:$D369,"*1_13*",O347:O369)</f>
        <v>0</v>
      </c>
      <c r="P472" s="43">
        <f t="shared" ref="P472:Q472" si="569">SUMIF($D347:$D369,"*1_13*",P347:P369)</f>
        <v>0</v>
      </c>
      <c r="Q472" s="43">
        <f t="shared" si="569"/>
        <v>0</v>
      </c>
      <c r="R472" s="43"/>
      <c r="S472" s="54">
        <f t="shared" si="561"/>
        <v>0</v>
      </c>
    </row>
    <row r="473" spans="1:19" hidden="1" outlineLevel="2" x14ac:dyDescent="0.2">
      <c r="A473" s="19" t="str">
        <f ca="1">Language!A$362</f>
        <v xml:space="preserve">    прибыль/убыток от реализации актива</v>
      </c>
      <c r="C473" s="40" t="str">
        <f t="shared" ca="1" si="394"/>
        <v>руб.</v>
      </c>
      <c r="F473" s="43">
        <f t="shared" ref="F473:M473" si="570">SUMIF($D347:$D369,"*1_14*",F347:F369)</f>
        <v>0</v>
      </c>
      <c r="G473" s="43">
        <f t="shared" si="570"/>
        <v>0</v>
      </c>
      <c r="H473" s="43">
        <f t="shared" si="570"/>
        <v>0</v>
      </c>
      <c r="I473" s="43">
        <f t="shared" si="570"/>
        <v>0</v>
      </c>
      <c r="J473" s="43">
        <f t="shared" si="570"/>
        <v>0</v>
      </c>
      <c r="K473" s="43">
        <f t="shared" si="570"/>
        <v>0</v>
      </c>
      <c r="L473" s="43">
        <f t="shared" si="570"/>
        <v>0</v>
      </c>
      <c r="M473" s="43">
        <f t="shared" si="570"/>
        <v>0</v>
      </c>
      <c r="N473" s="43">
        <f t="shared" ref="N473" si="571">SUMIF($D347:$D369,"*1_14*",N347:N369)</f>
        <v>0</v>
      </c>
      <c r="O473" s="43">
        <f t="shared" ref="O473" si="572">SUMIF($D347:$D369,"*1_14*",O347:O369)</f>
        <v>0</v>
      </c>
      <c r="P473" s="43">
        <f t="shared" ref="P473:Q473" si="573">SUMIF($D347:$D369,"*1_14*",P347:P369)</f>
        <v>0</v>
      </c>
      <c r="Q473" s="43">
        <f t="shared" si="573"/>
        <v>0</v>
      </c>
      <c r="R473" s="43"/>
      <c r="S473" s="54">
        <f t="shared" si="561"/>
        <v>0</v>
      </c>
    </row>
    <row r="474" spans="1:19" hidden="1" outlineLevel="2" x14ac:dyDescent="0.2">
      <c r="A474" t="str">
        <f ca="1">Language!A$400</f>
        <v xml:space="preserve">    НДС к выручке от реализации актива</v>
      </c>
      <c r="C474" s="40" t="str">
        <f t="shared" ref="C474:C491" ca="1" si="574">CUR_Main</f>
        <v>руб.</v>
      </c>
      <c r="F474" s="43">
        <f t="shared" ref="F474:M474" si="575">SUMIF($D347:$D369,"*1_15*",F347:F369)</f>
        <v>0</v>
      </c>
      <c r="G474" s="43">
        <f t="shared" si="575"/>
        <v>0</v>
      </c>
      <c r="H474" s="43">
        <f t="shared" si="575"/>
        <v>0</v>
      </c>
      <c r="I474" s="43">
        <f t="shared" si="575"/>
        <v>0</v>
      </c>
      <c r="J474" s="43">
        <f t="shared" si="575"/>
        <v>0</v>
      </c>
      <c r="K474" s="43">
        <f t="shared" si="575"/>
        <v>0</v>
      </c>
      <c r="L474" s="43">
        <f t="shared" si="575"/>
        <v>0</v>
      </c>
      <c r="M474" s="43">
        <f t="shared" si="575"/>
        <v>0</v>
      </c>
      <c r="N474" s="43">
        <f t="shared" ref="N474" si="576">SUMIF($D347:$D369,"*1_15*",N347:N369)</f>
        <v>0</v>
      </c>
      <c r="O474" s="43">
        <f t="shared" ref="O474" si="577">SUMIF($D347:$D369,"*1_15*",O347:O369)</f>
        <v>0</v>
      </c>
      <c r="P474" s="43">
        <f t="shared" ref="P474:Q474" si="578">SUMIF($D347:$D369,"*1_15*",P347:P369)</f>
        <v>0</v>
      </c>
      <c r="Q474" s="43">
        <f t="shared" si="578"/>
        <v>0</v>
      </c>
      <c r="R474" s="43"/>
      <c r="S474" s="54">
        <f t="shared" si="561"/>
        <v>0</v>
      </c>
    </row>
    <row r="475" spans="1:19" s="35" customFormat="1" ht="10.5" outlineLevel="1" collapsed="1" x14ac:dyDescent="0.25">
      <c r="A475" s="35" t="str">
        <f ca="1">Language!A426</f>
        <v xml:space="preserve"> = Итого: Финансовые вложения</v>
      </c>
      <c r="C475" s="40" t="str">
        <f t="shared" ca="1" si="574"/>
        <v>руб.</v>
      </c>
      <c r="F475" s="405">
        <f t="shared" ref="F475:M475" si="579">SUMIF($D370:$D386,"*1_00*",F370:F386)+SUMIF($D370:$D386,"*2_00*",F370:F386)*F$88</f>
        <v>0</v>
      </c>
      <c r="G475" s="58">
        <f t="shared" si="579"/>
        <v>0</v>
      </c>
      <c r="H475" s="58">
        <f t="shared" si="579"/>
        <v>0</v>
      </c>
      <c r="I475" s="58">
        <f t="shared" si="579"/>
        <v>0</v>
      </c>
      <c r="J475" s="58">
        <f t="shared" si="579"/>
        <v>0</v>
      </c>
      <c r="K475" s="58">
        <f t="shared" si="579"/>
        <v>0</v>
      </c>
      <c r="L475" s="58">
        <f t="shared" si="579"/>
        <v>0</v>
      </c>
      <c r="M475" s="58">
        <f t="shared" si="579"/>
        <v>0</v>
      </c>
      <c r="N475" s="58">
        <f t="shared" ref="N475" si="580">SUMIF($D370:$D386,"*1_00*",N370:N386)+SUMIF($D370:$D386,"*2_00*",N370:N386)*N$88</f>
        <v>0</v>
      </c>
      <c r="O475" s="58">
        <f t="shared" ref="O475" si="581">SUMIF($D370:$D386,"*1_00*",O370:O386)+SUMIF($D370:$D386,"*2_00*",O370:O386)*O$88</f>
        <v>0</v>
      </c>
      <c r="P475" s="58">
        <f t="shared" ref="P475:Q475" si="582">SUMIF($D370:$D386,"*1_00*",P370:P386)+SUMIF($D370:$D386,"*2_00*",P370:P386)*P$88</f>
        <v>0</v>
      </c>
      <c r="Q475" s="58">
        <f t="shared" si="582"/>
        <v>0</v>
      </c>
      <c r="R475" s="58"/>
      <c r="S475" s="57">
        <f t="shared" si="561"/>
        <v>0</v>
      </c>
    </row>
    <row r="476" spans="1:19" hidden="1" outlineLevel="2" x14ac:dyDescent="0.2">
      <c r="A476" s="48" t="str">
        <f ca="1">Language!A$385</f>
        <v xml:space="preserve">    сумма платежей без НДС</v>
      </c>
      <c r="C476" s="40" t="str">
        <f t="shared" ca="1" si="574"/>
        <v>руб.</v>
      </c>
      <c r="F476" s="43">
        <f t="shared" ref="F476:M476" si="583">SUMIF($D370:$D386,"*1_01*",F370:F386)</f>
        <v>0</v>
      </c>
      <c r="G476" s="43">
        <f t="shared" si="583"/>
        <v>0</v>
      </c>
      <c r="H476" s="43">
        <f t="shared" si="583"/>
        <v>0</v>
      </c>
      <c r="I476" s="43">
        <f t="shared" si="583"/>
        <v>0</v>
      </c>
      <c r="J476" s="43">
        <f t="shared" si="583"/>
        <v>0</v>
      </c>
      <c r="K476" s="43">
        <f t="shared" si="583"/>
        <v>0</v>
      </c>
      <c r="L476" s="43">
        <f t="shared" si="583"/>
        <v>0</v>
      </c>
      <c r="M476" s="43">
        <f t="shared" si="583"/>
        <v>0</v>
      </c>
      <c r="N476" s="43">
        <f t="shared" ref="N476" si="584">SUMIF($D370:$D386,"*1_01*",N370:N386)</f>
        <v>0</v>
      </c>
      <c r="O476" s="43">
        <f t="shared" ref="O476" si="585">SUMIF($D370:$D386,"*1_01*",O370:O386)</f>
        <v>0</v>
      </c>
      <c r="P476" s="43">
        <f t="shared" ref="P476:Q476" si="586">SUMIF($D370:$D386,"*1_01*",P370:P386)</f>
        <v>0</v>
      </c>
      <c r="Q476" s="43">
        <f t="shared" si="586"/>
        <v>0</v>
      </c>
      <c r="R476" s="43"/>
      <c r="S476" s="54">
        <f t="shared" si="561"/>
        <v>0</v>
      </c>
    </row>
    <row r="477" spans="1:19" hidden="1" outlineLevel="2" x14ac:dyDescent="0.2">
      <c r="A477" s="48" t="str">
        <f ca="1">Language!A$388</f>
        <v xml:space="preserve">    полная балансовая стоимость</v>
      </c>
      <c r="C477" s="40" t="str">
        <f t="shared" ca="1" si="574"/>
        <v>руб.</v>
      </c>
      <c r="D477" s="16" t="s">
        <v>384</v>
      </c>
      <c r="F477" s="43">
        <f t="shared" ref="F477:M477" ca="1" si="587">SUMIF($D370:$D386,"*1_06*",F370:F386)</f>
        <v>0</v>
      </c>
      <c r="G477" s="43">
        <f t="shared" ca="1" si="587"/>
        <v>0</v>
      </c>
      <c r="H477" s="43">
        <f t="shared" ca="1" si="587"/>
        <v>0</v>
      </c>
      <c r="I477" s="43">
        <f t="shared" ca="1" si="587"/>
        <v>0</v>
      </c>
      <c r="J477" s="43">
        <f t="shared" ca="1" si="587"/>
        <v>0</v>
      </c>
      <c r="K477" s="43">
        <f t="shared" ca="1" si="587"/>
        <v>0</v>
      </c>
      <c r="L477" s="43">
        <f t="shared" ca="1" si="587"/>
        <v>0</v>
      </c>
      <c r="M477" s="43">
        <f t="shared" ca="1" si="587"/>
        <v>0</v>
      </c>
      <c r="N477" s="43">
        <f t="shared" ref="N477" ca="1" si="588">SUMIF($D370:$D386,"*1_06*",N370:N386)</f>
        <v>0</v>
      </c>
      <c r="O477" s="43">
        <f t="shared" ref="O477" ca="1" si="589">SUMIF($D370:$D386,"*1_06*",O370:O386)</f>
        <v>0</v>
      </c>
      <c r="P477" s="43">
        <f t="shared" ref="P477:Q477" ca="1" si="590">SUMIF($D370:$D386,"*1_06*",P370:P386)</f>
        <v>0</v>
      </c>
      <c r="Q477" s="43">
        <f t="shared" ca="1" si="590"/>
        <v>0</v>
      </c>
      <c r="R477" s="43"/>
      <c r="S477" s="54"/>
    </row>
    <row r="478" spans="1:19" hidden="1" outlineLevel="2" x14ac:dyDescent="0.2">
      <c r="A478" s="23" t="str">
        <f ca="1">Language!A$407</f>
        <v xml:space="preserve">    доходность финансовых вложений</v>
      </c>
      <c r="C478" s="40" t="str">
        <f t="shared" ca="1" si="574"/>
        <v>руб.</v>
      </c>
      <c r="D478" s="16"/>
      <c r="F478" s="43">
        <f t="shared" ref="F478:M478" ca="1" si="591">SUMIF($D370:$D386,"*1_16*",F370:F386)</f>
        <v>0</v>
      </c>
      <c r="G478" s="43">
        <f t="shared" ca="1" si="591"/>
        <v>0</v>
      </c>
      <c r="H478" s="43">
        <f t="shared" ca="1" si="591"/>
        <v>0</v>
      </c>
      <c r="I478" s="43">
        <f t="shared" ca="1" si="591"/>
        <v>0</v>
      </c>
      <c r="J478" s="43">
        <f t="shared" ca="1" si="591"/>
        <v>0</v>
      </c>
      <c r="K478" s="43">
        <f t="shared" ca="1" si="591"/>
        <v>0</v>
      </c>
      <c r="L478" s="43">
        <f t="shared" ca="1" si="591"/>
        <v>0</v>
      </c>
      <c r="M478" s="43">
        <f t="shared" ca="1" si="591"/>
        <v>0</v>
      </c>
      <c r="N478" s="43">
        <f t="shared" ref="N478" ca="1" si="592">SUMIF($D370:$D386,"*1_16*",N370:N386)</f>
        <v>0</v>
      </c>
      <c r="O478" s="43">
        <f t="shared" ref="O478" ca="1" si="593">SUMIF($D370:$D386,"*1_16*",O370:O386)</f>
        <v>0</v>
      </c>
      <c r="P478" s="43">
        <f t="shared" ref="P478:Q478" ca="1" si="594">SUMIF($D370:$D386,"*1_16*",P370:P386)</f>
        <v>0</v>
      </c>
      <c r="Q478" s="43">
        <f t="shared" ca="1" si="594"/>
        <v>0</v>
      </c>
      <c r="R478" s="43"/>
      <c r="S478" s="54">
        <f ca="1">SUM(F478:Q478)</f>
        <v>0</v>
      </c>
    </row>
    <row r="479" spans="1:19" hidden="1" outlineLevel="2" x14ac:dyDescent="0.2">
      <c r="A479" s="48" t="str">
        <f ca="1">Language!A$408</f>
        <v xml:space="preserve">    авансы выданные</v>
      </c>
      <c r="C479" s="40" t="str">
        <f t="shared" ca="1" si="574"/>
        <v>руб.</v>
      </c>
      <c r="D479" s="16" t="s">
        <v>384</v>
      </c>
      <c r="F479" s="43">
        <f t="shared" ref="F479:M479" ca="1" si="595">SUMIF($D370:$D386,"*1_17*",F370:F386)</f>
        <v>0</v>
      </c>
      <c r="G479" s="43">
        <f t="shared" ca="1" si="595"/>
        <v>0</v>
      </c>
      <c r="H479" s="43">
        <f t="shared" ca="1" si="595"/>
        <v>0</v>
      </c>
      <c r="I479" s="43">
        <f t="shared" ca="1" si="595"/>
        <v>0</v>
      </c>
      <c r="J479" s="43">
        <f t="shared" ca="1" si="595"/>
        <v>0</v>
      </c>
      <c r="K479" s="43">
        <f t="shared" ca="1" si="595"/>
        <v>0</v>
      </c>
      <c r="L479" s="43">
        <f t="shared" ca="1" si="595"/>
        <v>0</v>
      </c>
      <c r="M479" s="43">
        <f t="shared" ca="1" si="595"/>
        <v>0</v>
      </c>
      <c r="N479" s="43">
        <f t="shared" ref="N479" ca="1" si="596">SUMIF($D370:$D386,"*1_17*",N370:N386)</f>
        <v>0</v>
      </c>
      <c r="O479" s="43">
        <f t="shared" ref="O479" ca="1" si="597">SUMIF($D370:$D386,"*1_17*",O370:O386)</f>
        <v>0</v>
      </c>
      <c r="P479" s="43">
        <f t="shared" ref="P479:Q479" ca="1" si="598">SUMIF($D370:$D386,"*1_17*",P370:P386)</f>
        <v>0</v>
      </c>
      <c r="Q479" s="43">
        <f t="shared" ca="1" si="598"/>
        <v>0</v>
      </c>
      <c r="R479" s="43"/>
      <c r="S479" s="54"/>
    </row>
    <row r="480" spans="1:19" hidden="1" outlineLevel="2" x14ac:dyDescent="0.2">
      <c r="A480" s="48" t="str">
        <f ca="1">Language!A$390</f>
        <v xml:space="preserve">    кредиторская задолженность</v>
      </c>
      <c r="C480" s="40" t="str">
        <f t="shared" ca="1" si="574"/>
        <v>руб.</v>
      </c>
      <c r="D480" s="16" t="s">
        <v>384</v>
      </c>
      <c r="F480" s="43">
        <f t="shared" ref="F480:M480" ca="1" si="599">SUMIF($D370:$D386,"*1_08*",F370:F386)</f>
        <v>0</v>
      </c>
      <c r="G480" s="43">
        <f t="shared" ca="1" si="599"/>
        <v>0</v>
      </c>
      <c r="H480" s="43">
        <f t="shared" ca="1" si="599"/>
        <v>0</v>
      </c>
      <c r="I480" s="43">
        <f t="shared" ca="1" si="599"/>
        <v>0</v>
      </c>
      <c r="J480" s="43">
        <f t="shared" ca="1" si="599"/>
        <v>0</v>
      </c>
      <c r="K480" s="43">
        <f t="shared" ca="1" si="599"/>
        <v>0</v>
      </c>
      <c r="L480" s="43">
        <f t="shared" ca="1" si="599"/>
        <v>0</v>
      </c>
      <c r="M480" s="43">
        <f t="shared" ca="1" si="599"/>
        <v>0</v>
      </c>
      <c r="N480" s="43">
        <f t="shared" ref="N480" ca="1" si="600">SUMIF($D370:$D386,"*1_08*",N370:N386)</f>
        <v>0</v>
      </c>
      <c r="O480" s="43">
        <f t="shared" ref="O480" ca="1" si="601">SUMIF($D370:$D386,"*1_08*",O370:O386)</f>
        <v>0</v>
      </c>
      <c r="P480" s="43">
        <f t="shared" ref="P480:Q480" ca="1" si="602">SUMIF($D370:$D386,"*1_08*",P370:P386)</f>
        <v>0</v>
      </c>
      <c r="Q480" s="43">
        <f t="shared" ca="1" si="602"/>
        <v>0</v>
      </c>
      <c r="R480" s="43"/>
      <c r="S480" s="54"/>
    </row>
    <row r="481" spans="1:19" hidden="1" outlineLevel="2" x14ac:dyDescent="0.2">
      <c r="A481" s="48" t="str">
        <f ca="1">Language!A$395</f>
        <v xml:space="preserve">    выплаченный НДС</v>
      </c>
      <c r="C481" s="40" t="str">
        <f t="shared" ca="1" si="574"/>
        <v>руб.</v>
      </c>
      <c r="F481" s="43">
        <f t="shared" ref="F481:M481" si="603">SUMIF($D370:$D386,"*1_04*",F370:F386)</f>
        <v>0</v>
      </c>
      <c r="G481" s="43">
        <f t="shared" si="603"/>
        <v>0</v>
      </c>
      <c r="H481" s="43">
        <f t="shared" si="603"/>
        <v>0</v>
      </c>
      <c r="I481" s="43">
        <f t="shared" si="603"/>
        <v>0</v>
      </c>
      <c r="J481" s="43">
        <f t="shared" si="603"/>
        <v>0</v>
      </c>
      <c r="K481" s="43">
        <f t="shared" si="603"/>
        <v>0</v>
      </c>
      <c r="L481" s="43">
        <f t="shared" si="603"/>
        <v>0</v>
      </c>
      <c r="M481" s="43">
        <f t="shared" si="603"/>
        <v>0</v>
      </c>
      <c r="N481" s="43">
        <f t="shared" ref="N481" si="604">SUMIF($D370:$D386,"*1_04*",N370:N386)</f>
        <v>0</v>
      </c>
      <c r="O481" s="43">
        <f t="shared" ref="O481" si="605">SUMIF($D370:$D386,"*1_04*",O370:O386)</f>
        <v>0</v>
      </c>
      <c r="P481" s="43">
        <f t="shared" ref="P481:Q481" si="606">SUMIF($D370:$D386,"*1_04*",P370:P386)</f>
        <v>0</v>
      </c>
      <c r="Q481" s="43">
        <f t="shared" si="606"/>
        <v>0</v>
      </c>
      <c r="R481" s="43"/>
      <c r="S481" s="54">
        <f t="shared" ref="S481:S487" si="607">SUM(F481:Q481)</f>
        <v>0</v>
      </c>
    </row>
    <row r="482" spans="1:19" hidden="1" outlineLevel="2" x14ac:dyDescent="0.2">
      <c r="A482" s="48" t="str">
        <f ca="1">Language!A$399</f>
        <v xml:space="preserve">    зачет НДС</v>
      </c>
      <c r="C482" s="40" t="str">
        <f t="shared" ca="1" si="574"/>
        <v>руб.</v>
      </c>
      <c r="F482" s="43">
        <f t="shared" ref="F482:M482" ca="1" si="608">SUMIF($D370:$D386,"*1_12*",F370:F386)</f>
        <v>0</v>
      </c>
      <c r="G482" s="43">
        <f t="shared" ca="1" si="608"/>
        <v>0</v>
      </c>
      <c r="H482" s="43">
        <f t="shared" ca="1" si="608"/>
        <v>0</v>
      </c>
      <c r="I482" s="43">
        <f t="shared" ca="1" si="608"/>
        <v>0</v>
      </c>
      <c r="J482" s="43">
        <f t="shared" ca="1" si="608"/>
        <v>0</v>
      </c>
      <c r="K482" s="43">
        <f t="shared" ca="1" si="608"/>
        <v>0</v>
      </c>
      <c r="L482" s="43">
        <f t="shared" ca="1" si="608"/>
        <v>0</v>
      </c>
      <c r="M482" s="43">
        <f t="shared" ca="1" si="608"/>
        <v>0</v>
      </c>
      <c r="N482" s="43">
        <f t="shared" ref="N482" ca="1" si="609">SUMIF($D370:$D386,"*1_12*",N370:N386)</f>
        <v>0</v>
      </c>
      <c r="O482" s="43">
        <f t="shared" ref="O482" ca="1" si="610">SUMIF($D370:$D386,"*1_12*",O370:O386)</f>
        <v>0</v>
      </c>
      <c r="P482" s="43">
        <f t="shared" ref="P482:Q482" ca="1" si="611">SUMIF($D370:$D386,"*1_12*",P370:P386)</f>
        <v>0</v>
      </c>
      <c r="Q482" s="43">
        <f t="shared" ca="1" si="611"/>
        <v>0</v>
      </c>
      <c r="R482" s="43"/>
      <c r="S482" s="54">
        <f t="shared" ca="1" si="607"/>
        <v>0</v>
      </c>
    </row>
    <row r="483" spans="1:19" hidden="1" outlineLevel="2" x14ac:dyDescent="0.2">
      <c r="A483" s="19" t="str">
        <f ca="1">Language!A$361</f>
        <v xml:space="preserve">    реализация актива (без НДС)</v>
      </c>
      <c r="C483" s="40" t="str">
        <f t="shared" ca="1" si="574"/>
        <v>руб.</v>
      </c>
      <c r="F483" s="43">
        <f t="shared" ref="F483:M483" si="612">SUMIF($D370:$D386,"*1_13*",F370:F386)</f>
        <v>0</v>
      </c>
      <c r="G483" s="43">
        <f t="shared" si="612"/>
        <v>0</v>
      </c>
      <c r="H483" s="43">
        <f t="shared" si="612"/>
        <v>0</v>
      </c>
      <c r="I483" s="43">
        <f t="shared" si="612"/>
        <v>0</v>
      </c>
      <c r="J483" s="43">
        <f t="shared" si="612"/>
        <v>0</v>
      </c>
      <c r="K483" s="43">
        <f t="shared" si="612"/>
        <v>0</v>
      </c>
      <c r="L483" s="43">
        <f t="shared" si="612"/>
        <v>0</v>
      </c>
      <c r="M483" s="43">
        <f t="shared" si="612"/>
        <v>0</v>
      </c>
      <c r="N483" s="43">
        <f t="shared" ref="N483" si="613">SUMIF($D370:$D386,"*1_13*",N370:N386)</f>
        <v>0</v>
      </c>
      <c r="O483" s="43">
        <f t="shared" ref="O483" si="614">SUMIF($D370:$D386,"*1_13*",O370:O386)</f>
        <v>0</v>
      </c>
      <c r="P483" s="43">
        <f t="shared" ref="P483:Q483" si="615">SUMIF($D370:$D386,"*1_13*",P370:P386)</f>
        <v>0</v>
      </c>
      <c r="Q483" s="43">
        <f t="shared" si="615"/>
        <v>0</v>
      </c>
      <c r="R483" s="43"/>
      <c r="S483" s="54">
        <f t="shared" si="607"/>
        <v>0</v>
      </c>
    </row>
    <row r="484" spans="1:19" hidden="1" outlineLevel="2" x14ac:dyDescent="0.2">
      <c r="A484" s="19" t="str">
        <f ca="1">Language!A$362</f>
        <v xml:space="preserve">    прибыль/убыток от реализации актива</v>
      </c>
      <c r="C484" s="40" t="str">
        <f t="shared" ca="1" si="574"/>
        <v>руб.</v>
      </c>
      <c r="F484" s="43">
        <f t="shared" ref="F484:M484" si="616">SUMIF($D370:$D386,"*1_14*",F370:F386)</f>
        <v>0</v>
      </c>
      <c r="G484" s="43">
        <f t="shared" si="616"/>
        <v>0</v>
      </c>
      <c r="H484" s="43">
        <f t="shared" si="616"/>
        <v>0</v>
      </c>
      <c r="I484" s="43">
        <f t="shared" si="616"/>
        <v>0</v>
      </c>
      <c r="J484" s="43">
        <f t="shared" si="616"/>
        <v>0</v>
      </c>
      <c r="K484" s="43">
        <f t="shared" si="616"/>
        <v>0</v>
      </c>
      <c r="L484" s="43">
        <f t="shared" si="616"/>
        <v>0</v>
      </c>
      <c r="M484" s="43">
        <f t="shared" si="616"/>
        <v>0</v>
      </c>
      <c r="N484" s="43">
        <f t="shared" ref="N484" si="617">SUMIF($D370:$D386,"*1_14*",N370:N386)</f>
        <v>0</v>
      </c>
      <c r="O484" s="43">
        <f t="shared" ref="O484" si="618">SUMIF($D370:$D386,"*1_14*",O370:O386)</f>
        <v>0</v>
      </c>
      <c r="P484" s="43">
        <f t="shared" ref="P484:Q484" si="619">SUMIF($D370:$D386,"*1_14*",P370:P386)</f>
        <v>0</v>
      </c>
      <c r="Q484" s="43">
        <f t="shared" si="619"/>
        <v>0</v>
      </c>
      <c r="R484" s="43"/>
      <c r="S484" s="54">
        <f t="shared" si="607"/>
        <v>0</v>
      </c>
    </row>
    <row r="485" spans="1:19" hidden="1" outlineLevel="2" x14ac:dyDescent="0.2">
      <c r="A485" t="str">
        <f ca="1">Language!A$400</f>
        <v xml:space="preserve">    НДС к выручке от реализации актива</v>
      </c>
      <c r="C485" s="40" t="str">
        <f t="shared" ca="1" si="574"/>
        <v>руб.</v>
      </c>
      <c r="F485" s="43">
        <f t="shared" ref="F485:M485" si="620">SUMIF($D370:$D386,"*1_15*",F370:F386)</f>
        <v>0</v>
      </c>
      <c r="G485" s="43">
        <f t="shared" si="620"/>
        <v>0</v>
      </c>
      <c r="H485" s="43">
        <f t="shared" si="620"/>
        <v>0</v>
      </c>
      <c r="I485" s="43">
        <f t="shared" si="620"/>
        <v>0</v>
      </c>
      <c r="J485" s="43">
        <f t="shared" si="620"/>
        <v>0</v>
      </c>
      <c r="K485" s="43">
        <f t="shared" si="620"/>
        <v>0</v>
      </c>
      <c r="L485" s="43">
        <f t="shared" si="620"/>
        <v>0</v>
      </c>
      <c r="M485" s="43">
        <f t="shared" si="620"/>
        <v>0</v>
      </c>
      <c r="N485" s="43">
        <f t="shared" ref="N485" si="621">SUMIF($D370:$D386,"*1_15*",N370:N386)</f>
        <v>0</v>
      </c>
      <c r="O485" s="43">
        <f t="shared" ref="O485" si="622">SUMIF($D370:$D386,"*1_15*",O370:O386)</f>
        <v>0</v>
      </c>
      <c r="P485" s="43">
        <f t="shared" ref="P485:Q485" si="623">SUMIF($D370:$D386,"*1_15*",P370:P386)</f>
        <v>0</v>
      </c>
      <c r="Q485" s="43">
        <f t="shared" si="623"/>
        <v>0</v>
      </c>
      <c r="R485" s="43"/>
      <c r="S485" s="54">
        <f t="shared" si="607"/>
        <v>0</v>
      </c>
    </row>
    <row r="486" spans="1:19" s="35" customFormat="1" ht="10.5" outlineLevel="1" collapsed="1" x14ac:dyDescent="0.25">
      <c r="A486" s="35" t="s">
        <v>2357</v>
      </c>
      <c r="C486" s="40" t="str">
        <f t="shared" ca="1" si="574"/>
        <v>руб.</v>
      </c>
      <c r="F486" s="58">
        <f t="shared" ref="F486:M486" si="624">SUMIF($D387:$D402,"*1_00*",F387:F402)+SUMIF($D387:$D402,"*2_00*",F387:F402)*F$88</f>
        <v>0</v>
      </c>
      <c r="G486" s="58">
        <f t="shared" si="624"/>
        <v>0</v>
      </c>
      <c r="H486" s="58">
        <f t="shared" si="624"/>
        <v>0</v>
      </c>
      <c r="I486" s="58">
        <f t="shared" si="624"/>
        <v>0</v>
      </c>
      <c r="J486" s="58">
        <f t="shared" si="624"/>
        <v>0</v>
      </c>
      <c r="K486" s="58">
        <f t="shared" si="624"/>
        <v>0</v>
      </c>
      <c r="L486" s="58">
        <f t="shared" si="624"/>
        <v>0</v>
      </c>
      <c r="M486" s="58">
        <f t="shared" si="624"/>
        <v>0</v>
      </c>
      <c r="N486" s="58">
        <f t="shared" ref="N486" si="625">SUMIF($D387:$D402,"*1_00*",N387:N402)+SUMIF($D387:$D402,"*2_00*",N387:N402)*N$88</f>
        <v>0</v>
      </c>
      <c r="O486" s="58">
        <f t="shared" ref="O486" si="626">SUMIF($D387:$D402,"*1_00*",O387:O402)+SUMIF($D387:$D402,"*2_00*",O387:O402)*O$88</f>
        <v>0</v>
      </c>
      <c r="P486" s="58">
        <f t="shared" ref="P486:Q486" si="627">SUMIF($D387:$D402,"*1_00*",P387:P402)+SUMIF($D387:$D402,"*2_00*",P387:P402)*P$88</f>
        <v>0</v>
      </c>
      <c r="Q486" s="58">
        <f t="shared" si="627"/>
        <v>0</v>
      </c>
      <c r="R486" s="58"/>
      <c r="S486" s="57">
        <f t="shared" si="607"/>
        <v>0</v>
      </c>
    </row>
    <row r="487" spans="1:19" hidden="1" outlineLevel="2" x14ac:dyDescent="0.2">
      <c r="A487" s="48" t="str">
        <f ca="1">Language!A$385</f>
        <v xml:space="preserve">    сумма платежей без НДС</v>
      </c>
      <c r="C487" s="40" t="str">
        <f t="shared" ca="1" si="574"/>
        <v>руб.</v>
      </c>
      <c r="F487" s="43">
        <f t="shared" ref="F487:M487" si="628">SUMIF($D387:$D402,"*1_01*",F387:F402)</f>
        <v>0</v>
      </c>
      <c r="G487" s="43">
        <f t="shared" si="628"/>
        <v>0</v>
      </c>
      <c r="H487" s="43">
        <f t="shared" si="628"/>
        <v>0</v>
      </c>
      <c r="I487" s="43">
        <f t="shared" si="628"/>
        <v>0</v>
      </c>
      <c r="J487" s="43">
        <f t="shared" si="628"/>
        <v>0</v>
      </c>
      <c r="K487" s="43">
        <f t="shared" si="628"/>
        <v>0</v>
      </c>
      <c r="L487" s="43">
        <f t="shared" si="628"/>
        <v>0</v>
      </c>
      <c r="M487" s="43">
        <f t="shared" si="628"/>
        <v>0</v>
      </c>
      <c r="N487" s="43">
        <f t="shared" ref="N487" si="629">SUMIF($D387:$D402,"*1_01*",N387:N402)</f>
        <v>0</v>
      </c>
      <c r="O487" s="43">
        <f t="shared" ref="O487" si="630">SUMIF($D387:$D402,"*1_01*",O387:O402)</f>
        <v>0</v>
      </c>
      <c r="P487" s="43">
        <f t="shared" ref="P487:Q487" si="631">SUMIF($D387:$D402,"*1_01*",P387:P402)</f>
        <v>0</v>
      </c>
      <c r="Q487" s="43">
        <f t="shared" si="631"/>
        <v>0</v>
      </c>
      <c r="R487" s="43"/>
      <c r="S487" s="54">
        <f t="shared" si="607"/>
        <v>0</v>
      </c>
    </row>
    <row r="488" spans="1:19" hidden="1" outlineLevel="2" x14ac:dyDescent="0.2">
      <c r="A488" s="48" t="str">
        <f ca="1">Language!A$388</f>
        <v xml:space="preserve">    полная балансовая стоимость</v>
      </c>
      <c r="C488" s="40" t="str">
        <f t="shared" ca="1" si="574"/>
        <v>руб.</v>
      </c>
      <c r="D488" s="16" t="s">
        <v>384</v>
      </c>
      <c r="F488" s="43">
        <f t="shared" ref="F488:M488" ca="1" si="632">SUMIF($D387:$D402,"*1_06*",F387:F402)</f>
        <v>0</v>
      </c>
      <c r="G488" s="43">
        <f t="shared" ca="1" si="632"/>
        <v>0</v>
      </c>
      <c r="H488" s="43">
        <f t="shared" ca="1" si="632"/>
        <v>0</v>
      </c>
      <c r="I488" s="43">
        <f t="shared" ca="1" si="632"/>
        <v>0</v>
      </c>
      <c r="J488" s="43">
        <f t="shared" ca="1" si="632"/>
        <v>0</v>
      </c>
      <c r="K488" s="43">
        <f t="shared" ca="1" si="632"/>
        <v>0</v>
      </c>
      <c r="L488" s="43">
        <f t="shared" ca="1" si="632"/>
        <v>0</v>
      </c>
      <c r="M488" s="43">
        <f t="shared" ca="1" si="632"/>
        <v>0</v>
      </c>
      <c r="N488" s="43">
        <f t="shared" ref="N488" ca="1" si="633">SUMIF($D387:$D402,"*1_06*",N387:N402)</f>
        <v>0</v>
      </c>
      <c r="O488" s="43">
        <f t="shared" ref="O488" ca="1" si="634">SUMIF($D387:$D402,"*1_06*",O387:O402)</f>
        <v>0</v>
      </c>
      <c r="P488" s="43">
        <f t="shared" ref="P488:Q488" ca="1" si="635">SUMIF($D387:$D402,"*1_06*",P387:P402)</f>
        <v>0</v>
      </c>
      <c r="Q488" s="43">
        <f t="shared" ca="1" si="635"/>
        <v>0</v>
      </c>
      <c r="R488" s="43"/>
      <c r="S488" s="54"/>
    </row>
    <row r="489" spans="1:19" hidden="1" outlineLevel="2" x14ac:dyDescent="0.2">
      <c r="A489" s="48" t="str">
        <f ca="1">Language!A$408</f>
        <v xml:space="preserve">    авансы выданные</v>
      </c>
      <c r="C489" s="40" t="str">
        <f t="shared" ca="1" si="574"/>
        <v>руб.</v>
      </c>
      <c r="D489" s="16" t="s">
        <v>384</v>
      </c>
      <c r="F489" s="43">
        <f t="shared" ref="F489:M489" ca="1" si="636">SUMIF($D387:$D402,"*1_17*",F387:F402)</f>
        <v>0</v>
      </c>
      <c r="G489" s="43">
        <f t="shared" ca="1" si="636"/>
        <v>0</v>
      </c>
      <c r="H489" s="43">
        <f t="shared" ca="1" si="636"/>
        <v>0</v>
      </c>
      <c r="I489" s="43">
        <f t="shared" ca="1" si="636"/>
        <v>0</v>
      </c>
      <c r="J489" s="43">
        <f t="shared" ca="1" si="636"/>
        <v>0</v>
      </c>
      <c r="K489" s="43">
        <f t="shared" ca="1" si="636"/>
        <v>0</v>
      </c>
      <c r="L489" s="43">
        <f t="shared" ca="1" si="636"/>
        <v>0</v>
      </c>
      <c r="M489" s="43">
        <f t="shared" ca="1" si="636"/>
        <v>0</v>
      </c>
      <c r="N489" s="43">
        <f t="shared" ref="N489" ca="1" si="637">SUMIF($D387:$D402,"*1_17*",N387:N402)</f>
        <v>0</v>
      </c>
      <c r="O489" s="43">
        <f t="shared" ref="O489" ca="1" si="638">SUMIF($D387:$D402,"*1_17*",O387:O402)</f>
        <v>0</v>
      </c>
      <c r="P489" s="43">
        <f t="shared" ref="P489:Q489" ca="1" si="639">SUMIF($D387:$D402,"*1_17*",P387:P402)</f>
        <v>0</v>
      </c>
      <c r="Q489" s="43">
        <f t="shared" ca="1" si="639"/>
        <v>0</v>
      </c>
      <c r="R489" s="43"/>
      <c r="S489" s="54"/>
    </row>
    <row r="490" spans="1:19" hidden="1" outlineLevel="2" x14ac:dyDescent="0.2">
      <c r="A490" s="48" t="str">
        <f ca="1">Language!A$390</f>
        <v xml:space="preserve">    кредиторская задолженность</v>
      </c>
      <c r="C490" s="40" t="str">
        <f t="shared" ca="1" si="574"/>
        <v>руб.</v>
      </c>
      <c r="D490" s="16" t="s">
        <v>384</v>
      </c>
      <c r="F490" s="43">
        <f t="shared" ref="F490:M490" ca="1" si="640">SUMIF($D387:$D402,"*1_08*",F387:F402)</f>
        <v>0</v>
      </c>
      <c r="G490" s="43">
        <f t="shared" ca="1" si="640"/>
        <v>0</v>
      </c>
      <c r="H490" s="43">
        <f t="shared" ca="1" si="640"/>
        <v>0</v>
      </c>
      <c r="I490" s="43">
        <f t="shared" ca="1" si="640"/>
        <v>0</v>
      </c>
      <c r="J490" s="43">
        <f t="shared" ca="1" si="640"/>
        <v>0</v>
      </c>
      <c r="K490" s="43">
        <f t="shared" ca="1" si="640"/>
        <v>0</v>
      </c>
      <c r="L490" s="43">
        <f t="shared" ca="1" si="640"/>
        <v>0</v>
      </c>
      <c r="M490" s="43">
        <f t="shared" ca="1" si="640"/>
        <v>0</v>
      </c>
      <c r="N490" s="43">
        <f t="shared" ref="N490" ca="1" si="641">SUMIF($D387:$D402,"*1_08*",N387:N402)</f>
        <v>0</v>
      </c>
      <c r="O490" s="43">
        <f t="shared" ref="O490" ca="1" si="642">SUMIF($D387:$D402,"*1_08*",O387:O402)</f>
        <v>0</v>
      </c>
      <c r="P490" s="43">
        <f t="shared" ref="P490:Q490" ca="1" si="643">SUMIF($D387:$D402,"*1_08*",P387:P402)</f>
        <v>0</v>
      </c>
      <c r="Q490" s="43">
        <f t="shared" ca="1" si="643"/>
        <v>0</v>
      </c>
      <c r="R490" s="43"/>
      <c r="S490" s="54"/>
    </row>
    <row r="491" spans="1:19" hidden="1" outlineLevel="2" x14ac:dyDescent="0.2">
      <c r="A491" s="48" t="str">
        <f ca="1">Language!A$422</f>
        <v xml:space="preserve">    амортизация</v>
      </c>
      <c r="C491" s="40" t="str">
        <f t="shared" ca="1" si="574"/>
        <v>руб.</v>
      </c>
      <c r="F491" s="43">
        <f t="shared" ref="F491:M491" ca="1" si="644">SUMIF($D387:$D402,"*1_02*",F387:F402)</f>
        <v>0</v>
      </c>
      <c r="G491" s="43">
        <f t="shared" ca="1" si="644"/>
        <v>0</v>
      </c>
      <c r="H491" s="43">
        <f t="shared" ca="1" si="644"/>
        <v>0</v>
      </c>
      <c r="I491" s="43">
        <f t="shared" ca="1" si="644"/>
        <v>0</v>
      </c>
      <c r="J491" s="43">
        <f t="shared" ca="1" si="644"/>
        <v>0</v>
      </c>
      <c r="K491" s="43">
        <f t="shared" ca="1" si="644"/>
        <v>0</v>
      </c>
      <c r="L491" s="43">
        <f t="shared" ca="1" si="644"/>
        <v>0</v>
      </c>
      <c r="M491" s="43">
        <f t="shared" ca="1" si="644"/>
        <v>0</v>
      </c>
      <c r="N491" s="43">
        <f t="shared" ref="N491" ca="1" si="645">SUMIF($D387:$D402,"*1_02*",N387:N402)</f>
        <v>0</v>
      </c>
      <c r="O491" s="43">
        <f t="shared" ref="O491" ca="1" si="646">SUMIF($D387:$D402,"*1_02*",O387:O402)</f>
        <v>0</v>
      </c>
      <c r="P491" s="43">
        <f t="shared" ref="P491:Q491" ca="1" si="647">SUMIF($D387:$D402,"*1_02*",P387:P402)</f>
        <v>0</v>
      </c>
      <c r="Q491" s="43">
        <f t="shared" ca="1" si="647"/>
        <v>0</v>
      </c>
      <c r="R491" s="43"/>
      <c r="S491" s="54">
        <f ca="1">SUM(F491:Q491)</f>
        <v>0</v>
      </c>
    </row>
    <row r="492" spans="1:19" hidden="1" outlineLevel="2" x14ac:dyDescent="0.2">
      <c r="A492" s="48" t="str">
        <f ca="1">Language!A$391</f>
        <v xml:space="preserve">    остаточная стоимость</v>
      </c>
      <c r="C492" s="40" t="str">
        <f ca="1">CUR_Main</f>
        <v>руб.</v>
      </c>
      <c r="D492" s="16" t="s">
        <v>384</v>
      </c>
      <c r="F492" s="43">
        <f t="shared" ref="F492:M492" ca="1" si="648">SUMIF($D387:$D402,"*1_10*",F387:F402)</f>
        <v>0</v>
      </c>
      <c r="G492" s="43">
        <f t="shared" ca="1" si="648"/>
        <v>0</v>
      </c>
      <c r="H492" s="43">
        <f t="shared" ca="1" si="648"/>
        <v>0</v>
      </c>
      <c r="I492" s="43">
        <f t="shared" ca="1" si="648"/>
        <v>0</v>
      </c>
      <c r="J492" s="43">
        <f t="shared" ca="1" si="648"/>
        <v>0</v>
      </c>
      <c r="K492" s="43">
        <f t="shared" ca="1" si="648"/>
        <v>0</v>
      </c>
      <c r="L492" s="43">
        <f t="shared" ca="1" si="648"/>
        <v>0</v>
      </c>
      <c r="M492" s="43">
        <f t="shared" ca="1" si="648"/>
        <v>0</v>
      </c>
      <c r="N492" s="43">
        <f t="shared" ref="N492" ca="1" si="649">SUMIF($D387:$D402,"*1_10*",N387:N402)</f>
        <v>0</v>
      </c>
      <c r="O492" s="43">
        <f t="shared" ref="O492" ca="1" si="650">SUMIF($D387:$D402,"*1_10*",O387:O402)</f>
        <v>0</v>
      </c>
      <c r="P492" s="43">
        <f t="shared" ref="P492:Q492" ca="1" si="651">SUMIF($D387:$D402,"*1_10*",P387:P402)</f>
        <v>0</v>
      </c>
      <c r="Q492" s="43">
        <f t="shared" ca="1" si="651"/>
        <v>0</v>
      </c>
      <c r="R492" s="43"/>
      <c r="S492" s="54"/>
    </row>
    <row r="493" spans="1:19" hidden="1" outlineLevel="2" x14ac:dyDescent="0.2">
      <c r="A493" s="48" t="str">
        <f ca="1">Language!A$395</f>
        <v xml:space="preserve">    выплаченный НДС</v>
      </c>
      <c r="C493" s="40" t="str">
        <f ca="1">CUR_Main</f>
        <v>руб.</v>
      </c>
      <c r="F493" s="43">
        <f t="shared" ref="F493:M493" si="652">SUMIF($D387:$D402,"*1_04*",F387:F402)</f>
        <v>0</v>
      </c>
      <c r="G493" s="43">
        <f t="shared" si="652"/>
        <v>0</v>
      </c>
      <c r="H493" s="43">
        <f t="shared" si="652"/>
        <v>0</v>
      </c>
      <c r="I493" s="43">
        <f t="shared" si="652"/>
        <v>0</v>
      </c>
      <c r="J493" s="43">
        <f t="shared" si="652"/>
        <v>0</v>
      </c>
      <c r="K493" s="43">
        <f t="shared" si="652"/>
        <v>0</v>
      </c>
      <c r="L493" s="43">
        <f t="shared" si="652"/>
        <v>0</v>
      </c>
      <c r="M493" s="43">
        <f t="shared" si="652"/>
        <v>0</v>
      </c>
      <c r="N493" s="43">
        <f t="shared" ref="N493" si="653">SUMIF($D387:$D402,"*1_04*",N387:N402)</f>
        <v>0</v>
      </c>
      <c r="O493" s="43">
        <f t="shared" ref="O493" si="654">SUMIF($D387:$D402,"*1_04*",O387:O402)</f>
        <v>0</v>
      </c>
      <c r="P493" s="43">
        <f t="shared" ref="P493:Q493" si="655">SUMIF($D387:$D402,"*1_04*",P387:P402)</f>
        <v>0</v>
      </c>
      <c r="Q493" s="43">
        <f t="shared" si="655"/>
        <v>0</v>
      </c>
      <c r="R493" s="43"/>
      <c r="S493" s="54">
        <f>SUM(F493:Q493)</f>
        <v>0</v>
      </c>
    </row>
    <row r="494" spans="1:19" hidden="1" outlineLevel="2" x14ac:dyDescent="0.2">
      <c r="A494" s="48" t="str">
        <f ca="1">Language!A$399</f>
        <v xml:space="preserve">    зачет НДС</v>
      </c>
      <c r="C494" s="40" t="str">
        <f ca="1">CUR_Main</f>
        <v>руб.</v>
      </c>
      <c r="F494" s="43">
        <f t="shared" ref="F494:M494" ca="1" si="656">SUMIF($D387:$D402,"*1_12*",F387:F402)</f>
        <v>0</v>
      </c>
      <c r="G494" s="43">
        <f t="shared" ca="1" si="656"/>
        <v>0</v>
      </c>
      <c r="H494" s="43">
        <f t="shared" ca="1" si="656"/>
        <v>0</v>
      </c>
      <c r="I494" s="43">
        <f t="shared" ca="1" si="656"/>
        <v>0</v>
      </c>
      <c r="J494" s="43">
        <f t="shared" ca="1" si="656"/>
        <v>0</v>
      </c>
      <c r="K494" s="43">
        <f t="shared" ca="1" si="656"/>
        <v>0</v>
      </c>
      <c r="L494" s="43">
        <f t="shared" ca="1" si="656"/>
        <v>0</v>
      </c>
      <c r="M494" s="43">
        <f t="shared" ca="1" si="656"/>
        <v>0</v>
      </c>
      <c r="N494" s="43">
        <f t="shared" ref="N494" ca="1" si="657">SUMIF($D387:$D402,"*1_12*",N387:N402)</f>
        <v>0</v>
      </c>
      <c r="O494" s="43">
        <f t="shared" ref="O494" ca="1" si="658">SUMIF($D387:$D402,"*1_12*",O387:O402)</f>
        <v>0</v>
      </c>
      <c r="P494" s="43">
        <f t="shared" ref="P494:Q494" ca="1" si="659">SUMIF($D387:$D402,"*1_12*",P387:P402)</f>
        <v>0</v>
      </c>
      <c r="Q494" s="43">
        <f t="shared" ca="1" si="659"/>
        <v>0</v>
      </c>
      <c r="R494" s="43"/>
      <c r="S494" s="54">
        <f ca="1">SUM(F494:Q494)</f>
        <v>0</v>
      </c>
    </row>
    <row r="495" spans="1:19" s="35" customFormat="1" ht="10.5" outlineLevel="1" x14ac:dyDescent="0.25">
      <c r="A495" s="35" t="str">
        <f ca="1">Language!A428</f>
        <v xml:space="preserve"> = Итого: ВСЕ АКТИВЫ</v>
      </c>
      <c r="C495" s="40" t="str">
        <f ca="1">CUR_Main</f>
        <v>руб.</v>
      </c>
      <c r="F495" s="58">
        <f t="shared" ref="F495:M495" si="660">F436+F428+F463+F475+F450+F486</f>
        <v>0</v>
      </c>
      <c r="G495" s="58">
        <f t="shared" si="660"/>
        <v>0</v>
      </c>
      <c r="H495" s="58">
        <f t="shared" si="660"/>
        <v>0</v>
      </c>
      <c r="I495" s="58">
        <f t="shared" si="660"/>
        <v>0</v>
      </c>
      <c r="J495" s="58">
        <f t="shared" si="660"/>
        <v>0</v>
      </c>
      <c r="K495" s="58">
        <f t="shared" si="660"/>
        <v>0</v>
      </c>
      <c r="L495" s="58">
        <f t="shared" si="660"/>
        <v>0</v>
      </c>
      <c r="M495" s="58">
        <f t="shared" si="660"/>
        <v>0</v>
      </c>
      <c r="N495" s="58">
        <f t="shared" ref="N495" si="661">N436+N428+N463+N475+N450+N486</f>
        <v>0</v>
      </c>
      <c r="O495" s="58">
        <f t="shared" ref="O495" si="662">O436+O428+O463+O475+O450+O486</f>
        <v>0</v>
      </c>
      <c r="P495" s="58">
        <f t="shared" ref="P495:Q495" si="663">P436+P428+P463+P475+P450+P486</f>
        <v>0</v>
      </c>
      <c r="Q495" s="58">
        <f t="shared" si="663"/>
        <v>0</v>
      </c>
      <c r="R495" s="58"/>
      <c r="S495" s="57">
        <f>SUM(F495:Q495)</f>
        <v>0</v>
      </c>
    </row>
    <row r="496" spans="1:19" outlineLevel="1" x14ac:dyDescent="0.2">
      <c r="A496" s="63"/>
      <c r="B496" s="63"/>
      <c r="C496" s="63"/>
      <c r="D496" s="63"/>
      <c r="E496" s="63"/>
      <c r="F496" s="63"/>
      <c r="G496" s="63"/>
      <c r="H496" s="63"/>
      <c r="I496" s="63"/>
      <c r="J496" s="63"/>
      <c r="K496" s="63"/>
      <c r="L496" s="63"/>
      <c r="M496" s="63"/>
      <c r="N496" s="63"/>
      <c r="O496" s="63"/>
      <c r="P496" s="63"/>
      <c r="Q496" s="63"/>
      <c r="R496" s="63"/>
      <c r="S496" s="64"/>
    </row>
    <row r="497" spans="1:19" outlineLevel="1" x14ac:dyDescent="0.2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22"/>
    </row>
    <row r="498" spans="1:19" s="4" customFormat="1" ht="16" customHeight="1" thickBot="1" x14ac:dyDescent="0.25">
      <c r="A498" s="166" t="str">
        <f ca="1">Language!A429</f>
        <v xml:space="preserve">         ЛИЗИНГ</v>
      </c>
      <c r="B498" s="166"/>
      <c r="C498" s="166"/>
      <c r="D498" s="166"/>
      <c r="E498" s="166"/>
      <c r="F498" s="178" t="str">
        <f t="shared" ref="F498:Q498" si="664">PeriodTitle</f>
        <v>4/ 2024</v>
      </c>
      <c r="G498" s="178" t="str">
        <f t="shared" si="664"/>
        <v>5/ 2024</v>
      </c>
      <c r="H498" s="178" t="str">
        <f t="shared" si="664"/>
        <v>6/ 2024</v>
      </c>
      <c r="I498" s="178" t="str">
        <f t="shared" si="664"/>
        <v>7/ 2024</v>
      </c>
      <c r="J498" s="178" t="str">
        <f t="shared" si="664"/>
        <v>8/ 2024</v>
      </c>
      <c r="K498" s="178" t="str">
        <f t="shared" si="664"/>
        <v>9/ 2024</v>
      </c>
      <c r="L498" s="178" t="str">
        <f t="shared" si="664"/>
        <v>10/ 2024</v>
      </c>
      <c r="M498" s="178" t="str">
        <f t="shared" si="664"/>
        <v>11/ 2024</v>
      </c>
      <c r="N498" s="178" t="str">
        <f t="shared" si="664"/>
        <v>12/ 2024</v>
      </c>
      <c r="O498" s="178" t="str">
        <f t="shared" si="664"/>
        <v>1/ 2025</v>
      </c>
      <c r="P498" s="178" t="str">
        <f t="shared" si="664"/>
        <v>2/ 2025</v>
      </c>
      <c r="Q498" s="178" t="str">
        <f t="shared" si="664"/>
        <v>3/ 2025</v>
      </c>
      <c r="R498" s="166"/>
      <c r="S498" s="195" t="str">
        <f ca="1">Language!$A$371</f>
        <v>ИТОГО</v>
      </c>
    </row>
    <row r="499" spans="1:19" ht="10.5" outlineLevel="1" thickTop="1" x14ac:dyDescent="0.2">
      <c r="D499">
        <v>1</v>
      </c>
      <c r="E499" s="48">
        <v>23</v>
      </c>
    </row>
    <row r="500" spans="1:19" outlineLevel="1" x14ac:dyDescent="0.2">
      <c r="A500" s="274" t="str">
        <f ca="1">Language!A$430</f>
        <v>Наименование</v>
      </c>
    </row>
    <row r="501" spans="1:19" outlineLevel="1" x14ac:dyDescent="0.2">
      <c r="A501" s="52" t="str">
        <f ca="1">Language!A$73</f>
        <v>Валюта</v>
      </c>
      <c r="B501" s="255">
        <v>1</v>
      </c>
    </row>
    <row r="502" spans="1:19" outlineLevel="1" x14ac:dyDescent="0.2">
      <c r="A502" s="52" t="str">
        <f ca="1">Language!A$431</f>
        <v xml:space="preserve">    тип лизинга</v>
      </c>
      <c r="B502" s="255">
        <v>1</v>
      </c>
      <c r="C502" s="11" t="str">
        <f ca="1">OFFSET(Language!A$467,B502-1,0)</f>
        <v>с выкупом (учет на балансе лизингодателя)</v>
      </c>
    </row>
    <row r="503" spans="1:19" outlineLevel="1" x14ac:dyDescent="0.2">
      <c r="A503" s="52" t="str">
        <f ca="1">Language!A$432</f>
        <v xml:space="preserve">    № периода ввода в действие оборудования</v>
      </c>
      <c r="B503" s="255">
        <v>1</v>
      </c>
    </row>
    <row r="504" spans="1:19" outlineLevel="1" x14ac:dyDescent="0.2">
      <c r="A504" s="52" t="str">
        <f ca="1">Language!A$433</f>
        <v xml:space="preserve">    срок лизинга</v>
      </c>
      <c r="B504" s="255">
        <v>4</v>
      </c>
      <c r="C504" s="5" t="str">
        <f ca="1">PRJ_Step_SName</f>
        <v>мес.</v>
      </c>
    </row>
    <row r="505" spans="1:19" ht="10.5" outlineLevel="1" x14ac:dyDescent="0.25">
      <c r="A505" s="52" t="str">
        <f ca="1">Language!A$434</f>
        <v>Стоимость объекта (с НДС)</v>
      </c>
      <c r="B505" s="278">
        <v>0</v>
      </c>
      <c r="C505" s="5" t="str">
        <f ca="1">CHOOSE(B501,CUR_Main,CUR_Foreign)</f>
        <v>руб.</v>
      </c>
      <c r="D505" s="16" t="str">
        <f>TEXT(B501,"0")&amp;"_01"</f>
        <v>1_01</v>
      </c>
      <c r="E505" s="43">
        <f>B505/(1+B512)</f>
        <v>0</v>
      </c>
      <c r="F505" s="53">
        <f>IF(F$29&gt;=$B503,$E505,0)*IF(SUM($E506:E506)&gt;=$E505,0,1)*IF(AND(F$29&gt;=$B503+$B504,OR($B502=3,$B502=4)),0,1)</f>
        <v>0</v>
      </c>
      <c r="G505" s="53">
        <f>IF(G$29&gt;=$B503,$E505,0)*IF(SUM($E506:F506)&gt;=$E505,0,1)*IF(AND(G$29&gt;=$B503+$B504,OR($B502=3,$B502=4)),0,1)</f>
        <v>0</v>
      </c>
      <c r="H505" s="53">
        <f>IF(H$29&gt;=$B503,$E505,0)*IF(SUM($E506:G506)&gt;=$E505,0,1)*IF(AND(H$29&gt;=$B503+$B504,OR($B502=3,$B502=4)),0,1)</f>
        <v>0</v>
      </c>
      <c r="I505" s="53">
        <f>IF(I$29&gt;=$B503,$E505,0)*IF(SUM($E506:H506)&gt;=$E505,0,1)*IF(AND(I$29&gt;=$B503+$B504,OR($B502=3,$B502=4)),0,1)</f>
        <v>0</v>
      </c>
      <c r="J505" s="53">
        <f>IF(J$29&gt;=$B503,$E505,0)*IF(SUM($E506:I506)&gt;=$E505,0,1)*IF(AND(J$29&gt;=$B503+$B504,OR($B502=3,$B502=4)),0,1)</f>
        <v>0</v>
      </c>
      <c r="K505" s="53">
        <f>IF(K$29&gt;=$B503,$E505,0)*IF(SUM($E506:J506)&gt;=$E505,0,1)*IF(AND(K$29&gt;=$B503+$B504,OR($B502=3,$B502=4)),0,1)</f>
        <v>0</v>
      </c>
      <c r="L505" s="53">
        <f>IF(L$29&gt;=$B503,$E505,0)*IF(SUM($E506:K506)&gt;=$E505,0,1)*IF(AND(L$29&gt;=$B503+$B504,OR($B502=3,$B502=4)),0,1)</f>
        <v>0</v>
      </c>
      <c r="M505" s="53">
        <f>IF(M$29&gt;=$B503,$E505,0)*IF(SUM($E506:L506)&gt;=$E505,0,1)*IF(AND(M$29&gt;=$B503+$B504,OR($B502=3,$B502=4)),0,1)</f>
        <v>0</v>
      </c>
      <c r="N505" s="53">
        <f>IF(N$29&gt;=$B503,$E505,0)*IF(SUM($E506:M506)&gt;=$E505,0,1)*IF(AND(N$29&gt;=$B503+$B504,OR($B502=3,$B502=4)),0,1)</f>
        <v>0</v>
      </c>
      <c r="O505" s="53">
        <f>IF(O$29&gt;=$B503,$E505,0)*IF(SUM($E506:N506)&gt;=$E505,0,1)*IF(AND(O$29&gt;=$B503+$B504,OR($B502=3,$B502=4)),0,1)</f>
        <v>0</v>
      </c>
      <c r="P505" s="53">
        <f>IF(P$29&gt;=$B503,$E505,0)*IF(SUM($E506:O506)&gt;=$E505,0,1)*IF(AND(P$29&gt;=$B503+$B504,OR($B502=3,$B502=4)),0,1)</f>
        <v>0</v>
      </c>
      <c r="Q505" s="53">
        <f>IF(Q$29&gt;=$B503,$E505,0)*IF(SUM($E506:P506)&gt;=$E505,0,1)*IF(AND(Q$29&gt;=$B503+$B504,OR($B502=3,$B502=4)),0,1)</f>
        <v>0</v>
      </c>
    </row>
    <row r="506" spans="1:19" outlineLevel="1" x14ac:dyDescent="0.2">
      <c r="A506" s="52" t="str">
        <f ca="1">Language!A$435</f>
        <v xml:space="preserve">    амортизационные отчисления</v>
      </c>
      <c r="B506" s="279">
        <v>0.2</v>
      </c>
      <c r="C506" s="5" t="str">
        <f ca="1">CHOOSE(B501,CUR_Main,CUR_Foreign)</f>
        <v>руб.</v>
      </c>
      <c r="D506" t="str">
        <f>TEXT(B501,"0")&amp;"_02"</f>
        <v>1_02</v>
      </c>
      <c r="E506" s="43"/>
      <c r="F506" s="53">
        <f t="shared" ref="F506:Q506" si="665">IF(F$29&gt;=$B503,MIN(E515,$E505*$B506*PRJ_Step/360),0)</f>
        <v>0</v>
      </c>
      <c r="G506" s="53">
        <f t="shared" si="665"/>
        <v>0</v>
      </c>
      <c r="H506" s="53">
        <f t="shared" si="665"/>
        <v>0</v>
      </c>
      <c r="I506" s="53">
        <f t="shared" si="665"/>
        <v>0</v>
      </c>
      <c r="J506" s="53">
        <f t="shared" si="665"/>
        <v>0</v>
      </c>
      <c r="K506" s="53">
        <f t="shared" si="665"/>
        <v>0</v>
      </c>
      <c r="L506" s="53">
        <f t="shared" si="665"/>
        <v>0</v>
      </c>
      <c r="M506" s="53">
        <f t="shared" si="665"/>
        <v>0</v>
      </c>
      <c r="N506" s="53">
        <f t="shared" si="665"/>
        <v>0</v>
      </c>
      <c r="O506" s="53">
        <f t="shared" si="665"/>
        <v>0</v>
      </c>
      <c r="P506" s="53">
        <f t="shared" si="665"/>
        <v>0</v>
      </c>
      <c r="Q506" s="53">
        <f t="shared" si="665"/>
        <v>0</v>
      </c>
      <c r="S506" s="54">
        <f t="shared" ref="S506:S513" si="666">SUM(F506:Q506)</f>
        <v>0</v>
      </c>
    </row>
    <row r="507" spans="1:19" outlineLevel="1" x14ac:dyDescent="0.2">
      <c r="A507" s="52" t="str">
        <f ca="1">Language!A$437</f>
        <v xml:space="preserve">    вознаграждение лизингодателю</v>
      </c>
      <c r="B507" s="279">
        <v>0.15</v>
      </c>
      <c r="C507" s="5" t="str">
        <f ca="1">CHOOSE(B501,CUR_Main,CUR_Foreign)</f>
        <v>руб.</v>
      </c>
      <c r="D507" t="str">
        <f>TEXT(B501,"0")&amp;"_04"</f>
        <v>1_04</v>
      </c>
      <c r="E507" s="43"/>
      <c r="F507" s="53">
        <f t="shared" ref="F507:M507" si="667">IF(AND(F$29&gt;$B503-1,F$29&lt;=$B503+$B504-1),F515*$B507*PRJ_Step/360,0)</f>
        <v>0</v>
      </c>
      <c r="G507" s="53">
        <f t="shared" si="667"/>
        <v>0</v>
      </c>
      <c r="H507" s="53">
        <f t="shared" si="667"/>
        <v>0</v>
      </c>
      <c r="I507" s="53">
        <f t="shared" si="667"/>
        <v>0</v>
      </c>
      <c r="J507" s="53">
        <f t="shared" si="667"/>
        <v>0</v>
      </c>
      <c r="K507" s="53">
        <f t="shared" si="667"/>
        <v>0</v>
      </c>
      <c r="L507" s="53">
        <f t="shared" si="667"/>
        <v>0</v>
      </c>
      <c r="M507" s="53">
        <f t="shared" si="667"/>
        <v>0</v>
      </c>
      <c r="N507" s="53">
        <f t="shared" ref="N507" si="668">IF(AND(N$29&gt;$B503-1,N$29&lt;=$B503+$B504-1),N515*$B507*PRJ_Step/360,0)</f>
        <v>0</v>
      </c>
      <c r="O507" s="53">
        <f t="shared" ref="O507" si="669">IF(AND(O$29&gt;$B503-1,O$29&lt;=$B503+$B504-1),O515*$B507*PRJ_Step/360,0)</f>
        <v>0</v>
      </c>
      <c r="P507" s="53">
        <f t="shared" ref="P507:Q507" si="670">IF(AND(P$29&gt;$B503-1,P$29&lt;=$B503+$B504-1),P515*$B507*PRJ_Step/360,0)</f>
        <v>0</v>
      </c>
      <c r="Q507" s="53">
        <f t="shared" si="670"/>
        <v>0</v>
      </c>
      <c r="S507" s="54">
        <f t="shared" si="666"/>
        <v>0</v>
      </c>
    </row>
    <row r="508" spans="1:19" outlineLevel="1" x14ac:dyDescent="0.2">
      <c r="A508" s="52" t="str">
        <f ca="1">Language!A$440</f>
        <v>Авансовый платеж (с НДС)</v>
      </c>
      <c r="B508" s="279">
        <v>0.3</v>
      </c>
      <c r="C508" s="5" t="str">
        <f ca="1">CHOOSE(B501,CUR_Main,CUR_Foreign)</f>
        <v>руб.</v>
      </c>
      <c r="D508" t="str">
        <f>TEXT(B501,"0")&amp;"_07"</f>
        <v>1_07</v>
      </c>
      <c r="E508" s="43"/>
      <c r="F508" s="43">
        <f t="shared" ref="F508:M508" ca="1" si="671">IF(F$29=$B503,$B508*$B513,0)</f>
        <v>0</v>
      </c>
      <c r="G508" s="43">
        <f t="shared" si="671"/>
        <v>0</v>
      </c>
      <c r="H508" s="43">
        <f t="shared" si="671"/>
        <v>0</v>
      </c>
      <c r="I508" s="43">
        <f t="shared" si="671"/>
        <v>0</v>
      </c>
      <c r="J508" s="43">
        <f t="shared" si="671"/>
        <v>0</v>
      </c>
      <c r="K508" s="43">
        <f t="shared" si="671"/>
        <v>0</v>
      </c>
      <c r="L508" s="43">
        <f t="shared" si="671"/>
        <v>0</v>
      </c>
      <c r="M508" s="43">
        <f t="shared" si="671"/>
        <v>0</v>
      </c>
      <c r="N508" s="43">
        <f t="shared" ref="N508" si="672">IF(N$29=$B503,$B508*$B513,0)</f>
        <v>0</v>
      </c>
      <c r="O508" s="43">
        <f t="shared" ref="O508" si="673">IF(O$29=$B503,$B508*$B513,0)</f>
        <v>0</v>
      </c>
      <c r="P508" s="43">
        <f t="shared" ref="P508:Q508" si="674">IF(P$29=$B503,$B508*$B513,0)</f>
        <v>0</v>
      </c>
      <c r="Q508" s="43">
        <f t="shared" si="674"/>
        <v>0</v>
      </c>
      <c r="S508" s="54">
        <f t="shared" ca="1" si="666"/>
        <v>0</v>
      </c>
    </row>
    <row r="509" spans="1:19" outlineLevel="1" collapsed="1" x14ac:dyDescent="0.2">
      <c r="A509" s="52" t="str">
        <f ca="1">Language!A$441</f>
        <v>График лизинговых платежей (с НДС)</v>
      </c>
      <c r="C509" s="5" t="str">
        <f ca="1">CHOOSE(B501,CUR_Main,CUR_Foreign)</f>
        <v>руб.</v>
      </c>
      <c r="D509" t="str">
        <f>TEXT(B501,"0")&amp;"_08"</f>
        <v>1_08</v>
      </c>
      <c r="E509" s="43"/>
      <c r="F509" s="311">
        <f ca="1">IF($B504=1,F513,IF($S508=0,F513,IF(F508&gt;0,F508+($S513-$S508)/$B504,IF(AND(F$29&gt;$B503,F$29&lt;=$B503+$B504-1),($S513-$S508)/$B504,0))))</f>
        <v>0</v>
      </c>
      <c r="G509" s="311">
        <f ca="1">IF($B504=1,G513,IF($S508=0,G513,IF(G508&gt;0,G508+($S513-$S508)/$B504,IF(AND(G$29&gt;$B503,G$29&lt;=$B503+$B504-1),($S513-$S508)/$B504,0))))</f>
        <v>0</v>
      </c>
      <c r="H509" s="311">
        <f ca="1">IF($B504=1,H513,IF($S508=0,H513,IF(H508&gt;0,H508+($S513-$S508)/$B504,IF(AND(H$29&gt;$B503,H$29&lt;=$B503+$B504-1),($S513-$S508)/$B504,0))))</f>
        <v>0</v>
      </c>
      <c r="I509" s="311">
        <f ca="1">IF($B504=1,I513,IF($S508=0,I513,IF(I508&gt;0,I508+($S513-$S508)/$B504,IF(AND(I$29&gt;$B503,I$29&lt;=$B503+$B504-1),($S513-$S508)/$B504,0))))</f>
        <v>0</v>
      </c>
      <c r="J509" s="311">
        <f ca="1">IF($B504=1,J513,IF($S508=0,J513,IF(J508&gt;0,J508+($S513-$S508)/$B504,IF(AND(J$29&gt;$B503,J$29&lt;=$B503+$B504-1),($S513-$S508)/$B504,0))))</f>
        <v>0</v>
      </c>
      <c r="K509" s="311">
        <f ca="1">IF($B504=1,K513,IF($S508=0,K513,IF(K508&gt;0,K508+($S513-$S508)/$B504,IF(AND(K$29&gt;$B503,K$29&lt;=$B503+$B504-1),($S513-$S508)/$B504,0))))</f>
        <v>0</v>
      </c>
      <c r="L509" s="311">
        <f ca="1">IF($B504=1,L513,IF($S508=0,L513,IF(L508&gt;0,L508+($S513-$S508)/$B504,IF(AND(L$29&gt;$B503,L$29&lt;=$B503+$B504-1),($S513-$S508)/$B504,0))))</f>
        <v>0</v>
      </c>
      <c r="M509" s="311">
        <f ca="1">IF($B504=1,M513,IF($S508=0,M513,IF(M508&gt;0,M508+($S513-$S508)/$B504,IF(AND(M$29&gt;$B503,M$29&lt;=$B503+$B504-1),($S513-$S508)/$B504,0))))</f>
        <v>0</v>
      </c>
      <c r="N509" s="311">
        <f ca="1">IF($B504=1,N513,IF($S508=0,N513,IF(N508&gt;0,N508+($S513-$S508)/$B504,IF(AND(N$29&gt;$B503,N$29&lt;=$B503+$B504-1),($S513-$S508)/$B504,0))))</f>
        <v>0</v>
      </c>
      <c r="O509" s="311">
        <f ca="1">IF($B504=1,O513,IF($S508=0,O513,IF(O508&gt;0,O508+($S513-$S508)/$B504,IF(AND(O$29&gt;$B503,O$29&lt;=$B503+$B504-1),($S513-$S508)/$B504,0))))</f>
        <v>0</v>
      </c>
      <c r="P509" s="311">
        <f ca="1">IF($B504=1,P513,IF($S508=0,P513,IF(P508&gt;0,P508+($S513-$S508)/$B504,IF(AND(P$29&gt;$B503,P$29&lt;=$B503+$B504-1),($S513-$S508)/$B504,0))))</f>
        <v>0</v>
      </c>
      <c r="Q509" s="311">
        <f ca="1">IF($B504=1,Q513,IF($S508=0,Q513,IF(Q508&gt;0,Q508+($S513-$S508)/$B504,IF(AND(Q$29&gt;$B503,Q$29&lt;=$B503+$B504-1),($S513-$S508)/$B504,0))))</f>
        <v>0</v>
      </c>
      <c r="S509" s="54">
        <f t="shared" ca="1" si="666"/>
        <v>0</v>
      </c>
    </row>
    <row r="510" spans="1:19" ht="10.5" hidden="1" outlineLevel="2" x14ac:dyDescent="0.2">
      <c r="A510" s="52" t="str">
        <f ca="1">Language!A$442</f>
        <v>Зачет лизинговых платежей в себестоимости (с НДС)</v>
      </c>
      <c r="B510" s="55">
        <f ca="1">S509</f>
        <v>0</v>
      </c>
      <c r="C510" s="5" t="str">
        <f ca="1">CHOOSE(B501,CUR_Main,CUR_Foreign)</f>
        <v>руб.</v>
      </c>
      <c r="D510" t="str">
        <f>TEXT(B501,"0")&amp;"_06"</f>
        <v>1_06</v>
      </c>
      <c r="E510" s="43"/>
      <c r="F510" s="53">
        <f t="shared" ref="F510:M510" ca="1" si="675">$B510/MAX(1,$B504)*IF(AND(F$29+1&gt;$B503,F$29+1&lt;=$B503+$B504),1,0)</f>
        <v>0</v>
      </c>
      <c r="G510" s="53">
        <f t="shared" ca="1" si="675"/>
        <v>0</v>
      </c>
      <c r="H510" s="53">
        <f t="shared" ca="1" si="675"/>
        <v>0</v>
      </c>
      <c r="I510" s="53">
        <f t="shared" ca="1" si="675"/>
        <v>0</v>
      </c>
      <c r="J510" s="53">
        <f t="shared" ca="1" si="675"/>
        <v>0</v>
      </c>
      <c r="K510" s="53">
        <f t="shared" ca="1" si="675"/>
        <v>0</v>
      </c>
      <c r="L510" s="53">
        <f t="shared" ca="1" si="675"/>
        <v>0</v>
      </c>
      <c r="M510" s="53">
        <f t="shared" ca="1" si="675"/>
        <v>0</v>
      </c>
      <c r="N510" s="53">
        <f t="shared" ref="N510" ca="1" si="676">$B510/MAX(1,$B504)*IF(AND(N$29+1&gt;$B503,N$29+1&lt;=$B503+$B504),1,0)</f>
        <v>0</v>
      </c>
      <c r="O510" s="53">
        <f t="shared" ref="O510" ca="1" si="677">$B510/MAX(1,$B504)*IF(AND(O$29+1&gt;$B503,O$29+1&lt;=$B503+$B504),1,0)</f>
        <v>0</v>
      </c>
      <c r="P510" s="53">
        <f t="shared" ref="P510:Q510" ca="1" si="678">$B510/MAX(1,$B504)*IF(AND(P$29+1&gt;$B503,P$29+1&lt;=$B503+$B504),1,0)</f>
        <v>0</v>
      </c>
      <c r="Q510" s="53">
        <f t="shared" ca="1" si="678"/>
        <v>0</v>
      </c>
      <c r="S510" s="54">
        <f t="shared" ca="1" si="666"/>
        <v>0</v>
      </c>
    </row>
    <row r="511" spans="1:19" ht="10.5" hidden="1" outlineLevel="2" x14ac:dyDescent="0.2">
      <c r="A511" s="52" t="str">
        <f ca="1">Language!A$443</f>
        <v>зачет лизинговых платежей (без НДС)</v>
      </c>
      <c r="B511" s="55">
        <f ca="1">S511</f>
        <v>0</v>
      </c>
      <c r="C511" s="5" t="str">
        <f ca="1">CHOOSE(B501,CUR_Main,CUR_Foreign)</f>
        <v>руб.</v>
      </c>
      <c r="D511" t="str">
        <f>TEXT(B501,"0")&amp;"_05"</f>
        <v>1_05</v>
      </c>
      <c r="E511" s="43"/>
      <c r="F511" s="53">
        <f t="shared" ref="F511:M511" ca="1" si="679">F510/(1+$B512)</f>
        <v>0</v>
      </c>
      <c r="G511" s="53">
        <f t="shared" ca="1" si="679"/>
        <v>0</v>
      </c>
      <c r="H511" s="53">
        <f t="shared" ca="1" si="679"/>
        <v>0</v>
      </c>
      <c r="I511" s="53">
        <f t="shared" ca="1" si="679"/>
        <v>0</v>
      </c>
      <c r="J511" s="53">
        <f t="shared" ca="1" si="679"/>
        <v>0</v>
      </c>
      <c r="K511" s="53">
        <f t="shared" ca="1" si="679"/>
        <v>0</v>
      </c>
      <c r="L511" s="53">
        <f t="shared" ca="1" si="679"/>
        <v>0</v>
      </c>
      <c r="M511" s="53">
        <f t="shared" ca="1" si="679"/>
        <v>0</v>
      </c>
      <c r="N511" s="53">
        <f t="shared" ref="N511" ca="1" si="680">N510/(1+$B512)</f>
        <v>0</v>
      </c>
      <c r="O511" s="53">
        <f t="shared" ref="O511" ca="1" si="681">O510/(1+$B512)</f>
        <v>0</v>
      </c>
      <c r="P511" s="53">
        <f t="shared" ref="P511:Q511" ca="1" si="682">P510/(1+$B512)</f>
        <v>0</v>
      </c>
      <c r="Q511" s="53">
        <f t="shared" ca="1" si="682"/>
        <v>0</v>
      </c>
      <c r="S511" s="54">
        <f t="shared" ca="1" si="666"/>
        <v>0</v>
      </c>
    </row>
    <row r="512" spans="1:19" hidden="1" outlineLevel="2" x14ac:dyDescent="0.2">
      <c r="A512" s="52" t="str">
        <f ca="1">Language!A$446</f>
        <v xml:space="preserve">    НДС к платежам</v>
      </c>
      <c r="B512" s="279">
        <f>VAT</f>
        <v>0</v>
      </c>
      <c r="C512" s="5" t="str">
        <f ca="1">CHOOSE(B501,CUR_Main,CUR_Foreign)</f>
        <v>руб.</v>
      </c>
      <c r="D512" t="str">
        <f>TEXT(B501,"0")&amp;"_09"</f>
        <v>1_09</v>
      </c>
      <c r="E512" s="43"/>
      <c r="F512" s="53">
        <f t="shared" ref="F512:M512" ca="1" si="683">F509-F509/(1+$B512)</f>
        <v>0</v>
      </c>
      <c r="G512" s="53">
        <f t="shared" ca="1" si="683"/>
        <v>0</v>
      </c>
      <c r="H512" s="53">
        <f t="shared" ca="1" si="683"/>
        <v>0</v>
      </c>
      <c r="I512" s="53">
        <f t="shared" ca="1" si="683"/>
        <v>0</v>
      </c>
      <c r="J512" s="53">
        <f t="shared" ca="1" si="683"/>
        <v>0</v>
      </c>
      <c r="K512" s="53">
        <f t="shared" ca="1" si="683"/>
        <v>0</v>
      </c>
      <c r="L512" s="53">
        <f t="shared" ca="1" si="683"/>
        <v>0</v>
      </c>
      <c r="M512" s="53">
        <f t="shared" ca="1" si="683"/>
        <v>0</v>
      </c>
      <c r="N512" s="53">
        <f t="shared" ref="N512" ca="1" si="684">N509-N509/(1+$B512)</f>
        <v>0</v>
      </c>
      <c r="O512" s="53">
        <f t="shared" ref="O512" ca="1" si="685">O509-O509/(1+$B512)</f>
        <v>0</v>
      </c>
      <c r="P512" s="53">
        <f t="shared" ref="P512:Q512" ca="1" si="686">P509-P509/(1+$B512)</f>
        <v>0</v>
      </c>
      <c r="Q512" s="53">
        <f t="shared" ca="1" si="686"/>
        <v>0</v>
      </c>
      <c r="S512" s="54">
        <f t="shared" ca="1" si="666"/>
        <v>0</v>
      </c>
    </row>
    <row r="513" spans="1:19" s="48" customFormat="1" ht="10.5" hidden="1" outlineLevel="2" x14ac:dyDescent="0.2">
      <c r="A513" s="52" t="str">
        <f ca="1">Language!A$444</f>
        <v xml:space="preserve">   лизинговые платежи для  расчета графика платежей</v>
      </c>
      <c r="B513" s="312">
        <f ca="1">(S507+SUM(F506:OFFSET($E506,0,$B503+$B504-1)))*(1+$B522)</f>
        <v>0</v>
      </c>
      <c r="C513" s="73" t="str">
        <f ca="1">CHOOSE(B501,CUR_Main,CUR_Foreign)</f>
        <v>руб.</v>
      </c>
      <c r="E513" s="106"/>
      <c r="F513" s="84">
        <f t="shared" ref="F513:M513" ca="1" si="687">$B513/MAX(1,$B504)*IF(AND(F$29+1&gt;$B503,F$29+1&lt;=$B503+$B504),1,0)</f>
        <v>0</v>
      </c>
      <c r="G513" s="84">
        <f t="shared" ca="1" si="687"/>
        <v>0</v>
      </c>
      <c r="H513" s="84">
        <f t="shared" ca="1" si="687"/>
        <v>0</v>
      </c>
      <c r="I513" s="84">
        <f t="shared" ca="1" si="687"/>
        <v>0</v>
      </c>
      <c r="J513" s="84">
        <f t="shared" ca="1" si="687"/>
        <v>0</v>
      </c>
      <c r="K513" s="84">
        <f t="shared" ca="1" si="687"/>
        <v>0</v>
      </c>
      <c r="L513" s="84">
        <f t="shared" ca="1" si="687"/>
        <v>0</v>
      </c>
      <c r="M513" s="84">
        <f t="shared" ca="1" si="687"/>
        <v>0</v>
      </c>
      <c r="N513" s="84">
        <f t="shared" ref="N513" ca="1" si="688">$B513/MAX(1,$B504)*IF(AND(N$29+1&gt;$B503,N$29+1&lt;=$B503+$B504),1,0)</f>
        <v>0</v>
      </c>
      <c r="O513" s="84">
        <f t="shared" ref="O513" ca="1" si="689">$B513/MAX(1,$B504)*IF(AND(O$29+1&gt;$B503,O$29+1&lt;=$B503+$B504),1,0)</f>
        <v>0</v>
      </c>
      <c r="P513" s="84">
        <f t="shared" ref="P513:Q513" ca="1" si="690">$B513/MAX(1,$B504)*IF(AND(P$29+1&gt;$B503,P$29+1&lt;=$B503+$B504),1,0)</f>
        <v>0</v>
      </c>
      <c r="Q513" s="84">
        <f t="shared" ca="1" si="690"/>
        <v>0</v>
      </c>
      <c r="S513" s="94">
        <f t="shared" ca="1" si="666"/>
        <v>0</v>
      </c>
    </row>
    <row r="514" spans="1:19" hidden="1" outlineLevel="2" x14ac:dyDescent="0.2">
      <c r="A514" s="52" t="str">
        <f ca="1">Language!A$447</f>
        <v xml:space="preserve">    авансы, уплаченные лизингодателю</v>
      </c>
      <c r="C514" s="5" t="str">
        <f ca="1">CHOOSE(B501,CUR_Main,CUR_Foreign)</f>
        <v>руб.</v>
      </c>
      <c r="D514" t="str">
        <f>TEXT(B501,"0")&amp;"_10"&amp;";int_end"</f>
        <v>1_10;int_end</v>
      </c>
      <c r="E514" s="43"/>
      <c r="F514" s="53">
        <f ca="1">SUM($F509:F509)-SUM($F512:F512)-SUM($F511:F511)</f>
        <v>0</v>
      </c>
      <c r="G514" s="53">
        <f ca="1">SUM($F509:G509)-SUM($F512:G512)-SUM($F511:G511)</f>
        <v>0</v>
      </c>
      <c r="H514" s="53">
        <f ca="1">SUM($F509:H509)-SUM($F512:H512)-SUM($F511:H511)</f>
        <v>0</v>
      </c>
      <c r="I514" s="53">
        <f ca="1">SUM($F509:I509)-SUM($F512:I512)-SUM($F511:I511)</f>
        <v>0</v>
      </c>
      <c r="J514" s="53">
        <f ca="1">SUM($F509:J509)-SUM($F512:J512)-SUM($F511:J511)</f>
        <v>0</v>
      </c>
      <c r="K514" s="53">
        <f ca="1">SUM($F509:K509)-SUM($F512:K512)-SUM($F511:K511)</f>
        <v>0</v>
      </c>
      <c r="L514" s="53">
        <f ca="1">SUM($F509:L509)-SUM($F512:L512)-SUM($F511:L511)</f>
        <v>0</v>
      </c>
      <c r="M514" s="53">
        <f ca="1">SUM($F509:M509)-SUM($F512:M512)-SUM($F511:M511)</f>
        <v>0</v>
      </c>
      <c r="N514" s="53">
        <f ca="1">SUM($F509:N509)-SUM($F512:N512)-SUM($F511:N511)</f>
        <v>0</v>
      </c>
      <c r="O514" s="53">
        <f ca="1">SUM($F509:O509)-SUM($F512:O512)-SUM($F511:O511)</f>
        <v>0</v>
      </c>
      <c r="P514" s="53">
        <f ca="1">SUM($F509:P509)-SUM($F512:P512)-SUM($F511:P511)</f>
        <v>0</v>
      </c>
      <c r="Q514" s="53">
        <f ca="1">SUM($F509:Q509)-SUM($F512:Q512)-SUM($F511:Q511)</f>
        <v>0</v>
      </c>
      <c r="R514" s="53"/>
      <c r="S514" s="84"/>
    </row>
    <row r="515" spans="1:19" hidden="1" outlineLevel="2" x14ac:dyDescent="0.2">
      <c r="A515" s="52" t="str">
        <f ca="1">Language!A$436</f>
        <v xml:space="preserve">    остаточная стоимость (без НДС)</v>
      </c>
      <c r="C515" s="5" t="str">
        <f ca="1">CHOOSE(B501,CUR_Main,CUR_Foreign)</f>
        <v>руб.</v>
      </c>
      <c r="D515" t="str">
        <f>TEXT(B501,"0")&amp;"_03"&amp;";int_end"</f>
        <v>1_03;int_end</v>
      </c>
      <c r="E515" s="43">
        <f>E505</f>
        <v>0</v>
      </c>
      <c r="F515" s="53">
        <f>IF(F505&gt;0,F505-SUM($E506:F506),0)</f>
        <v>0</v>
      </c>
      <c r="G515" s="53">
        <f>IF(G505&gt;0,G505-SUM($E506:G506),0)</f>
        <v>0</v>
      </c>
      <c r="H515" s="53">
        <f>IF(H505&gt;0,H505-SUM($E506:H506),0)</f>
        <v>0</v>
      </c>
      <c r="I515" s="53">
        <f>IF(I505&gt;0,I505-SUM($E506:I506),0)</f>
        <v>0</v>
      </c>
      <c r="J515" s="53">
        <f>IF(J505&gt;0,J505-SUM($E506:J506),0)</f>
        <v>0</v>
      </c>
      <c r="K515" s="53">
        <f>IF(K505&gt;0,K505-SUM($E506:K506),0)</f>
        <v>0</v>
      </c>
      <c r="L515" s="53">
        <f>IF(L505&gt;0,L505-SUM($E506:L506),0)</f>
        <v>0</v>
      </c>
      <c r="M515" s="53">
        <f>IF(M505&gt;0,M505-SUM($E506:M506),0)</f>
        <v>0</v>
      </c>
      <c r="N515" s="53">
        <f>IF(N505&gt;0,N505-SUM($E506:N506),0)</f>
        <v>0</v>
      </c>
      <c r="O515" s="53">
        <f>IF(O505&gt;0,O505-SUM($E506:O506),0)</f>
        <v>0</v>
      </c>
      <c r="P515" s="53">
        <f>IF(P505&gt;0,P505-SUM($E506:P506),0)</f>
        <v>0</v>
      </c>
      <c r="Q515" s="53">
        <f>IF(Q505&gt;0,Q505-SUM($E506:Q506),0)</f>
        <v>0</v>
      </c>
    </row>
    <row r="516" spans="1:19" hidden="1" outlineLevel="2" x14ac:dyDescent="0.2">
      <c r="A516" s="52" t="str">
        <f ca="1">Language!A$448</f>
        <v xml:space="preserve">    арендованные основные средства (ост. стоимость)</v>
      </c>
      <c r="C516" s="5" t="str">
        <f ca="1">CHOOSE(B501,CUR_Main,CUR_Foreign)</f>
        <v>руб.</v>
      </c>
      <c r="D516" t="str">
        <f>TEXT(B501,"0")&amp;"_11"&amp;";int_end"</f>
        <v>1_11;int_end</v>
      </c>
      <c r="E516" s="43"/>
      <c r="F516" s="53">
        <f t="shared" ref="F516:M516" si="691">IF(AND(F$29&gt;=$B503,F$29&lt;$B503+$B504),F515,0)</f>
        <v>0</v>
      </c>
      <c r="G516" s="53">
        <f t="shared" si="691"/>
        <v>0</v>
      </c>
      <c r="H516" s="53">
        <f t="shared" si="691"/>
        <v>0</v>
      </c>
      <c r="I516" s="53">
        <f t="shared" si="691"/>
        <v>0</v>
      </c>
      <c r="J516" s="53">
        <f t="shared" si="691"/>
        <v>0</v>
      </c>
      <c r="K516" s="53">
        <f t="shared" si="691"/>
        <v>0</v>
      </c>
      <c r="L516" s="53">
        <f t="shared" si="691"/>
        <v>0</v>
      </c>
      <c r="M516" s="53">
        <f t="shared" si="691"/>
        <v>0</v>
      </c>
      <c r="N516" s="53">
        <f t="shared" ref="N516" si="692">IF(AND(N$29&gt;=$B503,N$29&lt;$B503+$B504),N515,0)</f>
        <v>0</v>
      </c>
      <c r="O516" s="53">
        <f t="shared" ref="O516" si="693">IF(AND(O$29&gt;=$B503,O$29&lt;$B503+$B504),O515,0)</f>
        <v>0</v>
      </c>
      <c r="P516" s="53">
        <f t="shared" ref="P516:Q516" si="694">IF(AND(P$29&gt;=$B503,P$29&lt;$B503+$B504),P515,0)</f>
        <v>0</v>
      </c>
      <c r="Q516" s="53">
        <f t="shared" si="694"/>
        <v>0</v>
      </c>
    </row>
    <row r="517" spans="1:19" hidden="1" outlineLevel="2" x14ac:dyDescent="0.2">
      <c r="A517" s="52" t="str">
        <f ca="1">Language!A$449</f>
        <v xml:space="preserve">    налогооблагаемое имущество</v>
      </c>
      <c r="C517" s="5" t="str">
        <f ca="1">CHOOSE(B501,CUR_Main,CUR_Foreign)</f>
        <v>руб.</v>
      </c>
      <c r="D517" t="str">
        <f>TEXT(B501,"0")&amp;"_12"&amp;";int_end"</f>
        <v>1_12;int_end</v>
      </c>
      <c r="E517" s="43"/>
      <c r="F517" s="53">
        <f t="shared" ref="F517:M517" si="695">IF(F$29&gt;=$B503,CHOOSE($B502,IF(F$29&gt;=$B503+$B504-1,F520,0),SUM(F516,F520),0,IF(F$29=$B503+$B504,F520,F516)),0)</f>
        <v>0</v>
      </c>
      <c r="G517" s="53">
        <f t="shared" si="695"/>
        <v>0</v>
      </c>
      <c r="H517" s="53">
        <f t="shared" si="695"/>
        <v>0</v>
      </c>
      <c r="I517" s="53">
        <f t="shared" si="695"/>
        <v>0</v>
      </c>
      <c r="J517" s="53">
        <f t="shared" si="695"/>
        <v>0</v>
      </c>
      <c r="K517" s="53">
        <f t="shared" si="695"/>
        <v>0</v>
      </c>
      <c r="L517" s="53">
        <f t="shared" si="695"/>
        <v>0</v>
      </c>
      <c r="M517" s="53">
        <f t="shared" si="695"/>
        <v>0</v>
      </c>
      <c r="N517" s="53">
        <f t="shared" ref="N517" si="696">IF(N$29&gt;=$B503,CHOOSE($B502,IF(N$29&gt;=$B503+$B504-1,N520,0),SUM(N516,N520),0,IF(N$29=$B503+$B504,N520,N516)),0)</f>
        <v>0</v>
      </c>
      <c r="O517" s="53">
        <f t="shared" ref="O517" si="697">IF(O$29&gt;=$B503,CHOOSE($B502,IF(O$29&gt;=$B503+$B504-1,O520,0),SUM(O516,O520),0,IF(O$29=$B503+$B504,O520,O516)),0)</f>
        <v>0</v>
      </c>
      <c r="P517" s="53">
        <f t="shared" ref="P517:Q517" si="698">IF(P$29&gt;=$B503,CHOOSE($B502,IF(P$29&gt;=$B503+$B504-1,P520,0),SUM(P516,P520),0,IF(P$29=$B503+$B504,P520,P516)),0)</f>
        <v>0</v>
      </c>
      <c r="Q517" s="53">
        <f t="shared" si="698"/>
        <v>0</v>
      </c>
    </row>
    <row r="518" spans="1:19" hidden="1" outlineLevel="2" x14ac:dyDescent="0.2">
      <c r="A518" s="52" t="str">
        <f ca="1">Language!A$450</f>
        <v>Выкуп основных средств по остаточной стоимости</v>
      </c>
      <c r="C518" s="5" t="str">
        <f ca="1">CHOOSE(B501,CUR_Main,CUR_Foreign)</f>
        <v>руб.</v>
      </c>
      <c r="D518" t="str">
        <f>TEXT(B501,"0")&amp;"_13"</f>
        <v>1_13</v>
      </c>
      <c r="E518" s="43"/>
      <c r="F518" s="53">
        <f t="shared" ref="F518:Q518" si="699">IF(AND(F$29=$B503+$B504,OR($B502=1,$B502=2)),E515,0)</f>
        <v>0</v>
      </c>
      <c r="G518" s="53">
        <f t="shared" si="699"/>
        <v>0</v>
      </c>
      <c r="H518" s="53">
        <f t="shared" si="699"/>
        <v>0</v>
      </c>
      <c r="I518" s="53">
        <f t="shared" si="699"/>
        <v>0</v>
      </c>
      <c r="J518" s="53">
        <f t="shared" si="699"/>
        <v>0</v>
      </c>
      <c r="K518" s="53">
        <f t="shared" si="699"/>
        <v>0</v>
      </c>
      <c r="L518" s="53">
        <f t="shared" si="699"/>
        <v>0</v>
      </c>
      <c r="M518" s="53">
        <f t="shared" si="699"/>
        <v>0</v>
      </c>
      <c r="N518" s="53">
        <f t="shared" si="699"/>
        <v>0</v>
      </c>
      <c r="O518" s="53">
        <f t="shared" si="699"/>
        <v>0</v>
      </c>
      <c r="P518" s="53">
        <f t="shared" si="699"/>
        <v>0</v>
      </c>
      <c r="Q518" s="53">
        <f t="shared" si="699"/>
        <v>0</v>
      </c>
      <c r="S518" s="54">
        <f>SUM(F518:Q518)</f>
        <v>0</v>
      </c>
    </row>
    <row r="519" spans="1:19" hidden="1" outlineLevel="2" x14ac:dyDescent="0.2">
      <c r="A519" s="52" t="str">
        <f ca="1">Language!A$451</f>
        <v xml:space="preserve">    балансовая стоимость после выкупа</v>
      </c>
      <c r="C519" s="5" t="str">
        <f ca="1">CHOOSE(B501,CUR_Main,CUR_Foreign)</f>
        <v>руб.</v>
      </c>
      <c r="D519" t="str">
        <f>TEXT(B501,"0")&amp;"_14"&amp;";int_end"</f>
        <v>1_14;int_end</v>
      </c>
      <c r="E519" s="43"/>
      <c r="F519" s="53">
        <f>IF(SUM($E518:F518)&gt;0,F505,0)</f>
        <v>0</v>
      </c>
      <c r="G519" s="53">
        <f>IF(SUM($E518:G518)&gt;0,G505,0)</f>
        <v>0</v>
      </c>
      <c r="H519" s="53">
        <f>IF(SUM($E518:H518)&gt;0,H505,0)</f>
        <v>0</v>
      </c>
      <c r="I519" s="53">
        <f>IF(SUM($E518:I518)&gt;0,I505,0)</f>
        <v>0</v>
      </c>
      <c r="J519" s="53">
        <f>IF(SUM($E518:J518)&gt;0,J505,0)</f>
        <v>0</v>
      </c>
      <c r="K519" s="53">
        <f>IF(SUM($E518:K518)&gt;0,K505,0)</f>
        <v>0</v>
      </c>
      <c r="L519" s="53">
        <f>IF(SUM($E518:L518)&gt;0,L505,0)</f>
        <v>0</v>
      </c>
      <c r="M519" s="53">
        <f>IF(SUM($E518:M518)&gt;0,M505,0)</f>
        <v>0</v>
      </c>
      <c r="N519" s="53">
        <f>IF(SUM($E518:N518)&gt;0,N505,0)</f>
        <v>0</v>
      </c>
      <c r="O519" s="53">
        <f>IF(SUM($E518:O518)&gt;0,O505,0)</f>
        <v>0</v>
      </c>
      <c r="P519" s="53">
        <f>IF(SUM($E518:P518)&gt;0,P505,0)</f>
        <v>0</v>
      </c>
      <c r="Q519" s="53">
        <f>IF(SUM($E518:Q518)&gt;0,Q505,0)</f>
        <v>0</v>
      </c>
    </row>
    <row r="520" spans="1:19" hidden="1" outlineLevel="2" x14ac:dyDescent="0.2">
      <c r="A520" s="52" t="str">
        <f ca="1">Language!A$452</f>
        <v xml:space="preserve">    остаточная стоимость после выкупа</v>
      </c>
      <c r="C520" s="5" t="str">
        <f ca="1">CHOOSE(B501,CUR_Main,CUR_Foreign)</f>
        <v>руб.</v>
      </c>
      <c r="D520" t="str">
        <f>TEXT(B501,"0")&amp;"_15"&amp;";int_end"</f>
        <v>1_15;int_end</v>
      </c>
      <c r="E520" s="43"/>
      <c r="F520" s="53">
        <f>IF(SUM($E518:F518)&gt;0,F515,0)</f>
        <v>0</v>
      </c>
      <c r="G520" s="53">
        <f>IF(SUM($E518:G518)&gt;0,G515,0)</f>
        <v>0</v>
      </c>
      <c r="H520" s="53">
        <f>IF(SUM($E518:H518)&gt;0,H515,0)</f>
        <v>0</v>
      </c>
      <c r="I520" s="53">
        <f>IF(SUM($E518:I518)&gt;0,I515,0)</f>
        <v>0</v>
      </c>
      <c r="J520" s="53">
        <f>IF(SUM($E518:J518)&gt;0,J515,0)</f>
        <v>0</v>
      </c>
      <c r="K520" s="53">
        <f>IF(SUM($E518:K518)&gt;0,K515,0)</f>
        <v>0</v>
      </c>
      <c r="L520" s="53">
        <f>IF(SUM($E518:L518)&gt;0,L515,0)</f>
        <v>0</v>
      </c>
      <c r="M520" s="53">
        <f>IF(SUM($E518:M518)&gt;0,M515,0)</f>
        <v>0</v>
      </c>
      <c r="N520" s="53">
        <f>IF(SUM($E518:N518)&gt;0,N515,0)</f>
        <v>0</v>
      </c>
      <c r="O520" s="53">
        <f>IF(SUM($E518:O518)&gt;0,O515,0)</f>
        <v>0</v>
      </c>
      <c r="P520" s="53">
        <f>IF(SUM($E518:P518)&gt;0,P515,0)</f>
        <v>0</v>
      </c>
      <c r="Q520" s="53">
        <f>IF(SUM($E518:Q518)&gt;0,Q515,0)</f>
        <v>0</v>
      </c>
    </row>
    <row r="521" spans="1:19" hidden="1" outlineLevel="2" x14ac:dyDescent="0.2">
      <c r="A521" s="52" t="str">
        <f ca="1">Language!A$453</f>
        <v xml:space="preserve">    амортизация средств у лизингополучателя после выкупа</v>
      </c>
      <c r="C521" s="5" t="str">
        <f ca="1">CHOOSE(B501,CUR_Main,CUR_Foreign)</f>
        <v>руб.</v>
      </c>
      <c r="D521" t="str">
        <f>TEXT(B501,"0")&amp;"_16"</f>
        <v>1_16</v>
      </c>
      <c r="E521" s="43">
        <v>0</v>
      </c>
      <c r="F521" s="53">
        <f>IF(SUM($E518:F518)&gt;0,F506,0)</f>
        <v>0</v>
      </c>
      <c r="G521" s="53">
        <f>IF(SUM($E518:G518)&gt;0,G506,0)</f>
        <v>0</v>
      </c>
      <c r="H521" s="53">
        <f>IF(SUM($E518:H518)&gt;0,H506,0)</f>
        <v>0</v>
      </c>
      <c r="I521" s="53">
        <f>IF(SUM($E518:I518)&gt;0,I506,0)</f>
        <v>0</v>
      </c>
      <c r="J521" s="53">
        <f>IF(SUM($E518:J518)&gt;0,J506,0)</f>
        <v>0</v>
      </c>
      <c r="K521" s="53">
        <f>IF(SUM($E518:K518)&gt;0,K506,0)</f>
        <v>0</v>
      </c>
      <c r="L521" s="53">
        <f>IF(SUM($E518:L518)&gt;0,L506,0)</f>
        <v>0</v>
      </c>
      <c r="M521" s="53">
        <f>IF(SUM($E518:M518)&gt;0,M506,0)</f>
        <v>0</v>
      </c>
      <c r="N521" s="53">
        <f>IF(SUM($E518:N518)&gt;0,N506,0)</f>
        <v>0</v>
      </c>
      <c r="O521" s="53">
        <f>IF(SUM($E518:O518)&gt;0,O506,0)</f>
        <v>0</v>
      </c>
      <c r="P521" s="53">
        <f>IF(SUM($E518:P518)&gt;0,P506,0)</f>
        <v>0</v>
      </c>
      <c r="Q521" s="53">
        <f>IF(SUM($E518:Q518)&gt;0,Q506,0)</f>
        <v>0</v>
      </c>
      <c r="S521" s="54">
        <f>SUM(F521:Q521)</f>
        <v>0</v>
      </c>
    </row>
    <row r="522" spans="1:19" hidden="1" outlineLevel="2" x14ac:dyDescent="0.2">
      <c r="A522" s="52" t="str">
        <f ca="1">Language!A$454</f>
        <v xml:space="preserve">    НДС уплаченный при выкупе </v>
      </c>
      <c r="B522" s="279">
        <f>VAT</f>
        <v>0</v>
      </c>
      <c r="C522" s="5" t="str">
        <f ca="1">CHOOSE(B501,CUR_Main,CUR_Foreign)</f>
        <v>руб.</v>
      </c>
      <c r="D522" t="str">
        <f>TEXT(B501,"0")&amp;"_17"</f>
        <v>1_17</v>
      </c>
      <c r="E522" s="43"/>
      <c r="F522" s="53">
        <f t="shared" ref="F522:M522" si="700">F518*$B522</f>
        <v>0</v>
      </c>
      <c r="G522" s="53">
        <f t="shared" si="700"/>
        <v>0</v>
      </c>
      <c r="H522" s="53">
        <f t="shared" si="700"/>
        <v>0</v>
      </c>
      <c r="I522" s="53">
        <f t="shared" si="700"/>
        <v>0</v>
      </c>
      <c r="J522" s="53">
        <f t="shared" si="700"/>
        <v>0</v>
      </c>
      <c r="K522" s="53">
        <f t="shared" si="700"/>
        <v>0</v>
      </c>
      <c r="L522" s="53">
        <f t="shared" si="700"/>
        <v>0</v>
      </c>
      <c r="M522" s="53">
        <f t="shared" si="700"/>
        <v>0</v>
      </c>
      <c r="N522" s="53">
        <f t="shared" ref="N522" si="701">N518*$B522</f>
        <v>0</v>
      </c>
      <c r="O522" s="53">
        <f t="shared" ref="O522" si="702">O518*$B522</f>
        <v>0</v>
      </c>
      <c r="P522" s="53">
        <f t="shared" ref="P522:Q522" si="703">P518*$B522</f>
        <v>0</v>
      </c>
      <c r="Q522" s="53">
        <f t="shared" si="703"/>
        <v>0</v>
      </c>
      <c r="S522" s="54">
        <f>SUM(F522:Q522)</f>
        <v>0</v>
      </c>
    </row>
    <row r="523" spans="1:19" outlineLevel="1" x14ac:dyDescent="0.2">
      <c r="C523" s="5"/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</row>
    <row r="524" spans="1:19" ht="10.5" outlineLevel="1" x14ac:dyDescent="0.25">
      <c r="A524" s="35" t="str">
        <f ca="1">Language!A455</f>
        <v xml:space="preserve"> = Итого лизинговые платежи, начисленные, без НДС</v>
      </c>
      <c r="C524" s="5" t="str">
        <f t="shared" ref="C524:C535" ca="1" si="704">CUR_Main</f>
        <v>руб.</v>
      </c>
      <c r="E524" s="43"/>
      <c r="F524" s="56">
        <f t="shared" ref="F524:M524" ca="1" si="705">SUMIF($D499:$D523,"*1_05*",F499:F523)+SUMIF($D499:$D523,"*2_05*",F499:F523)*F$88</f>
        <v>0</v>
      </c>
      <c r="G524" s="56">
        <f t="shared" ca="1" si="705"/>
        <v>0</v>
      </c>
      <c r="H524" s="56">
        <f t="shared" ca="1" si="705"/>
        <v>0</v>
      </c>
      <c r="I524" s="56">
        <f t="shared" ca="1" si="705"/>
        <v>0</v>
      </c>
      <c r="J524" s="56">
        <f t="shared" ca="1" si="705"/>
        <v>0</v>
      </c>
      <c r="K524" s="56">
        <f t="shared" ca="1" si="705"/>
        <v>0</v>
      </c>
      <c r="L524" s="56">
        <f t="shared" ca="1" si="705"/>
        <v>0</v>
      </c>
      <c r="M524" s="56">
        <f t="shared" ca="1" si="705"/>
        <v>0</v>
      </c>
      <c r="N524" s="56">
        <f t="shared" ref="N524" ca="1" si="706">SUMIF($D499:$D523,"*1_05*",N499:N523)+SUMIF($D499:$D523,"*2_05*",N499:N523)*N$88</f>
        <v>0</v>
      </c>
      <c r="O524" s="56">
        <f t="shared" ref="O524" ca="1" si="707">SUMIF($D499:$D523,"*1_05*",O499:O523)+SUMIF($D499:$D523,"*2_05*",O499:O523)*O$88</f>
        <v>0</v>
      </c>
      <c r="P524" s="56">
        <f t="shared" ref="P524:Q524" ca="1" si="708">SUMIF($D499:$D523,"*1_05*",P499:P523)+SUMIF($D499:$D523,"*2_05*",P499:P523)*P$88</f>
        <v>0</v>
      </c>
      <c r="Q524" s="56">
        <f t="shared" ca="1" si="708"/>
        <v>0</v>
      </c>
      <c r="R524" s="35"/>
      <c r="S524" s="57">
        <f ca="1">SUM(F524:Q524)</f>
        <v>0</v>
      </c>
    </row>
    <row r="525" spans="1:19" ht="10.5" outlineLevel="1" x14ac:dyDescent="0.25">
      <c r="A525" s="35" t="str">
        <f ca="1">Language!A456</f>
        <v xml:space="preserve"> = Итого лизинговые платежи, начисленные, с НДС</v>
      </c>
      <c r="C525" s="5" t="str">
        <f t="shared" ca="1" si="704"/>
        <v>руб.</v>
      </c>
      <c r="E525" s="43"/>
      <c r="F525" s="56">
        <f t="shared" ref="F525:M525" ca="1" si="709">SUMIF($D499:$D523,"*1_06*",F499:F523)+SUMIF($D499:$D523,"*2_06*",F499:F523)*F$88</f>
        <v>0</v>
      </c>
      <c r="G525" s="56">
        <f t="shared" ca="1" si="709"/>
        <v>0</v>
      </c>
      <c r="H525" s="56">
        <f t="shared" ca="1" si="709"/>
        <v>0</v>
      </c>
      <c r="I525" s="56">
        <f t="shared" ca="1" si="709"/>
        <v>0</v>
      </c>
      <c r="J525" s="56">
        <f t="shared" ca="1" si="709"/>
        <v>0</v>
      </c>
      <c r="K525" s="56">
        <f t="shared" ca="1" si="709"/>
        <v>0</v>
      </c>
      <c r="L525" s="56">
        <f t="shared" ca="1" si="709"/>
        <v>0</v>
      </c>
      <c r="M525" s="56">
        <f t="shared" ca="1" si="709"/>
        <v>0</v>
      </c>
      <c r="N525" s="56">
        <f t="shared" ref="N525" ca="1" si="710">SUMIF($D499:$D523,"*1_06*",N499:N523)+SUMIF($D499:$D523,"*2_06*",N499:N523)*N$88</f>
        <v>0</v>
      </c>
      <c r="O525" s="56">
        <f t="shared" ref="O525" ca="1" si="711">SUMIF($D499:$D523,"*1_06*",O499:O523)+SUMIF($D499:$D523,"*2_06*",O499:O523)*O$88</f>
        <v>0</v>
      </c>
      <c r="P525" s="56">
        <f t="shared" ref="P525:Q525" ca="1" si="712">SUMIF($D499:$D523,"*1_06*",P499:P523)+SUMIF($D499:$D523,"*2_06*",P499:P523)*P$88</f>
        <v>0</v>
      </c>
      <c r="Q525" s="56">
        <f t="shared" ca="1" si="712"/>
        <v>0</v>
      </c>
      <c r="R525" s="35"/>
      <c r="S525" s="57">
        <f ca="1">SUM(F525:Q525)</f>
        <v>0</v>
      </c>
    </row>
    <row r="526" spans="1:19" ht="10.5" outlineLevel="1" x14ac:dyDescent="0.25">
      <c r="A526" s="35" t="str">
        <f ca="1">Language!A457</f>
        <v xml:space="preserve"> = Итого лизинговые платежи, уплаченные, с НДС</v>
      </c>
      <c r="C526" s="5" t="str">
        <f t="shared" ca="1" si="704"/>
        <v>руб.</v>
      </c>
      <c r="E526" s="43"/>
      <c r="F526" s="56">
        <f t="shared" ref="F526:M526" ca="1" si="713">SUMIF($D499:$D523,"*1_08*",F499:F523)+SUMIF($D499:$D523,"*2_08*",F499:F523)*F$88</f>
        <v>0</v>
      </c>
      <c r="G526" s="56">
        <f t="shared" ca="1" si="713"/>
        <v>0</v>
      </c>
      <c r="H526" s="56">
        <f t="shared" ca="1" si="713"/>
        <v>0</v>
      </c>
      <c r="I526" s="56">
        <f t="shared" ca="1" si="713"/>
        <v>0</v>
      </c>
      <c r="J526" s="56">
        <f t="shared" ca="1" si="713"/>
        <v>0</v>
      </c>
      <c r="K526" s="56">
        <f t="shared" ca="1" si="713"/>
        <v>0</v>
      </c>
      <c r="L526" s="56">
        <f t="shared" ca="1" si="713"/>
        <v>0</v>
      </c>
      <c r="M526" s="56">
        <f t="shared" ca="1" si="713"/>
        <v>0</v>
      </c>
      <c r="N526" s="56">
        <f t="shared" ref="N526" ca="1" si="714">SUMIF($D499:$D523,"*1_08*",N499:N523)+SUMIF($D499:$D523,"*2_08*",N499:N523)*N$88</f>
        <v>0</v>
      </c>
      <c r="O526" s="56">
        <f t="shared" ref="O526" ca="1" si="715">SUMIF($D499:$D523,"*1_08*",O499:O523)+SUMIF($D499:$D523,"*2_08*",O499:O523)*O$88</f>
        <v>0</v>
      </c>
      <c r="P526" s="56">
        <f t="shared" ref="P526:Q526" ca="1" si="716">SUMIF($D499:$D523,"*1_08*",P499:P523)+SUMIF($D499:$D523,"*2_08*",P499:P523)*P$88</f>
        <v>0</v>
      </c>
      <c r="Q526" s="56">
        <f t="shared" ca="1" si="716"/>
        <v>0</v>
      </c>
      <c r="R526" s="35"/>
      <c r="S526" s="57">
        <f ca="1">SUM(F526:Q526)</f>
        <v>0</v>
      </c>
    </row>
    <row r="527" spans="1:19" ht="10.5" outlineLevel="1" collapsed="1" x14ac:dyDescent="0.25">
      <c r="A527" s="35" t="str">
        <f ca="1">Language!A458</f>
        <v xml:space="preserve"> = Итого выкуп основных средств, с НДС</v>
      </c>
      <c r="C527" s="5" t="str">
        <f t="shared" ca="1" si="704"/>
        <v>руб.</v>
      </c>
      <c r="E527" s="43"/>
      <c r="F527" s="58">
        <f t="shared" ref="F527:M527" si="717">SUMIF($D499:$D523,"*1_13*",F499:F523)+SUMIF($D499:$D523,"*2_13*",F499:F523)*F$88+SUMIF($D499:$D523,"*1_17*",F499:F523)+SUMIF($D499:$D523,"*2_17*",F499:F523)*F$88</f>
        <v>0</v>
      </c>
      <c r="G527" s="58">
        <f t="shared" si="717"/>
        <v>0</v>
      </c>
      <c r="H527" s="58">
        <f t="shared" si="717"/>
        <v>0</v>
      </c>
      <c r="I527" s="58">
        <f t="shared" si="717"/>
        <v>0</v>
      </c>
      <c r="J527" s="58">
        <f t="shared" si="717"/>
        <v>0</v>
      </c>
      <c r="K527" s="58">
        <f t="shared" si="717"/>
        <v>0</v>
      </c>
      <c r="L527" s="58">
        <f t="shared" si="717"/>
        <v>0</v>
      </c>
      <c r="M527" s="58">
        <f t="shared" si="717"/>
        <v>0</v>
      </c>
      <c r="N527" s="58">
        <f t="shared" ref="N527" si="718">SUMIF($D499:$D523,"*1_13*",N499:N523)+SUMIF($D499:$D523,"*2_13*",N499:N523)*N$88+SUMIF($D499:$D523,"*1_17*",N499:N523)+SUMIF($D499:$D523,"*2_17*",N499:N523)*N$88</f>
        <v>0</v>
      </c>
      <c r="O527" s="58">
        <f t="shared" ref="O527" si="719">SUMIF($D499:$D523,"*1_13*",O499:O523)+SUMIF($D499:$D523,"*2_13*",O499:O523)*O$88+SUMIF($D499:$D523,"*1_17*",O499:O523)+SUMIF($D499:$D523,"*2_17*",O499:O523)*O$88</f>
        <v>0</v>
      </c>
      <c r="P527" s="58">
        <f t="shared" ref="P527:Q527" si="720">SUMIF($D499:$D523,"*1_13*",P499:P523)+SUMIF($D499:$D523,"*2_13*",P499:P523)*P$88+SUMIF($D499:$D523,"*1_17*",P499:P523)+SUMIF($D499:$D523,"*2_17*",P499:P523)*P$88</f>
        <v>0</v>
      </c>
      <c r="Q527" s="58">
        <f t="shared" si="720"/>
        <v>0</v>
      </c>
      <c r="R527" s="35"/>
      <c r="S527" s="57">
        <f>SUM(F527:Q527)</f>
        <v>0</v>
      </c>
    </row>
    <row r="528" spans="1:19" hidden="1" outlineLevel="2" x14ac:dyDescent="0.2">
      <c r="A528" s="23" t="str">
        <f ca="1">Language!A459</f>
        <v xml:space="preserve">    НДС к лизинговым платежам</v>
      </c>
      <c r="C528" s="5" t="str">
        <f t="shared" ca="1" si="704"/>
        <v>руб.</v>
      </c>
      <c r="E528" s="43"/>
      <c r="F528" s="43">
        <f t="shared" ref="F528:M528" ca="1" si="721">SUMIF($D499:$D523,"*1_09*",F499:F523)+SUMIF($D499:$D523,"*2_09*",F499:F523)*F$88</f>
        <v>0</v>
      </c>
      <c r="G528" s="43">
        <f t="shared" ca="1" si="721"/>
        <v>0</v>
      </c>
      <c r="H528" s="43">
        <f t="shared" ca="1" si="721"/>
        <v>0</v>
      </c>
      <c r="I528" s="43">
        <f t="shared" ca="1" si="721"/>
        <v>0</v>
      </c>
      <c r="J528" s="43">
        <f t="shared" ca="1" si="721"/>
        <v>0</v>
      </c>
      <c r="K528" s="43">
        <f t="shared" ca="1" si="721"/>
        <v>0</v>
      </c>
      <c r="L528" s="43">
        <f t="shared" ca="1" si="721"/>
        <v>0</v>
      </c>
      <c r="M528" s="43">
        <f t="shared" ca="1" si="721"/>
        <v>0</v>
      </c>
      <c r="N528" s="43">
        <f t="shared" ref="N528" ca="1" si="722">SUMIF($D499:$D523,"*1_09*",N499:N523)+SUMIF($D499:$D523,"*2_09*",N499:N523)*N$88</f>
        <v>0</v>
      </c>
      <c r="O528" s="43">
        <f t="shared" ref="O528" ca="1" si="723">SUMIF($D499:$D523,"*1_09*",O499:O523)+SUMIF($D499:$D523,"*2_09*",O499:O523)*O$88</f>
        <v>0</v>
      </c>
      <c r="P528" s="43">
        <f t="shared" ref="P528:Q528" ca="1" si="724">SUMIF($D499:$D523,"*1_09*",P499:P523)+SUMIF($D499:$D523,"*2_09*",P499:P523)*P$88</f>
        <v>0</v>
      </c>
      <c r="Q528" s="43">
        <f t="shared" ca="1" si="724"/>
        <v>0</v>
      </c>
      <c r="S528" s="54">
        <f ca="1">SUM(F528:Q528)</f>
        <v>0</v>
      </c>
    </row>
    <row r="529" spans="1:19" hidden="1" outlineLevel="2" x14ac:dyDescent="0.2">
      <c r="A529" s="23" t="str">
        <f ca="1">Language!A460</f>
        <v xml:space="preserve">    НДС к выкупу</v>
      </c>
      <c r="C529" s="5" t="str">
        <f t="shared" ca="1" si="704"/>
        <v>руб.</v>
      </c>
      <c r="E529" s="43"/>
      <c r="F529" s="43">
        <f t="shared" ref="F529:M529" si="725">SUMIF($D499:$D523,"*1_17*",F499:F523)+SUMIF($D499:$D523,"*2_17*",F499:F523)*F$88</f>
        <v>0</v>
      </c>
      <c r="G529" s="43">
        <f t="shared" si="725"/>
        <v>0</v>
      </c>
      <c r="H529" s="43">
        <f t="shared" si="725"/>
        <v>0</v>
      </c>
      <c r="I529" s="43">
        <f t="shared" si="725"/>
        <v>0</v>
      </c>
      <c r="J529" s="43">
        <f t="shared" si="725"/>
        <v>0</v>
      </c>
      <c r="K529" s="43">
        <f t="shared" si="725"/>
        <v>0</v>
      </c>
      <c r="L529" s="43">
        <f t="shared" si="725"/>
        <v>0</v>
      </c>
      <c r="M529" s="43">
        <f t="shared" si="725"/>
        <v>0</v>
      </c>
      <c r="N529" s="43">
        <f t="shared" ref="N529" si="726">SUMIF($D499:$D523,"*1_17*",N499:N523)+SUMIF($D499:$D523,"*2_17*",N499:N523)*N$88</f>
        <v>0</v>
      </c>
      <c r="O529" s="43">
        <f t="shared" ref="O529" si="727">SUMIF($D499:$D523,"*1_17*",O499:O523)+SUMIF($D499:$D523,"*2_17*",O499:O523)*O$88</f>
        <v>0</v>
      </c>
      <c r="P529" s="43">
        <f t="shared" ref="P529:Q529" si="728">SUMIF($D499:$D523,"*1_17*",P499:P523)+SUMIF($D499:$D523,"*2_17*",P499:P523)*P$88</f>
        <v>0</v>
      </c>
      <c r="Q529" s="43">
        <f t="shared" si="728"/>
        <v>0</v>
      </c>
      <c r="S529" s="54"/>
    </row>
    <row r="530" spans="1:19" hidden="1" outlineLevel="2" x14ac:dyDescent="0.2">
      <c r="A530" s="23" t="str">
        <f ca="1">Language!A461</f>
        <v xml:space="preserve">    авансы, уплаченные лизингодателю</v>
      </c>
      <c r="C530" s="5" t="str">
        <f t="shared" ca="1" si="704"/>
        <v>руб.</v>
      </c>
      <c r="E530" s="43"/>
      <c r="F530" s="53">
        <f ca="1">SUM($F526:F526)-SUM($F528:F528)-SUM($F524:F524)</f>
        <v>0</v>
      </c>
      <c r="G530" s="53">
        <f ca="1">SUM($F526:G526)-SUM($F528:G528)-SUM($F524:G524)</f>
        <v>0</v>
      </c>
      <c r="H530" s="53">
        <f ca="1">SUM($F526:H526)-SUM($F528:H528)-SUM($F524:H524)</f>
        <v>0</v>
      </c>
      <c r="I530" s="53">
        <f ca="1">SUM($F526:I526)-SUM($F528:I528)-SUM($F524:I524)</f>
        <v>0</v>
      </c>
      <c r="J530" s="53">
        <f ca="1">SUM($F526:J526)-SUM($F528:J528)-SUM($F524:J524)</f>
        <v>0</v>
      </c>
      <c r="K530" s="53">
        <f ca="1">SUM($F526:K526)-SUM($F528:K528)-SUM($F524:K524)</f>
        <v>0</v>
      </c>
      <c r="L530" s="53">
        <f ca="1">SUM($F526:L526)-SUM($F528:L528)-SUM($F524:L524)</f>
        <v>0</v>
      </c>
      <c r="M530" s="53">
        <f ca="1">SUM($F526:M526)-SUM($F528:M528)-SUM($F524:M524)</f>
        <v>0</v>
      </c>
      <c r="N530" s="53">
        <f ca="1">SUM($F526:N526)-SUM($F528:N528)-SUM($F524:N524)</f>
        <v>0</v>
      </c>
      <c r="O530" s="53">
        <f ca="1">SUM($F526:O526)-SUM($F528:O528)-SUM($F524:O524)</f>
        <v>0</v>
      </c>
      <c r="P530" s="53">
        <f ca="1">SUM($F526:P526)-SUM($F528:P528)-SUM($F524:P524)</f>
        <v>0</v>
      </c>
      <c r="Q530" s="53">
        <f ca="1">SUM($F526:Q526)-SUM($F528:Q528)-SUM($F524:Q524)</f>
        <v>0</v>
      </c>
    </row>
    <row r="531" spans="1:19" hidden="1" outlineLevel="2" x14ac:dyDescent="0.2">
      <c r="A531" s="23" t="str">
        <f ca="1">Language!A462</f>
        <v xml:space="preserve">    арендованные основные средства </v>
      </c>
      <c r="C531" s="5" t="str">
        <f t="shared" ca="1" si="704"/>
        <v>руб.</v>
      </c>
      <c r="E531" s="43"/>
      <c r="F531" s="43">
        <f t="shared" ref="F531:M531" si="729">SUMIF($D499:$D523,"*1_11*",F499:F523)+SUMIF($D499:$D523,"*2_11*",F499:F523)*F$88</f>
        <v>0</v>
      </c>
      <c r="G531" s="43">
        <f t="shared" si="729"/>
        <v>0</v>
      </c>
      <c r="H531" s="43">
        <f t="shared" si="729"/>
        <v>0</v>
      </c>
      <c r="I531" s="43">
        <f t="shared" si="729"/>
        <v>0</v>
      </c>
      <c r="J531" s="43">
        <f t="shared" si="729"/>
        <v>0</v>
      </c>
      <c r="K531" s="43">
        <f t="shared" si="729"/>
        <v>0</v>
      </c>
      <c r="L531" s="43">
        <f t="shared" si="729"/>
        <v>0</v>
      </c>
      <c r="M531" s="43">
        <f t="shared" si="729"/>
        <v>0</v>
      </c>
      <c r="N531" s="43">
        <f t="shared" ref="N531" si="730">SUMIF($D499:$D523,"*1_11*",N499:N523)+SUMIF($D499:$D523,"*2_11*",N499:N523)*N$88</f>
        <v>0</v>
      </c>
      <c r="O531" s="43">
        <f t="shared" ref="O531" si="731">SUMIF($D499:$D523,"*1_11*",O499:O523)+SUMIF($D499:$D523,"*2_11*",O499:O523)*O$88</f>
        <v>0</v>
      </c>
      <c r="P531" s="43">
        <f t="shared" ref="P531:Q531" si="732">SUMIF($D499:$D523,"*1_11*",P499:P523)+SUMIF($D499:$D523,"*2_11*",P499:P523)*P$88</f>
        <v>0</v>
      </c>
      <c r="Q531" s="43">
        <f t="shared" si="732"/>
        <v>0</v>
      </c>
    </row>
    <row r="532" spans="1:19" hidden="1" outlineLevel="2" x14ac:dyDescent="0.2">
      <c r="A532" s="23" t="str">
        <f ca="1">Language!A463</f>
        <v xml:space="preserve">    налогооблагаемое имущество</v>
      </c>
      <c r="C532" s="5" t="str">
        <f t="shared" ca="1" si="704"/>
        <v>руб.</v>
      </c>
      <c r="E532" s="43"/>
      <c r="F532" s="43">
        <f t="shared" ref="F532:M532" si="733">SUMIF($D499:$D523,"*1_12*",F499:F523)+SUMIF($D499:$D523,"*2_12*",F499:F523)*F$88</f>
        <v>0</v>
      </c>
      <c r="G532" s="43">
        <f t="shared" si="733"/>
        <v>0</v>
      </c>
      <c r="H532" s="43">
        <f t="shared" si="733"/>
        <v>0</v>
      </c>
      <c r="I532" s="43">
        <f t="shared" si="733"/>
        <v>0</v>
      </c>
      <c r="J532" s="43">
        <f t="shared" si="733"/>
        <v>0</v>
      </c>
      <c r="K532" s="43">
        <f t="shared" si="733"/>
        <v>0</v>
      </c>
      <c r="L532" s="43">
        <f t="shared" si="733"/>
        <v>0</v>
      </c>
      <c r="M532" s="43">
        <f t="shared" si="733"/>
        <v>0</v>
      </c>
      <c r="N532" s="43">
        <f t="shared" ref="N532" si="734">SUMIF($D499:$D523,"*1_12*",N499:N523)+SUMIF($D499:$D523,"*2_12*",N499:N523)*N$88</f>
        <v>0</v>
      </c>
      <c r="O532" s="43">
        <f t="shared" ref="O532" si="735">SUMIF($D499:$D523,"*1_12*",O499:O523)+SUMIF($D499:$D523,"*2_12*",O499:O523)*O$88</f>
        <v>0</v>
      </c>
      <c r="P532" s="43">
        <f t="shared" ref="P532:Q532" si="736">SUMIF($D499:$D523,"*1_12*",P499:P523)+SUMIF($D499:$D523,"*2_12*",P499:P523)*P$88</f>
        <v>0</v>
      </c>
      <c r="Q532" s="43">
        <f t="shared" si="736"/>
        <v>0</v>
      </c>
    </row>
    <row r="533" spans="1:19" hidden="1" outlineLevel="2" x14ac:dyDescent="0.2">
      <c r="A533" s="23" t="str">
        <f ca="1">Language!A464</f>
        <v xml:space="preserve">    балансовая стоимость после выкупа</v>
      </c>
      <c r="C533" s="5" t="str">
        <f t="shared" ca="1" si="704"/>
        <v>руб.</v>
      </c>
      <c r="E533" s="43"/>
      <c r="F533" s="43">
        <f t="shared" ref="F533:M533" si="737">SUMIF($D499:$D523,"*1_14*",F499:F523)+SUMIF($D499:$D523,"*2_14*",F499:F523)*F$88</f>
        <v>0</v>
      </c>
      <c r="G533" s="43">
        <f t="shared" si="737"/>
        <v>0</v>
      </c>
      <c r="H533" s="43">
        <f t="shared" si="737"/>
        <v>0</v>
      </c>
      <c r="I533" s="43">
        <f t="shared" si="737"/>
        <v>0</v>
      </c>
      <c r="J533" s="43">
        <f t="shared" si="737"/>
        <v>0</v>
      </c>
      <c r="K533" s="43">
        <f t="shared" si="737"/>
        <v>0</v>
      </c>
      <c r="L533" s="43">
        <f t="shared" si="737"/>
        <v>0</v>
      </c>
      <c r="M533" s="43">
        <f t="shared" si="737"/>
        <v>0</v>
      </c>
      <c r="N533" s="43">
        <f t="shared" ref="N533" si="738">SUMIF($D499:$D523,"*1_14*",N499:N523)+SUMIF($D499:$D523,"*2_14*",N499:N523)*N$88</f>
        <v>0</v>
      </c>
      <c r="O533" s="43">
        <f t="shared" ref="O533" si="739">SUMIF($D499:$D523,"*1_14*",O499:O523)+SUMIF($D499:$D523,"*2_14*",O499:O523)*O$88</f>
        <v>0</v>
      </c>
      <c r="P533" s="43">
        <f t="shared" ref="P533:Q533" si="740">SUMIF($D499:$D523,"*1_14*",P499:P523)+SUMIF($D499:$D523,"*2_14*",P499:P523)*P$88</f>
        <v>0</v>
      </c>
      <c r="Q533" s="43">
        <f t="shared" si="740"/>
        <v>0</v>
      </c>
    </row>
    <row r="534" spans="1:19" hidden="1" outlineLevel="2" x14ac:dyDescent="0.2">
      <c r="A534" s="23" t="str">
        <f ca="1">Language!A465</f>
        <v xml:space="preserve">    остаточная стоимость после выкупа</v>
      </c>
      <c r="C534" s="5" t="str">
        <f t="shared" ca="1" si="704"/>
        <v>руб.</v>
      </c>
      <c r="E534" s="43"/>
      <c r="F534" s="43">
        <f t="shared" ref="F534:M534" si="741">SUMIF($D499:$D523,"*1_15*",F499:F523)+SUMIF($D499:$D523,"*2_15*",F499:F523)*F$88</f>
        <v>0</v>
      </c>
      <c r="G534" s="43">
        <f t="shared" si="741"/>
        <v>0</v>
      </c>
      <c r="H534" s="43">
        <f t="shared" si="741"/>
        <v>0</v>
      </c>
      <c r="I534" s="43">
        <f t="shared" si="741"/>
        <v>0</v>
      </c>
      <c r="J534" s="43">
        <f t="shared" si="741"/>
        <v>0</v>
      </c>
      <c r="K534" s="43">
        <f t="shared" si="741"/>
        <v>0</v>
      </c>
      <c r="L534" s="43">
        <f t="shared" si="741"/>
        <v>0</v>
      </c>
      <c r="M534" s="43">
        <f t="shared" si="741"/>
        <v>0</v>
      </c>
      <c r="N534" s="43">
        <f t="shared" ref="N534" si="742">SUMIF($D499:$D523,"*1_15*",N499:N523)+SUMIF($D499:$D523,"*2_15*",N499:N523)*N$88</f>
        <v>0</v>
      </c>
      <c r="O534" s="43">
        <f t="shared" ref="O534" si="743">SUMIF($D499:$D523,"*1_15*",O499:O523)+SUMIF($D499:$D523,"*2_15*",O499:O523)*O$88</f>
        <v>0</v>
      </c>
      <c r="P534" s="43">
        <f t="shared" ref="P534:Q534" si="744">SUMIF($D499:$D523,"*1_15*",P499:P523)+SUMIF($D499:$D523,"*2_15*",P499:P523)*P$88</f>
        <v>0</v>
      </c>
      <c r="Q534" s="43">
        <f t="shared" si="744"/>
        <v>0</v>
      </c>
    </row>
    <row r="535" spans="1:19" hidden="1" outlineLevel="2" x14ac:dyDescent="0.2">
      <c r="A535" s="24" t="str">
        <f ca="1">Language!A466</f>
        <v xml:space="preserve">    амортизация средств у лизингополучателя после выкупа</v>
      </c>
      <c r="B535" s="19"/>
      <c r="C535" s="26" t="str">
        <f t="shared" ca="1" si="704"/>
        <v>руб.</v>
      </c>
      <c r="D535" s="19"/>
      <c r="E535" s="65"/>
      <c r="F535" s="65">
        <f t="shared" ref="F535:M535" si="745">SUMIF($D499:$D523,"*1_16*",F499:F523)+SUMIF($D499:$D523,"*2_16*",F499:F523)*F$88</f>
        <v>0</v>
      </c>
      <c r="G535" s="65">
        <f t="shared" si="745"/>
        <v>0</v>
      </c>
      <c r="H535" s="65">
        <f t="shared" si="745"/>
        <v>0</v>
      </c>
      <c r="I535" s="65">
        <f t="shared" si="745"/>
        <v>0</v>
      </c>
      <c r="J535" s="65">
        <f t="shared" si="745"/>
        <v>0</v>
      </c>
      <c r="K535" s="65">
        <f t="shared" si="745"/>
        <v>0</v>
      </c>
      <c r="L535" s="65">
        <f t="shared" si="745"/>
        <v>0</v>
      </c>
      <c r="M535" s="65">
        <f t="shared" si="745"/>
        <v>0</v>
      </c>
      <c r="N535" s="65">
        <f t="shared" ref="N535" si="746">SUMIF($D499:$D523,"*1_16*",N499:N523)+SUMIF($D499:$D523,"*2_16*",N499:N523)*N$88</f>
        <v>0</v>
      </c>
      <c r="O535" s="65">
        <f t="shared" ref="O535" si="747">SUMIF($D499:$D523,"*1_16*",O499:O523)+SUMIF($D499:$D523,"*2_16*",O499:O523)*O$88</f>
        <v>0</v>
      </c>
      <c r="P535" s="65">
        <f t="shared" ref="P535:Q535" si="748">SUMIF($D499:$D523,"*1_16*",P499:P523)+SUMIF($D499:$D523,"*2_16*",P499:P523)*P$88</f>
        <v>0</v>
      </c>
      <c r="Q535" s="65">
        <f t="shared" si="748"/>
        <v>0</v>
      </c>
      <c r="R535" s="19"/>
      <c r="S535" s="66">
        <f>SUM(F535:Q535)</f>
        <v>0</v>
      </c>
    </row>
    <row r="536" spans="1:19" outlineLevel="1" x14ac:dyDescent="0.2">
      <c r="A536" s="112"/>
      <c r="B536" s="63"/>
      <c r="C536" s="67"/>
      <c r="D536" s="63"/>
      <c r="E536" s="121"/>
      <c r="F536" s="121"/>
      <c r="G536" s="121"/>
      <c r="H536" s="121"/>
      <c r="I536" s="121"/>
      <c r="J536" s="121"/>
      <c r="K536" s="121"/>
      <c r="L536" s="121"/>
      <c r="M536" s="121"/>
      <c r="N536" s="121"/>
      <c r="O536" s="121"/>
      <c r="P536" s="121"/>
      <c r="Q536" s="121"/>
      <c r="R536" s="63"/>
      <c r="S536" s="122"/>
    </row>
    <row r="537" spans="1:19" outlineLevel="1" x14ac:dyDescent="0.2">
      <c r="A537" s="24"/>
      <c r="B537" s="19"/>
      <c r="C537" s="26"/>
      <c r="D537" s="19"/>
      <c r="E537" s="65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65"/>
      <c r="Q537" s="65"/>
      <c r="R537" s="19"/>
      <c r="S537" s="66"/>
    </row>
    <row r="538" spans="1:19" s="4" customFormat="1" ht="16" customHeight="1" thickBot="1" x14ac:dyDescent="0.25">
      <c r="A538" s="166" t="str">
        <f ca="1">Language!A526</f>
        <v xml:space="preserve">         ПЛАН РЕАЛИЗАЦИИ</v>
      </c>
      <c r="B538" s="166"/>
      <c r="C538" s="166"/>
      <c r="D538" s="166">
        <v>1</v>
      </c>
      <c r="E538" s="166"/>
      <c r="F538" s="178" t="str">
        <f t="shared" ref="F538:Q538" si="749">PeriodTitle</f>
        <v>4/ 2024</v>
      </c>
      <c r="G538" s="178" t="str">
        <f t="shared" si="749"/>
        <v>5/ 2024</v>
      </c>
      <c r="H538" s="178" t="str">
        <f t="shared" si="749"/>
        <v>6/ 2024</v>
      </c>
      <c r="I538" s="178" t="str">
        <f t="shared" si="749"/>
        <v>7/ 2024</v>
      </c>
      <c r="J538" s="178" t="str">
        <f t="shared" si="749"/>
        <v>8/ 2024</v>
      </c>
      <c r="K538" s="178" t="str">
        <f t="shared" si="749"/>
        <v>9/ 2024</v>
      </c>
      <c r="L538" s="178" t="str">
        <f t="shared" si="749"/>
        <v>10/ 2024</v>
      </c>
      <c r="M538" s="178" t="str">
        <f t="shared" si="749"/>
        <v>11/ 2024</v>
      </c>
      <c r="N538" s="178" t="str">
        <f t="shared" si="749"/>
        <v>12/ 2024</v>
      </c>
      <c r="O538" s="178" t="str">
        <f t="shared" si="749"/>
        <v>1/ 2025</v>
      </c>
      <c r="P538" s="178" t="str">
        <f t="shared" si="749"/>
        <v>2/ 2025</v>
      </c>
      <c r="Q538" s="178" t="str">
        <f t="shared" si="749"/>
        <v>3/ 2025</v>
      </c>
      <c r="R538" s="166"/>
      <c r="S538" s="195" t="str">
        <f ca="1">Language!$A$371</f>
        <v>ИТОГО</v>
      </c>
    </row>
    <row r="539" spans="1:19" ht="10.5" outlineLevel="1" thickTop="1" x14ac:dyDescent="0.2"/>
    <row r="540" spans="1:19" outlineLevel="1" x14ac:dyDescent="0.2">
      <c r="B540" s="85" t="str">
        <f ca="1">Language!A$528</f>
        <v>Номинальный объем</v>
      </c>
      <c r="D540">
        <v>5</v>
      </c>
      <c r="E540">
        <v>1</v>
      </c>
    </row>
    <row r="541" spans="1:19" outlineLevel="1" x14ac:dyDescent="0.2">
      <c r="A541" s="274" t="s">
        <v>2689</v>
      </c>
      <c r="B541" s="406">
        <v>0</v>
      </c>
      <c r="C541" s="255" t="s">
        <v>2683</v>
      </c>
      <c r="D541" s="46" t="s">
        <v>176</v>
      </c>
      <c r="F541" s="280">
        <v>0</v>
      </c>
      <c r="G541" s="280">
        <v>0</v>
      </c>
      <c r="H541" s="402">
        <v>0.01</v>
      </c>
      <c r="I541" s="280">
        <v>0.05</v>
      </c>
      <c r="J541" s="280">
        <v>0.1</v>
      </c>
      <c r="K541" s="280">
        <v>0.2</v>
      </c>
      <c r="L541" s="280">
        <v>0.3</v>
      </c>
      <c r="M541" s="280">
        <v>0.4</v>
      </c>
      <c r="N541" s="280">
        <v>0.55000000000000004</v>
      </c>
      <c r="O541" s="280">
        <v>0.75</v>
      </c>
      <c r="P541" s="280">
        <v>0.9</v>
      </c>
      <c r="Q541" s="280">
        <v>1</v>
      </c>
    </row>
    <row r="542" spans="1:19" outlineLevel="1" x14ac:dyDescent="0.2">
      <c r="A542" s="274" t="s">
        <v>2695</v>
      </c>
      <c r="B542" s="406">
        <v>120</v>
      </c>
      <c r="C542" s="255" t="s">
        <v>2683</v>
      </c>
      <c r="D542" s="46" t="s">
        <v>176</v>
      </c>
      <c r="F542" s="280">
        <v>0</v>
      </c>
      <c r="G542" s="280">
        <v>0</v>
      </c>
      <c r="H542" s="402">
        <v>0.01</v>
      </c>
      <c r="I542" s="280">
        <v>0.05</v>
      </c>
      <c r="J542" s="280">
        <v>0.1</v>
      </c>
      <c r="K542" s="280">
        <v>0.2</v>
      </c>
      <c r="L542" s="280">
        <v>0.3</v>
      </c>
      <c r="M542" s="280">
        <v>0.4</v>
      </c>
      <c r="N542" s="280">
        <v>0.55000000000000004</v>
      </c>
      <c r="O542" s="280">
        <v>0.75</v>
      </c>
      <c r="P542" s="280">
        <v>0.9</v>
      </c>
      <c r="Q542" s="280">
        <v>1</v>
      </c>
    </row>
    <row r="543" spans="1:19" outlineLevel="1" x14ac:dyDescent="0.2">
      <c r="A543" s="274" t="s">
        <v>2696</v>
      </c>
      <c r="B543" s="406">
        <v>3</v>
      </c>
      <c r="C543" s="255" t="s">
        <v>2683</v>
      </c>
      <c r="D543" s="46" t="s">
        <v>176</v>
      </c>
      <c r="F543" s="280">
        <v>0</v>
      </c>
      <c r="G543" s="280">
        <v>0</v>
      </c>
      <c r="H543" s="402">
        <v>0.01</v>
      </c>
      <c r="I543" s="280">
        <v>0.05</v>
      </c>
      <c r="J543" s="280">
        <v>0.1</v>
      </c>
      <c r="K543" s="280">
        <v>0.2</v>
      </c>
      <c r="L543" s="280">
        <v>0.3</v>
      </c>
      <c r="M543" s="280">
        <v>0.4</v>
      </c>
      <c r="N543" s="280">
        <v>0.55000000000000004</v>
      </c>
      <c r="O543" s="280">
        <v>0.75</v>
      </c>
      <c r="P543" s="280">
        <v>0.9</v>
      </c>
      <c r="Q543" s="280">
        <v>1</v>
      </c>
    </row>
    <row r="544" spans="1:19" outlineLevel="1" x14ac:dyDescent="0.2">
      <c r="A544" s="274" t="s">
        <v>2028</v>
      </c>
      <c r="B544" s="406">
        <v>1</v>
      </c>
      <c r="C544" s="255" t="s">
        <v>2683</v>
      </c>
      <c r="D544" s="46" t="s">
        <v>176</v>
      </c>
      <c r="F544" s="280">
        <v>0</v>
      </c>
      <c r="G544" s="280">
        <v>0</v>
      </c>
      <c r="H544" s="402">
        <v>0.01</v>
      </c>
      <c r="I544" s="280">
        <v>0.05</v>
      </c>
      <c r="J544" s="280">
        <v>0.1</v>
      </c>
      <c r="K544" s="280">
        <v>0.2</v>
      </c>
      <c r="L544" s="280">
        <v>0.3</v>
      </c>
      <c r="M544" s="280">
        <v>0.4</v>
      </c>
      <c r="N544" s="280">
        <v>0.55000000000000004</v>
      </c>
      <c r="O544" s="280">
        <v>0.75</v>
      </c>
      <c r="P544" s="280">
        <v>0.9</v>
      </c>
      <c r="Q544" s="280">
        <v>1</v>
      </c>
    </row>
    <row r="545" spans="1:19" outlineLevel="1" x14ac:dyDescent="0.2">
      <c r="A545" s="274" t="s">
        <v>2693</v>
      </c>
      <c r="B545" s="406">
        <v>546</v>
      </c>
      <c r="C545" s="255" t="s">
        <v>2683</v>
      </c>
      <c r="D545" s="46" t="s">
        <v>176</v>
      </c>
      <c r="F545" s="280">
        <v>0</v>
      </c>
      <c r="G545" s="280">
        <v>0</v>
      </c>
      <c r="H545" s="402">
        <v>0.01</v>
      </c>
      <c r="I545" s="280">
        <v>0.05</v>
      </c>
      <c r="J545" s="280">
        <v>0.1</v>
      </c>
      <c r="K545" s="280">
        <v>0.2</v>
      </c>
      <c r="L545" s="280">
        <v>0.3</v>
      </c>
      <c r="M545" s="280">
        <v>0.4</v>
      </c>
      <c r="N545" s="280">
        <v>0.55000000000000004</v>
      </c>
      <c r="O545" s="280">
        <v>0.75</v>
      </c>
      <c r="P545" s="280">
        <v>0.9</v>
      </c>
      <c r="Q545" s="280">
        <v>1</v>
      </c>
    </row>
    <row r="546" spans="1:19" outlineLevel="1" x14ac:dyDescent="0.2"/>
    <row r="547" spans="1:19" outlineLevel="1" x14ac:dyDescent="0.2">
      <c r="A547" s="63"/>
      <c r="B547" s="404"/>
      <c r="C547" s="63"/>
      <c r="D547" s="63"/>
      <c r="E547" s="63"/>
      <c r="F547" s="63"/>
      <c r="G547" s="63"/>
      <c r="H547" s="63"/>
      <c r="I547" s="63"/>
      <c r="J547" s="63"/>
      <c r="K547" s="63"/>
      <c r="L547" s="63"/>
      <c r="M547" s="63"/>
      <c r="N547" s="63"/>
      <c r="O547" s="63"/>
      <c r="P547" s="63"/>
      <c r="Q547" s="63"/>
      <c r="R547" s="63"/>
      <c r="S547" s="64"/>
    </row>
    <row r="548" spans="1:19" outlineLevel="1" x14ac:dyDescent="0.2"/>
    <row r="549" spans="1:19" s="4" customFormat="1" ht="16" customHeight="1" thickBot="1" x14ac:dyDescent="0.25">
      <c r="A549" s="166" t="str">
        <f ca="1">Language!A531</f>
        <v xml:space="preserve">         ОБЪЕМЫ РЕАЛИЗАЦИИ (в единицах)</v>
      </c>
      <c r="B549" s="166"/>
      <c r="C549" s="166"/>
      <c r="D549" s="166"/>
      <c r="E549" s="166"/>
      <c r="F549" s="178" t="str">
        <f t="shared" ref="F549:Q549" si="750">PeriodTitle</f>
        <v>4/ 2024</v>
      </c>
      <c r="G549" s="178" t="str">
        <f t="shared" si="750"/>
        <v>5/ 2024</v>
      </c>
      <c r="H549" s="178" t="str">
        <f t="shared" si="750"/>
        <v>6/ 2024</v>
      </c>
      <c r="I549" s="178" t="str">
        <f t="shared" si="750"/>
        <v>7/ 2024</v>
      </c>
      <c r="J549" s="178" t="str">
        <f t="shared" si="750"/>
        <v>8/ 2024</v>
      </c>
      <c r="K549" s="178" t="str">
        <f t="shared" si="750"/>
        <v>9/ 2024</v>
      </c>
      <c r="L549" s="178" t="str">
        <f t="shared" si="750"/>
        <v>10/ 2024</v>
      </c>
      <c r="M549" s="178" t="str">
        <f t="shared" si="750"/>
        <v>11/ 2024</v>
      </c>
      <c r="N549" s="178" t="str">
        <f t="shared" si="750"/>
        <v>12/ 2024</v>
      </c>
      <c r="O549" s="178" t="str">
        <f t="shared" si="750"/>
        <v>1/ 2025</v>
      </c>
      <c r="P549" s="178" t="str">
        <f t="shared" si="750"/>
        <v>2/ 2025</v>
      </c>
      <c r="Q549" s="178" t="str">
        <f t="shared" si="750"/>
        <v>3/ 2025</v>
      </c>
      <c r="R549" s="166"/>
      <c r="S549" s="195" t="str">
        <f ca="1">Language!$A$371</f>
        <v>ИТОГО</v>
      </c>
    </row>
    <row r="550" spans="1:19" ht="10.5" outlineLevel="1" thickTop="1" x14ac:dyDescent="0.2">
      <c r="D550">
        <v>0</v>
      </c>
      <c r="E550">
        <v>1</v>
      </c>
    </row>
    <row r="551" spans="1:19" outlineLevel="1" x14ac:dyDescent="0.2">
      <c r="A551" t="str">
        <f>A541</f>
        <v>Наименование товара</v>
      </c>
      <c r="B551" s="71"/>
      <c r="C551" s="5" t="str">
        <f>C541</f>
        <v>шт</v>
      </c>
      <c r="F551" s="281">
        <f>$B541*F541</f>
        <v>0</v>
      </c>
      <c r="G551" s="281">
        <f>$B541*G541</f>
        <v>0</v>
      </c>
      <c r="H551" s="281">
        <f>$B541*H541</f>
        <v>0</v>
      </c>
      <c r="I551" s="281">
        <f>$B541*I541</f>
        <v>0</v>
      </c>
      <c r="J551" s="281">
        <f>$B541*J541</f>
        <v>0</v>
      </c>
      <c r="K551" s="281">
        <f>$B541*K541</f>
        <v>0</v>
      </c>
      <c r="L551" s="281">
        <f>$B541*L541</f>
        <v>0</v>
      </c>
      <c r="M551" s="281">
        <f>$B541*M541</f>
        <v>0</v>
      </c>
      <c r="N551" s="281">
        <f>$B541*N541</f>
        <v>0</v>
      </c>
      <c r="O551" s="281">
        <f>$B541*O541</f>
        <v>0</v>
      </c>
      <c r="P551" s="281">
        <f>$B541*P541</f>
        <v>0</v>
      </c>
      <c r="Q551" s="281">
        <f>$B541*Q541</f>
        <v>0</v>
      </c>
      <c r="R551" s="43"/>
      <c r="S551" s="57">
        <f>SUM(F551:Q551)</f>
        <v>0</v>
      </c>
    </row>
    <row r="552" spans="1:19" outlineLevel="1" x14ac:dyDescent="0.2">
      <c r="A552" t="str">
        <f>A542</f>
        <v>Коробочная версия продукта</v>
      </c>
      <c r="B552" s="71"/>
      <c r="C552" s="5" t="str">
        <f>C542</f>
        <v>шт</v>
      </c>
      <c r="F552" s="281">
        <f>$B542*F542</f>
        <v>0</v>
      </c>
      <c r="G552" s="281">
        <f>$B542*G542</f>
        <v>0</v>
      </c>
      <c r="H552" s="281">
        <f>$B542*H542</f>
        <v>1.2</v>
      </c>
      <c r="I552" s="281">
        <f>$B542*I542</f>
        <v>6</v>
      </c>
      <c r="J552" s="281">
        <f>$B542*J542</f>
        <v>12</v>
      </c>
      <c r="K552" s="281">
        <f>$B542*K542</f>
        <v>24</v>
      </c>
      <c r="L552" s="281">
        <f>$B542*L542</f>
        <v>36</v>
      </c>
      <c r="M552" s="281">
        <f>$B542*M542</f>
        <v>48</v>
      </c>
      <c r="N552" s="281">
        <f>$B542*N542</f>
        <v>66</v>
      </c>
      <c r="O552" s="281">
        <f>$B542*O542</f>
        <v>90</v>
      </c>
      <c r="P552" s="281">
        <f>$B542*P542</f>
        <v>108</v>
      </c>
      <c r="Q552" s="281">
        <f>$B542*Q542</f>
        <v>120</v>
      </c>
      <c r="R552" s="43"/>
      <c r="S552" s="57">
        <f>SUM(F552:Q552)</f>
        <v>511.2</v>
      </c>
    </row>
    <row r="553" spans="1:19" outlineLevel="1" x14ac:dyDescent="0.2">
      <c r="A553" t="str">
        <f>A543</f>
        <v>Исключительные права</v>
      </c>
      <c r="B553" s="71"/>
      <c r="C553" s="5" t="str">
        <f>C543</f>
        <v>шт</v>
      </c>
      <c r="F553" s="281">
        <f>$B543*F543</f>
        <v>0</v>
      </c>
      <c r="G553" s="281">
        <f>$B543*G543</f>
        <v>0</v>
      </c>
      <c r="H553" s="281">
        <f>$B543*H543</f>
        <v>0.03</v>
      </c>
      <c r="I553" s="281">
        <f>$B543*I543</f>
        <v>0.15000000000000002</v>
      </c>
      <c r="J553" s="281">
        <f>$B543*J543</f>
        <v>0.30000000000000004</v>
      </c>
      <c r="K553" s="281">
        <f>$B543*K543</f>
        <v>0.60000000000000009</v>
      </c>
      <c r="L553" s="281">
        <f>$B543*L543</f>
        <v>0.89999999999999991</v>
      </c>
      <c r="M553" s="281">
        <f>$B543*M543</f>
        <v>1.2000000000000002</v>
      </c>
      <c r="N553" s="281">
        <f>$B543*N543</f>
        <v>1.6500000000000001</v>
      </c>
      <c r="O553" s="281">
        <f>$B543*O543</f>
        <v>2.25</v>
      </c>
      <c r="P553" s="281">
        <f>$B543*P543</f>
        <v>2.7</v>
      </c>
      <c r="Q553" s="281">
        <f>$B543*Q543</f>
        <v>3</v>
      </c>
      <c r="R553" s="43"/>
      <c r="S553" s="57">
        <f>SUM(F553:Q553)</f>
        <v>12.780000000000001</v>
      </c>
    </row>
    <row r="554" spans="1:19" outlineLevel="1" x14ac:dyDescent="0.2">
      <c r="A554" t="str">
        <f>A544</f>
        <v>Проект</v>
      </c>
      <c r="B554" s="71"/>
      <c r="C554" s="5" t="str">
        <f>C544</f>
        <v>шт</v>
      </c>
      <c r="F554" s="281">
        <f>$B544*F544</f>
        <v>0</v>
      </c>
      <c r="G554" s="281">
        <f>$B544*G544</f>
        <v>0</v>
      </c>
      <c r="H554" s="281">
        <f>$B544*H544</f>
        <v>0.01</v>
      </c>
      <c r="I554" s="281">
        <f>$B544*I544</f>
        <v>0.05</v>
      </c>
      <c r="J554" s="281">
        <f>$B544*J544</f>
        <v>0.1</v>
      </c>
      <c r="K554" s="281">
        <f>$B544*K544</f>
        <v>0.2</v>
      </c>
      <c r="L554" s="281">
        <f>$B544*L544</f>
        <v>0.3</v>
      </c>
      <c r="M554" s="281">
        <f>$B544*M544</f>
        <v>0.4</v>
      </c>
      <c r="N554" s="281">
        <f>$B544*N544</f>
        <v>0.55000000000000004</v>
      </c>
      <c r="O554" s="281">
        <f>$B544*O544</f>
        <v>0.75</v>
      </c>
      <c r="P554" s="281">
        <f>$B544*P544</f>
        <v>0.9</v>
      </c>
      <c r="Q554" s="281">
        <f>$B544*Q544</f>
        <v>1</v>
      </c>
      <c r="R554" s="43"/>
      <c r="S554" s="57">
        <f>SUM(F554:Q554)</f>
        <v>4.26</v>
      </c>
    </row>
    <row r="555" spans="1:19" outlineLevel="1" x14ac:dyDescent="0.2">
      <c r="A555" t="str">
        <f>A545</f>
        <v>Облачная версия продукта</v>
      </c>
      <c r="B555" s="71"/>
      <c r="C555" s="5" t="str">
        <f>C545</f>
        <v>шт</v>
      </c>
      <c r="F555" s="281">
        <f t="shared" ref="F555:Q555" si="751">$B545*F545</f>
        <v>0</v>
      </c>
      <c r="G555" s="281">
        <f t="shared" si="751"/>
        <v>0</v>
      </c>
      <c r="H555" s="281">
        <f t="shared" si="751"/>
        <v>5.46</v>
      </c>
      <c r="I555" s="281">
        <f t="shared" si="751"/>
        <v>27.3</v>
      </c>
      <c r="J555" s="281">
        <f t="shared" si="751"/>
        <v>54.6</v>
      </c>
      <c r="K555" s="281">
        <f t="shared" si="751"/>
        <v>109.2</v>
      </c>
      <c r="L555" s="281">
        <f t="shared" si="751"/>
        <v>163.79999999999998</v>
      </c>
      <c r="M555" s="281">
        <f t="shared" si="751"/>
        <v>218.4</v>
      </c>
      <c r="N555" s="281">
        <f t="shared" ref="N555:Q555" si="752">$B545*N545</f>
        <v>300.3</v>
      </c>
      <c r="O555" s="281">
        <f t="shared" ref="O555:Q555" si="753">$B545*O545</f>
        <v>409.5</v>
      </c>
      <c r="P555" s="281">
        <f t="shared" ref="P555:Q555" si="754">$B545*P545</f>
        <v>491.40000000000003</v>
      </c>
      <c r="Q555" s="281">
        <f t="shared" si="754"/>
        <v>546</v>
      </c>
      <c r="R555" s="43"/>
      <c r="S555" s="57">
        <f>SUM(F555:Q555)</f>
        <v>2325.96</v>
      </c>
    </row>
    <row r="556" spans="1:19" outlineLevel="1" x14ac:dyDescent="0.2">
      <c r="A556" s="41"/>
      <c r="B556" s="72"/>
      <c r="C556" s="73"/>
      <c r="D556" s="74"/>
      <c r="E556" s="48"/>
      <c r="F556" s="75"/>
      <c r="G556" s="75"/>
      <c r="H556" s="75"/>
      <c r="I556" s="75"/>
      <c r="J556" s="75"/>
      <c r="K556" s="75"/>
      <c r="L556" s="75"/>
      <c r="M556" s="75"/>
      <c r="N556" s="75"/>
      <c r="O556" s="75"/>
      <c r="P556" s="75"/>
      <c r="Q556" s="75"/>
    </row>
    <row r="557" spans="1:19" outlineLevel="1" x14ac:dyDescent="0.2">
      <c r="A557" s="76"/>
      <c r="B557" s="76"/>
      <c r="C557" s="76"/>
      <c r="D557" s="76"/>
      <c r="E557" s="76"/>
      <c r="F557" s="76"/>
      <c r="G557" s="76"/>
      <c r="H557" s="76"/>
      <c r="I557" s="76"/>
      <c r="J557" s="76"/>
      <c r="K557" s="76"/>
      <c r="L557" s="76"/>
      <c r="M557" s="76"/>
      <c r="N557" s="76"/>
      <c r="O557" s="76"/>
      <c r="P557" s="76"/>
      <c r="Q557" s="76"/>
      <c r="R557" s="63"/>
      <c r="S557" s="64"/>
    </row>
    <row r="558" spans="1:19" outlineLevel="1" x14ac:dyDescent="0.2">
      <c r="A558" s="24"/>
      <c r="B558" s="19"/>
      <c r="C558" s="26"/>
      <c r="D558" s="19"/>
      <c r="E558" s="65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65"/>
      <c r="Q558" s="65"/>
      <c r="R558" s="19"/>
      <c r="S558" s="66"/>
    </row>
    <row r="559" spans="1:19" s="4" customFormat="1" ht="16" customHeight="1" thickBot="1" x14ac:dyDescent="0.25">
      <c r="A559" s="166" t="str">
        <f ca="1">Language!A532</f>
        <v xml:space="preserve">         ЦЕНА РЕАЛИЗАЦИИ (за единицу, с НДС)</v>
      </c>
      <c r="B559" s="166"/>
      <c r="C559" s="166"/>
      <c r="D559" s="166"/>
      <c r="E559" s="166"/>
      <c r="F559" s="178" t="str">
        <f t="shared" ref="F559:Q559" si="755">PeriodTitle</f>
        <v>4/ 2024</v>
      </c>
      <c r="G559" s="178" t="str">
        <f t="shared" si="755"/>
        <v>5/ 2024</v>
      </c>
      <c r="H559" s="178" t="str">
        <f t="shared" si="755"/>
        <v>6/ 2024</v>
      </c>
      <c r="I559" s="178" t="str">
        <f t="shared" si="755"/>
        <v>7/ 2024</v>
      </c>
      <c r="J559" s="178" t="str">
        <f t="shared" si="755"/>
        <v>8/ 2024</v>
      </c>
      <c r="K559" s="178" t="str">
        <f t="shared" si="755"/>
        <v>9/ 2024</v>
      </c>
      <c r="L559" s="178" t="str">
        <f t="shared" si="755"/>
        <v>10/ 2024</v>
      </c>
      <c r="M559" s="178" t="str">
        <f t="shared" si="755"/>
        <v>11/ 2024</v>
      </c>
      <c r="N559" s="178" t="str">
        <f t="shared" si="755"/>
        <v>12/ 2024</v>
      </c>
      <c r="O559" s="178" t="str">
        <f t="shared" si="755"/>
        <v>1/ 2025</v>
      </c>
      <c r="P559" s="178" t="str">
        <f t="shared" si="755"/>
        <v>2/ 2025</v>
      </c>
      <c r="Q559" s="178" t="str">
        <f t="shared" si="755"/>
        <v>3/ 2025</v>
      </c>
      <c r="R559" s="166"/>
      <c r="S559" s="195"/>
    </row>
    <row r="560" spans="1:19" ht="10.5" outlineLevel="1" thickTop="1" x14ac:dyDescent="0.2">
      <c r="B560" s="36" t="str">
        <f ca="1">Language!A$73</f>
        <v>Валюта</v>
      </c>
      <c r="D560">
        <v>0</v>
      </c>
      <c r="E560">
        <v>7</v>
      </c>
    </row>
    <row r="561" spans="1:17" outlineLevel="1" collapsed="1" x14ac:dyDescent="0.2">
      <c r="A561" t="str">
        <f>A541</f>
        <v>Наименование товара</v>
      </c>
      <c r="B561" s="255">
        <v>1</v>
      </c>
      <c r="C561" s="79" t="str">
        <f ca="1">CHOOSE(B561,CUR_Main,CUR_Foreign)</f>
        <v>руб.</v>
      </c>
      <c r="D561" s="46" t="s">
        <v>176</v>
      </c>
      <c r="F561" s="407">
        <v>0</v>
      </c>
      <c r="G561" s="407">
        <f t="shared" ref="G561" si="756">F561*IF(CalcMethod=2,1+F563,1)</f>
        <v>0</v>
      </c>
      <c r="H561" s="407">
        <f t="shared" ref="H561" si="757">G561*IF(CalcMethod=2,1+G563,1)</f>
        <v>0</v>
      </c>
      <c r="I561" s="407">
        <f t="shared" ref="I561" si="758">H561*IF(CalcMethod=2,1+H563,1)</f>
        <v>0</v>
      </c>
      <c r="J561" s="407">
        <f t="shared" ref="J561" si="759">I561*IF(CalcMethod=2,1+I563,1)</f>
        <v>0</v>
      </c>
      <c r="K561" s="407">
        <f t="shared" ref="K561" si="760">J561*IF(CalcMethod=2,1+J563,1)</f>
        <v>0</v>
      </c>
      <c r="L561" s="407">
        <f t="shared" ref="L561" si="761">K561*IF(CalcMethod=2,1+K563,1)</f>
        <v>0</v>
      </c>
      <c r="M561" s="407">
        <f t="shared" ref="M561:Q561" si="762">L561*IF(CalcMethod=2,1+L563,1)</f>
        <v>0</v>
      </c>
      <c r="N561" s="407">
        <f t="shared" si="762"/>
        <v>0</v>
      </c>
      <c r="O561" s="407">
        <f t="shared" si="762"/>
        <v>0</v>
      </c>
      <c r="P561" s="407">
        <f t="shared" si="762"/>
        <v>0</v>
      </c>
      <c r="Q561" s="407">
        <f t="shared" si="762"/>
        <v>0</v>
      </c>
    </row>
    <row r="562" spans="1:17" hidden="1" outlineLevel="2" x14ac:dyDescent="0.2">
      <c r="A562" t="str">
        <f ca="1">Language!A$104</f>
        <v>Предполагаемый темп годового роста цен</v>
      </c>
      <c r="C562" s="5" t="s">
        <v>177</v>
      </c>
      <c r="D562" s="16" t="s">
        <v>176</v>
      </c>
      <c r="F562" s="269">
        <f t="shared" ref="F562:M562" si="763">CHOOSE($B561,F$80,F$91)</f>
        <v>8.0000000000000002E-3</v>
      </c>
      <c r="G562" s="269">
        <f t="shared" si="763"/>
        <v>8.0000000000000002E-3</v>
      </c>
      <c r="H562" s="269">
        <f t="shared" si="763"/>
        <v>8.0000000000000002E-3</v>
      </c>
      <c r="I562" s="269">
        <f t="shared" si="763"/>
        <v>8.0000000000000002E-3</v>
      </c>
      <c r="J562" s="269">
        <f t="shared" si="763"/>
        <v>8.0000000000000002E-3</v>
      </c>
      <c r="K562" s="269">
        <f t="shared" si="763"/>
        <v>8.0000000000000002E-3</v>
      </c>
      <c r="L562" s="269">
        <f t="shared" si="763"/>
        <v>8.0000000000000002E-3</v>
      </c>
      <c r="M562" s="269">
        <f t="shared" si="763"/>
        <v>8.0000000000000002E-3</v>
      </c>
      <c r="N562" s="269">
        <f t="shared" ref="N562" si="764">CHOOSE($B561,N$80,N$91)</f>
        <v>8.0000000000000002E-3</v>
      </c>
      <c r="O562" s="269">
        <f t="shared" ref="O562" si="765">CHOOSE($B561,O$80,O$91)</f>
        <v>8.0000000000000002E-3</v>
      </c>
      <c r="P562" s="269">
        <f t="shared" ref="P562:Q562" si="766">CHOOSE($B561,P$80,P$91)</f>
        <v>8.0000000000000002E-3</v>
      </c>
      <c r="Q562" s="269">
        <f t="shared" si="766"/>
        <v>8.0000000000000002E-3</v>
      </c>
    </row>
    <row r="563" spans="1:17" hidden="1" outlineLevel="2" x14ac:dyDescent="0.2">
      <c r="A563" t="str">
        <f ca="1">Language!A$106</f>
        <v>То же, в пересчете на период, равный шагу проекта</v>
      </c>
      <c r="C563" s="5" t="s">
        <v>177</v>
      </c>
      <c r="D563" s="16" t="s">
        <v>176</v>
      </c>
      <c r="F563" s="30">
        <f t="shared" ref="F563:M563" si="767">POWER(1+F562,PRJ_Step/360)-1</f>
        <v>6.6423464362252993E-4</v>
      </c>
      <c r="G563" s="30">
        <f t="shared" si="767"/>
        <v>6.6423464362252993E-4</v>
      </c>
      <c r="H563" s="30">
        <f t="shared" si="767"/>
        <v>6.6423464362252993E-4</v>
      </c>
      <c r="I563" s="30">
        <f t="shared" si="767"/>
        <v>6.6423464362252993E-4</v>
      </c>
      <c r="J563" s="30">
        <f t="shared" si="767"/>
        <v>6.6423464362252993E-4</v>
      </c>
      <c r="K563" s="30">
        <f t="shared" si="767"/>
        <v>6.6423464362252993E-4</v>
      </c>
      <c r="L563" s="30">
        <f t="shared" si="767"/>
        <v>6.6423464362252993E-4</v>
      </c>
      <c r="M563" s="30">
        <f t="shared" si="767"/>
        <v>6.6423464362252993E-4</v>
      </c>
      <c r="N563" s="30">
        <f t="shared" ref="N563" si="768">POWER(1+N562,PRJ_Step/360)-1</f>
        <v>6.6423464362252993E-4</v>
      </c>
      <c r="O563" s="30">
        <f t="shared" ref="O563" si="769">POWER(1+O562,PRJ_Step/360)-1</f>
        <v>6.6423464362252993E-4</v>
      </c>
      <c r="P563" s="30">
        <f t="shared" ref="P563:Q563" si="770">POWER(1+P562,PRJ_Step/360)-1</f>
        <v>6.6423464362252993E-4</v>
      </c>
      <c r="Q563" s="30">
        <f t="shared" si="770"/>
        <v>6.6423464362252993E-4</v>
      </c>
    </row>
    <row r="564" spans="1:17" hidden="1" outlineLevel="2" x14ac:dyDescent="0.2">
      <c r="A564" t="str">
        <f ca="1">Language!A$533</f>
        <v xml:space="preserve">    цена без НДС и акцизов</v>
      </c>
      <c r="B564" s="36" t="str">
        <f ca="1">Language!A$537</f>
        <v>Адвалорные</v>
      </c>
      <c r="C564" s="36" t="str">
        <f ca="1">Language!A$538</f>
        <v>Твердые</v>
      </c>
      <c r="D564" s="46" t="s">
        <v>176</v>
      </c>
      <c r="F564" s="82">
        <f t="shared" ref="F564:M564" si="771">(F561/(1+$B567)-$C565)/(1+$B565)</f>
        <v>0</v>
      </c>
      <c r="G564" s="82">
        <f t="shared" si="771"/>
        <v>0</v>
      </c>
      <c r="H564" s="82">
        <f t="shared" si="771"/>
        <v>0</v>
      </c>
      <c r="I564" s="82">
        <f t="shared" si="771"/>
        <v>0</v>
      </c>
      <c r="J564" s="82">
        <f t="shared" si="771"/>
        <v>0</v>
      </c>
      <c r="K564" s="82">
        <f t="shared" si="771"/>
        <v>0</v>
      </c>
      <c r="L564" s="82">
        <f t="shared" si="771"/>
        <v>0</v>
      </c>
      <c r="M564" s="82">
        <f t="shared" si="771"/>
        <v>0</v>
      </c>
      <c r="N564" s="82">
        <f t="shared" ref="N564" si="772">(N561/(1+$B567)-$C565)/(1+$B565)</f>
        <v>0</v>
      </c>
      <c r="O564" s="82">
        <f t="shared" ref="O564" si="773">(O561/(1+$B567)-$C565)/(1+$B565)</f>
        <v>0</v>
      </c>
      <c r="P564" s="82">
        <f t="shared" ref="P564:Q564" si="774">(P561/(1+$B567)-$C565)/(1+$B565)</f>
        <v>0</v>
      </c>
      <c r="Q564" s="82">
        <f t="shared" si="774"/>
        <v>0</v>
      </c>
    </row>
    <row r="565" spans="1:17" hidden="1" outlineLevel="2" x14ac:dyDescent="0.2">
      <c r="A565" t="str">
        <f ca="1">Language!A$534</f>
        <v xml:space="preserve">    акцизы</v>
      </c>
      <c r="B565" s="282">
        <v>0</v>
      </c>
      <c r="C565" s="284">
        <v>0</v>
      </c>
      <c r="D565" s="46" t="s">
        <v>176</v>
      </c>
      <c r="F565" s="82">
        <f t="shared" ref="F565:M565" si="775">F564*$B565+$C565</f>
        <v>0</v>
      </c>
      <c r="G565" s="82">
        <f t="shared" si="775"/>
        <v>0</v>
      </c>
      <c r="H565" s="82">
        <f t="shared" si="775"/>
        <v>0</v>
      </c>
      <c r="I565" s="82">
        <f t="shared" si="775"/>
        <v>0</v>
      </c>
      <c r="J565" s="82">
        <f t="shared" si="775"/>
        <v>0</v>
      </c>
      <c r="K565" s="82">
        <f t="shared" si="775"/>
        <v>0</v>
      </c>
      <c r="L565" s="82">
        <f t="shared" si="775"/>
        <v>0</v>
      </c>
      <c r="M565" s="82">
        <f t="shared" si="775"/>
        <v>0</v>
      </c>
      <c r="N565" s="82">
        <f t="shared" ref="N565" si="776">N564*$B565+$C565</f>
        <v>0</v>
      </c>
      <c r="O565" s="82">
        <f t="shared" ref="O565" si="777">O564*$B565+$C565</f>
        <v>0</v>
      </c>
      <c r="P565" s="82">
        <f t="shared" ref="P565:Q565" si="778">P564*$B565+$C565</f>
        <v>0</v>
      </c>
      <c r="Q565" s="82">
        <f t="shared" si="778"/>
        <v>0</v>
      </c>
    </row>
    <row r="566" spans="1:17" hidden="1" outlineLevel="2" x14ac:dyDescent="0.2">
      <c r="A566" t="str">
        <f ca="1">Language!A$535</f>
        <v xml:space="preserve">    налог с продаж</v>
      </c>
      <c r="B566" s="283">
        <v>0</v>
      </c>
      <c r="C566" s="80" t="str">
        <f ca="1">CHOOSE(B561,CUR_Main,CUR_Foreign)</f>
        <v>руб.</v>
      </c>
      <c r="D566" s="46" t="s">
        <v>176</v>
      </c>
      <c r="F566" s="82">
        <f t="shared" ref="F566:M566" si="779">(F564+F565)*$B566</f>
        <v>0</v>
      </c>
      <c r="G566" s="82">
        <f t="shared" si="779"/>
        <v>0</v>
      </c>
      <c r="H566" s="82">
        <f t="shared" si="779"/>
        <v>0</v>
      </c>
      <c r="I566" s="82">
        <f t="shared" si="779"/>
        <v>0</v>
      </c>
      <c r="J566" s="82">
        <f t="shared" si="779"/>
        <v>0</v>
      </c>
      <c r="K566" s="82">
        <f t="shared" si="779"/>
        <v>0</v>
      </c>
      <c r="L566" s="82">
        <f t="shared" si="779"/>
        <v>0</v>
      </c>
      <c r="M566" s="82">
        <f t="shared" si="779"/>
        <v>0</v>
      </c>
      <c r="N566" s="82">
        <f t="shared" ref="N566" si="780">(N564+N565)*$B566</f>
        <v>0</v>
      </c>
      <c r="O566" s="82">
        <f t="shared" ref="O566" si="781">(O564+O565)*$B566</f>
        <v>0</v>
      </c>
      <c r="P566" s="82">
        <f t="shared" ref="P566:Q566" si="782">(P564+P565)*$B566</f>
        <v>0</v>
      </c>
      <c r="Q566" s="82">
        <f t="shared" si="782"/>
        <v>0</v>
      </c>
    </row>
    <row r="567" spans="1:17" hidden="1" outlineLevel="2" x14ac:dyDescent="0.2">
      <c r="A567" t="str">
        <f ca="1">Language!A$536</f>
        <v xml:space="preserve">    НДС</v>
      </c>
      <c r="B567" s="283">
        <f>VAT</f>
        <v>0</v>
      </c>
      <c r="C567" s="81" t="str">
        <f ca="1">CHOOSE(B561,CUR_Main,CUR_Foreign)</f>
        <v>руб.</v>
      </c>
      <c r="D567" s="46" t="s">
        <v>176</v>
      </c>
      <c r="F567" s="82">
        <f t="shared" ref="F567:M567" si="783">(F564+F565)*$B567</f>
        <v>0</v>
      </c>
      <c r="G567" s="82">
        <f t="shared" si="783"/>
        <v>0</v>
      </c>
      <c r="H567" s="82">
        <f t="shared" si="783"/>
        <v>0</v>
      </c>
      <c r="I567" s="82">
        <f t="shared" si="783"/>
        <v>0</v>
      </c>
      <c r="J567" s="82">
        <f t="shared" si="783"/>
        <v>0</v>
      </c>
      <c r="K567" s="82">
        <f t="shared" si="783"/>
        <v>0</v>
      </c>
      <c r="L567" s="82">
        <f t="shared" si="783"/>
        <v>0</v>
      </c>
      <c r="M567" s="82">
        <f t="shared" si="783"/>
        <v>0</v>
      </c>
      <c r="N567" s="82">
        <f t="shared" ref="N567" si="784">(N564+N565)*$B567</f>
        <v>0</v>
      </c>
      <c r="O567" s="82">
        <f t="shared" ref="O567" si="785">(O564+O565)*$B567</f>
        <v>0</v>
      </c>
      <c r="P567" s="82">
        <f t="shared" ref="P567:Q567" si="786">(P564+P565)*$B567</f>
        <v>0</v>
      </c>
      <c r="Q567" s="82">
        <f t="shared" si="786"/>
        <v>0</v>
      </c>
    </row>
    <row r="568" spans="1:17" outlineLevel="1" collapsed="1" x14ac:dyDescent="0.2">
      <c r="A568" t="str">
        <f>A542</f>
        <v>Коробочная версия продукта</v>
      </c>
      <c r="B568" s="255">
        <v>1</v>
      </c>
      <c r="C568" s="79" t="str">
        <f ca="1">CHOOSE(B568,CUR_Main,CUR_Foreign)</f>
        <v>руб.</v>
      </c>
      <c r="D568" s="46" t="s">
        <v>176</v>
      </c>
      <c r="F568" s="407">
        <v>12000</v>
      </c>
      <c r="G568" s="407">
        <f>F568*IF(CalcMethod=2,1+F570,1)</f>
        <v>12000</v>
      </c>
      <c r="H568" s="407">
        <f>G568*IF(CalcMethod=2,1+G570,1)</f>
        <v>12000</v>
      </c>
      <c r="I568" s="407">
        <f>H568*IF(CalcMethod=2,1+H570,1)</f>
        <v>12000</v>
      </c>
      <c r="J568" s="407">
        <f>I568*IF(CalcMethod=2,1+I570,1)</f>
        <v>12000</v>
      </c>
      <c r="K568" s="407">
        <f>J568*IF(CalcMethod=2,1+J570,1)</f>
        <v>12000</v>
      </c>
      <c r="L568" s="407">
        <f>K568*IF(CalcMethod=2,1+K570,1)</f>
        <v>12000</v>
      </c>
      <c r="M568" s="407">
        <f>L568*IF(CalcMethod=2,1+L570,1)</f>
        <v>12000</v>
      </c>
      <c r="N568" s="407">
        <f>M568*IF(CalcMethod=2,1+M570,1)</f>
        <v>12000</v>
      </c>
      <c r="O568" s="407">
        <f>N568*IF(CalcMethod=2,1+N570,1)</f>
        <v>12000</v>
      </c>
      <c r="P568" s="407">
        <f>O568*IF(CalcMethod=2,1+O570,1)</f>
        <v>12000</v>
      </c>
      <c r="Q568" s="407">
        <f>P568*IF(CalcMethod=2,1+P570,1)</f>
        <v>12000</v>
      </c>
    </row>
    <row r="569" spans="1:17" hidden="1" outlineLevel="2" x14ac:dyDescent="0.2">
      <c r="A569" t="str">
        <f ca="1">Language!A$104</f>
        <v>Предполагаемый темп годового роста цен</v>
      </c>
      <c r="C569" s="5" t="s">
        <v>177</v>
      </c>
      <c r="D569" s="16" t="s">
        <v>176</v>
      </c>
      <c r="F569" s="269">
        <f>CHOOSE($B568,F$80,F$91)</f>
        <v>8.0000000000000002E-3</v>
      </c>
      <c r="G569" s="269">
        <f>CHOOSE($B568,G$80,G$91)</f>
        <v>8.0000000000000002E-3</v>
      </c>
      <c r="H569" s="269">
        <f>CHOOSE($B568,H$80,H$91)</f>
        <v>8.0000000000000002E-3</v>
      </c>
      <c r="I569" s="269">
        <f>CHOOSE($B568,I$80,I$91)</f>
        <v>8.0000000000000002E-3</v>
      </c>
      <c r="J569" s="269">
        <f>CHOOSE($B568,J$80,J$91)</f>
        <v>8.0000000000000002E-3</v>
      </c>
      <c r="K569" s="269">
        <f>CHOOSE($B568,K$80,K$91)</f>
        <v>8.0000000000000002E-3</v>
      </c>
      <c r="L569" s="269">
        <f>CHOOSE($B568,L$80,L$91)</f>
        <v>8.0000000000000002E-3</v>
      </c>
      <c r="M569" s="269">
        <f>CHOOSE($B568,M$80,M$91)</f>
        <v>8.0000000000000002E-3</v>
      </c>
      <c r="N569" s="269">
        <f>CHOOSE($B568,N$80,N$91)</f>
        <v>8.0000000000000002E-3</v>
      </c>
      <c r="O569" s="269">
        <f>CHOOSE($B568,O$80,O$91)</f>
        <v>8.0000000000000002E-3</v>
      </c>
      <c r="P569" s="269">
        <f>CHOOSE($B568,P$80,P$91)</f>
        <v>8.0000000000000002E-3</v>
      </c>
      <c r="Q569" s="269">
        <f>CHOOSE($B568,Q$80,Q$91)</f>
        <v>8.0000000000000002E-3</v>
      </c>
    </row>
    <row r="570" spans="1:17" hidden="1" outlineLevel="2" x14ac:dyDescent="0.2">
      <c r="A570" t="str">
        <f ca="1">Language!A$106</f>
        <v>То же, в пересчете на период, равный шагу проекта</v>
      </c>
      <c r="C570" s="5" t="s">
        <v>177</v>
      </c>
      <c r="D570" s="16" t="s">
        <v>176</v>
      </c>
      <c r="F570" s="30">
        <f>POWER(1+F569,PRJ_Step/360)-1</f>
        <v>6.6423464362252993E-4</v>
      </c>
      <c r="G570" s="30">
        <f>POWER(1+G569,PRJ_Step/360)-1</f>
        <v>6.6423464362252993E-4</v>
      </c>
      <c r="H570" s="30">
        <f>POWER(1+H569,PRJ_Step/360)-1</f>
        <v>6.6423464362252993E-4</v>
      </c>
      <c r="I570" s="30">
        <f>POWER(1+I569,PRJ_Step/360)-1</f>
        <v>6.6423464362252993E-4</v>
      </c>
      <c r="J570" s="30">
        <f>POWER(1+J569,PRJ_Step/360)-1</f>
        <v>6.6423464362252993E-4</v>
      </c>
      <c r="K570" s="30">
        <f>POWER(1+K569,PRJ_Step/360)-1</f>
        <v>6.6423464362252993E-4</v>
      </c>
      <c r="L570" s="30">
        <f>POWER(1+L569,PRJ_Step/360)-1</f>
        <v>6.6423464362252993E-4</v>
      </c>
      <c r="M570" s="30">
        <f>POWER(1+M569,PRJ_Step/360)-1</f>
        <v>6.6423464362252993E-4</v>
      </c>
      <c r="N570" s="30">
        <f>POWER(1+N569,PRJ_Step/360)-1</f>
        <v>6.6423464362252993E-4</v>
      </c>
      <c r="O570" s="30">
        <f>POWER(1+O569,PRJ_Step/360)-1</f>
        <v>6.6423464362252993E-4</v>
      </c>
      <c r="P570" s="30">
        <f>POWER(1+P569,PRJ_Step/360)-1</f>
        <v>6.6423464362252993E-4</v>
      </c>
      <c r="Q570" s="30">
        <f>POWER(1+Q569,PRJ_Step/360)-1</f>
        <v>6.6423464362252993E-4</v>
      </c>
    </row>
    <row r="571" spans="1:17" hidden="1" outlineLevel="2" x14ac:dyDescent="0.2">
      <c r="A571" t="str">
        <f ca="1">Language!A$533</f>
        <v xml:space="preserve">    цена без НДС и акцизов</v>
      </c>
      <c r="B571" s="36" t="str">
        <f ca="1">Language!A$537</f>
        <v>Адвалорные</v>
      </c>
      <c r="C571" s="36" t="str">
        <f ca="1">Language!A$538</f>
        <v>Твердые</v>
      </c>
      <c r="D571" s="46" t="s">
        <v>176</v>
      </c>
      <c r="F571" s="82">
        <f>(F568/(1+$B574)-$C572)/(1+$B572)</f>
        <v>12000</v>
      </c>
      <c r="G571" s="82">
        <f>(G568/(1+$B574)-$C572)/(1+$B572)</f>
        <v>12000</v>
      </c>
      <c r="H571" s="82">
        <f>(H568/(1+$B574)-$C572)/(1+$B572)</f>
        <v>12000</v>
      </c>
      <c r="I571" s="82">
        <f>(I568/(1+$B574)-$C572)/(1+$B572)</f>
        <v>12000</v>
      </c>
      <c r="J571" s="82">
        <f>(J568/(1+$B574)-$C572)/(1+$B572)</f>
        <v>12000</v>
      </c>
      <c r="K571" s="82">
        <f>(K568/(1+$B574)-$C572)/(1+$B572)</f>
        <v>12000</v>
      </c>
      <c r="L571" s="82">
        <f>(L568/(1+$B574)-$C572)/(1+$B572)</f>
        <v>12000</v>
      </c>
      <c r="M571" s="82">
        <f>(M568/(1+$B574)-$C572)/(1+$B572)</f>
        <v>12000</v>
      </c>
      <c r="N571" s="82">
        <f>(N568/(1+$B574)-$C572)/(1+$B572)</f>
        <v>12000</v>
      </c>
      <c r="O571" s="82">
        <f>(O568/(1+$B574)-$C572)/(1+$B572)</f>
        <v>12000</v>
      </c>
      <c r="P571" s="82">
        <f>(P568/(1+$B574)-$C572)/(1+$B572)</f>
        <v>12000</v>
      </c>
      <c r="Q571" s="82">
        <f>(Q568/(1+$B574)-$C572)/(1+$B572)</f>
        <v>12000</v>
      </c>
    </row>
    <row r="572" spans="1:17" hidden="1" outlineLevel="2" x14ac:dyDescent="0.2">
      <c r="A572" t="str">
        <f ca="1">Language!A$534</f>
        <v xml:space="preserve">    акцизы</v>
      </c>
      <c r="B572" s="282">
        <v>0</v>
      </c>
      <c r="C572" s="284">
        <v>0</v>
      </c>
      <c r="D572" s="46" t="s">
        <v>176</v>
      </c>
      <c r="F572" s="82">
        <f>F571*$B572+$C572</f>
        <v>0</v>
      </c>
      <c r="G572" s="82">
        <f>G571*$B572+$C572</f>
        <v>0</v>
      </c>
      <c r="H572" s="82">
        <f>H571*$B572+$C572</f>
        <v>0</v>
      </c>
      <c r="I572" s="82">
        <f>I571*$B572+$C572</f>
        <v>0</v>
      </c>
      <c r="J572" s="82">
        <f>J571*$B572+$C572</f>
        <v>0</v>
      </c>
      <c r="K572" s="82">
        <f>K571*$B572+$C572</f>
        <v>0</v>
      </c>
      <c r="L572" s="82">
        <f>L571*$B572+$C572</f>
        <v>0</v>
      </c>
      <c r="M572" s="82">
        <f>M571*$B572+$C572</f>
        <v>0</v>
      </c>
      <c r="N572" s="82">
        <f>N571*$B572+$C572</f>
        <v>0</v>
      </c>
      <c r="O572" s="82">
        <f>O571*$B572+$C572</f>
        <v>0</v>
      </c>
      <c r="P572" s="82">
        <f>P571*$B572+$C572</f>
        <v>0</v>
      </c>
      <c r="Q572" s="82">
        <f>Q571*$B572+$C572</f>
        <v>0</v>
      </c>
    </row>
    <row r="573" spans="1:17" hidden="1" outlineLevel="2" x14ac:dyDescent="0.2">
      <c r="A573" t="str">
        <f ca="1">Language!A$535</f>
        <v xml:space="preserve">    налог с продаж</v>
      </c>
      <c r="B573" s="283">
        <v>0</v>
      </c>
      <c r="C573" s="80" t="str">
        <f ca="1">CHOOSE(B568,CUR_Main,CUR_Foreign)</f>
        <v>руб.</v>
      </c>
      <c r="D573" s="46" t="s">
        <v>176</v>
      </c>
      <c r="F573" s="82">
        <f>(F571+F572)*$B573</f>
        <v>0</v>
      </c>
      <c r="G573" s="82">
        <f>(G571+G572)*$B573</f>
        <v>0</v>
      </c>
      <c r="H573" s="82">
        <f>(H571+H572)*$B573</f>
        <v>0</v>
      </c>
      <c r="I573" s="82">
        <f>(I571+I572)*$B573</f>
        <v>0</v>
      </c>
      <c r="J573" s="82">
        <f>(J571+J572)*$B573</f>
        <v>0</v>
      </c>
      <c r="K573" s="82">
        <f>(K571+K572)*$B573</f>
        <v>0</v>
      </c>
      <c r="L573" s="82">
        <f>(L571+L572)*$B573</f>
        <v>0</v>
      </c>
      <c r="M573" s="82">
        <f>(M571+M572)*$B573</f>
        <v>0</v>
      </c>
      <c r="N573" s="82">
        <f>(N571+N572)*$B573</f>
        <v>0</v>
      </c>
      <c r="O573" s="82">
        <f>(O571+O572)*$B573</f>
        <v>0</v>
      </c>
      <c r="P573" s="82">
        <f>(P571+P572)*$B573</f>
        <v>0</v>
      </c>
      <c r="Q573" s="82">
        <f>(Q571+Q572)*$B573</f>
        <v>0</v>
      </c>
    </row>
    <row r="574" spans="1:17" hidden="1" outlineLevel="2" x14ac:dyDescent="0.2">
      <c r="A574" t="str">
        <f ca="1">Language!A$536</f>
        <v xml:space="preserve">    НДС</v>
      </c>
      <c r="B574" s="283">
        <f>VAT</f>
        <v>0</v>
      </c>
      <c r="C574" s="81" t="str">
        <f ca="1">CHOOSE(B568,CUR_Main,CUR_Foreign)</f>
        <v>руб.</v>
      </c>
      <c r="D574" s="46" t="s">
        <v>176</v>
      </c>
      <c r="F574" s="82">
        <f>(F571+F572)*$B574</f>
        <v>0</v>
      </c>
      <c r="G574" s="82">
        <f>(G571+G572)*$B574</f>
        <v>0</v>
      </c>
      <c r="H574" s="82">
        <f>(H571+H572)*$B574</f>
        <v>0</v>
      </c>
      <c r="I574" s="82">
        <f>(I571+I572)*$B574</f>
        <v>0</v>
      </c>
      <c r="J574" s="82">
        <f>(J571+J572)*$B574</f>
        <v>0</v>
      </c>
      <c r="K574" s="82">
        <f>(K571+K572)*$B574</f>
        <v>0</v>
      </c>
      <c r="L574" s="82">
        <f>(L571+L572)*$B574</f>
        <v>0</v>
      </c>
      <c r="M574" s="82">
        <f>(M571+M572)*$B574</f>
        <v>0</v>
      </c>
      <c r="N574" s="82">
        <f>(N571+N572)*$B574</f>
        <v>0</v>
      </c>
      <c r="O574" s="82">
        <f>(O571+O572)*$B574</f>
        <v>0</v>
      </c>
      <c r="P574" s="82">
        <f>(P571+P572)*$B574</f>
        <v>0</v>
      </c>
      <c r="Q574" s="82">
        <f>(Q571+Q572)*$B574</f>
        <v>0</v>
      </c>
    </row>
    <row r="575" spans="1:17" outlineLevel="1" collapsed="1" x14ac:dyDescent="0.2">
      <c r="A575" t="str">
        <f>A543</f>
        <v>Исключительные права</v>
      </c>
      <c r="B575" s="255">
        <v>1</v>
      </c>
      <c r="C575" s="79" t="str">
        <f ca="1">CHOOSE(B575,CUR_Main,CUR_Foreign)</f>
        <v>руб.</v>
      </c>
      <c r="D575" s="46" t="s">
        <v>176</v>
      </c>
      <c r="F575" s="407">
        <v>700000</v>
      </c>
      <c r="G575" s="407">
        <f>F575*IF(CalcMethod=2,1+F577,1)</f>
        <v>700000</v>
      </c>
      <c r="H575" s="407">
        <f>G575*IF(CalcMethod=2,1+G577,1)</f>
        <v>700000</v>
      </c>
      <c r="I575" s="407">
        <f>H575*IF(CalcMethod=2,1+H577,1)</f>
        <v>700000</v>
      </c>
      <c r="J575" s="407">
        <f>I575*IF(CalcMethod=2,1+I577,1)</f>
        <v>700000</v>
      </c>
      <c r="K575" s="407">
        <f>J575*IF(CalcMethod=2,1+J577,1)</f>
        <v>700000</v>
      </c>
      <c r="L575" s="407">
        <f>K575*IF(CalcMethod=2,1+K577,1)</f>
        <v>700000</v>
      </c>
      <c r="M575" s="407">
        <f>L575*IF(CalcMethod=2,1+L577,1)</f>
        <v>700000</v>
      </c>
      <c r="N575" s="407">
        <f>M575*IF(CalcMethod=2,1+M577,1)</f>
        <v>700000</v>
      </c>
      <c r="O575" s="407">
        <f>N575*IF(CalcMethod=2,1+N577,1)</f>
        <v>700000</v>
      </c>
      <c r="P575" s="407">
        <f>O575*IF(CalcMethod=2,1+O577,1)</f>
        <v>700000</v>
      </c>
      <c r="Q575" s="407">
        <f>P575*IF(CalcMethod=2,1+P577,1)</f>
        <v>700000</v>
      </c>
    </row>
    <row r="576" spans="1:17" hidden="1" outlineLevel="2" x14ac:dyDescent="0.2">
      <c r="A576" t="str">
        <f ca="1">Language!A$104</f>
        <v>Предполагаемый темп годового роста цен</v>
      </c>
      <c r="C576" s="5" t="s">
        <v>177</v>
      </c>
      <c r="D576" s="16" t="s">
        <v>176</v>
      </c>
      <c r="F576" s="269">
        <f>CHOOSE($B575,F$80,F$91)</f>
        <v>8.0000000000000002E-3</v>
      </c>
      <c r="G576" s="269">
        <f>CHOOSE($B575,G$80,G$91)</f>
        <v>8.0000000000000002E-3</v>
      </c>
      <c r="H576" s="269">
        <f>CHOOSE($B575,H$80,H$91)</f>
        <v>8.0000000000000002E-3</v>
      </c>
      <c r="I576" s="269">
        <f>CHOOSE($B575,I$80,I$91)</f>
        <v>8.0000000000000002E-3</v>
      </c>
      <c r="J576" s="269">
        <f>CHOOSE($B575,J$80,J$91)</f>
        <v>8.0000000000000002E-3</v>
      </c>
      <c r="K576" s="269">
        <f>CHOOSE($B575,K$80,K$91)</f>
        <v>8.0000000000000002E-3</v>
      </c>
      <c r="L576" s="269">
        <f>CHOOSE($B575,L$80,L$91)</f>
        <v>8.0000000000000002E-3</v>
      </c>
      <c r="M576" s="269">
        <f>CHOOSE($B575,M$80,M$91)</f>
        <v>8.0000000000000002E-3</v>
      </c>
      <c r="N576" s="269">
        <f>CHOOSE($B575,N$80,N$91)</f>
        <v>8.0000000000000002E-3</v>
      </c>
      <c r="O576" s="269">
        <f>CHOOSE($B575,O$80,O$91)</f>
        <v>8.0000000000000002E-3</v>
      </c>
      <c r="P576" s="269">
        <f>CHOOSE($B575,P$80,P$91)</f>
        <v>8.0000000000000002E-3</v>
      </c>
      <c r="Q576" s="269">
        <f>CHOOSE($B575,Q$80,Q$91)</f>
        <v>8.0000000000000002E-3</v>
      </c>
    </row>
    <row r="577" spans="1:17" hidden="1" outlineLevel="2" x14ac:dyDescent="0.2">
      <c r="A577" t="str">
        <f ca="1">Language!A$106</f>
        <v>То же, в пересчете на период, равный шагу проекта</v>
      </c>
      <c r="C577" s="5" t="s">
        <v>177</v>
      </c>
      <c r="D577" s="16" t="s">
        <v>176</v>
      </c>
      <c r="F577" s="30">
        <f>POWER(1+F576,PRJ_Step/360)-1</f>
        <v>6.6423464362252993E-4</v>
      </c>
      <c r="G577" s="30">
        <f>POWER(1+G576,PRJ_Step/360)-1</f>
        <v>6.6423464362252993E-4</v>
      </c>
      <c r="H577" s="30">
        <f>POWER(1+H576,PRJ_Step/360)-1</f>
        <v>6.6423464362252993E-4</v>
      </c>
      <c r="I577" s="30">
        <f>POWER(1+I576,PRJ_Step/360)-1</f>
        <v>6.6423464362252993E-4</v>
      </c>
      <c r="J577" s="30">
        <f>POWER(1+J576,PRJ_Step/360)-1</f>
        <v>6.6423464362252993E-4</v>
      </c>
      <c r="K577" s="30">
        <f>POWER(1+K576,PRJ_Step/360)-1</f>
        <v>6.6423464362252993E-4</v>
      </c>
      <c r="L577" s="30">
        <f>POWER(1+L576,PRJ_Step/360)-1</f>
        <v>6.6423464362252993E-4</v>
      </c>
      <c r="M577" s="30">
        <f>POWER(1+M576,PRJ_Step/360)-1</f>
        <v>6.6423464362252993E-4</v>
      </c>
      <c r="N577" s="30">
        <f>POWER(1+N576,PRJ_Step/360)-1</f>
        <v>6.6423464362252993E-4</v>
      </c>
      <c r="O577" s="30">
        <f>POWER(1+O576,PRJ_Step/360)-1</f>
        <v>6.6423464362252993E-4</v>
      </c>
      <c r="P577" s="30">
        <f>POWER(1+P576,PRJ_Step/360)-1</f>
        <v>6.6423464362252993E-4</v>
      </c>
      <c r="Q577" s="30">
        <f>POWER(1+Q576,PRJ_Step/360)-1</f>
        <v>6.6423464362252993E-4</v>
      </c>
    </row>
    <row r="578" spans="1:17" hidden="1" outlineLevel="2" x14ac:dyDescent="0.2">
      <c r="A578" t="str">
        <f ca="1">Language!A$533</f>
        <v xml:space="preserve">    цена без НДС и акцизов</v>
      </c>
      <c r="B578" s="36" t="str">
        <f ca="1">Language!A$537</f>
        <v>Адвалорные</v>
      </c>
      <c r="C578" s="36" t="str">
        <f ca="1">Language!A$538</f>
        <v>Твердые</v>
      </c>
      <c r="D578" s="46" t="s">
        <v>176</v>
      </c>
      <c r="F578" s="82">
        <f>(F575/(1+$B581)-$C579)/(1+$B579)</f>
        <v>700000</v>
      </c>
      <c r="G578" s="82">
        <f>(G575/(1+$B581)-$C579)/(1+$B579)</f>
        <v>700000</v>
      </c>
      <c r="H578" s="82">
        <f>(H575/(1+$B581)-$C579)/(1+$B579)</f>
        <v>700000</v>
      </c>
      <c r="I578" s="82">
        <f>(I575/(1+$B581)-$C579)/(1+$B579)</f>
        <v>700000</v>
      </c>
      <c r="J578" s="82">
        <f>(J575/(1+$B581)-$C579)/(1+$B579)</f>
        <v>700000</v>
      </c>
      <c r="K578" s="82">
        <f>(K575/(1+$B581)-$C579)/(1+$B579)</f>
        <v>700000</v>
      </c>
      <c r="L578" s="82">
        <f>(L575/(1+$B581)-$C579)/(1+$B579)</f>
        <v>700000</v>
      </c>
      <c r="M578" s="82">
        <f>(M575/(1+$B581)-$C579)/(1+$B579)</f>
        <v>700000</v>
      </c>
      <c r="N578" s="82">
        <f>(N575/(1+$B581)-$C579)/(1+$B579)</f>
        <v>700000</v>
      </c>
      <c r="O578" s="82">
        <f>(O575/(1+$B581)-$C579)/(1+$B579)</f>
        <v>700000</v>
      </c>
      <c r="P578" s="82">
        <f>(P575/(1+$B581)-$C579)/(1+$B579)</f>
        <v>700000</v>
      </c>
      <c r="Q578" s="82">
        <f>(Q575/(1+$B581)-$C579)/(1+$B579)</f>
        <v>700000</v>
      </c>
    </row>
    <row r="579" spans="1:17" hidden="1" outlineLevel="2" x14ac:dyDescent="0.2">
      <c r="A579" t="str">
        <f ca="1">Language!A$534</f>
        <v xml:space="preserve">    акцизы</v>
      </c>
      <c r="B579" s="282">
        <v>0</v>
      </c>
      <c r="C579" s="284">
        <v>0</v>
      </c>
      <c r="D579" s="46" t="s">
        <v>176</v>
      </c>
      <c r="F579" s="82">
        <f>F578*$B579+$C579</f>
        <v>0</v>
      </c>
      <c r="G579" s="82">
        <f>G578*$B579+$C579</f>
        <v>0</v>
      </c>
      <c r="H579" s="82">
        <f>H578*$B579+$C579</f>
        <v>0</v>
      </c>
      <c r="I579" s="82">
        <f>I578*$B579+$C579</f>
        <v>0</v>
      </c>
      <c r="J579" s="82">
        <f>J578*$B579+$C579</f>
        <v>0</v>
      </c>
      <c r="K579" s="82">
        <f>K578*$B579+$C579</f>
        <v>0</v>
      </c>
      <c r="L579" s="82">
        <f>L578*$B579+$C579</f>
        <v>0</v>
      </c>
      <c r="M579" s="82">
        <f>M578*$B579+$C579</f>
        <v>0</v>
      </c>
      <c r="N579" s="82">
        <f>N578*$B579+$C579</f>
        <v>0</v>
      </c>
      <c r="O579" s="82">
        <f>O578*$B579+$C579</f>
        <v>0</v>
      </c>
      <c r="P579" s="82">
        <f>P578*$B579+$C579</f>
        <v>0</v>
      </c>
      <c r="Q579" s="82">
        <f>Q578*$B579+$C579</f>
        <v>0</v>
      </c>
    </row>
    <row r="580" spans="1:17" hidden="1" outlineLevel="2" x14ac:dyDescent="0.2">
      <c r="A580" t="str">
        <f ca="1">Language!A$535</f>
        <v xml:space="preserve">    налог с продаж</v>
      </c>
      <c r="B580" s="283">
        <v>0</v>
      </c>
      <c r="C580" s="80" t="str">
        <f ca="1">CHOOSE(B575,CUR_Main,CUR_Foreign)</f>
        <v>руб.</v>
      </c>
      <c r="D580" s="46" t="s">
        <v>176</v>
      </c>
      <c r="F580" s="82">
        <f>(F578+F579)*$B580</f>
        <v>0</v>
      </c>
      <c r="G580" s="82">
        <f>(G578+G579)*$B580</f>
        <v>0</v>
      </c>
      <c r="H580" s="82">
        <f>(H578+H579)*$B580</f>
        <v>0</v>
      </c>
      <c r="I580" s="82">
        <f>(I578+I579)*$B580</f>
        <v>0</v>
      </c>
      <c r="J580" s="82">
        <f>(J578+J579)*$B580</f>
        <v>0</v>
      </c>
      <c r="K580" s="82">
        <f>(K578+K579)*$B580</f>
        <v>0</v>
      </c>
      <c r="L580" s="82">
        <f>(L578+L579)*$B580</f>
        <v>0</v>
      </c>
      <c r="M580" s="82">
        <f>(M578+M579)*$B580</f>
        <v>0</v>
      </c>
      <c r="N580" s="82">
        <f>(N578+N579)*$B580</f>
        <v>0</v>
      </c>
      <c r="O580" s="82">
        <f>(O578+O579)*$B580</f>
        <v>0</v>
      </c>
      <c r="P580" s="82">
        <f>(P578+P579)*$B580</f>
        <v>0</v>
      </c>
      <c r="Q580" s="82">
        <f>(Q578+Q579)*$B580</f>
        <v>0</v>
      </c>
    </row>
    <row r="581" spans="1:17" hidden="1" outlineLevel="2" x14ac:dyDescent="0.2">
      <c r="A581" t="str">
        <f ca="1">Language!A$536</f>
        <v xml:space="preserve">    НДС</v>
      </c>
      <c r="B581" s="283">
        <f>VAT</f>
        <v>0</v>
      </c>
      <c r="C581" s="81" t="str">
        <f ca="1">CHOOSE(B575,CUR_Main,CUR_Foreign)</f>
        <v>руб.</v>
      </c>
      <c r="D581" s="46" t="s">
        <v>176</v>
      </c>
      <c r="F581" s="82">
        <f>(F578+F579)*$B581</f>
        <v>0</v>
      </c>
      <c r="G581" s="82">
        <f>(G578+G579)*$B581</f>
        <v>0</v>
      </c>
      <c r="H581" s="82">
        <f>(H578+H579)*$B581</f>
        <v>0</v>
      </c>
      <c r="I581" s="82">
        <f>(I578+I579)*$B581</f>
        <v>0</v>
      </c>
      <c r="J581" s="82">
        <f>(J578+J579)*$B581</f>
        <v>0</v>
      </c>
      <c r="K581" s="82">
        <f>(K578+K579)*$B581</f>
        <v>0</v>
      </c>
      <c r="L581" s="82">
        <f>(L578+L579)*$B581</f>
        <v>0</v>
      </c>
      <c r="M581" s="82">
        <f>(M578+M579)*$B581</f>
        <v>0</v>
      </c>
      <c r="N581" s="82">
        <f>(N578+N579)*$B581</f>
        <v>0</v>
      </c>
      <c r="O581" s="82">
        <f>(O578+O579)*$B581</f>
        <v>0</v>
      </c>
      <c r="P581" s="82">
        <f>(P578+P579)*$B581</f>
        <v>0</v>
      </c>
      <c r="Q581" s="82">
        <f>(Q578+Q579)*$B581</f>
        <v>0</v>
      </c>
    </row>
    <row r="582" spans="1:17" outlineLevel="1" collapsed="1" x14ac:dyDescent="0.2">
      <c r="A582" t="str">
        <f>A544</f>
        <v>Проект</v>
      </c>
      <c r="B582" s="255">
        <v>1</v>
      </c>
      <c r="C582" s="79" t="str">
        <f ca="1">CHOOSE(B582,CUR_Main,CUR_Foreign)</f>
        <v>руб.</v>
      </c>
      <c r="D582" s="46" t="s">
        <v>176</v>
      </c>
      <c r="F582" s="407">
        <v>3500000</v>
      </c>
      <c r="G582" s="407">
        <f>F582*IF(CalcMethod=2,1+F584,1)</f>
        <v>3500000</v>
      </c>
      <c r="H582" s="407">
        <f>G582*IF(CalcMethod=2,1+G584,1)</f>
        <v>3500000</v>
      </c>
      <c r="I582" s="407">
        <f>H582*IF(CalcMethod=2,1+H584,1)</f>
        <v>3500000</v>
      </c>
      <c r="J582" s="407">
        <f>I582*IF(CalcMethod=2,1+I584,1)</f>
        <v>3500000</v>
      </c>
      <c r="K582" s="407">
        <f>J582*IF(CalcMethod=2,1+J584,1)</f>
        <v>3500000</v>
      </c>
      <c r="L582" s="407">
        <f>K582*IF(CalcMethod=2,1+K584,1)</f>
        <v>3500000</v>
      </c>
      <c r="M582" s="407">
        <f>L582*IF(CalcMethod=2,1+L584,1)</f>
        <v>3500000</v>
      </c>
      <c r="N582" s="407">
        <f>M582*IF(CalcMethod=2,1+M584,1)</f>
        <v>3500000</v>
      </c>
      <c r="O582" s="407">
        <f>N582*IF(CalcMethod=2,1+N584,1)</f>
        <v>3500000</v>
      </c>
      <c r="P582" s="407">
        <f>O582*IF(CalcMethod=2,1+O584,1)</f>
        <v>3500000</v>
      </c>
      <c r="Q582" s="407">
        <f>P582*IF(CalcMethod=2,1+P584,1)</f>
        <v>3500000</v>
      </c>
    </row>
    <row r="583" spans="1:17" hidden="1" outlineLevel="2" x14ac:dyDescent="0.2">
      <c r="A583" t="str">
        <f ca="1">Language!A$104</f>
        <v>Предполагаемый темп годового роста цен</v>
      </c>
      <c r="C583" s="5" t="s">
        <v>177</v>
      </c>
      <c r="D583" s="16" t="s">
        <v>176</v>
      </c>
      <c r="F583" s="269">
        <f>CHOOSE($B582,F$80,F$91)</f>
        <v>8.0000000000000002E-3</v>
      </c>
      <c r="G583" s="269">
        <f>CHOOSE($B582,G$80,G$91)</f>
        <v>8.0000000000000002E-3</v>
      </c>
      <c r="H583" s="269">
        <f>CHOOSE($B582,H$80,H$91)</f>
        <v>8.0000000000000002E-3</v>
      </c>
      <c r="I583" s="269">
        <f>CHOOSE($B582,I$80,I$91)</f>
        <v>8.0000000000000002E-3</v>
      </c>
      <c r="J583" s="269">
        <f>CHOOSE($B582,J$80,J$91)</f>
        <v>8.0000000000000002E-3</v>
      </c>
      <c r="K583" s="269">
        <f>CHOOSE($B582,K$80,K$91)</f>
        <v>8.0000000000000002E-3</v>
      </c>
      <c r="L583" s="269">
        <f>CHOOSE($B582,L$80,L$91)</f>
        <v>8.0000000000000002E-3</v>
      </c>
      <c r="M583" s="269">
        <f>CHOOSE($B582,M$80,M$91)</f>
        <v>8.0000000000000002E-3</v>
      </c>
      <c r="N583" s="269">
        <f>CHOOSE($B582,N$80,N$91)</f>
        <v>8.0000000000000002E-3</v>
      </c>
      <c r="O583" s="269">
        <f>CHOOSE($B582,O$80,O$91)</f>
        <v>8.0000000000000002E-3</v>
      </c>
      <c r="P583" s="269">
        <f>CHOOSE($B582,P$80,P$91)</f>
        <v>8.0000000000000002E-3</v>
      </c>
      <c r="Q583" s="269">
        <f>CHOOSE($B582,Q$80,Q$91)</f>
        <v>8.0000000000000002E-3</v>
      </c>
    </row>
    <row r="584" spans="1:17" hidden="1" outlineLevel="2" x14ac:dyDescent="0.2">
      <c r="A584" t="str">
        <f ca="1">Language!A$106</f>
        <v>То же, в пересчете на период, равный шагу проекта</v>
      </c>
      <c r="C584" s="5" t="s">
        <v>177</v>
      </c>
      <c r="D584" s="16" t="s">
        <v>176</v>
      </c>
      <c r="F584" s="30">
        <f>POWER(1+F583,PRJ_Step/360)-1</f>
        <v>6.6423464362252993E-4</v>
      </c>
      <c r="G584" s="30">
        <f>POWER(1+G583,PRJ_Step/360)-1</f>
        <v>6.6423464362252993E-4</v>
      </c>
      <c r="H584" s="30">
        <f>POWER(1+H583,PRJ_Step/360)-1</f>
        <v>6.6423464362252993E-4</v>
      </c>
      <c r="I584" s="30">
        <f>POWER(1+I583,PRJ_Step/360)-1</f>
        <v>6.6423464362252993E-4</v>
      </c>
      <c r="J584" s="30">
        <f>POWER(1+J583,PRJ_Step/360)-1</f>
        <v>6.6423464362252993E-4</v>
      </c>
      <c r="K584" s="30">
        <f>POWER(1+K583,PRJ_Step/360)-1</f>
        <v>6.6423464362252993E-4</v>
      </c>
      <c r="L584" s="30">
        <f>POWER(1+L583,PRJ_Step/360)-1</f>
        <v>6.6423464362252993E-4</v>
      </c>
      <c r="M584" s="30">
        <f>POWER(1+M583,PRJ_Step/360)-1</f>
        <v>6.6423464362252993E-4</v>
      </c>
      <c r="N584" s="30">
        <f>POWER(1+N583,PRJ_Step/360)-1</f>
        <v>6.6423464362252993E-4</v>
      </c>
      <c r="O584" s="30">
        <f>POWER(1+O583,PRJ_Step/360)-1</f>
        <v>6.6423464362252993E-4</v>
      </c>
      <c r="P584" s="30">
        <f>POWER(1+P583,PRJ_Step/360)-1</f>
        <v>6.6423464362252993E-4</v>
      </c>
      <c r="Q584" s="30">
        <f>POWER(1+Q583,PRJ_Step/360)-1</f>
        <v>6.6423464362252993E-4</v>
      </c>
    </row>
    <row r="585" spans="1:17" hidden="1" outlineLevel="2" x14ac:dyDescent="0.2">
      <c r="A585" t="str">
        <f ca="1">Language!A$533</f>
        <v xml:space="preserve">    цена без НДС и акцизов</v>
      </c>
      <c r="B585" s="36" t="str">
        <f ca="1">Language!A$537</f>
        <v>Адвалорные</v>
      </c>
      <c r="C585" s="36" t="str">
        <f ca="1">Language!A$538</f>
        <v>Твердые</v>
      </c>
      <c r="D585" s="46" t="s">
        <v>176</v>
      </c>
      <c r="F585" s="82">
        <f>(F582/(1+$B588)-$C586)/(1+$B586)</f>
        <v>3500000</v>
      </c>
      <c r="G585" s="82">
        <f>(G582/(1+$B588)-$C586)/(1+$B586)</f>
        <v>3500000</v>
      </c>
      <c r="H585" s="82">
        <f>(H582/(1+$B588)-$C586)/(1+$B586)</f>
        <v>3500000</v>
      </c>
      <c r="I585" s="82">
        <f>(I582/(1+$B588)-$C586)/(1+$B586)</f>
        <v>3500000</v>
      </c>
      <c r="J585" s="82">
        <f>(J582/(1+$B588)-$C586)/(1+$B586)</f>
        <v>3500000</v>
      </c>
      <c r="K585" s="82">
        <f>(K582/(1+$B588)-$C586)/(1+$B586)</f>
        <v>3500000</v>
      </c>
      <c r="L585" s="82">
        <f>(L582/(1+$B588)-$C586)/(1+$B586)</f>
        <v>3500000</v>
      </c>
      <c r="M585" s="82">
        <f>(M582/(1+$B588)-$C586)/(1+$B586)</f>
        <v>3500000</v>
      </c>
      <c r="N585" s="82">
        <f>(N582/(1+$B588)-$C586)/(1+$B586)</f>
        <v>3500000</v>
      </c>
      <c r="O585" s="82">
        <f>(O582/(1+$B588)-$C586)/(1+$B586)</f>
        <v>3500000</v>
      </c>
      <c r="P585" s="82">
        <f>(P582/(1+$B588)-$C586)/(1+$B586)</f>
        <v>3500000</v>
      </c>
      <c r="Q585" s="82">
        <f>(Q582/(1+$B588)-$C586)/(1+$B586)</f>
        <v>3500000</v>
      </c>
    </row>
    <row r="586" spans="1:17" hidden="1" outlineLevel="2" x14ac:dyDescent="0.2">
      <c r="A586" t="str">
        <f ca="1">Language!A$534</f>
        <v xml:space="preserve">    акцизы</v>
      </c>
      <c r="B586" s="282">
        <v>0</v>
      </c>
      <c r="C586" s="284">
        <v>0</v>
      </c>
      <c r="D586" s="46" t="s">
        <v>176</v>
      </c>
      <c r="F586" s="82">
        <f>F585*$B586+$C586</f>
        <v>0</v>
      </c>
      <c r="G586" s="82">
        <f>G585*$B586+$C586</f>
        <v>0</v>
      </c>
      <c r="H586" s="82">
        <f>H585*$B586+$C586</f>
        <v>0</v>
      </c>
      <c r="I586" s="82">
        <f>I585*$B586+$C586</f>
        <v>0</v>
      </c>
      <c r="J586" s="82">
        <f>J585*$B586+$C586</f>
        <v>0</v>
      </c>
      <c r="K586" s="82">
        <f>K585*$B586+$C586</f>
        <v>0</v>
      </c>
      <c r="L586" s="82">
        <f>L585*$B586+$C586</f>
        <v>0</v>
      </c>
      <c r="M586" s="82">
        <f>M585*$B586+$C586</f>
        <v>0</v>
      </c>
      <c r="N586" s="82">
        <f>N585*$B586+$C586</f>
        <v>0</v>
      </c>
      <c r="O586" s="82">
        <f>O585*$B586+$C586</f>
        <v>0</v>
      </c>
      <c r="P586" s="82">
        <f>P585*$B586+$C586</f>
        <v>0</v>
      </c>
      <c r="Q586" s="82">
        <f>Q585*$B586+$C586</f>
        <v>0</v>
      </c>
    </row>
    <row r="587" spans="1:17" hidden="1" outlineLevel="2" x14ac:dyDescent="0.2">
      <c r="A587" t="str">
        <f ca="1">Language!A$535</f>
        <v xml:space="preserve">    налог с продаж</v>
      </c>
      <c r="B587" s="283">
        <v>0</v>
      </c>
      <c r="C587" s="80" t="str">
        <f ca="1">CHOOSE(B582,CUR_Main,CUR_Foreign)</f>
        <v>руб.</v>
      </c>
      <c r="D587" s="46" t="s">
        <v>176</v>
      </c>
      <c r="F587" s="82">
        <f>(F585+F586)*$B587</f>
        <v>0</v>
      </c>
      <c r="G587" s="82">
        <f>(G585+G586)*$B587</f>
        <v>0</v>
      </c>
      <c r="H587" s="82">
        <f>(H585+H586)*$B587</f>
        <v>0</v>
      </c>
      <c r="I587" s="82">
        <f>(I585+I586)*$B587</f>
        <v>0</v>
      </c>
      <c r="J587" s="82">
        <f>(J585+J586)*$B587</f>
        <v>0</v>
      </c>
      <c r="K587" s="82">
        <f>(K585+K586)*$B587</f>
        <v>0</v>
      </c>
      <c r="L587" s="82">
        <f>(L585+L586)*$B587</f>
        <v>0</v>
      </c>
      <c r="M587" s="82">
        <f>(M585+M586)*$B587</f>
        <v>0</v>
      </c>
      <c r="N587" s="82">
        <f>(N585+N586)*$B587</f>
        <v>0</v>
      </c>
      <c r="O587" s="82">
        <f>(O585+O586)*$B587</f>
        <v>0</v>
      </c>
      <c r="P587" s="82">
        <f>(P585+P586)*$B587</f>
        <v>0</v>
      </c>
      <c r="Q587" s="82">
        <f>(Q585+Q586)*$B587</f>
        <v>0</v>
      </c>
    </row>
    <row r="588" spans="1:17" hidden="1" outlineLevel="2" x14ac:dyDescent="0.2">
      <c r="A588" t="str">
        <f ca="1">Language!A$536</f>
        <v xml:space="preserve">    НДС</v>
      </c>
      <c r="B588" s="283">
        <f>VAT</f>
        <v>0</v>
      </c>
      <c r="C588" s="81" t="str">
        <f ca="1">CHOOSE(B582,CUR_Main,CUR_Foreign)</f>
        <v>руб.</v>
      </c>
      <c r="D588" s="46" t="s">
        <v>176</v>
      </c>
      <c r="F588" s="82">
        <f>(F585+F586)*$B588</f>
        <v>0</v>
      </c>
      <c r="G588" s="82">
        <f>(G585+G586)*$B588</f>
        <v>0</v>
      </c>
      <c r="H588" s="82">
        <f>(H585+H586)*$B588</f>
        <v>0</v>
      </c>
      <c r="I588" s="82">
        <f>(I585+I586)*$B588</f>
        <v>0</v>
      </c>
      <c r="J588" s="82">
        <f>(J585+J586)*$B588</f>
        <v>0</v>
      </c>
      <c r="K588" s="82">
        <f>(K585+K586)*$B588</f>
        <v>0</v>
      </c>
      <c r="L588" s="82">
        <f>(L585+L586)*$B588</f>
        <v>0</v>
      </c>
      <c r="M588" s="82">
        <f>(M585+M586)*$B588</f>
        <v>0</v>
      </c>
      <c r="N588" s="82">
        <f>(N585+N586)*$B588</f>
        <v>0</v>
      </c>
      <c r="O588" s="82">
        <f>(O585+O586)*$B588</f>
        <v>0</v>
      </c>
      <c r="P588" s="82">
        <f>(P585+P586)*$B588</f>
        <v>0</v>
      </c>
      <c r="Q588" s="82">
        <f>(Q585+Q586)*$B588</f>
        <v>0</v>
      </c>
    </row>
    <row r="589" spans="1:17" outlineLevel="1" collapsed="1" x14ac:dyDescent="0.2">
      <c r="A589" t="str">
        <f>A545</f>
        <v>Облачная версия продукта</v>
      </c>
      <c r="B589" s="255">
        <v>1</v>
      </c>
      <c r="C589" s="79" t="str">
        <f ca="1">CHOOSE(B589,CUR_Main,CUR_Foreign)</f>
        <v>руб.</v>
      </c>
      <c r="D589" s="46" t="s">
        <v>176</v>
      </c>
      <c r="F589" s="407">
        <v>12000</v>
      </c>
      <c r="G589" s="407">
        <f t="shared" ref="G589:M589" si="787">F589*IF(CalcMethod=2,1+F591,1)</f>
        <v>12000</v>
      </c>
      <c r="H589" s="407">
        <f t="shared" si="787"/>
        <v>12000</v>
      </c>
      <c r="I589" s="407">
        <f t="shared" si="787"/>
        <v>12000</v>
      </c>
      <c r="J589" s="407">
        <f t="shared" si="787"/>
        <v>12000</v>
      </c>
      <c r="K589" s="407">
        <f t="shared" si="787"/>
        <v>12000</v>
      </c>
      <c r="L589" s="407">
        <f t="shared" si="787"/>
        <v>12000</v>
      </c>
      <c r="M589" s="407">
        <f t="shared" si="787"/>
        <v>12000</v>
      </c>
      <c r="N589" s="407">
        <f t="shared" ref="N589:O589" si="788">M589*IF(CalcMethod=2,1+M591,1)</f>
        <v>12000</v>
      </c>
      <c r="O589" s="407">
        <f t="shared" si="788"/>
        <v>12000</v>
      </c>
      <c r="P589" s="407">
        <f t="shared" ref="P589:Q589" si="789">O589*IF(CalcMethod=2,1+O591,1)</f>
        <v>12000</v>
      </c>
      <c r="Q589" s="407">
        <f t="shared" si="789"/>
        <v>12000</v>
      </c>
    </row>
    <row r="590" spans="1:17" hidden="1" outlineLevel="2" x14ac:dyDescent="0.2">
      <c r="A590" t="str">
        <f ca="1">Language!A$104</f>
        <v>Предполагаемый темп годового роста цен</v>
      </c>
      <c r="C590" s="5" t="s">
        <v>177</v>
      </c>
      <c r="D590" s="16" t="s">
        <v>176</v>
      </c>
      <c r="F590" s="269">
        <f t="shared" ref="F590:Q590" si="790">CHOOSE($B589,F$80,F$91)</f>
        <v>8.0000000000000002E-3</v>
      </c>
      <c r="G590" s="269">
        <f t="shared" si="790"/>
        <v>8.0000000000000002E-3</v>
      </c>
      <c r="H590" s="269">
        <f t="shared" si="790"/>
        <v>8.0000000000000002E-3</v>
      </c>
      <c r="I590" s="269">
        <f t="shared" si="790"/>
        <v>8.0000000000000002E-3</v>
      </c>
      <c r="J590" s="269">
        <f t="shared" si="790"/>
        <v>8.0000000000000002E-3</v>
      </c>
      <c r="K590" s="269">
        <f t="shared" si="790"/>
        <v>8.0000000000000002E-3</v>
      </c>
      <c r="L590" s="269">
        <f t="shared" si="790"/>
        <v>8.0000000000000002E-3</v>
      </c>
      <c r="M590" s="269">
        <f t="shared" si="790"/>
        <v>8.0000000000000002E-3</v>
      </c>
      <c r="N590" s="269">
        <f t="shared" si="790"/>
        <v>8.0000000000000002E-3</v>
      </c>
      <c r="O590" s="269">
        <f t="shared" si="790"/>
        <v>8.0000000000000002E-3</v>
      </c>
      <c r="P590" s="269">
        <f t="shared" si="790"/>
        <v>8.0000000000000002E-3</v>
      </c>
      <c r="Q590" s="269">
        <f t="shared" si="790"/>
        <v>8.0000000000000002E-3</v>
      </c>
    </row>
    <row r="591" spans="1:17" hidden="1" outlineLevel="2" x14ac:dyDescent="0.2">
      <c r="A591" t="str">
        <f ca="1">Language!A$106</f>
        <v>То же, в пересчете на период, равный шагу проекта</v>
      </c>
      <c r="C591" s="5" t="s">
        <v>177</v>
      </c>
      <c r="D591" s="16" t="s">
        <v>176</v>
      </c>
      <c r="F591" s="30">
        <f t="shared" ref="F591:Q591" si="791">POWER(1+F590,PRJ_Step/360)-1</f>
        <v>6.6423464362252993E-4</v>
      </c>
      <c r="G591" s="30">
        <f t="shared" si="791"/>
        <v>6.6423464362252993E-4</v>
      </c>
      <c r="H591" s="30">
        <f t="shared" si="791"/>
        <v>6.6423464362252993E-4</v>
      </c>
      <c r="I591" s="30">
        <f t="shared" si="791"/>
        <v>6.6423464362252993E-4</v>
      </c>
      <c r="J591" s="30">
        <f t="shared" si="791"/>
        <v>6.6423464362252993E-4</v>
      </c>
      <c r="K591" s="30">
        <f t="shared" si="791"/>
        <v>6.6423464362252993E-4</v>
      </c>
      <c r="L591" s="30">
        <f t="shared" si="791"/>
        <v>6.6423464362252993E-4</v>
      </c>
      <c r="M591" s="30">
        <f t="shared" si="791"/>
        <v>6.6423464362252993E-4</v>
      </c>
      <c r="N591" s="30">
        <f t="shared" si="791"/>
        <v>6.6423464362252993E-4</v>
      </c>
      <c r="O591" s="30">
        <f t="shared" si="791"/>
        <v>6.6423464362252993E-4</v>
      </c>
      <c r="P591" s="30">
        <f t="shared" si="791"/>
        <v>6.6423464362252993E-4</v>
      </c>
      <c r="Q591" s="30">
        <f t="shared" si="791"/>
        <v>6.6423464362252993E-4</v>
      </c>
    </row>
    <row r="592" spans="1:17" hidden="1" outlineLevel="2" x14ac:dyDescent="0.2">
      <c r="A592" t="str">
        <f ca="1">Language!A$533</f>
        <v xml:space="preserve">    цена без НДС и акцизов</v>
      </c>
      <c r="B592" s="36" t="str">
        <f ca="1">Language!A$537</f>
        <v>Адвалорные</v>
      </c>
      <c r="C592" s="36" t="str">
        <f ca="1">Language!A$538</f>
        <v>Твердые</v>
      </c>
      <c r="D592" s="46" t="s">
        <v>176</v>
      </c>
      <c r="F592" s="82">
        <f t="shared" ref="F592:Q592" si="792">(F589/(1+$B595)-$C593)/(1+$B593)</f>
        <v>12000</v>
      </c>
      <c r="G592" s="82">
        <f t="shared" si="792"/>
        <v>12000</v>
      </c>
      <c r="H592" s="82">
        <f t="shared" si="792"/>
        <v>12000</v>
      </c>
      <c r="I592" s="82">
        <f t="shared" si="792"/>
        <v>12000</v>
      </c>
      <c r="J592" s="82">
        <f t="shared" si="792"/>
        <v>12000</v>
      </c>
      <c r="K592" s="82">
        <f t="shared" si="792"/>
        <v>12000</v>
      </c>
      <c r="L592" s="82">
        <f t="shared" si="792"/>
        <v>12000</v>
      </c>
      <c r="M592" s="82">
        <f t="shared" si="792"/>
        <v>12000</v>
      </c>
      <c r="N592" s="82">
        <f t="shared" si="792"/>
        <v>12000</v>
      </c>
      <c r="O592" s="82">
        <f t="shared" si="792"/>
        <v>12000</v>
      </c>
      <c r="P592" s="82">
        <f t="shared" si="792"/>
        <v>12000</v>
      </c>
      <c r="Q592" s="82">
        <f t="shared" si="792"/>
        <v>12000</v>
      </c>
    </row>
    <row r="593" spans="1:19" hidden="1" outlineLevel="2" x14ac:dyDescent="0.2">
      <c r="A593" t="str">
        <f ca="1">Language!A$534</f>
        <v xml:space="preserve">    акцизы</v>
      </c>
      <c r="B593" s="282">
        <v>0</v>
      </c>
      <c r="C593" s="284">
        <v>0</v>
      </c>
      <c r="D593" s="46" t="s">
        <v>176</v>
      </c>
      <c r="F593" s="82">
        <f t="shared" ref="F593:Q593" si="793">F592*$B593+$C593</f>
        <v>0</v>
      </c>
      <c r="G593" s="82">
        <f t="shared" si="793"/>
        <v>0</v>
      </c>
      <c r="H593" s="82">
        <f t="shared" si="793"/>
        <v>0</v>
      </c>
      <c r="I593" s="82">
        <f t="shared" si="793"/>
        <v>0</v>
      </c>
      <c r="J593" s="82">
        <f t="shared" si="793"/>
        <v>0</v>
      </c>
      <c r="K593" s="82">
        <f t="shared" si="793"/>
        <v>0</v>
      </c>
      <c r="L593" s="82">
        <f t="shared" si="793"/>
        <v>0</v>
      </c>
      <c r="M593" s="82">
        <f t="shared" si="793"/>
        <v>0</v>
      </c>
      <c r="N593" s="82">
        <f t="shared" si="793"/>
        <v>0</v>
      </c>
      <c r="O593" s="82">
        <f t="shared" si="793"/>
        <v>0</v>
      </c>
      <c r="P593" s="82">
        <f t="shared" si="793"/>
        <v>0</v>
      </c>
      <c r="Q593" s="82">
        <f t="shared" si="793"/>
        <v>0</v>
      </c>
    </row>
    <row r="594" spans="1:19" hidden="1" outlineLevel="2" x14ac:dyDescent="0.2">
      <c r="A594" t="str">
        <f ca="1">Language!A$535</f>
        <v xml:space="preserve">    налог с продаж</v>
      </c>
      <c r="B594" s="283">
        <v>0</v>
      </c>
      <c r="C594" s="80" t="str">
        <f ca="1">CHOOSE(B589,CUR_Main,CUR_Foreign)</f>
        <v>руб.</v>
      </c>
      <c r="D594" s="46" t="s">
        <v>176</v>
      </c>
      <c r="F594" s="82">
        <f t="shared" ref="F594:Q594" si="794">(F592+F593)*$B594</f>
        <v>0</v>
      </c>
      <c r="G594" s="82">
        <f t="shared" si="794"/>
        <v>0</v>
      </c>
      <c r="H594" s="82">
        <f t="shared" si="794"/>
        <v>0</v>
      </c>
      <c r="I594" s="82">
        <f t="shared" si="794"/>
        <v>0</v>
      </c>
      <c r="J594" s="82">
        <f t="shared" si="794"/>
        <v>0</v>
      </c>
      <c r="K594" s="82">
        <f t="shared" si="794"/>
        <v>0</v>
      </c>
      <c r="L594" s="82">
        <f t="shared" si="794"/>
        <v>0</v>
      </c>
      <c r="M594" s="82">
        <f t="shared" si="794"/>
        <v>0</v>
      </c>
      <c r="N594" s="82">
        <f t="shared" si="794"/>
        <v>0</v>
      </c>
      <c r="O594" s="82">
        <f t="shared" si="794"/>
        <v>0</v>
      </c>
      <c r="P594" s="82">
        <f t="shared" si="794"/>
        <v>0</v>
      </c>
      <c r="Q594" s="82">
        <f t="shared" si="794"/>
        <v>0</v>
      </c>
    </row>
    <row r="595" spans="1:19" hidden="1" outlineLevel="2" x14ac:dyDescent="0.2">
      <c r="A595" t="str">
        <f ca="1">Language!A$536</f>
        <v xml:space="preserve">    НДС</v>
      </c>
      <c r="B595" s="283">
        <f>VAT</f>
        <v>0</v>
      </c>
      <c r="C595" s="81" t="str">
        <f ca="1">CHOOSE(B589,CUR_Main,CUR_Foreign)</f>
        <v>руб.</v>
      </c>
      <c r="D595" s="46" t="s">
        <v>176</v>
      </c>
      <c r="F595" s="82">
        <f t="shared" ref="F595:M595" si="795">(F592+F593)*$B595</f>
        <v>0</v>
      </c>
      <c r="G595" s="82">
        <f t="shared" si="795"/>
        <v>0</v>
      </c>
      <c r="H595" s="82">
        <f t="shared" si="795"/>
        <v>0</v>
      </c>
      <c r="I595" s="82">
        <f t="shared" si="795"/>
        <v>0</v>
      </c>
      <c r="J595" s="82">
        <f t="shared" si="795"/>
        <v>0</v>
      </c>
      <c r="K595" s="82">
        <f t="shared" si="795"/>
        <v>0</v>
      </c>
      <c r="L595" s="82">
        <f t="shared" si="795"/>
        <v>0</v>
      </c>
      <c r="M595" s="82">
        <f t="shared" si="795"/>
        <v>0</v>
      </c>
      <c r="N595" s="82">
        <f t="shared" ref="N595" si="796">(N592+N593)*$B595</f>
        <v>0</v>
      </c>
      <c r="O595" s="82">
        <f t="shared" ref="O595" si="797">(O592+O593)*$B595</f>
        <v>0</v>
      </c>
      <c r="P595" s="82">
        <f t="shared" ref="P595:Q595" si="798">(P592+P593)*$B595</f>
        <v>0</v>
      </c>
      <c r="Q595" s="82">
        <f t="shared" si="798"/>
        <v>0</v>
      </c>
    </row>
    <row r="596" spans="1:19" outlineLevel="1" x14ac:dyDescent="0.2"/>
    <row r="597" spans="1:19" outlineLevel="1" x14ac:dyDescent="0.2">
      <c r="A597" s="63"/>
      <c r="B597" s="63"/>
      <c r="C597" s="63"/>
      <c r="D597" s="63"/>
      <c r="E597" s="63"/>
      <c r="F597" s="63"/>
      <c r="G597" s="63"/>
      <c r="H597" s="63"/>
      <c r="I597" s="63"/>
      <c r="J597" s="63"/>
      <c r="K597" s="63"/>
      <c r="L597" s="63"/>
      <c r="M597" s="63"/>
      <c r="N597" s="63"/>
      <c r="O597" s="63"/>
      <c r="P597" s="63"/>
      <c r="Q597" s="63"/>
      <c r="R597" s="63"/>
      <c r="S597" s="64"/>
    </row>
    <row r="598" spans="1:19" outlineLevel="1" x14ac:dyDescent="0.2">
      <c r="A598" s="27"/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N598" s="27"/>
      <c r="O598" s="27"/>
      <c r="P598" s="27"/>
      <c r="Q598" s="27"/>
      <c r="R598" s="27"/>
      <c r="S598" s="20"/>
    </row>
    <row r="599" spans="1:19" s="4" customFormat="1" ht="16" customHeight="1" thickBot="1" x14ac:dyDescent="0.25">
      <c r="A599" s="166" t="str">
        <f ca="1">Language!A539</f>
        <v xml:space="preserve">         ДОХОДЫ ОТ ПРОДАЖ</v>
      </c>
      <c r="B599" s="166"/>
      <c r="C599" s="166"/>
      <c r="D599" s="166"/>
      <c r="E599" s="166"/>
      <c r="F599" s="178" t="str">
        <f t="shared" ref="F599:Q599" si="799">PeriodTitle</f>
        <v>4/ 2024</v>
      </c>
      <c r="G599" s="178" t="str">
        <f t="shared" si="799"/>
        <v>5/ 2024</v>
      </c>
      <c r="H599" s="178" t="str">
        <f t="shared" si="799"/>
        <v>6/ 2024</v>
      </c>
      <c r="I599" s="178" t="str">
        <f t="shared" si="799"/>
        <v>7/ 2024</v>
      </c>
      <c r="J599" s="178" t="str">
        <f t="shared" si="799"/>
        <v>8/ 2024</v>
      </c>
      <c r="K599" s="178" t="str">
        <f t="shared" si="799"/>
        <v>9/ 2024</v>
      </c>
      <c r="L599" s="178" t="str">
        <f t="shared" si="799"/>
        <v>10/ 2024</v>
      </c>
      <c r="M599" s="178" t="str">
        <f t="shared" si="799"/>
        <v>11/ 2024</v>
      </c>
      <c r="N599" s="178" t="str">
        <f t="shared" si="799"/>
        <v>12/ 2024</v>
      </c>
      <c r="O599" s="178" t="str">
        <f t="shared" si="799"/>
        <v>1/ 2025</v>
      </c>
      <c r="P599" s="178" t="str">
        <f t="shared" si="799"/>
        <v>2/ 2025</v>
      </c>
      <c r="Q599" s="178" t="str">
        <f t="shared" si="799"/>
        <v>3/ 2025</v>
      </c>
      <c r="R599" s="166"/>
      <c r="S599" s="195" t="str">
        <f ca="1">Language!$A$371</f>
        <v>ИТОГО</v>
      </c>
    </row>
    <row r="600" spans="1:19" ht="10.5" outlineLevel="1" thickTop="1" x14ac:dyDescent="0.2">
      <c r="D600">
        <v>0</v>
      </c>
      <c r="E600">
        <v>8</v>
      </c>
    </row>
    <row r="601" spans="1:19" outlineLevel="1" collapsed="1" x14ac:dyDescent="0.2">
      <c r="A601" t="str">
        <f>A541</f>
        <v>Наименование товара</v>
      </c>
      <c r="C601" s="5" t="str">
        <f ca="1">CHOOSE(B561,CUR_Main,CUR_Foreign)</f>
        <v>руб.</v>
      </c>
      <c r="D601" s="46" t="str">
        <f>TEXT(B561,"0")&amp;"_01"</f>
        <v>1_01</v>
      </c>
      <c r="F601" s="83">
        <f t="shared" ref="F601:M601" si="800">F602+F551*F567</f>
        <v>0</v>
      </c>
      <c r="G601" s="83">
        <f t="shared" si="800"/>
        <v>0</v>
      </c>
      <c r="H601" s="83">
        <f t="shared" si="800"/>
        <v>0</v>
      </c>
      <c r="I601" s="83">
        <f t="shared" si="800"/>
        <v>0</v>
      </c>
      <c r="J601" s="83">
        <f t="shared" si="800"/>
        <v>0</v>
      </c>
      <c r="K601" s="83">
        <f t="shared" si="800"/>
        <v>0</v>
      </c>
      <c r="L601" s="83">
        <f t="shared" si="800"/>
        <v>0</v>
      </c>
      <c r="M601" s="83">
        <f t="shared" si="800"/>
        <v>0</v>
      </c>
      <c r="N601" s="83">
        <f t="shared" ref="N601" si="801">N602+N551*N567</f>
        <v>0</v>
      </c>
      <c r="O601" s="83">
        <f t="shared" ref="O601" si="802">O602+O551*O567</f>
        <v>0</v>
      </c>
      <c r="P601" s="83">
        <f t="shared" ref="P601:Q601" si="803">P602+P551*P567</f>
        <v>0</v>
      </c>
      <c r="Q601" s="83">
        <f t="shared" si="803"/>
        <v>0</v>
      </c>
      <c r="S601" s="57">
        <f t="shared" ref="S601:S606" si="804">SUM(F601:Q601)</f>
        <v>0</v>
      </c>
    </row>
    <row r="602" spans="1:19" hidden="1" outlineLevel="2" x14ac:dyDescent="0.2">
      <c r="A602" t="str">
        <f ca="1">Language!A$540</f>
        <v xml:space="preserve">    к оплате от покупателей (без НДС)</v>
      </c>
      <c r="C602" s="5" t="str">
        <f ca="1">CHOOSE(B561,CUR_Main,CUR_Foreign)</f>
        <v>руб.</v>
      </c>
      <c r="D602" t="str">
        <f>TEXT(B561,"0")&amp;"_02"</f>
        <v>1_02</v>
      </c>
      <c r="F602" s="53">
        <f t="shared" ref="F602:M602" si="805">F551*(F564+F565)</f>
        <v>0</v>
      </c>
      <c r="G602" s="53">
        <f t="shared" si="805"/>
        <v>0</v>
      </c>
      <c r="H602" s="53">
        <f t="shared" si="805"/>
        <v>0</v>
      </c>
      <c r="I602" s="53">
        <f t="shared" si="805"/>
        <v>0</v>
      </c>
      <c r="J602" s="53">
        <f t="shared" si="805"/>
        <v>0</v>
      </c>
      <c r="K602" s="53">
        <f t="shared" si="805"/>
        <v>0</v>
      </c>
      <c r="L602" s="53">
        <f t="shared" si="805"/>
        <v>0</v>
      </c>
      <c r="M602" s="53">
        <f t="shared" si="805"/>
        <v>0</v>
      </c>
      <c r="N602" s="53">
        <f t="shared" ref="N602" si="806">N551*(N564+N565)</f>
        <v>0</v>
      </c>
      <c r="O602" s="53">
        <f t="shared" ref="O602" si="807">O551*(O564+O565)</f>
        <v>0</v>
      </c>
      <c r="P602" s="53">
        <f t="shared" ref="P602:Q602" si="808">P551*(P564+P565)</f>
        <v>0</v>
      </c>
      <c r="Q602" s="53">
        <f t="shared" si="808"/>
        <v>0</v>
      </c>
      <c r="S602" s="54">
        <f t="shared" si="804"/>
        <v>0</v>
      </c>
    </row>
    <row r="603" spans="1:19" hidden="1" outlineLevel="2" x14ac:dyDescent="0.2">
      <c r="A603" t="str">
        <f ca="1">Language!A$541</f>
        <v xml:space="preserve">    в т.ч. акцизов, налогов и пошлин</v>
      </c>
      <c r="C603" s="5" t="str">
        <f ca="1">CHOOSE(B561,CUR_Main,CUR_Foreign)</f>
        <v>руб.</v>
      </c>
      <c r="D603" t="str">
        <f>TEXT(B561,"0")&amp;"_03"</f>
        <v>1_03</v>
      </c>
      <c r="F603" s="53">
        <f t="shared" ref="F603:M603" si="809">F551*(F565+F566)</f>
        <v>0</v>
      </c>
      <c r="G603" s="53">
        <f t="shared" si="809"/>
        <v>0</v>
      </c>
      <c r="H603" s="53">
        <f t="shared" si="809"/>
        <v>0</v>
      </c>
      <c r="I603" s="53">
        <f t="shared" si="809"/>
        <v>0</v>
      </c>
      <c r="J603" s="53">
        <f t="shared" si="809"/>
        <v>0</v>
      </c>
      <c r="K603" s="53">
        <f t="shared" si="809"/>
        <v>0</v>
      </c>
      <c r="L603" s="53">
        <f t="shared" si="809"/>
        <v>0</v>
      </c>
      <c r="M603" s="53">
        <f t="shared" si="809"/>
        <v>0</v>
      </c>
      <c r="N603" s="53">
        <f t="shared" ref="N603" si="810">N551*(N565+N566)</f>
        <v>0</v>
      </c>
      <c r="O603" s="53">
        <f t="shared" ref="O603" si="811">O551*(O565+O566)</f>
        <v>0</v>
      </c>
      <c r="P603" s="53">
        <f t="shared" ref="P603:Q603" si="812">P551*(P565+P566)</f>
        <v>0</v>
      </c>
      <c r="Q603" s="53">
        <f t="shared" si="812"/>
        <v>0</v>
      </c>
      <c r="S603" s="54">
        <f t="shared" si="804"/>
        <v>0</v>
      </c>
    </row>
    <row r="604" spans="1:19" hidden="1" outlineLevel="2" x14ac:dyDescent="0.2">
      <c r="A604" t="str">
        <f ca="1">Language!A$542</f>
        <v xml:space="preserve">    НДС на поставленную продукцию</v>
      </c>
      <c r="C604" s="5" t="str">
        <f ca="1">CHOOSE(B561,CUR_Main,CUR_Foreign)</f>
        <v>руб.</v>
      </c>
      <c r="D604" t="str">
        <f>TEXT(B561,"0")&amp;"_08"</f>
        <v>1_08</v>
      </c>
      <c r="F604" s="84">
        <f t="shared" ref="F604:Q604" si="813">(F602-MAX(E608-F608,0)+MAX(F608-E608,0))*$B567</f>
        <v>0</v>
      </c>
      <c r="G604" s="84">
        <f t="shared" si="813"/>
        <v>0</v>
      </c>
      <c r="H604" s="84">
        <f t="shared" si="813"/>
        <v>0</v>
      </c>
      <c r="I604" s="84">
        <f t="shared" si="813"/>
        <v>0</v>
      </c>
      <c r="J604" s="84">
        <f t="shared" si="813"/>
        <v>0</v>
      </c>
      <c r="K604" s="84">
        <f t="shared" si="813"/>
        <v>0</v>
      </c>
      <c r="L604" s="84">
        <f t="shared" si="813"/>
        <v>0</v>
      </c>
      <c r="M604" s="84">
        <f t="shared" si="813"/>
        <v>0</v>
      </c>
      <c r="N604" s="84">
        <f t="shared" si="813"/>
        <v>0</v>
      </c>
      <c r="O604" s="84">
        <f t="shared" si="813"/>
        <v>0</v>
      </c>
      <c r="P604" s="84">
        <f t="shared" si="813"/>
        <v>0</v>
      </c>
      <c r="Q604" s="84">
        <f t="shared" si="813"/>
        <v>0</v>
      </c>
      <c r="S604" s="54">
        <f t="shared" si="804"/>
        <v>0</v>
      </c>
    </row>
    <row r="605" spans="1:19" hidden="1" outlineLevel="2" x14ac:dyDescent="0.2">
      <c r="A605" t="str">
        <f ca="1">Language!A$543</f>
        <v xml:space="preserve">    график оплаты (без НДС)</v>
      </c>
      <c r="C605" s="5" t="str">
        <f ca="1">CHOOSE(B561,CUR_Main,CUR_Foreign)</f>
        <v>руб.</v>
      </c>
      <c r="D605" t="str">
        <f>TEXT(B561,"0")&amp;"_04"</f>
        <v>1_04</v>
      </c>
      <c r="F605" s="272">
        <f t="shared" ref="F605:M605" si="814">F602</f>
        <v>0</v>
      </c>
      <c r="G605" s="272">
        <f t="shared" si="814"/>
        <v>0</v>
      </c>
      <c r="H605" s="272">
        <f t="shared" si="814"/>
        <v>0</v>
      </c>
      <c r="I605" s="272">
        <f t="shared" si="814"/>
        <v>0</v>
      </c>
      <c r="J605" s="272">
        <f t="shared" si="814"/>
        <v>0</v>
      </c>
      <c r="K605" s="272">
        <f t="shared" si="814"/>
        <v>0</v>
      </c>
      <c r="L605" s="272">
        <f t="shared" si="814"/>
        <v>0</v>
      </c>
      <c r="M605" s="272">
        <f t="shared" si="814"/>
        <v>0</v>
      </c>
      <c r="N605" s="272">
        <f t="shared" ref="N605" si="815">N602</f>
        <v>0</v>
      </c>
      <c r="O605" s="272">
        <f t="shared" ref="O605" si="816">O602</f>
        <v>0</v>
      </c>
      <c r="P605" s="272">
        <f t="shared" ref="P605:Q605" si="817">P602</f>
        <v>0</v>
      </c>
      <c r="Q605" s="272">
        <f t="shared" si="817"/>
        <v>0</v>
      </c>
      <c r="S605" s="54">
        <f t="shared" si="804"/>
        <v>0</v>
      </c>
    </row>
    <row r="606" spans="1:19" hidden="1" outlineLevel="2" x14ac:dyDescent="0.2">
      <c r="A606" t="str">
        <f ca="1">Language!A$544</f>
        <v xml:space="preserve">    полученный НДС</v>
      </c>
      <c r="C606" s="5" t="str">
        <f ca="1">CHOOSE(B561,CUR_Main,CUR_Foreign)</f>
        <v>руб.</v>
      </c>
      <c r="D606" t="str">
        <f>TEXT(B561,"0")&amp;"_05"</f>
        <v>1_05</v>
      </c>
      <c r="F606" s="84">
        <f t="shared" ref="F606:M606" si="818">F605*$B567</f>
        <v>0</v>
      </c>
      <c r="G606" s="84">
        <f t="shared" si="818"/>
        <v>0</v>
      </c>
      <c r="H606" s="84">
        <f t="shared" si="818"/>
        <v>0</v>
      </c>
      <c r="I606" s="84">
        <f t="shared" si="818"/>
        <v>0</v>
      </c>
      <c r="J606" s="84">
        <f t="shared" si="818"/>
        <v>0</v>
      </c>
      <c r="K606" s="84">
        <f t="shared" si="818"/>
        <v>0</v>
      </c>
      <c r="L606" s="84">
        <f t="shared" si="818"/>
        <v>0</v>
      </c>
      <c r="M606" s="84">
        <f t="shared" si="818"/>
        <v>0</v>
      </c>
      <c r="N606" s="84">
        <f t="shared" ref="N606" si="819">N605*$B567</f>
        <v>0</v>
      </c>
      <c r="O606" s="84">
        <f t="shared" ref="O606" si="820">O605*$B567</f>
        <v>0</v>
      </c>
      <c r="P606" s="84">
        <f t="shared" ref="P606:Q606" si="821">P605*$B567</f>
        <v>0</v>
      </c>
      <c r="Q606" s="84">
        <f t="shared" si="821"/>
        <v>0</v>
      </c>
      <c r="S606" s="54">
        <f t="shared" si="804"/>
        <v>0</v>
      </c>
    </row>
    <row r="607" spans="1:19" hidden="1" outlineLevel="2" x14ac:dyDescent="0.2">
      <c r="A607" t="str">
        <f ca="1">Language!A$545</f>
        <v xml:space="preserve">    дебиторская задолженность</v>
      </c>
      <c r="C607" s="5" t="str">
        <f ca="1">CHOOSE(B561,CUR_Main,CUR_Foreign)</f>
        <v>руб.</v>
      </c>
      <c r="D607" t="str">
        <f>TEXT(B561,"0")&amp;"_06"&amp;";int_end"</f>
        <v>1_06;int_end</v>
      </c>
      <c r="F607" s="84">
        <f>IF(SUM($F601:F601)&gt;=0,MAX(SUM($F601:F601)-SUM($F605:F605)-SUM($F606:F606),0),MIN(SUM($F601:F601)-SUM($F605:F605)-SUM($F606:F606),0))</f>
        <v>0</v>
      </c>
      <c r="G607" s="84">
        <f>IF(SUM($F601:G601)&gt;=0,MAX(SUM($F601:G601)-SUM($F605:G605)-SUM($F606:G606),0),MIN(SUM($F601:G601)-SUM($F605:G605)-SUM($F606:G606),0))</f>
        <v>0</v>
      </c>
      <c r="H607" s="84">
        <f>IF(SUM($F601:H601)&gt;=0,MAX(SUM($F601:H601)-SUM($F605:H605)-SUM($F606:H606),0),MIN(SUM($F601:H601)-SUM($F605:H605)-SUM($F606:H606),0))</f>
        <v>0</v>
      </c>
      <c r="I607" s="84">
        <f>IF(SUM($F601:I601)&gt;=0,MAX(SUM($F601:I601)-SUM($F605:I605)-SUM($F606:I606),0),MIN(SUM($F601:I601)-SUM($F605:I605)-SUM($F606:I606),0))</f>
        <v>0</v>
      </c>
      <c r="J607" s="84">
        <f>IF(SUM($F601:J601)&gt;=0,MAX(SUM($F601:J601)-SUM($F605:J605)-SUM($F606:J606),0),MIN(SUM($F601:J601)-SUM($F605:J605)-SUM($F606:J606),0))</f>
        <v>0</v>
      </c>
      <c r="K607" s="84">
        <f>IF(SUM($F601:K601)&gt;=0,MAX(SUM($F601:K601)-SUM($F605:K605)-SUM($F606:K606),0),MIN(SUM($F601:K601)-SUM($F605:K605)-SUM($F606:K606),0))</f>
        <v>0</v>
      </c>
      <c r="L607" s="84">
        <f>IF(SUM($F601:L601)&gt;=0,MAX(SUM($F601:L601)-SUM($F605:L605)-SUM($F606:L606),0),MIN(SUM($F601:L601)-SUM($F605:L605)-SUM($F606:L606),0))</f>
        <v>0</v>
      </c>
      <c r="M607" s="84">
        <f>IF(SUM($F601:M601)&gt;=0,MAX(SUM($F601:M601)-SUM($F605:M605)-SUM($F606:M606),0),MIN(SUM($F601:M601)-SUM($F605:M605)-SUM($F606:M606),0))</f>
        <v>0</v>
      </c>
      <c r="N607" s="84">
        <f>IF(SUM($F601:N601)&gt;=0,MAX(SUM($F601:N601)-SUM($F605:N605)-SUM($F606:N606),0),MIN(SUM($F601:N601)-SUM($F605:N605)-SUM($F606:N606),0))</f>
        <v>0</v>
      </c>
      <c r="O607" s="84">
        <f>IF(SUM($F601:O601)&gt;=0,MAX(SUM($F601:O601)-SUM($F605:O605)-SUM($F606:O606),0),MIN(SUM($F601:O601)-SUM($F605:O605)-SUM($F606:O606),0))</f>
        <v>0</v>
      </c>
      <c r="P607" s="84">
        <f>IF(SUM($F601:P601)&gt;=0,MAX(SUM($F601:P601)-SUM($F605:P605)-SUM($F606:P606),0),MIN(SUM($F601:P601)-SUM($F605:P605)-SUM($F606:P606),0))</f>
        <v>0</v>
      </c>
      <c r="Q607" s="84">
        <f>IF(SUM($F601:Q601)&gt;=0,MAX(SUM($F601:Q601)-SUM($F605:Q605)-SUM($F606:Q606),0),MIN(SUM($F601:Q601)-SUM($F605:Q605)-SUM($F606:Q606),0))</f>
        <v>0</v>
      </c>
    </row>
    <row r="608" spans="1:19" hidden="1" outlineLevel="2" x14ac:dyDescent="0.2">
      <c r="A608" t="str">
        <f ca="1">Language!A$546</f>
        <v xml:space="preserve">    полученные авансы</v>
      </c>
      <c r="C608" s="5" t="str">
        <f ca="1">CHOOSE(B561,CUR_Main,CUR_Foreign)</f>
        <v>руб.</v>
      </c>
      <c r="D608" t="str">
        <f>TEXT(B561,"0")&amp;"_07"&amp;";int_end"</f>
        <v>1_07;int_end</v>
      </c>
      <c r="F608" s="84">
        <f>IF(SUM($F602:F602)&gt;=0,MAX(SUM($F605:F605)-SUM($F602:F602),0),MIN(SUM($F605:F605)-SUM($F602:F602),0))</f>
        <v>0</v>
      </c>
      <c r="G608" s="84">
        <f>IF(SUM($F602:G602)&gt;=0,MAX(SUM($F605:G605)-SUM($F602:G602),0),MIN(SUM($F605:G605)-SUM($F602:G602),0))</f>
        <v>0</v>
      </c>
      <c r="H608" s="84">
        <f>IF(SUM($F602:H602)&gt;=0,MAX(SUM($F605:H605)-SUM($F602:H602),0),MIN(SUM($F605:H605)-SUM($F602:H602),0))</f>
        <v>0</v>
      </c>
      <c r="I608" s="84">
        <f>IF(SUM($F602:I602)&gt;=0,MAX(SUM($F605:I605)-SUM($F602:I602),0),MIN(SUM($F605:I605)-SUM($F602:I602),0))</f>
        <v>0</v>
      </c>
      <c r="J608" s="84">
        <f>IF(SUM($F602:J602)&gt;=0,MAX(SUM($F605:J605)-SUM($F602:J602),0),MIN(SUM($F605:J605)-SUM($F602:J602),0))</f>
        <v>0</v>
      </c>
      <c r="K608" s="84">
        <f>IF(SUM($F602:K602)&gt;=0,MAX(SUM($F605:K605)-SUM($F602:K602),0),MIN(SUM($F605:K605)-SUM($F602:K602),0))</f>
        <v>0</v>
      </c>
      <c r="L608" s="84">
        <f>IF(SUM($F602:L602)&gt;=0,MAX(SUM($F605:L605)-SUM($F602:L602),0),MIN(SUM($F605:L605)-SUM($F602:L602),0))</f>
        <v>0</v>
      </c>
      <c r="M608" s="84">
        <f>IF(SUM($F602:M602)&gt;=0,MAX(SUM($F605:M605)-SUM($F602:M602),0),MIN(SUM($F605:M605)-SUM($F602:M602),0))</f>
        <v>0</v>
      </c>
      <c r="N608" s="84">
        <f>IF(SUM($F602:N602)&gt;=0,MAX(SUM($F605:N605)-SUM($F602:N602),0),MIN(SUM($F605:N605)-SUM($F602:N602),0))</f>
        <v>0</v>
      </c>
      <c r="O608" s="84">
        <f>IF(SUM($F602:O602)&gt;=0,MAX(SUM($F605:O605)-SUM($F602:O602),0),MIN(SUM($F605:O605)-SUM($F602:O602),0))</f>
        <v>0</v>
      </c>
      <c r="P608" s="84">
        <f>IF(SUM($F602:P602)&gt;=0,MAX(SUM($F605:P605)-SUM($F602:P602),0),MIN(SUM($F605:P605)-SUM($F602:P602),0))</f>
        <v>0</v>
      </c>
      <c r="Q608" s="84">
        <f>IF(SUM($F602:Q602)&gt;=0,MAX(SUM($F605:Q605)-SUM($F602:Q602),0),MIN(SUM($F605:Q605)-SUM($F602:Q602),0))</f>
        <v>0</v>
      </c>
    </row>
    <row r="609" spans="1:19" outlineLevel="1" collapsed="1" x14ac:dyDescent="0.2">
      <c r="A609" t="str">
        <f>A542</f>
        <v>Коробочная версия продукта</v>
      </c>
      <c r="C609" s="5" t="str">
        <f ca="1">CHOOSE(B568,CUR_Main,CUR_Foreign)</f>
        <v>руб.</v>
      </c>
      <c r="D609" s="46" t="str">
        <f>TEXT(B568,"0")&amp;"_01"</f>
        <v>1_01</v>
      </c>
      <c r="F609" s="83">
        <f>F610+F552*F574</f>
        <v>0</v>
      </c>
      <c r="G609" s="83">
        <f>G610+G552*G574</f>
        <v>0</v>
      </c>
      <c r="H609" s="83">
        <f>H610+H552*H574</f>
        <v>14400</v>
      </c>
      <c r="I609" s="83">
        <f>I610+I552*I574</f>
        <v>72000</v>
      </c>
      <c r="J609" s="83">
        <f>J610+J552*J574</f>
        <v>144000</v>
      </c>
      <c r="K609" s="83">
        <f>K610+K552*K574</f>
        <v>288000</v>
      </c>
      <c r="L609" s="83">
        <f>L610+L552*L574</f>
        <v>432000</v>
      </c>
      <c r="M609" s="83">
        <f>M610+M552*M574</f>
        <v>576000</v>
      </c>
      <c r="N609" s="83">
        <f>N610+N552*N574</f>
        <v>792000</v>
      </c>
      <c r="O609" s="83">
        <f>O610+O552*O574</f>
        <v>1080000</v>
      </c>
      <c r="P609" s="83">
        <f>P610+P552*P574</f>
        <v>1296000</v>
      </c>
      <c r="Q609" s="83">
        <f>Q610+Q552*Q574</f>
        <v>1440000</v>
      </c>
      <c r="S609" s="57">
        <f>SUM(F609:Q609)</f>
        <v>6134400</v>
      </c>
    </row>
    <row r="610" spans="1:19" hidden="1" outlineLevel="2" x14ac:dyDescent="0.2">
      <c r="A610" t="str">
        <f ca="1">Language!A$540</f>
        <v xml:space="preserve">    к оплате от покупателей (без НДС)</v>
      </c>
      <c r="C610" s="5" t="str">
        <f ca="1">CHOOSE(B568,CUR_Main,CUR_Foreign)</f>
        <v>руб.</v>
      </c>
      <c r="D610" t="str">
        <f>TEXT(B568,"0")&amp;"_02"</f>
        <v>1_02</v>
      </c>
      <c r="F610" s="53">
        <f>F552*(F571+F572)</f>
        <v>0</v>
      </c>
      <c r="G610" s="53">
        <f>G552*(G571+G572)</f>
        <v>0</v>
      </c>
      <c r="H610" s="53">
        <f>H552*(H571+H572)</f>
        <v>14400</v>
      </c>
      <c r="I610" s="53">
        <f>I552*(I571+I572)</f>
        <v>72000</v>
      </c>
      <c r="J610" s="53">
        <f>J552*(J571+J572)</f>
        <v>144000</v>
      </c>
      <c r="K610" s="53">
        <f>K552*(K571+K572)</f>
        <v>288000</v>
      </c>
      <c r="L610" s="53">
        <f>L552*(L571+L572)</f>
        <v>432000</v>
      </c>
      <c r="M610" s="53">
        <f>M552*(M571+M572)</f>
        <v>576000</v>
      </c>
      <c r="N610" s="53">
        <f>N552*(N571+N572)</f>
        <v>792000</v>
      </c>
      <c r="O610" s="53">
        <f>O552*(O571+O572)</f>
        <v>1080000</v>
      </c>
      <c r="P610" s="53">
        <f>P552*(P571+P572)</f>
        <v>1296000</v>
      </c>
      <c r="Q610" s="53">
        <f>Q552*(Q571+Q572)</f>
        <v>1440000</v>
      </c>
      <c r="S610" s="54">
        <f>SUM(F610:Q610)</f>
        <v>6134400</v>
      </c>
    </row>
    <row r="611" spans="1:19" hidden="1" outlineLevel="2" x14ac:dyDescent="0.2">
      <c r="A611" t="str">
        <f ca="1">Language!A$541</f>
        <v xml:space="preserve">    в т.ч. акцизов, налогов и пошлин</v>
      </c>
      <c r="C611" s="5" t="str">
        <f ca="1">CHOOSE(B568,CUR_Main,CUR_Foreign)</f>
        <v>руб.</v>
      </c>
      <c r="D611" t="str">
        <f>TEXT(B568,"0")&amp;"_03"</f>
        <v>1_03</v>
      </c>
      <c r="F611" s="53">
        <f>F552*(F572+F573)</f>
        <v>0</v>
      </c>
      <c r="G611" s="53">
        <f>G552*(G572+G573)</f>
        <v>0</v>
      </c>
      <c r="H611" s="53">
        <f>H552*(H572+H573)</f>
        <v>0</v>
      </c>
      <c r="I611" s="53">
        <f>I552*(I572+I573)</f>
        <v>0</v>
      </c>
      <c r="J611" s="53">
        <f>J552*(J572+J573)</f>
        <v>0</v>
      </c>
      <c r="K611" s="53">
        <f>K552*(K572+K573)</f>
        <v>0</v>
      </c>
      <c r="L611" s="53">
        <f>L552*(L572+L573)</f>
        <v>0</v>
      </c>
      <c r="M611" s="53">
        <f>M552*(M572+M573)</f>
        <v>0</v>
      </c>
      <c r="N611" s="53">
        <f>N552*(N572+N573)</f>
        <v>0</v>
      </c>
      <c r="O611" s="53">
        <f>O552*(O572+O573)</f>
        <v>0</v>
      </c>
      <c r="P611" s="53">
        <f>P552*(P572+P573)</f>
        <v>0</v>
      </c>
      <c r="Q611" s="53">
        <f>Q552*(Q572+Q573)</f>
        <v>0</v>
      </c>
      <c r="S611" s="54">
        <f>SUM(F611:Q611)</f>
        <v>0</v>
      </c>
    </row>
    <row r="612" spans="1:19" hidden="1" outlineLevel="2" x14ac:dyDescent="0.2">
      <c r="A612" t="str">
        <f ca="1">Language!A$542</f>
        <v xml:space="preserve">    НДС на поставленную продукцию</v>
      </c>
      <c r="C612" s="5" t="str">
        <f ca="1">CHOOSE(B568,CUR_Main,CUR_Foreign)</f>
        <v>руб.</v>
      </c>
      <c r="D612" t="str">
        <f>TEXT(B568,"0")&amp;"_08"</f>
        <v>1_08</v>
      </c>
      <c r="F612" s="84">
        <f>(F610-MAX(E616-F616,0)+MAX(F616-E616,0))*$B574</f>
        <v>0</v>
      </c>
      <c r="G612" s="84">
        <f>(G610-MAX(F616-G616,0)+MAX(G616-F616,0))*$B574</f>
        <v>0</v>
      </c>
      <c r="H612" s="84">
        <f>(H610-MAX(G616-H616,0)+MAX(H616-G616,0))*$B574</f>
        <v>0</v>
      </c>
      <c r="I612" s="84">
        <f>(I610-MAX(H616-I616,0)+MAX(I616-H616,0))*$B574</f>
        <v>0</v>
      </c>
      <c r="J612" s="84">
        <f>(J610-MAX(I616-J616,0)+MAX(J616-I616,0))*$B574</f>
        <v>0</v>
      </c>
      <c r="K612" s="84">
        <f>(K610-MAX(J616-K616,0)+MAX(K616-J616,0))*$B574</f>
        <v>0</v>
      </c>
      <c r="L612" s="84">
        <f>(L610-MAX(K616-L616,0)+MAX(L616-K616,0))*$B574</f>
        <v>0</v>
      </c>
      <c r="M612" s="84">
        <f>(M610-MAX(L616-M616,0)+MAX(M616-L616,0))*$B574</f>
        <v>0</v>
      </c>
      <c r="N612" s="84">
        <f>(N610-MAX(M616-N616,0)+MAX(N616-M616,0))*$B574</f>
        <v>0</v>
      </c>
      <c r="O612" s="84">
        <f>(O610-MAX(N616-O616,0)+MAX(O616-N616,0))*$B574</f>
        <v>0</v>
      </c>
      <c r="P612" s="84">
        <f>(P610-MAX(O616-P616,0)+MAX(P616-O616,0))*$B574</f>
        <v>0</v>
      </c>
      <c r="Q612" s="84">
        <f>(Q610-MAX(P616-Q616,0)+MAX(Q616-P616,0))*$B574</f>
        <v>0</v>
      </c>
      <c r="S612" s="54">
        <f>SUM(F612:Q612)</f>
        <v>0</v>
      </c>
    </row>
    <row r="613" spans="1:19" hidden="1" outlineLevel="2" x14ac:dyDescent="0.2">
      <c r="A613" t="str">
        <f ca="1">Language!A$543</f>
        <v xml:space="preserve">    график оплаты (без НДС)</v>
      </c>
      <c r="C613" s="5" t="str">
        <f ca="1">CHOOSE(B568,CUR_Main,CUR_Foreign)</f>
        <v>руб.</v>
      </c>
      <c r="D613" t="str">
        <f>TEXT(B568,"0")&amp;"_04"</f>
        <v>1_04</v>
      </c>
      <c r="F613" s="272">
        <f>F610</f>
        <v>0</v>
      </c>
      <c r="G613" s="272">
        <f>G610</f>
        <v>0</v>
      </c>
      <c r="H613" s="272">
        <f>H610</f>
        <v>14400</v>
      </c>
      <c r="I613" s="272">
        <f>I610</f>
        <v>72000</v>
      </c>
      <c r="J613" s="272">
        <f>J610</f>
        <v>144000</v>
      </c>
      <c r="K613" s="272">
        <f>K610</f>
        <v>288000</v>
      </c>
      <c r="L613" s="272">
        <f>L610</f>
        <v>432000</v>
      </c>
      <c r="M613" s="272">
        <f>M610</f>
        <v>576000</v>
      </c>
      <c r="N613" s="272">
        <f>N610</f>
        <v>792000</v>
      </c>
      <c r="O613" s="272">
        <f>O610</f>
        <v>1080000</v>
      </c>
      <c r="P613" s="272">
        <f>P610</f>
        <v>1296000</v>
      </c>
      <c r="Q613" s="272">
        <f>Q610</f>
        <v>1440000</v>
      </c>
      <c r="S613" s="54">
        <f>SUM(F613:Q613)</f>
        <v>6134400</v>
      </c>
    </row>
    <row r="614" spans="1:19" hidden="1" outlineLevel="2" x14ac:dyDescent="0.2">
      <c r="A614" t="str">
        <f ca="1">Language!A$544</f>
        <v xml:space="preserve">    полученный НДС</v>
      </c>
      <c r="C614" s="5" t="str">
        <f ca="1">CHOOSE(B568,CUR_Main,CUR_Foreign)</f>
        <v>руб.</v>
      </c>
      <c r="D614" t="str">
        <f>TEXT(B568,"0")&amp;"_05"</f>
        <v>1_05</v>
      </c>
      <c r="F614" s="84">
        <f>F613*$B574</f>
        <v>0</v>
      </c>
      <c r="G614" s="84">
        <f>G613*$B574</f>
        <v>0</v>
      </c>
      <c r="H614" s="84">
        <f>H613*$B574</f>
        <v>0</v>
      </c>
      <c r="I614" s="84">
        <f>I613*$B574</f>
        <v>0</v>
      </c>
      <c r="J614" s="84">
        <f>J613*$B574</f>
        <v>0</v>
      </c>
      <c r="K614" s="84">
        <f>K613*$B574</f>
        <v>0</v>
      </c>
      <c r="L614" s="84">
        <f>L613*$B574</f>
        <v>0</v>
      </c>
      <c r="M614" s="84">
        <f>M613*$B574</f>
        <v>0</v>
      </c>
      <c r="N614" s="84">
        <f>N613*$B574</f>
        <v>0</v>
      </c>
      <c r="O614" s="84">
        <f>O613*$B574</f>
        <v>0</v>
      </c>
      <c r="P614" s="84">
        <f>P613*$B574</f>
        <v>0</v>
      </c>
      <c r="Q614" s="84">
        <f>Q613*$B574</f>
        <v>0</v>
      </c>
      <c r="S614" s="54">
        <f>SUM(F614:Q614)</f>
        <v>0</v>
      </c>
    </row>
    <row r="615" spans="1:19" hidden="1" outlineLevel="2" x14ac:dyDescent="0.2">
      <c r="A615" t="str">
        <f ca="1">Language!A$545</f>
        <v xml:space="preserve">    дебиторская задолженность</v>
      </c>
      <c r="C615" s="5" t="str">
        <f ca="1">CHOOSE(B568,CUR_Main,CUR_Foreign)</f>
        <v>руб.</v>
      </c>
      <c r="D615" t="str">
        <f>TEXT(B568,"0")&amp;"_06"&amp;";int_end"</f>
        <v>1_06;int_end</v>
      </c>
      <c r="F615" s="84">
        <f>IF(SUM($F609:F609)&gt;=0,MAX(SUM($F609:F609)-SUM($F613:F613)-SUM($F614:F614),0),MIN(SUM($F609:F609)-SUM($F613:F613)-SUM($F614:F614),0))</f>
        <v>0</v>
      </c>
      <c r="G615" s="84">
        <f>IF(SUM($F609:G609)&gt;=0,MAX(SUM($F609:G609)-SUM($F613:G613)-SUM($F614:G614),0),MIN(SUM($F609:G609)-SUM($F613:G613)-SUM($F614:G614),0))</f>
        <v>0</v>
      </c>
      <c r="H615" s="84">
        <f>IF(SUM($F609:H609)&gt;=0,MAX(SUM($F609:H609)-SUM($F613:H613)-SUM($F614:H614),0),MIN(SUM($F609:H609)-SUM($F613:H613)-SUM($F614:H614),0))</f>
        <v>0</v>
      </c>
      <c r="I615" s="84">
        <f>IF(SUM($F609:I609)&gt;=0,MAX(SUM($F609:I609)-SUM($F613:I613)-SUM($F614:I614),0),MIN(SUM($F609:I609)-SUM($F613:I613)-SUM($F614:I614),0))</f>
        <v>0</v>
      </c>
      <c r="J615" s="84">
        <f>IF(SUM($F609:J609)&gt;=0,MAX(SUM($F609:J609)-SUM($F613:J613)-SUM($F614:J614),0),MIN(SUM($F609:J609)-SUM($F613:J613)-SUM($F614:J614),0))</f>
        <v>0</v>
      </c>
      <c r="K615" s="84">
        <f>IF(SUM($F609:K609)&gt;=0,MAX(SUM($F609:K609)-SUM($F613:K613)-SUM($F614:K614),0),MIN(SUM($F609:K609)-SUM($F613:K613)-SUM($F614:K614),0))</f>
        <v>0</v>
      </c>
      <c r="L615" s="84">
        <f>IF(SUM($F609:L609)&gt;=0,MAX(SUM($F609:L609)-SUM($F613:L613)-SUM($F614:L614),0),MIN(SUM($F609:L609)-SUM($F613:L613)-SUM($F614:L614),0))</f>
        <v>0</v>
      </c>
      <c r="M615" s="84">
        <f>IF(SUM($F609:M609)&gt;=0,MAX(SUM($F609:M609)-SUM($F613:M613)-SUM($F614:M614),0),MIN(SUM($F609:M609)-SUM($F613:M613)-SUM($F614:M614),0))</f>
        <v>0</v>
      </c>
      <c r="N615" s="84">
        <f>IF(SUM($F609:N609)&gt;=0,MAX(SUM($F609:N609)-SUM($F613:N613)-SUM($F614:N614),0),MIN(SUM($F609:N609)-SUM($F613:N613)-SUM($F614:N614),0))</f>
        <v>0</v>
      </c>
      <c r="O615" s="84">
        <f>IF(SUM($F609:O609)&gt;=0,MAX(SUM($F609:O609)-SUM($F613:O613)-SUM($F614:O614),0),MIN(SUM($F609:O609)-SUM($F613:O613)-SUM($F614:O614),0))</f>
        <v>0</v>
      </c>
      <c r="P615" s="84">
        <f>IF(SUM($F609:P609)&gt;=0,MAX(SUM($F609:P609)-SUM($F613:P613)-SUM($F614:P614),0),MIN(SUM($F609:P609)-SUM($F613:P613)-SUM($F614:P614),0))</f>
        <v>0</v>
      </c>
      <c r="Q615" s="84">
        <f>IF(SUM($F609:Q609)&gt;=0,MAX(SUM($F609:Q609)-SUM($F613:Q613)-SUM($F614:Q614),0),MIN(SUM($F609:Q609)-SUM($F613:Q613)-SUM($F614:Q614),0))</f>
        <v>0</v>
      </c>
    </row>
    <row r="616" spans="1:19" hidden="1" outlineLevel="2" x14ac:dyDescent="0.2">
      <c r="A616" t="str">
        <f ca="1">Language!A$546</f>
        <v xml:space="preserve">    полученные авансы</v>
      </c>
      <c r="C616" s="5" t="str">
        <f ca="1">CHOOSE(B568,CUR_Main,CUR_Foreign)</f>
        <v>руб.</v>
      </c>
      <c r="D616" t="str">
        <f>TEXT(B568,"0")&amp;"_07"&amp;";int_end"</f>
        <v>1_07;int_end</v>
      </c>
      <c r="F616" s="84">
        <f>IF(SUM($F610:F610)&gt;=0,MAX(SUM($F613:F613)-SUM($F610:F610),0),MIN(SUM($F613:F613)-SUM($F610:F610),0))</f>
        <v>0</v>
      </c>
      <c r="G616" s="84">
        <f>IF(SUM($F610:G610)&gt;=0,MAX(SUM($F613:G613)-SUM($F610:G610),0),MIN(SUM($F613:G613)-SUM($F610:G610),0))</f>
        <v>0</v>
      </c>
      <c r="H616" s="84">
        <f>IF(SUM($F610:H610)&gt;=0,MAX(SUM($F613:H613)-SUM($F610:H610),0),MIN(SUM($F613:H613)-SUM($F610:H610),0))</f>
        <v>0</v>
      </c>
      <c r="I616" s="84">
        <f>IF(SUM($F610:I610)&gt;=0,MAX(SUM($F613:I613)-SUM($F610:I610),0),MIN(SUM($F613:I613)-SUM($F610:I610),0))</f>
        <v>0</v>
      </c>
      <c r="J616" s="84">
        <f>IF(SUM($F610:J610)&gt;=0,MAX(SUM($F613:J613)-SUM($F610:J610),0),MIN(SUM($F613:J613)-SUM($F610:J610),0))</f>
        <v>0</v>
      </c>
      <c r="K616" s="84">
        <f>IF(SUM($F610:K610)&gt;=0,MAX(SUM($F613:K613)-SUM($F610:K610),0),MIN(SUM($F613:K613)-SUM($F610:K610),0))</f>
        <v>0</v>
      </c>
      <c r="L616" s="84">
        <f>IF(SUM($F610:L610)&gt;=0,MAX(SUM($F613:L613)-SUM($F610:L610),0),MIN(SUM($F613:L613)-SUM($F610:L610),0))</f>
        <v>0</v>
      </c>
      <c r="M616" s="84">
        <f>IF(SUM($F610:M610)&gt;=0,MAX(SUM($F613:M613)-SUM($F610:M610),0),MIN(SUM($F613:M613)-SUM($F610:M610),0))</f>
        <v>0</v>
      </c>
      <c r="N616" s="84">
        <f>IF(SUM($F610:N610)&gt;=0,MAX(SUM($F613:N613)-SUM($F610:N610),0),MIN(SUM($F613:N613)-SUM($F610:N610),0))</f>
        <v>0</v>
      </c>
      <c r="O616" s="84">
        <f>IF(SUM($F610:O610)&gt;=0,MAX(SUM($F613:O613)-SUM($F610:O610),0),MIN(SUM($F613:O613)-SUM($F610:O610),0))</f>
        <v>0</v>
      </c>
      <c r="P616" s="84">
        <f>IF(SUM($F610:P610)&gt;=0,MAX(SUM($F613:P613)-SUM($F610:P610),0),MIN(SUM($F613:P613)-SUM($F610:P610),0))</f>
        <v>0</v>
      </c>
      <c r="Q616" s="84">
        <f>IF(SUM($F610:Q610)&gt;=0,MAX(SUM($F613:Q613)-SUM($F610:Q610),0),MIN(SUM($F613:Q613)-SUM($F610:Q610),0))</f>
        <v>0</v>
      </c>
    </row>
    <row r="617" spans="1:19" outlineLevel="1" collapsed="1" x14ac:dyDescent="0.2">
      <c r="A617" t="str">
        <f>A543</f>
        <v>Исключительные права</v>
      </c>
      <c r="C617" s="5" t="str">
        <f ca="1">CHOOSE(B575,CUR_Main,CUR_Foreign)</f>
        <v>руб.</v>
      </c>
      <c r="D617" s="46" t="str">
        <f>TEXT(B575,"0")&amp;"_01"</f>
        <v>1_01</v>
      </c>
      <c r="F617" s="83">
        <f>F618+F553*F581</f>
        <v>0</v>
      </c>
      <c r="G617" s="83">
        <f>G618+G553*G581</f>
        <v>0</v>
      </c>
      <c r="H617" s="83">
        <f>H618+H553*H581</f>
        <v>21000</v>
      </c>
      <c r="I617" s="83">
        <f>I618+I553*I581</f>
        <v>105000.00000000001</v>
      </c>
      <c r="J617" s="83">
        <f>J618+J553*J581</f>
        <v>210000.00000000003</v>
      </c>
      <c r="K617" s="83">
        <f>K618+K553*K581</f>
        <v>420000.00000000006</v>
      </c>
      <c r="L617" s="83">
        <f>L618+L553*L581</f>
        <v>629999.99999999988</v>
      </c>
      <c r="M617" s="83">
        <f>M618+M553*M581</f>
        <v>840000.00000000012</v>
      </c>
      <c r="N617" s="83">
        <f>N618+N553*N581</f>
        <v>1155000</v>
      </c>
      <c r="O617" s="83">
        <f>O618+O553*O581</f>
        <v>1575000</v>
      </c>
      <c r="P617" s="83">
        <f>P618+P553*P581</f>
        <v>1890000.0000000002</v>
      </c>
      <c r="Q617" s="83">
        <f>Q618+Q553*Q581</f>
        <v>2100000</v>
      </c>
      <c r="S617" s="57">
        <f>SUM(F617:Q617)</f>
        <v>8946000</v>
      </c>
    </row>
    <row r="618" spans="1:19" hidden="1" outlineLevel="2" x14ac:dyDescent="0.2">
      <c r="A618" t="str">
        <f ca="1">Language!A$540</f>
        <v xml:space="preserve">    к оплате от покупателей (без НДС)</v>
      </c>
      <c r="C618" s="5" t="str">
        <f ca="1">CHOOSE(B575,CUR_Main,CUR_Foreign)</f>
        <v>руб.</v>
      </c>
      <c r="D618" t="str">
        <f>TEXT(B575,"0")&amp;"_02"</f>
        <v>1_02</v>
      </c>
      <c r="F618" s="53">
        <f>F553*(F578+F579)</f>
        <v>0</v>
      </c>
      <c r="G618" s="53">
        <f>G553*(G578+G579)</f>
        <v>0</v>
      </c>
      <c r="H618" s="53">
        <f>H553*(H578+H579)</f>
        <v>21000</v>
      </c>
      <c r="I618" s="53">
        <f>I553*(I578+I579)</f>
        <v>105000.00000000001</v>
      </c>
      <c r="J618" s="53">
        <f>J553*(J578+J579)</f>
        <v>210000.00000000003</v>
      </c>
      <c r="K618" s="53">
        <f>K553*(K578+K579)</f>
        <v>420000.00000000006</v>
      </c>
      <c r="L618" s="53">
        <f>L553*(L578+L579)</f>
        <v>629999.99999999988</v>
      </c>
      <c r="M618" s="53">
        <f>M553*(M578+M579)</f>
        <v>840000.00000000012</v>
      </c>
      <c r="N618" s="53">
        <f>N553*(N578+N579)</f>
        <v>1155000</v>
      </c>
      <c r="O618" s="53">
        <f>O553*(O578+O579)</f>
        <v>1575000</v>
      </c>
      <c r="P618" s="53">
        <f>P553*(P578+P579)</f>
        <v>1890000.0000000002</v>
      </c>
      <c r="Q618" s="53">
        <f>Q553*(Q578+Q579)</f>
        <v>2100000</v>
      </c>
      <c r="S618" s="54">
        <f>SUM(F618:Q618)</f>
        <v>8946000</v>
      </c>
    </row>
    <row r="619" spans="1:19" hidden="1" outlineLevel="2" x14ac:dyDescent="0.2">
      <c r="A619" t="str">
        <f ca="1">Language!A$541</f>
        <v xml:space="preserve">    в т.ч. акцизов, налогов и пошлин</v>
      </c>
      <c r="C619" s="5" t="str">
        <f ca="1">CHOOSE(B575,CUR_Main,CUR_Foreign)</f>
        <v>руб.</v>
      </c>
      <c r="D619" t="str">
        <f>TEXT(B575,"0")&amp;"_03"</f>
        <v>1_03</v>
      </c>
      <c r="F619" s="53">
        <f>F553*(F579+F580)</f>
        <v>0</v>
      </c>
      <c r="G619" s="53">
        <f>G553*(G579+G580)</f>
        <v>0</v>
      </c>
      <c r="H619" s="53">
        <f>H553*(H579+H580)</f>
        <v>0</v>
      </c>
      <c r="I619" s="53">
        <f>I553*(I579+I580)</f>
        <v>0</v>
      </c>
      <c r="J619" s="53">
        <f>J553*(J579+J580)</f>
        <v>0</v>
      </c>
      <c r="K619" s="53">
        <f>K553*(K579+K580)</f>
        <v>0</v>
      </c>
      <c r="L619" s="53">
        <f>L553*(L579+L580)</f>
        <v>0</v>
      </c>
      <c r="M619" s="53">
        <f>M553*(M579+M580)</f>
        <v>0</v>
      </c>
      <c r="N619" s="53">
        <f>N553*(N579+N580)</f>
        <v>0</v>
      </c>
      <c r="O619" s="53">
        <f>O553*(O579+O580)</f>
        <v>0</v>
      </c>
      <c r="P619" s="53">
        <f>P553*(P579+P580)</f>
        <v>0</v>
      </c>
      <c r="Q619" s="53">
        <f>Q553*(Q579+Q580)</f>
        <v>0</v>
      </c>
      <c r="S619" s="54">
        <f>SUM(F619:Q619)</f>
        <v>0</v>
      </c>
    </row>
    <row r="620" spans="1:19" hidden="1" outlineLevel="2" x14ac:dyDescent="0.2">
      <c r="A620" t="str">
        <f ca="1">Language!A$542</f>
        <v xml:space="preserve">    НДС на поставленную продукцию</v>
      </c>
      <c r="C620" s="5" t="str">
        <f ca="1">CHOOSE(B575,CUR_Main,CUR_Foreign)</f>
        <v>руб.</v>
      </c>
      <c r="D620" t="str">
        <f>TEXT(B575,"0")&amp;"_08"</f>
        <v>1_08</v>
      </c>
      <c r="F620" s="84">
        <f>(F618-MAX(E624-F624,0)+MAX(F624-E624,0))*$B581</f>
        <v>0</v>
      </c>
      <c r="G620" s="84">
        <f>(G618-MAX(F624-G624,0)+MAX(G624-F624,0))*$B581</f>
        <v>0</v>
      </c>
      <c r="H620" s="84">
        <f>(H618-MAX(G624-H624,0)+MAX(H624-G624,0))*$B581</f>
        <v>0</v>
      </c>
      <c r="I620" s="84">
        <f>(I618-MAX(H624-I624,0)+MAX(I624-H624,0))*$B581</f>
        <v>0</v>
      </c>
      <c r="J620" s="84">
        <f>(J618-MAX(I624-J624,0)+MAX(J624-I624,0))*$B581</f>
        <v>0</v>
      </c>
      <c r="K620" s="84">
        <f>(K618-MAX(J624-K624,0)+MAX(K624-J624,0))*$B581</f>
        <v>0</v>
      </c>
      <c r="L620" s="84">
        <f>(L618-MAX(K624-L624,0)+MAX(L624-K624,0))*$B581</f>
        <v>0</v>
      </c>
      <c r="M620" s="84">
        <f>(M618-MAX(L624-M624,0)+MAX(M624-L624,0))*$B581</f>
        <v>0</v>
      </c>
      <c r="N620" s="84">
        <f>(N618-MAX(M624-N624,0)+MAX(N624-M624,0))*$B581</f>
        <v>0</v>
      </c>
      <c r="O620" s="84">
        <f>(O618-MAX(N624-O624,0)+MAX(O624-N624,0))*$B581</f>
        <v>0</v>
      </c>
      <c r="P620" s="84">
        <f>(P618-MAX(O624-P624,0)+MAX(P624-O624,0))*$B581</f>
        <v>0</v>
      </c>
      <c r="Q620" s="84">
        <f>(Q618-MAX(P624-Q624,0)+MAX(Q624-P624,0))*$B581</f>
        <v>0</v>
      </c>
      <c r="S620" s="54">
        <f>SUM(F620:Q620)</f>
        <v>0</v>
      </c>
    </row>
    <row r="621" spans="1:19" hidden="1" outlineLevel="2" x14ac:dyDescent="0.2">
      <c r="A621" t="str">
        <f ca="1">Language!A$543</f>
        <v xml:space="preserve">    график оплаты (без НДС)</v>
      </c>
      <c r="C621" s="5" t="str">
        <f ca="1">CHOOSE(B575,CUR_Main,CUR_Foreign)</f>
        <v>руб.</v>
      </c>
      <c r="D621" t="str">
        <f>TEXT(B575,"0")&amp;"_04"</f>
        <v>1_04</v>
      </c>
      <c r="F621" s="272">
        <f>F618</f>
        <v>0</v>
      </c>
      <c r="G621" s="272">
        <f>G618</f>
        <v>0</v>
      </c>
      <c r="H621" s="272">
        <f>H618</f>
        <v>21000</v>
      </c>
      <c r="I621" s="272">
        <f>I618</f>
        <v>105000.00000000001</v>
      </c>
      <c r="J621" s="272">
        <f>J618</f>
        <v>210000.00000000003</v>
      </c>
      <c r="K621" s="272">
        <f>K618</f>
        <v>420000.00000000006</v>
      </c>
      <c r="L621" s="272">
        <f>L618</f>
        <v>629999.99999999988</v>
      </c>
      <c r="M621" s="272">
        <f>M618</f>
        <v>840000.00000000012</v>
      </c>
      <c r="N621" s="272">
        <f>N618</f>
        <v>1155000</v>
      </c>
      <c r="O621" s="272">
        <f>O618</f>
        <v>1575000</v>
      </c>
      <c r="P621" s="272">
        <f>P618</f>
        <v>1890000.0000000002</v>
      </c>
      <c r="Q621" s="272">
        <f>Q618</f>
        <v>2100000</v>
      </c>
      <c r="S621" s="54">
        <f>SUM(F621:Q621)</f>
        <v>8946000</v>
      </c>
    </row>
    <row r="622" spans="1:19" hidden="1" outlineLevel="2" x14ac:dyDescent="0.2">
      <c r="A622" t="str">
        <f ca="1">Language!A$544</f>
        <v xml:space="preserve">    полученный НДС</v>
      </c>
      <c r="C622" s="5" t="str">
        <f ca="1">CHOOSE(B575,CUR_Main,CUR_Foreign)</f>
        <v>руб.</v>
      </c>
      <c r="D622" t="str">
        <f>TEXT(B575,"0")&amp;"_05"</f>
        <v>1_05</v>
      </c>
      <c r="F622" s="84">
        <f>F621*$B581</f>
        <v>0</v>
      </c>
      <c r="G622" s="84">
        <f>G621*$B581</f>
        <v>0</v>
      </c>
      <c r="H622" s="84">
        <f>H621*$B581</f>
        <v>0</v>
      </c>
      <c r="I622" s="84">
        <f>I621*$B581</f>
        <v>0</v>
      </c>
      <c r="J622" s="84">
        <f>J621*$B581</f>
        <v>0</v>
      </c>
      <c r="K622" s="84">
        <f>K621*$B581</f>
        <v>0</v>
      </c>
      <c r="L622" s="84">
        <f>L621*$B581</f>
        <v>0</v>
      </c>
      <c r="M622" s="84">
        <f>M621*$B581</f>
        <v>0</v>
      </c>
      <c r="N622" s="84">
        <f>N621*$B581</f>
        <v>0</v>
      </c>
      <c r="O622" s="84">
        <f>O621*$B581</f>
        <v>0</v>
      </c>
      <c r="P622" s="84">
        <f>P621*$B581</f>
        <v>0</v>
      </c>
      <c r="Q622" s="84">
        <f>Q621*$B581</f>
        <v>0</v>
      </c>
      <c r="S622" s="54">
        <f>SUM(F622:Q622)</f>
        <v>0</v>
      </c>
    </row>
    <row r="623" spans="1:19" hidden="1" outlineLevel="2" x14ac:dyDescent="0.2">
      <c r="A623" t="str">
        <f ca="1">Language!A$545</f>
        <v xml:space="preserve">    дебиторская задолженность</v>
      </c>
      <c r="C623" s="5" t="str">
        <f ca="1">CHOOSE(B575,CUR_Main,CUR_Foreign)</f>
        <v>руб.</v>
      </c>
      <c r="D623" t="str">
        <f>TEXT(B575,"0")&amp;"_06"&amp;";int_end"</f>
        <v>1_06;int_end</v>
      </c>
      <c r="F623" s="84">
        <f>IF(SUM($F617:F617)&gt;=0,MAX(SUM($F617:F617)-SUM($F621:F621)-SUM($F622:F622),0),MIN(SUM($F617:F617)-SUM($F621:F621)-SUM($F622:F622),0))</f>
        <v>0</v>
      </c>
      <c r="G623" s="84">
        <f>IF(SUM($F617:G617)&gt;=0,MAX(SUM($F617:G617)-SUM($F621:G621)-SUM($F622:G622),0),MIN(SUM($F617:G617)-SUM($F621:G621)-SUM($F622:G622),0))</f>
        <v>0</v>
      </c>
      <c r="H623" s="84">
        <f>IF(SUM($F617:H617)&gt;=0,MAX(SUM($F617:H617)-SUM($F621:H621)-SUM($F622:H622),0),MIN(SUM($F617:H617)-SUM($F621:H621)-SUM($F622:H622),0))</f>
        <v>0</v>
      </c>
      <c r="I623" s="84">
        <f>IF(SUM($F617:I617)&gt;=0,MAX(SUM($F617:I617)-SUM($F621:I621)-SUM($F622:I622),0),MIN(SUM($F617:I617)-SUM($F621:I621)-SUM($F622:I622),0))</f>
        <v>0</v>
      </c>
      <c r="J623" s="84">
        <f>IF(SUM($F617:J617)&gt;=0,MAX(SUM($F617:J617)-SUM($F621:J621)-SUM($F622:J622),0),MIN(SUM($F617:J617)-SUM($F621:J621)-SUM($F622:J622),0))</f>
        <v>0</v>
      </c>
      <c r="K623" s="84">
        <f>IF(SUM($F617:K617)&gt;=0,MAX(SUM($F617:K617)-SUM($F621:K621)-SUM($F622:K622),0),MIN(SUM($F617:K617)-SUM($F621:K621)-SUM($F622:K622),0))</f>
        <v>0</v>
      </c>
      <c r="L623" s="84">
        <f>IF(SUM($F617:L617)&gt;=0,MAX(SUM($F617:L617)-SUM($F621:L621)-SUM($F622:L622),0),MIN(SUM($F617:L617)-SUM($F621:L621)-SUM($F622:L622),0))</f>
        <v>0</v>
      </c>
      <c r="M623" s="84">
        <f>IF(SUM($F617:M617)&gt;=0,MAX(SUM($F617:M617)-SUM($F621:M621)-SUM($F622:M622),0),MIN(SUM($F617:M617)-SUM($F621:M621)-SUM($F622:M622),0))</f>
        <v>0</v>
      </c>
      <c r="N623" s="84">
        <f>IF(SUM($F617:N617)&gt;=0,MAX(SUM($F617:N617)-SUM($F621:N621)-SUM($F622:N622),0),MIN(SUM($F617:N617)-SUM($F621:N621)-SUM($F622:N622),0))</f>
        <v>0</v>
      </c>
      <c r="O623" s="84">
        <f>IF(SUM($F617:O617)&gt;=0,MAX(SUM($F617:O617)-SUM($F621:O621)-SUM($F622:O622),0),MIN(SUM($F617:O617)-SUM($F621:O621)-SUM($F622:O622),0))</f>
        <v>0</v>
      </c>
      <c r="P623" s="84">
        <f>IF(SUM($F617:P617)&gt;=0,MAX(SUM($F617:P617)-SUM($F621:P621)-SUM($F622:P622),0),MIN(SUM($F617:P617)-SUM($F621:P621)-SUM($F622:P622),0))</f>
        <v>0</v>
      </c>
      <c r="Q623" s="84">
        <f>IF(SUM($F617:Q617)&gt;=0,MAX(SUM($F617:Q617)-SUM($F621:Q621)-SUM($F622:Q622),0),MIN(SUM($F617:Q617)-SUM($F621:Q621)-SUM($F622:Q622),0))</f>
        <v>0</v>
      </c>
    </row>
    <row r="624" spans="1:19" hidden="1" outlineLevel="2" x14ac:dyDescent="0.2">
      <c r="A624" t="str">
        <f ca="1">Language!A$546</f>
        <v xml:space="preserve">    полученные авансы</v>
      </c>
      <c r="C624" s="5" t="str">
        <f ca="1">CHOOSE(B575,CUR_Main,CUR_Foreign)</f>
        <v>руб.</v>
      </c>
      <c r="D624" t="str">
        <f>TEXT(B575,"0")&amp;"_07"&amp;";int_end"</f>
        <v>1_07;int_end</v>
      </c>
      <c r="F624" s="84">
        <f>IF(SUM($F618:F618)&gt;=0,MAX(SUM($F621:F621)-SUM($F618:F618),0),MIN(SUM($F621:F621)-SUM($F618:F618),0))</f>
        <v>0</v>
      </c>
      <c r="G624" s="84">
        <f>IF(SUM($F618:G618)&gt;=0,MAX(SUM($F621:G621)-SUM($F618:G618),0),MIN(SUM($F621:G621)-SUM($F618:G618),0))</f>
        <v>0</v>
      </c>
      <c r="H624" s="84">
        <f>IF(SUM($F618:H618)&gt;=0,MAX(SUM($F621:H621)-SUM($F618:H618),0),MIN(SUM($F621:H621)-SUM($F618:H618),0))</f>
        <v>0</v>
      </c>
      <c r="I624" s="84">
        <f>IF(SUM($F618:I618)&gt;=0,MAX(SUM($F621:I621)-SUM($F618:I618),0),MIN(SUM($F621:I621)-SUM($F618:I618),0))</f>
        <v>0</v>
      </c>
      <c r="J624" s="84">
        <f>IF(SUM($F618:J618)&gt;=0,MAX(SUM($F621:J621)-SUM($F618:J618),0),MIN(SUM($F621:J621)-SUM($F618:J618),0))</f>
        <v>0</v>
      </c>
      <c r="K624" s="84">
        <f>IF(SUM($F618:K618)&gt;=0,MAX(SUM($F621:K621)-SUM($F618:K618),0),MIN(SUM($F621:K621)-SUM($F618:K618),0))</f>
        <v>0</v>
      </c>
      <c r="L624" s="84">
        <f>IF(SUM($F618:L618)&gt;=0,MAX(SUM($F621:L621)-SUM($F618:L618),0),MIN(SUM($F621:L621)-SUM($F618:L618),0))</f>
        <v>0</v>
      </c>
      <c r="M624" s="84">
        <f>IF(SUM($F618:M618)&gt;=0,MAX(SUM($F621:M621)-SUM($F618:M618),0),MIN(SUM($F621:M621)-SUM($F618:M618),0))</f>
        <v>0</v>
      </c>
      <c r="N624" s="84">
        <f>IF(SUM($F618:N618)&gt;=0,MAX(SUM($F621:N621)-SUM($F618:N618),0),MIN(SUM($F621:N621)-SUM($F618:N618),0))</f>
        <v>0</v>
      </c>
      <c r="O624" s="84">
        <f>IF(SUM($F618:O618)&gt;=0,MAX(SUM($F621:O621)-SUM($F618:O618),0),MIN(SUM($F621:O621)-SUM($F618:O618),0))</f>
        <v>0</v>
      </c>
      <c r="P624" s="84">
        <f>IF(SUM($F618:P618)&gt;=0,MAX(SUM($F621:P621)-SUM($F618:P618),0),MIN(SUM($F621:P621)-SUM($F618:P618),0))</f>
        <v>0</v>
      </c>
      <c r="Q624" s="84">
        <f>IF(SUM($F618:Q618)&gt;=0,MAX(SUM($F621:Q621)-SUM($F618:Q618),0),MIN(SUM($F621:Q621)-SUM($F618:Q618),0))</f>
        <v>0</v>
      </c>
    </row>
    <row r="625" spans="1:19" outlineLevel="1" collapsed="1" x14ac:dyDescent="0.2">
      <c r="A625" t="str">
        <f>A544</f>
        <v>Проект</v>
      </c>
      <c r="C625" s="5" t="str">
        <f ca="1">CHOOSE(B582,CUR_Main,CUR_Foreign)</f>
        <v>руб.</v>
      </c>
      <c r="D625" s="46" t="str">
        <f>TEXT(B582,"0")&amp;"_01"</f>
        <v>1_01</v>
      </c>
      <c r="F625" s="83">
        <f>F626+F554*F588</f>
        <v>0</v>
      </c>
      <c r="G625" s="83">
        <f>G626+G554*G588</f>
        <v>0</v>
      </c>
      <c r="H625" s="83">
        <f>H626+H554*H588</f>
        <v>35000</v>
      </c>
      <c r="I625" s="83">
        <f>I626+I554*I588</f>
        <v>175000</v>
      </c>
      <c r="J625" s="83">
        <f>J626+J554*J588</f>
        <v>350000</v>
      </c>
      <c r="K625" s="83">
        <f>K626+K554*K588</f>
        <v>700000</v>
      </c>
      <c r="L625" s="83">
        <f>L626+L554*L588</f>
        <v>1050000</v>
      </c>
      <c r="M625" s="83">
        <f>M626+M554*M588</f>
        <v>1400000</v>
      </c>
      <c r="N625" s="83">
        <f>N626+N554*N588</f>
        <v>1925000.0000000002</v>
      </c>
      <c r="O625" s="83">
        <f>O626+O554*O588</f>
        <v>2625000</v>
      </c>
      <c r="P625" s="83">
        <f>P626+P554*P588</f>
        <v>3150000</v>
      </c>
      <c r="Q625" s="83">
        <f>Q626+Q554*Q588</f>
        <v>3500000</v>
      </c>
      <c r="S625" s="57">
        <f>SUM(F625:Q625)</f>
        <v>14910000</v>
      </c>
    </row>
    <row r="626" spans="1:19" hidden="1" outlineLevel="2" x14ac:dyDescent="0.2">
      <c r="A626" t="str">
        <f ca="1">Language!A$540</f>
        <v xml:space="preserve">    к оплате от покупателей (без НДС)</v>
      </c>
      <c r="C626" s="5" t="str">
        <f ca="1">CHOOSE(B582,CUR_Main,CUR_Foreign)</f>
        <v>руб.</v>
      </c>
      <c r="D626" t="str">
        <f>TEXT(B582,"0")&amp;"_02"</f>
        <v>1_02</v>
      </c>
      <c r="F626" s="53">
        <f>F554*(F585+F586)</f>
        <v>0</v>
      </c>
      <c r="G626" s="53">
        <f>G554*(G585+G586)</f>
        <v>0</v>
      </c>
      <c r="H626" s="53">
        <f>H554*(H585+H586)</f>
        <v>35000</v>
      </c>
      <c r="I626" s="53">
        <f>I554*(I585+I586)</f>
        <v>175000</v>
      </c>
      <c r="J626" s="53">
        <f>J554*(J585+J586)</f>
        <v>350000</v>
      </c>
      <c r="K626" s="53">
        <f>K554*(K585+K586)</f>
        <v>700000</v>
      </c>
      <c r="L626" s="53">
        <f>L554*(L585+L586)</f>
        <v>1050000</v>
      </c>
      <c r="M626" s="53">
        <f>M554*(M585+M586)</f>
        <v>1400000</v>
      </c>
      <c r="N626" s="53">
        <f>N554*(N585+N586)</f>
        <v>1925000.0000000002</v>
      </c>
      <c r="O626" s="53">
        <f>O554*(O585+O586)</f>
        <v>2625000</v>
      </c>
      <c r="P626" s="53">
        <f>P554*(P585+P586)</f>
        <v>3150000</v>
      </c>
      <c r="Q626" s="53">
        <f>Q554*(Q585+Q586)</f>
        <v>3500000</v>
      </c>
      <c r="S626" s="54">
        <f>SUM(F626:Q626)</f>
        <v>14910000</v>
      </c>
    </row>
    <row r="627" spans="1:19" hidden="1" outlineLevel="2" x14ac:dyDescent="0.2">
      <c r="A627" t="str">
        <f ca="1">Language!A$541</f>
        <v xml:space="preserve">    в т.ч. акцизов, налогов и пошлин</v>
      </c>
      <c r="C627" s="5" t="str">
        <f ca="1">CHOOSE(B582,CUR_Main,CUR_Foreign)</f>
        <v>руб.</v>
      </c>
      <c r="D627" t="str">
        <f>TEXT(B582,"0")&amp;"_03"</f>
        <v>1_03</v>
      </c>
      <c r="F627" s="53">
        <f>F554*(F586+F587)</f>
        <v>0</v>
      </c>
      <c r="G627" s="53">
        <f>G554*(G586+G587)</f>
        <v>0</v>
      </c>
      <c r="H627" s="53">
        <f>H554*(H586+H587)</f>
        <v>0</v>
      </c>
      <c r="I627" s="53">
        <f>I554*(I586+I587)</f>
        <v>0</v>
      </c>
      <c r="J627" s="53">
        <f>J554*(J586+J587)</f>
        <v>0</v>
      </c>
      <c r="K627" s="53">
        <f>K554*(K586+K587)</f>
        <v>0</v>
      </c>
      <c r="L627" s="53">
        <f>L554*(L586+L587)</f>
        <v>0</v>
      </c>
      <c r="M627" s="53">
        <f>M554*(M586+M587)</f>
        <v>0</v>
      </c>
      <c r="N627" s="53">
        <f>N554*(N586+N587)</f>
        <v>0</v>
      </c>
      <c r="O627" s="53">
        <f>O554*(O586+O587)</f>
        <v>0</v>
      </c>
      <c r="P627" s="53">
        <f>P554*(P586+P587)</f>
        <v>0</v>
      </c>
      <c r="Q627" s="53">
        <f>Q554*(Q586+Q587)</f>
        <v>0</v>
      </c>
      <c r="S627" s="54">
        <f>SUM(F627:Q627)</f>
        <v>0</v>
      </c>
    </row>
    <row r="628" spans="1:19" hidden="1" outlineLevel="2" x14ac:dyDescent="0.2">
      <c r="A628" t="str">
        <f ca="1">Language!A$542</f>
        <v xml:space="preserve">    НДС на поставленную продукцию</v>
      </c>
      <c r="C628" s="5" t="str">
        <f ca="1">CHOOSE(B582,CUR_Main,CUR_Foreign)</f>
        <v>руб.</v>
      </c>
      <c r="D628" t="str">
        <f>TEXT(B582,"0")&amp;"_08"</f>
        <v>1_08</v>
      </c>
      <c r="F628" s="84">
        <f>(F626-MAX(E632-F632,0)+MAX(F632-E632,0))*$B588</f>
        <v>0</v>
      </c>
      <c r="G628" s="84">
        <f>(G626-MAX(F632-G632,0)+MAX(G632-F632,0))*$B588</f>
        <v>0</v>
      </c>
      <c r="H628" s="84">
        <f>(H626-MAX(G632-H632,0)+MAX(H632-G632,0))*$B588</f>
        <v>0</v>
      </c>
      <c r="I628" s="84">
        <f>(I626-MAX(H632-I632,0)+MAX(I632-H632,0))*$B588</f>
        <v>0</v>
      </c>
      <c r="J628" s="84">
        <f>(J626-MAX(I632-J632,0)+MAX(J632-I632,0))*$B588</f>
        <v>0</v>
      </c>
      <c r="K628" s="84">
        <f>(K626-MAX(J632-K632,0)+MAX(K632-J632,0))*$B588</f>
        <v>0</v>
      </c>
      <c r="L628" s="84">
        <f>(L626-MAX(K632-L632,0)+MAX(L632-K632,0))*$B588</f>
        <v>0</v>
      </c>
      <c r="M628" s="84">
        <f>(M626-MAX(L632-M632,0)+MAX(M632-L632,0))*$B588</f>
        <v>0</v>
      </c>
      <c r="N628" s="84">
        <f>(N626-MAX(M632-N632,0)+MAX(N632-M632,0))*$B588</f>
        <v>0</v>
      </c>
      <c r="O628" s="84">
        <f>(O626-MAX(N632-O632,0)+MAX(O632-N632,0))*$B588</f>
        <v>0</v>
      </c>
      <c r="P628" s="84">
        <f>(P626-MAX(O632-P632,0)+MAX(P632-O632,0))*$B588</f>
        <v>0</v>
      </c>
      <c r="Q628" s="84">
        <f>(Q626-MAX(P632-Q632,0)+MAX(Q632-P632,0))*$B588</f>
        <v>0</v>
      </c>
      <c r="S628" s="54">
        <f>SUM(F628:Q628)</f>
        <v>0</v>
      </c>
    </row>
    <row r="629" spans="1:19" hidden="1" outlineLevel="2" x14ac:dyDescent="0.2">
      <c r="A629" t="str">
        <f ca="1">Language!A$543</f>
        <v xml:space="preserve">    график оплаты (без НДС)</v>
      </c>
      <c r="C629" s="5" t="str">
        <f ca="1">CHOOSE(B582,CUR_Main,CUR_Foreign)</f>
        <v>руб.</v>
      </c>
      <c r="D629" t="str">
        <f>TEXT(B582,"0")&amp;"_04"</f>
        <v>1_04</v>
      </c>
      <c r="F629" s="272">
        <f>F626</f>
        <v>0</v>
      </c>
      <c r="G629" s="272">
        <f>G626</f>
        <v>0</v>
      </c>
      <c r="H629" s="272">
        <f>H626</f>
        <v>35000</v>
      </c>
      <c r="I629" s="272">
        <f>I626</f>
        <v>175000</v>
      </c>
      <c r="J629" s="272">
        <f>J626</f>
        <v>350000</v>
      </c>
      <c r="K629" s="272">
        <f>K626</f>
        <v>700000</v>
      </c>
      <c r="L629" s="272">
        <f>L626</f>
        <v>1050000</v>
      </c>
      <c r="M629" s="272">
        <f>M626</f>
        <v>1400000</v>
      </c>
      <c r="N629" s="272">
        <f>N626</f>
        <v>1925000.0000000002</v>
      </c>
      <c r="O629" s="272">
        <f>O626</f>
        <v>2625000</v>
      </c>
      <c r="P629" s="272">
        <f>P626</f>
        <v>3150000</v>
      </c>
      <c r="Q629" s="272">
        <f>Q626</f>
        <v>3500000</v>
      </c>
      <c r="S629" s="54">
        <f>SUM(F629:Q629)</f>
        <v>14910000</v>
      </c>
    </row>
    <row r="630" spans="1:19" hidden="1" outlineLevel="2" x14ac:dyDescent="0.2">
      <c r="A630" t="str">
        <f ca="1">Language!A$544</f>
        <v xml:space="preserve">    полученный НДС</v>
      </c>
      <c r="C630" s="5" t="str">
        <f ca="1">CHOOSE(B582,CUR_Main,CUR_Foreign)</f>
        <v>руб.</v>
      </c>
      <c r="D630" t="str">
        <f>TEXT(B582,"0")&amp;"_05"</f>
        <v>1_05</v>
      </c>
      <c r="F630" s="84">
        <f>F629*$B588</f>
        <v>0</v>
      </c>
      <c r="G630" s="84">
        <f>G629*$B588</f>
        <v>0</v>
      </c>
      <c r="H630" s="84">
        <f>H629*$B588</f>
        <v>0</v>
      </c>
      <c r="I630" s="84">
        <f>I629*$B588</f>
        <v>0</v>
      </c>
      <c r="J630" s="84">
        <f>J629*$B588</f>
        <v>0</v>
      </c>
      <c r="K630" s="84">
        <f>K629*$B588</f>
        <v>0</v>
      </c>
      <c r="L630" s="84">
        <f>L629*$B588</f>
        <v>0</v>
      </c>
      <c r="M630" s="84">
        <f>M629*$B588</f>
        <v>0</v>
      </c>
      <c r="N630" s="84">
        <f>N629*$B588</f>
        <v>0</v>
      </c>
      <c r="O630" s="84">
        <f>O629*$B588</f>
        <v>0</v>
      </c>
      <c r="P630" s="84">
        <f>P629*$B588</f>
        <v>0</v>
      </c>
      <c r="Q630" s="84">
        <f>Q629*$B588</f>
        <v>0</v>
      </c>
      <c r="S630" s="54">
        <f>SUM(F630:Q630)</f>
        <v>0</v>
      </c>
    </row>
    <row r="631" spans="1:19" hidden="1" outlineLevel="2" x14ac:dyDescent="0.2">
      <c r="A631" t="str">
        <f ca="1">Language!A$545</f>
        <v xml:space="preserve">    дебиторская задолженность</v>
      </c>
      <c r="C631" s="5" t="str">
        <f ca="1">CHOOSE(B582,CUR_Main,CUR_Foreign)</f>
        <v>руб.</v>
      </c>
      <c r="D631" t="str">
        <f>TEXT(B582,"0")&amp;"_06"&amp;";int_end"</f>
        <v>1_06;int_end</v>
      </c>
      <c r="F631" s="84">
        <f>IF(SUM($F625:F625)&gt;=0,MAX(SUM($F625:F625)-SUM($F629:F629)-SUM($F630:F630),0),MIN(SUM($F625:F625)-SUM($F629:F629)-SUM($F630:F630),0))</f>
        <v>0</v>
      </c>
      <c r="G631" s="84">
        <f>IF(SUM($F625:G625)&gt;=0,MAX(SUM($F625:G625)-SUM($F629:G629)-SUM($F630:G630),0),MIN(SUM($F625:G625)-SUM($F629:G629)-SUM($F630:G630),0))</f>
        <v>0</v>
      </c>
      <c r="H631" s="84">
        <f>IF(SUM($F625:H625)&gt;=0,MAX(SUM($F625:H625)-SUM($F629:H629)-SUM($F630:H630),0),MIN(SUM($F625:H625)-SUM($F629:H629)-SUM($F630:H630),0))</f>
        <v>0</v>
      </c>
      <c r="I631" s="84">
        <f>IF(SUM($F625:I625)&gt;=0,MAX(SUM($F625:I625)-SUM($F629:I629)-SUM($F630:I630),0),MIN(SUM($F625:I625)-SUM($F629:I629)-SUM($F630:I630),0))</f>
        <v>0</v>
      </c>
      <c r="J631" s="84">
        <f>IF(SUM($F625:J625)&gt;=0,MAX(SUM($F625:J625)-SUM($F629:J629)-SUM($F630:J630),0),MIN(SUM($F625:J625)-SUM($F629:J629)-SUM($F630:J630),0))</f>
        <v>0</v>
      </c>
      <c r="K631" s="84">
        <f>IF(SUM($F625:K625)&gt;=0,MAX(SUM($F625:K625)-SUM($F629:K629)-SUM($F630:K630),0),MIN(SUM($F625:K625)-SUM($F629:K629)-SUM($F630:K630),0))</f>
        <v>0</v>
      </c>
      <c r="L631" s="84">
        <f>IF(SUM($F625:L625)&gt;=0,MAX(SUM($F625:L625)-SUM($F629:L629)-SUM($F630:L630),0),MIN(SUM($F625:L625)-SUM($F629:L629)-SUM($F630:L630),0))</f>
        <v>0</v>
      </c>
      <c r="M631" s="84">
        <f>IF(SUM($F625:M625)&gt;=0,MAX(SUM($F625:M625)-SUM($F629:M629)-SUM($F630:M630),0),MIN(SUM($F625:M625)-SUM($F629:M629)-SUM($F630:M630),0))</f>
        <v>0</v>
      </c>
      <c r="N631" s="84">
        <f>IF(SUM($F625:N625)&gt;=0,MAX(SUM($F625:N625)-SUM($F629:N629)-SUM($F630:N630),0),MIN(SUM($F625:N625)-SUM($F629:N629)-SUM($F630:N630),0))</f>
        <v>0</v>
      </c>
      <c r="O631" s="84">
        <f>IF(SUM($F625:O625)&gt;=0,MAX(SUM($F625:O625)-SUM($F629:O629)-SUM($F630:O630),0),MIN(SUM($F625:O625)-SUM($F629:O629)-SUM($F630:O630),0))</f>
        <v>0</v>
      </c>
      <c r="P631" s="84">
        <f>IF(SUM($F625:P625)&gt;=0,MAX(SUM($F625:P625)-SUM($F629:P629)-SUM($F630:P630),0),MIN(SUM($F625:P625)-SUM($F629:P629)-SUM($F630:P630),0))</f>
        <v>0</v>
      </c>
      <c r="Q631" s="84">
        <f>IF(SUM($F625:Q625)&gt;=0,MAX(SUM($F625:Q625)-SUM($F629:Q629)-SUM($F630:Q630),0),MIN(SUM($F625:Q625)-SUM($F629:Q629)-SUM($F630:Q630),0))</f>
        <v>0</v>
      </c>
    </row>
    <row r="632" spans="1:19" hidden="1" outlineLevel="2" x14ac:dyDescent="0.2">
      <c r="A632" t="str">
        <f ca="1">Language!A$546</f>
        <v xml:space="preserve">    полученные авансы</v>
      </c>
      <c r="C632" s="5" t="str">
        <f ca="1">CHOOSE(B582,CUR_Main,CUR_Foreign)</f>
        <v>руб.</v>
      </c>
      <c r="D632" t="str">
        <f>TEXT(B582,"0")&amp;"_07"&amp;";int_end"</f>
        <v>1_07;int_end</v>
      </c>
      <c r="F632" s="84">
        <f>IF(SUM($F626:F626)&gt;=0,MAX(SUM($F629:F629)-SUM($F626:F626),0),MIN(SUM($F629:F629)-SUM($F626:F626),0))</f>
        <v>0</v>
      </c>
      <c r="G632" s="84">
        <f>IF(SUM($F626:G626)&gt;=0,MAX(SUM($F629:G629)-SUM($F626:G626),0),MIN(SUM($F629:G629)-SUM($F626:G626),0))</f>
        <v>0</v>
      </c>
      <c r="H632" s="84">
        <f>IF(SUM($F626:H626)&gt;=0,MAX(SUM($F629:H629)-SUM($F626:H626),0),MIN(SUM($F629:H629)-SUM($F626:H626),0))</f>
        <v>0</v>
      </c>
      <c r="I632" s="84">
        <f>IF(SUM($F626:I626)&gt;=0,MAX(SUM($F629:I629)-SUM($F626:I626),0),MIN(SUM($F629:I629)-SUM($F626:I626),0))</f>
        <v>0</v>
      </c>
      <c r="J632" s="84">
        <f>IF(SUM($F626:J626)&gt;=0,MAX(SUM($F629:J629)-SUM($F626:J626),0),MIN(SUM($F629:J629)-SUM($F626:J626),0))</f>
        <v>0</v>
      </c>
      <c r="K632" s="84">
        <f>IF(SUM($F626:K626)&gt;=0,MAX(SUM($F629:K629)-SUM($F626:K626),0),MIN(SUM($F629:K629)-SUM($F626:K626),0))</f>
        <v>0</v>
      </c>
      <c r="L632" s="84">
        <f>IF(SUM($F626:L626)&gt;=0,MAX(SUM($F629:L629)-SUM($F626:L626),0),MIN(SUM($F629:L629)-SUM($F626:L626),0))</f>
        <v>0</v>
      </c>
      <c r="M632" s="84">
        <f>IF(SUM($F626:M626)&gt;=0,MAX(SUM($F629:M629)-SUM($F626:M626),0),MIN(SUM($F629:M629)-SUM($F626:M626),0))</f>
        <v>0</v>
      </c>
      <c r="N632" s="84">
        <f>IF(SUM($F626:N626)&gt;=0,MAX(SUM($F629:N629)-SUM($F626:N626),0),MIN(SUM($F629:N629)-SUM($F626:N626),0))</f>
        <v>0</v>
      </c>
      <c r="O632" s="84">
        <f>IF(SUM($F626:O626)&gt;=0,MAX(SUM($F629:O629)-SUM($F626:O626),0),MIN(SUM($F629:O629)-SUM($F626:O626),0))</f>
        <v>0</v>
      </c>
      <c r="P632" s="84">
        <f>IF(SUM($F626:P626)&gt;=0,MAX(SUM($F629:P629)-SUM($F626:P626),0),MIN(SUM($F629:P629)-SUM($F626:P626),0))</f>
        <v>0</v>
      </c>
      <c r="Q632" s="84">
        <f>IF(SUM($F626:Q626)&gt;=0,MAX(SUM($F629:Q629)-SUM($F626:Q626),0),MIN(SUM($F629:Q629)-SUM($F626:Q626),0))</f>
        <v>0</v>
      </c>
    </row>
    <row r="633" spans="1:19" outlineLevel="1" collapsed="1" x14ac:dyDescent="0.2">
      <c r="A633" t="str">
        <f>A545</f>
        <v>Облачная версия продукта</v>
      </c>
      <c r="C633" s="5" t="str">
        <f ca="1">CHOOSE(B589,CUR_Main,CUR_Foreign)</f>
        <v>руб.</v>
      </c>
      <c r="D633" s="46" t="str">
        <f>TEXT(B589,"0")&amp;"_01"</f>
        <v>1_01</v>
      </c>
      <c r="F633" s="83">
        <f t="shared" ref="F633:Q633" si="822">F634+F555*F595</f>
        <v>0</v>
      </c>
      <c r="G633" s="83">
        <f t="shared" si="822"/>
        <v>0</v>
      </c>
      <c r="H633" s="83">
        <f t="shared" si="822"/>
        <v>65520</v>
      </c>
      <c r="I633" s="83">
        <f t="shared" si="822"/>
        <v>327600</v>
      </c>
      <c r="J633" s="83">
        <f t="shared" si="822"/>
        <v>655200</v>
      </c>
      <c r="K633" s="83">
        <f t="shared" si="822"/>
        <v>1310400</v>
      </c>
      <c r="L633" s="83">
        <f t="shared" si="822"/>
        <v>1965599.9999999998</v>
      </c>
      <c r="M633" s="83">
        <f t="shared" si="822"/>
        <v>2620800</v>
      </c>
      <c r="N633" s="83">
        <f t="shared" si="822"/>
        <v>3603600</v>
      </c>
      <c r="O633" s="83">
        <f t="shared" si="822"/>
        <v>4914000</v>
      </c>
      <c r="P633" s="83">
        <f t="shared" si="822"/>
        <v>5896800</v>
      </c>
      <c r="Q633" s="83">
        <f t="shared" si="822"/>
        <v>6552000</v>
      </c>
      <c r="S633" s="57">
        <f t="shared" ref="S633:S638" si="823">SUM(F633:Q633)</f>
        <v>27911520</v>
      </c>
    </row>
    <row r="634" spans="1:19" hidden="1" outlineLevel="2" x14ac:dyDescent="0.2">
      <c r="A634" t="str">
        <f ca="1">Language!A$540</f>
        <v xml:space="preserve">    к оплате от покупателей (без НДС)</v>
      </c>
      <c r="C634" s="5" t="str">
        <f ca="1">CHOOSE(B589,CUR_Main,CUR_Foreign)</f>
        <v>руб.</v>
      </c>
      <c r="D634" t="str">
        <f>TEXT(B589,"0")&amp;"_02"</f>
        <v>1_02</v>
      </c>
      <c r="F634" s="53">
        <f t="shared" ref="F634:M634" si="824">F555*(F592+F593)</f>
        <v>0</v>
      </c>
      <c r="G634" s="53">
        <f t="shared" si="824"/>
        <v>0</v>
      </c>
      <c r="H634" s="53">
        <f t="shared" si="824"/>
        <v>65520</v>
      </c>
      <c r="I634" s="53">
        <f t="shared" si="824"/>
        <v>327600</v>
      </c>
      <c r="J634" s="53">
        <f t="shared" si="824"/>
        <v>655200</v>
      </c>
      <c r="K634" s="53">
        <f t="shared" si="824"/>
        <v>1310400</v>
      </c>
      <c r="L634" s="53">
        <f t="shared" si="824"/>
        <v>1965599.9999999998</v>
      </c>
      <c r="M634" s="53">
        <f t="shared" si="824"/>
        <v>2620800</v>
      </c>
      <c r="N634" s="53">
        <f t="shared" ref="N634" si="825">N555*(N592+N593)</f>
        <v>3603600</v>
      </c>
      <c r="O634" s="53">
        <f t="shared" ref="O634" si="826">O555*(O592+O593)</f>
        <v>4914000</v>
      </c>
      <c r="P634" s="53">
        <f t="shared" ref="P634:Q634" si="827">P555*(P592+P593)</f>
        <v>5896800</v>
      </c>
      <c r="Q634" s="53">
        <f t="shared" si="827"/>
        <v>6552000</v>
      </c>
      <c r="S634" s="54">
        <f t="shared" si="823"/>
        <v>27911520</v>
      </c>
    </row>
    <row r="635" spans="1:19" hidden="1" outlineLevel="2" x14ac:dyDescent="0.2">
      <c r="A635" t="str">
        <f ca="1">Language!A$541</f>
        <v xml:space="preserve">    в т.ч. акцизов, налогов и пошлин</v>
      </c>
      <c r="C635" s="5" t="str">
        <f ca="1">CHOOSE(B589,CUR_Main,CUR_Foreign)</f>
        <v>руб.</v>
      </c>
      <c r="D635" t="str">
        <f>TEXT(B589,"0")&amp;"_03"</f>
        <v>1_03</v>
      </c>
      <c r="F635" s="53">
        <f t="shared" ref="F635:M635" si="828">F555*(F593+F594)</f>
        <v>0</v>
      </c>
      <c r="G635" s="53">
        <f t="shared" si="828"/>
        <v>0</v>
      </c>
      <c r="H635" s="53">
        <f t="shared" si="828"/>
        <v>0</v>
      </c>
      <c r="I635" s="53">
        <f t="shared" si="828"/>
        <v>0</v>
      </c>
      <c r="J635" s="53">
        <f t="shared" si="828"/>
        <v>0</v>
      </c>
      <c r="K635" s="53">
        <f t="shared" si="828"/>
        <v>0</v>
      </c>
      <c r="L635" s="53">
        <f t="shared" si="828"/>
        <v>0</v>
      </c>
      <c r="M635" s="53">
        <f t="shared" si="828"/>
        <v>0</v>
      </c>
      <c r="N635" s="53">
        <f t="shared" ref="N635" si="829">N555*(N593+N594)</f>
        <v>0</v>
      </c>
      <c r="O635" s="53">
        <f t="shared" ref="O635" si="830">O555*(O593+O594)</f>
        <v>0</v>
      </c>
      <c r="P635" s="53">
        <f t="shared" ref="P635:Q635" si="831">P555*(P593+P594)</f>
        <v>0</v>
      </c>
      <c r="Q635" s="53">
        <f t="shared" si="831"/>
        <v>0</v>
      </c>
      <c r="S635" s="54">
        <f t="shared" si="823"/>
        <v>0</v>
      </c>
    </row>
    <row r="636" spans="1:19" hidden="1" outlineLevel="2" x14ac:dyDescent="0.2">
      <c r="A636" t="str">
        <f ca="1">Language!A$542</f>
        <v xml:space="preserve">    НДС на поставленную продукцию</v>
      </c>
      <c r="C636" s="5" t="str">
        <f ca="1">CHOOSE(B589,CUR_Main,CUR_Foreign)</f>
        <v>руб.</v>
      </c>
      <c r="D636" t="str">
        <f>TEXT(B589,"0")&amp;"_08"</f>
        <v>1_08</v>
      </c>
      <c r="F636" s="84">
        <f t="shared" ref="F636:M636" si="832">(F634-MAX(E640-F640,0)+MAX(F640-E640,0))*$B595</f>
        <v>0</v>
      </c>
      <c r="G636" s="84">
        <f t="shared" si="832"/>
        <v>0</v>
      </c>
      <c r="H636" s="84">
        <f t="shared" si="832"/>
        <v>0</v>
      </c>
      <c r="I636" s="84">
        <f t="shared" si="832"/>
        <v>0</v>
      </c>
      <c r="J636" s="84">
        <f t="shared" si="832"/>
        <v>0</v>
      </c>
      <c r="K636" s="84">
        <f t="shared" si="832"/>
        <v>0</v>
      </c>
      <c r="L636" s="84">
        <f t="shared" si="832"/>
        <v>0</v>
      </c>
      <c r="M636" s="84">
        <f t="shared" si="832"/>
        <v>0</v>
      </c>
      <c r="N636" s="84">
        <f t="shared" ref="N636:O636" si="833">(N634-MAX(M640-N640,0)+MAX(N640-M640,0))*$B595</f>
        <v>0</v>
      </c>
      <c r="O636" s="84">
        <f t="shared" si="833"/>
        <v>0</v>
      </c>
      <c r="P636" s="84">
        <f t="shared" ref="P636:Q636" si="834">(P634-MAX(O640-P640,0)+MAX(P640-O640,0))*$B595</f>
        <v>0</v>
      </c>
      <c r="Q636" s="84">
        <f t="shared" si="834"/>
        <v>0</v>
      </c>
      <c r="S636" s="54">
        <f t="shared" si="823"/>
        <v>0</v>
      </c>
    </row>
    <row r="637" spans="1:19" hidden="1" outlineLevel="2" x14ac:dyDescent="0.2">
      <c r="A637" t="str">
        <f ca="1">Language!A$543</f>
        <v xml:space="preserve">    график оплаты (без НДС)</v>
      </c>
      <c r="C637" s="5" t="str">
        <f ca="1">CHOOSE(B589,CUR_Main,CUR_Foreign)</f>
        <v>руб.</v>
      </c>
      <c r="D637" t="str">
        <f>TEXT(B589,"0")&amp;"_04"</f>
        <v>1_04</v>
      </c>
      <c r="F637" s="272">
        <f t="shared" ref="F637:Q637" si="835">F634</f>
        <v>0</v>
      </c>
      <c r="G637" s="272">
        <f t="shared" si="835"/>
        <v>0</v>
      </c>
      <c r="H637" s="272">
        <f t="shared" si="835"/>
        <v>65520</v>
      </c>
      <c r="I637" s="272">
        <f t="shared" si="835"/>
        <v>327600</v>
      </c>
      <c r="J637" s="272">
        <f t="shared" si="835"/>
        <v>655200</v>
      </c>
      <c r="K637" s="272">
        <f t="shared" si="835"/>
        <v>1310400</v>
      </c>
      <c r="L637" s="272">
        <f t="shared" si="835"/>
        <v>1965599.9999999998</v>
      </c>
      <c r="M637" s="272">
        <f t="shared" si="835"/>
        <v>2620800</v>
      </c>
      <c r="N637" s="272">
        <f t="shared" ref="N637:Q637" si="836">N634</f>
        <v>3603600</v>
      </c>
      <c r="O637" s="272">
        <f t="shared" ref="O637:Q637" si="837">O634</f>
        <v>4914000</v>
      </c>
      <c r="P637" s="272">
        <f t="shared" ref="P637:Q637" si="838">P634</f>
        <v>5896800</v>
      </c>
      <c r="Q637" s="272">
        <f t="shared" si="838"/>
        <v>6552000</v>
      </c>
      <c r="S637" s="54">
        <f t="shared" si="823"/>
        <v>27911520</v>
      </c>
    </row>
    <row r="638" spans="1:19" hidden="1" outlineLevel="2" x14ac:dyDescent="0.2">
      <c r="A638" t="str">
        <f ca="1">Language!A$544</f>
        <v xml:space="preserve">    полученный НДС</v>
      </c>
      <c r="C638" s="5" t="str">
        <f ca="1">CHOOSE(B589,CUR_Main,CUR_Foreign)</f>
        <v>руб.</v>
      </c>
      <c r="D638" t="str">
        <f>TEXT(B589,"0")&amp;"_05"</f>
        <v>1_05</v>
      </c>
      <c r="F638" s="84">
        <f t="shared" ref="F638:Q638" si="839">F637*$B595</f>
        <v>0</v>
      </c>
      <c r="G638" s="84">
        <f t="shared" si="839"/>
        <v>0</v>
      </c>
      <c r="H638" s="84">
        <f t="shared" si="839"/>
        <v>0</v>
      </c>
      <c r="I638" s="84">
        <f t="shared" si="839"/>
        <v>0</v>
      </c>
      <c r="J638" s="84">
        <f t="shared" si="839"/>
        <v>0</v>
      </c>
      <c r="K638" s="84">
        <f t="shared" si="839"/>
        <v>0</v>
      </c>
      <c r="L638" s="84">
        <f t="shared" si="839"/>
        <v>0</v>
      </c>
      <c r="M638" s="84">
        <f t="shared" si="839"/>
        <v>0</v>
      </c>
      <c r="N638" s="84">
        <f t="shared" si="839"/>
        <v>0</v>
      </c>
      <c r="O638" s="84">
        <f t="shared" si="839"/>
        <v>0</v>
      </c>
      <c r="P638" s="84">
        <f t="shared" si="839"/>
        <v>0</v>
      </c>
      <c r="Q638" s="84">
        <f t="shared" si="839"/>
        <v>0</v>
      </c>
      <c r="S638" s="54">
        <f t="shared" si="823"/>
        <v>0</v>
      </c>
    </row>
    <row r="639" spans="1:19" hidden="1" outlineLevel="2" x14ac:dyDescent="0.2">
      <c r="A639" t="str">
        <f ca="1">Language!A$545</f>
        <v xml:space="preserve">    дебиторская задолженность</v>
      </c>
      <c r="C639" s="5" t="str">
        <f ca="1">CHOOSE(B589,CUR_Main,CUR_Foreign)</f>
        <v>руб.</v>
      </c>
      <c r="D639" t="str">
        <f>TEXT(B589,"0")&amp;"_06"&amp;";int_end"</f>
        <v>1_06;int_end</v>
      </c>
      <c r="F639" s="84">
        <f>IF(SUM($F633:F633)&gt;=0,MAX(SUM($F633:F633)-SUM($F637:F637)-SUM($F638:F638),0),MIN(SUM($F633:F633)-SUM($F637:F637)-SUM($F638:F638),0))</f>
        <v>0</v>
      </c>
      <c r="G639" s="84">
        <f>IF(SUM($F633:G633)&gt;=0,MAX(SUM($F633:G633)-SUM($F637:G637)-SUM($F638:G638),0),MIN(SUM($F633:G633)-SUM($F637:G637)-SUM($F638:G638),0))</f>
        <v>0</v>
      </c>
      <c r="H639" s="84">
        <f>IF(SUM($F633:H633)&gt;=0,MAX(SUM($F633:H633)-SUM($F637:H637)-SUM($F638:H638),0),MIN(SUM($F633:H633)-SUM($F637:H637)-SUM($F638:H638),0))</f>
        <v>0</v>
      </c>
      <c r="I639" s="84">
        <f>IF(SUM($F633:I633)&gt;=0,MAX(SUM($F633:I633)-SUM($F637:I637)-SUM($F638:I638),0),MIN(SUM($F633:I633)-SUM($F637:I637)-SUM($F638:I638),0))</f>
        <v>0</v>
      </c>
      <c r="J639" s="84">
        <f>IF(SUM($F633:J633)&gt;=0,MAX(SUM($F633:J633)-SUM($F637:J637)-SUM($F638:J638),0),MIN(SUM($F633:J633)-SUM($F637:J637)-SUM($F638:J638),0))</f>
        <v>0</v>
      </c>
      <c r="K639" s="84">
        <f>IF(SUM($F633:K633)&gt;=0,MAX(SUM($F633:K633)-SUM($F637:K637)-SUM($F638:K638),0),MIN(SUM($F633:K633)-SUM($F637:K637)-SUM($F638:K638),0))</f>
        <v>0</v>
      </c>
      <c r="L639" s="84">
        <f>IF(SUM($F633:L633)&gt;=0,MAX(SUM($F633:L633)-SUM($F637:L637)-SUM($F638:L638),0),MIN(SUM($F633:L633)-SUM($F637:L637)-SUM($F638:L638),0))</f>
        <v>0</v>
      </c>
      <c r="M639" s="84">
        <f>IF(SUM($F633:M633)&gt;=0,MAX(SUM($F633:M633)-SUM($F637:M637)-SUM($F638:M638),0),MIN(SUM($F633:M633)-SUM($F637:M637)-SUM($F638:M638),0))</f>
        <v>0</v>
      </c>
      <c r="N639" s="84">
        <f>IF(SUM($F633:N633)&gt;=0,MAX(SUM($F633:N633)-SUM($F637:N637)-SUM($F638:N638),0),MIN(SUM($F633:N633)-SUM($F637:N637)-SUM($F638:N638),0))</f>
        <v>0</v>
      </c>
      <c r="O639" s="84">
        <f>IF(SUM($F633:O633)&gt;=0,MAX(SUM($F633:O633)-SUM($F637:O637)-SUM($F638:O638),0),MIN(SUM($F633:O633)-SUM($F637:O637)-SUM($F638:O638),0))</f>
        <v>0</v>
      </c>
      <c r="P639" s="84">
        <f>IF(SUM($F633:P633)&gt;=0,MAX(SUM($F633:P633)-SUM($F637:P637)-SUM($F638:P638),0),MIN(SUM($F633:P633)-SUM($F637:P637)-SUM($F638:P638),0))</f>
        <v>0</v>
      </c>
      <c r="Q639" s="84">
        <f>IF(SUM($F633:Q633)&gt;=0,MAX(SUM($F633:Q633)-SUM($F637:Q637)-SUM($F638:Q638),0),MIN(SUM($F633:Q633)-SUM($F637:Q637)-SUM($F638:Q638),0))</f>
        <v>0</v>
      </c>
    </row>
    <row r="640" spans="1:19" hidden="1" outlineLevel="2" x14ac:dyDescent="0.2">
      <c r="A640" t="str">
        <f ca="1">Language!A$546</f>
        <v xml:space="preserve">    полученные авансы</v>
      </c>
      <c r="C640" s="5" t="str">
        <f ca="1">CHOOSE(B589,CUR_Main,CUR_Foreign)</f>
        <v>руб.</v>
      </c>
      <c r="D640" t="str">
        <f>TEXT(B589,"0")&amp;"_07"&amp;";int_end"</f>
        <v>1_07;int_end</v>
      </c>
      <c r="F640" s="84">
        <f>IF(SUM($F634:F634)&gt;=0,MAX(SUM($F637:F637)-SUM($F634:F634),0),MIN(SUM($F637:F637)-SUM($F634:F634),0))</f>
        <v>0</v>
      </c>
      <c r="G640" s="84">
        <f>IF(SUM($F634:G634)&gt;=0,MAX(SUM($F637:G637)-SUM($F634:G634),0),MIN(SUM($F637:G637)-SUM($F634:G634),0))</f>
        <v>0</v>
      </c>
      <c r="H640" s="84">
        <f>IF(SUM($F634:H634)&gt;=0,MAX(SUM($F637:H637)-SUM($F634:H634),0),MIN(SUM($F637:H637)-SUM($F634:H634),0))</f>
        <v>0</v>
      </c>
      <c r="I640" s="84">
        <f>IF(SUM($F634:I634)&gt;=0,MAX(SUM($F637:I637)-SUM($F634:I634),0),MIN(SUM($F637:I637)-SUM($F634:I634),0))</f>
        <v>0</v>
      </c>
      <c r="J640" s="84">
        <f>IF(SUM($F634:J634)&gt;=0,MAX(SUM($F637:J637)-SUM($F634:J634),0),MIN(SUM($F637:J637)-SUM($F634:J634),0))</f>
        <v>0</v>
      </c>
      <c r="K640" s="84">
        <f>IF(SUM($F634:K634)&gt;=0,MAX(SUM($F637:K637)-SUM($F634:K634),0),MIN(SUM($F637:K637)-SUM($F634:K634),0))</f>
        <v>0</v>
      </c>
      <c r="L640" s="84">
        <f>IF(SUM($F634:L634)&gt;=0,MAX(SUM($F637:L637)-SUM($F634:L634),0),MIN(SUM($F637:L637)-SUM($F634:L634),0))</f>
        <v>0</v>
      </c>
      <c r="M640" s="84">
        <f>IF(SUM($F634:M634)&gt;=0,MAX(SUM($F637:M637)-SUM($F634:M634),0),MIN(SUM($F637:M637)-SUM($F634:M634),0))</f>
        <v>0</v>
      </c>
      <c r="N640" s="84">
        <f>IF(SUM($F634:N634)&gt;=0,MAX(SUM($F637:N637)-SUM($F634:N634),0),MIN(SUM($F637:N637)-SUM($F634:N634),0))</f>
        <v>0</v>
      </c>
      <c r="O640" s="84">
        <f>IF(SUM($F634:O634)&gt;=0,MAX(SUM($F637:O637)-SUM($F634:O634),0),MIN(SUM($F637:O637)-SUM($F634:O634),0))</f>
        <v>0</v>
      </c>
      <c r="P640" s="84">
        <f>IF(SUM($F634:P634)&gt;=0,MAX(SUM($F637:P637)-SUM($F634:P634),0),MIN(SUM($F637:P637)-SUM($F634:P634),0))</f>
        <v>0</v>
      </c>
      <c r="Q640" s="84">
        <f>IF(SUM($F634:Q634)&gt;=0,MAX(SUM($F637:Q637)-SUM($F634:Q634),0),MIN(SUM($F637:Q637)-SUM($F634:Q634),0))</f>
        <v>0</v>
      </c>
    </row>
    <row r="641" spans="1:19" outlineLevel="1" x14ac:dyDescent="0.2"/>
    <row r="642" spans="1:19" ht="10.5" outlineLevel="1" collapsed="1" x14ac:dyDescent="0.25">
      <c r="A642" s="35" t="str">
        <f ca="1">Language!A547</f>
        <v xml:space="preserve"> = Итого</v>
      </c>
      <c r="C642" s="5" t="str">
        <f t="shared" ref="C642:C649" ca="1" si="840">CUR_Main</f>
        <v>руб.</v>
      </c>
      <c r="F642" s="53">
        <f>SUMIF($D600:$D641,"*1_01*",F600:F641)+SUMIF($D600:$D641,"*2_01*",F600:F641)*F$88</f>
        <v>0</v>
      </c>
      <c r="G642" s="53">
        <f>SUMIF($D600:$D641,"*1_01*",G600:G641)+SUMIF($D600:$D641,"*2_01*",G600:G641)*G$88</f>
        <v>0</v>
      </c>
      <c r="H642" s="53">
        <f>SUMIF($D600:$D641,"*1_01*",H600:H641)+SUMIF($D600:$D641,"*2_01*",H600:H641)*H$88</f>
        <v>135920</v>
      </c>
      <c r="I642" s="53">
        <f>SUMIF($D600:$D641,"*1_01*",I600:I641)+SUMIF($D600:$D641,"*2_01*",I600:I641)*I$88</f>
        <v>679600</v>
      </c>
      <c r="J642" s="53">
        <f>SUMIF($D600:$D641,"*1_01*",J600:J641)+SUMIF($D600:$D641,"*2_01*",J600:J641)*J$88</f>
        <v>1359200</v>
      </c>
      <c r="K642" s="53">
        <f>SUMIF($D600:$D641,"*1_01*",K600:K641)+SUMIF($D600:$D641,"*2_01*",K600:K641)*K$88</f>
        <v>2718400</v>
      </c>
      <c r="L642" s="53">
        <f>SUMIF($D600:$D641,"*1_01*",L600:L641)+SUMIF($D600:$D641,"*2_01*",L600:L641)*L$88</f>
        <v>4077600</v>
      </c>
      <c r="M642" s="53">
        <f>SUMIF($D600:$D641,"*1_01*",M600:M641)+SUMIF($D600:$D641,"*2_01*",M600:M641)*M$88</f>
        <v>5436800</v>
      </c>
      <c r="N642" s="53">
        <f>SUMIF($D600:$D641,"*1_01*",N600:N641)+SUMIF($D600:$D641,"*2_01*",N600:N641)*N$88</f>
        <v>7475600</v>
      </c>
      <c r="O642" s="53">
        <f>SUMIF($D600:$D641,"*1_01*",O600:O641)+SUMIF($D600:$D641,"*2_01*",O600:O641)*O$88</f>
        <v>10194000</v>
      </c>
      <c r="P642" s="53">
        <f>SUMIF($D600:$D641,"*1_01*",P600:P641)+SUMIF($D600:$D641,"*2_01*",P600:P641)*P$88</f>
        <v>12232800</v>
      </c>
      <c r="Q642" s="53">
        <f>SUMIF($D600:$D641,"*1_01*",Q600:Q641)+SUMIF($D600:$D641,"*2_01*",Q600:Q641)*Q$88</f>
        <v>13592000</v>
      </c>
      <c r="S642" s="57">
        <f>SUM(F642:Q642)</f>
        <v>57901920</v>
      </c>
    </row>
    <row r="643" spans="1:19" hidden="1" outlineLevel="2" x14ac:dyDescent="0.2">
      <c r="A643" t="str">
        <f ca="1">Language!A540</f>
        <v xml:space="preserve">    к оплате от покупателей (без НДС)</v>
      </c>
      <c r="C643" s="5" t="str">
        <f t="shared" ca="1" si="840"/>
        <v>руб.</v>
      </c>
      <c r="F643" s="53">
        <f>SUMIF($D600:$D641,"*1_02*",F600:F641)+SUMIF($D600:$D641,"*2_02*",F600:F641)*F$88</f>
        <v>0</v>
      </c>
      <c r="G643" s="53">
        <f>SUMIF($D600:$D641,"*1_02*",G600:G641)+SUMIF($D600:$D641,"*2_02*",G600:G641)*G$88</f>
        <v>0</v>
      </c>
      <c r="H643" s="53">
        <f>SUMIF($D600:$D641,"*1_02*",H600:H641)+SUMIF($D600:$D641,"*2_02*",H600:H641)*H$88</f>
        <v>135920</v>
      </c>
      <c r="I643" s="53">
        <f>SUMIF($D600:$D641,"*1_02*",I600:I641)+SUMIF($D600:$D641,"*2_02*",I600:I641)*I$88</f>
        <v>679600</v>
      </c>
      <c r="J643" s="53">
        <f>SUMIF($D600:$D641,"*1_02*",J600:J641)+SUMIF($D600:$D641,"*2_02*",J600:J641)*J$88</f>
        <v>1359200</v>
      </c>
      <c r="K643" s="53">
        <f>SUMIF($D600:$D641,"*1_02*",K600:K641)+SUMIF($D600:$D641,"*2_02*",K600:K641)*K$88</f>
        <v>2718400</v>
      </c>
      <c r="L643" s="53">
        <f>SUMIF($D600:$D641,"*1_02*",L600:L641)+SUMIF($D600:$D641,"*2_02*",L600:L641)*L$88</f>
        <v>4077600</v>
      </c>
      <c r="M643" s="53">
        <f>SUMIF($D600:$D641,"*1_02*",M600:M641)+SUMIF($D600:$D641,"*2_02*",M600:M641)*M$88</f>
        <v>5436800</v>
      </c>
      <c r="N643" s="53">
        <f>SUMIF($D600:$D641,"*1_02*",N600:N641)+SUMIF($D600:$D641,"*2_02*",N600:N641)*N$88</f>
        <v>7475600</v>
      </c>
      <c r="O643" s="53">
        <f>SUMIF($D600:$D641,"*1_02*",O600:O641)+SUMIF($D600:$D641,"*2_02*",O600:O641)*O$88</f>
        <v>10194000</v>
      </c>
      <c r="P643" s="53">
        <f>SUMIF($D600:$D641,"*1_02*",P600:P641)+SUMIF($D600:$D641,"*2_02*",P600:P641)*P$88</f>
        <v>12232800</v>
      </c>
      <c r="Q643" s="53">
        <f>SUMIF($D600:$D641,"*1_02*",Q600:Q641)+SUMIF($D600:$D641,"*2_02*",Q600:Q641)*Q$88</f>
        <v>13592000</v>
      </c>
      <c r="S643" s="54">
        <f>SUM(F643:Q643)</f>
        <v>57901920</v>
      </c>
    </row>
    <row r="644" spans="1:19" hidden="1" outlineLevel="2" x14ac:dyDescent="0.2">
      <c r="A644" t="str">
        <f ca="1">Language!A541</f>
        <v xml:space="preserve">    в т.ч. акцизов, налогов и пошлин</v>
      </c>
      <c r="C644" s="5" t="str">
        <f t="shared" ca="1" si="840"/>
        <v>руб.</v>
      </c>
      <c r="F644" s="53">
        <f>SUMIF($D600:$D641,"*1_03*",F600:F641)+SUMIF($D600:$D641,"*2_03*",F600:F641)*F$88</f>
        <v>0</v>
      </c>
      <c r="G644" s="53">
        <f>SUMIF($D600:$D641,"*1_03*",G600:G641)+SUMIF($D600:$D641,"*2_03*",G600:G641)*G$88</f>
        <v>0</v>
      </c>
      <c r="H644" s="53">
        <f>SUMIF($D600:$D641,"*1_03*",H600:H641)+SUMIF($D600:$D641,"*2_03*",H600:H641)*H$88</f>
        <v>0</v>
      </c>
      <c r="I644" s="53">
        <f>SUMIF($D600:$D641,"*1_03*",I600:I641)+SUMIF($D600:$D641,"*2_03*",I600:I641)*I$88</f>
        <v>0</v>
      </c>
      <c r="J644" s="53">
        <f>SUMIF($D600:$D641,"*1_03*",J600:J641)+SUMIF($D600:$D641,"*2_03*",J600:J641)*J$88</f>
        <v>0</v>
      </c>
      <c r="K644" s="53">
        <f>SUMIF($D600:$D641,"*1_03*",K600:K641)+SUMIF($D600:$D641,"*2_03*",K600:K641)*K$88</f>
        <v>0</v>
      </c>
      <c r="L644" s="53">
        <f>SUMIF($D600:$D641,"*1_03*",L600:L641)+SUMIF($D600:$D641,"*2_03*",L600:L641)*L$88</f>
        <v>0</v>
      </c>
      <c r="M644" s="53">
        <f>SUMIF($D600:$D641,"*1_03*",M600:M641)+SUMIF($D600:$D641,"*2_03*",M600:M641)*M$88</f>
        <v>0</v>
      </c>
      <c r="N644" s="53">
        <f>SUMIF($D600:$D641,"*1_03*",N600:N641)+SUMIF($D600:$D641,"*2_03*",N600:N641)*N$88</f>
        <v>0</v>
      </c>
      <c r="O644" s="53">
        <f>SUMIF($D600:$D641,"*1_03*",O600:O641)+SUMIF($D600:$D641,"*2_03*",O600:O641)*O$88</f>
        <v>0</v>
      </c>
      <c r="P644" s="53">
        <f>SUMIF($D600:$D641,"*1_03*",P600:P641)+SUMIF($D600:$D641,"*2_03*",P600:P641)*P$88</f>
        <v>0</v>
      </c>
      <c r="Q644" s="53">
        <f>SUMIF($D600:$D641,"*1_03*",Q600:Q641)+SUMIF($D600:$D641,"*2_03*",Q600:Q641)*Q$88</f>
        <v>0</v>
      </c>
      <c r="S644" s="54">
        <f>SUM(F644:Q644)</f>
        <v>0</v>
      </c>
    </row>
    <row r="645" spans="1:19" hidden="1" outlineLevel="2" x14ac:dyDescent="0.2">
      <c r="A645" t="str">
        <f ca="1">Language!A542</f>
        <v xml:space="preserve">    НДС на поставленную продукцию</v>
      </c>
      <c r="C645" s="5" t="str">
        <f t="shared" ca="1" si="840"/>
        <v>руб.</v>
      </c>
      <c r="F645" s="84">
        <f>SUMIF($D600:$D641,"*1_08*",F600:F641)+SUMIF($D600:$D641,"*2_08*",F600:F641)*F$88</f>
        <v>0</v>
      </c>
      <c r="G645" s="84">
        <f>SUMIF($D600:$D641,"*1_08*",G600:G641)+SUMIF($D600:$D641,"*2_08*",G600:G641)*G$88</f>
        <v>0</v>
      </c>
      <c r="H645" s="84">
        <f>SUMIF($D600:$D641,"*1_08*",H600:H641)+SUMIF($D600:$D641,"*2_08*",H600:H641)*H$88</f>
        <v>0</v>
      </c>
      <c r="I645" s="84">
        <f>SUMIF($D600:$D641,"*1_08*",I600:I641)+SUMIF($D600:$D641,"*2_08*",I600:I641)*I$88</f>
        <v>0</v>
      </c>
      <c r="J645" s="84">
        <f>SUMIF($D600:$D641,"*1_08*",J600:J641)+SUMIF($D600:$D641,"*2_08*",J600:J641)*J$88</f>
        <v>0</v>
      </c>
      <c r="K645" s="84">
        <f>SUMIF($D600:$D641,"*1_08*",K600:K641)+SUMIF($D600:$D641,"*2_08*",K600:K641)*K$88</f>
        <v>0</v>
      </c>
      <c r="L645" s="84">
        <f>SUMIF($D600:$D641,"*1_08*",L600:L641)+SUMIF($D600:$D641,"*2_08*",L600:L641)*L$88</f>
        <v>0</v>
      </c>
      <c r="M645" s="84">
        <f>SUMIF($D600:$D641,"*1_08*",M600:M641)+SUMIF($D600:$D641,"*2_08*",M600:M641)*M$88</f>
        <v>0</v>
      </c>
      <c r="N645" s="84">
        <f>SUMIF($D600:$D641,"*1_08*",N600:N641)+SUMIF($D600:$D641,"*2_08*",N600:N641)*N$88</f>
        <v>0</v>
      </c>
      <c r="O645" s="84">
        <f>SUMIF($D600:$D641,"*1_08*",O600:O641)+SUMIF($D600:$D641,"*2_08*",O600:O641)*O$88</f>
        <v>0</v>
      </c>
      <c r="P645" s="84">
        <f>SUMIF($D600:$D641,"*1_08*",P600:P641)+SUMIF($D600:$D641,"*2_08*",P600:P641)*P$88</f>
        <v>0</v>
      </c>
      <c r="Q645" s="84">
        <f>SUMIF($D600:$D641,"*1_08*",Q600:Q641)+SUMIF($D600:$D641,"*2_08*",Q600:Q641)*Q$88</f>
        <v>0</v>
      </c>
      <c r="S645" s="54">
        <f>SUM(F645:Q645)</f>
        <v>0</v>
      </c>
    </row>
    <row r="646" spans="1:19" hidden="1" outlineLevel="2" x14ac:dyDescent="0.2">
      <c r="A646" t="str">
        <f ca="1">Language!A543</f>
        <v xml:space="preserve">    график оплаты (без НДС)</v>
      </c>
      <c r="C646" s="5" t="str">
        <f t="shared" ca="1" si="840"/>
        <v>руб.</v>
      </c>
      <c r="F646" s="53">
        <f>SUMIF($D600:$D641,"*1_04*",F600:F641)+SUMIF($D600:$D641,"*2_04*",F600:F641)*F$88</f>
        <v>0</v>
      </c>
      <c r="G646" s="53">
        <f>SUMIF($D600:$D641,"*1_04*",G600:G641)+SUMIF($D600:$D641,"*2_04*",G600:G641)*G$88</f>
        <v>0</v>
      </c>
      <c r="H646" s="53">
        <f>SUMIF($D600:$D641,"*1_04*",H600:H641)+SUMIF($D600:$D641,"*2_04*",H600:H641)*H$88</f>
        <v>135920</v>
      </c>
      <c r="I646" s="53">
        <f>SUMIF($D600:$D641,"*1_04*",I600:I641)+SUMIF($D600:$D641,"*2_04*",I600:I641)*I$88</f>
        <v>679600</v>
      </c>
      <c r="J646" s="53">
        <f>SUMIF($D600:$D641,"*1_04*",J600:J641)+SUMIF($D600:$D641,"*2_04*",J600:J641)*J$88</f>
        <v>1359200</v>
      </c>
      <c r="K646" s="53">
        <f>SUMIF($D600:$D641,"*1_04*",K600:K641)+SUMIF($D600:$D641,"*2_04*",K600:K641)*K$88</f>
        <v>2718400</v>
      </c>
      <c r="L646" s="53">
        <f>SUMIF($D600:$D641,"*1_04*",L600:L641)+SUMIF($D600:$D641,"*2_04*",L600:L641)*L$88</f>
        <v>4077600</v>
      </c>
      <c r="M646" s="53">
        <f>SUMIF($D600:$D641,"*1_04*",M600:M641)+SUMIF($D600:$D641,"*2_04*",M600:M641)*M$88</f>
        <v>5436800</v>
      </c>
      <c r="N646" s="53">
        <f>SUMIF($D600:$D641,"*1_04*",N600:N641)+SUMIF($D600:$D641,"*2_04*",N600:N641)*N$88</f>
        <v>7475600</v>
      </c>
      <c r="O646" s="53">
        <f>SUMIF($D600:$D641,"*1_04*",O600:O641)+SUMIF($D600:$D641,"*2_04*",O600:O641)*O$88</f>
        <v>10194000</v>
      </c>
      <c r="P646" s="53">
        <f>SUMIF($D600:$D641,"*1_04*",P600:P641)+SUMIF($D600:$D641,"*2_04*",P600:P641)*P$88</f>
        <v>12232800</v>
      </c>
      <c r="Q646" s="53">
        <f>SUMIF($D600:$D641,"*1_04*",Q600:Q641)+SUMIF($D600:$D641,"*2_04*",Q600:Q641)*Q$88</f>
        <v>13592000</v>
      </c>
      <c r="S646" s="54">
        <f>SUM(F646:Q646)</f>
        <v>57901920</v>
      </c>
    </row>
    <row r="647" spans="1:19" hidden="1" outlineLevel="2" x14ac:dyDescent="0.2">
      <c r="A647" t="str">
        <f ca="1">Language!A544</f>
        <v xml:space="preserve">    полученный НДС</v>
      </c>
      <c r="C647" s="5" t="str">
        <f t="shared" ca="1" si="840"/>
        <v>руб.</v>
      </c>
      <c r="F647" s="53">
        <f>SUMIF($D600:$D641,"*1_05*",F600:F641)+SUMIF($D600:$D641,"*2_05*",F600:F641)*F$88</f>
        <v>0</v>
      </c>
      <c r="G647" s="53">
        <f>SUMIF($D600:$D641,"*1_05*",G600:G641)+SUMIF($D600:$D641,"*2_05*",G600:G641)*G$88</f>
        <v>0</v>
      </c>
      <c r="H647" s="53">
        <f>SUMIF($D600:$D641,"*1_05*",H600:H641)+SUMIF($D600:$D641,"*2_05*",H600:H641)*H$88</f>
        <v>0</v>
      </c>
      <c r="I647" s="53">
        <f>SUMIF($D600:$D641,"*1_05*",I600:I641)+SUMIF($D600:$D641,"*2_05*",I600:I641)*I$88</f>
        <v>0</v>
      </c>
      <c r="J647" s="53">
        <f>SUMIF($D600:$D641,"*1_05*",J600:J641)+SUMIF($D600:$D641,"*2_05*",J600:J641)*J$88</f>
        <v>0</v>
      </c>
      <c r="K647" s="53">
        <f>SUMIF($D600:$D641,"*1_05*",K600:K641)+SUMIF($D600:$D641,"*2_05*",K600:K641)*K$88</f>
        <v>0</v>
      </c>
      <c r="L647" s="53">
        <f>SUMIF($D600:$D641,"*1_05*",L600:L641)+SUMIF($D600:$D641,"*2_05*",L600:L641)*L$88</f>
        <v>0</v>
      </c>
      <c r="M647" s="53">
        <f>SUMIF($D600:$D641,"*1_05*",M600:M641)+SUMIF($D600:$D641,"*2_05*",M600:M641)*M$88</f>
        <v>0</v>
      </c>
      <c r="N647" s="53">
        <f>SUMIF($D600:$D641,"*1_05*",N600:N641)+SUMIF($D600:$D641,"*2_05*",N600:N641)*N$88</f>
        <v>0</v>
      </c>
      <c r="O647" s="53">
        <f>SUMIF($D600:$D641,"*1_05*",O600:O641)+SUMIF($D600:$D641,"*2_05*",O600:O641)*O$88</f>
        <v>0</v>
      </c>
      <c r="P647" s="53">
        <f>SUMIF($D600:$D641,"*1_05*",P600:P641)+SUMIF($D600:$D641,"*2_05*",P600:P641)*P$88</f>
        <v>0</v>
      </c>
      <c r="Q647" s="53">
        <f>SUMIF($D600:$D641,"*1_05*",Q600:Q641)+SUMIF($D600:$D641,"*2_05*",Q600:Q641)*Q$88</f>
        <v>0</v>
      </c>
      <c r="S647" s="54">
        <f>SUM(F647:Q647)</f>
        <v>0</v>
      </c>
    </row>
    <row r="648" spans="1:19" hidden="1" outlineLevel="2" x14ac:dyDescent="0.2">
      <c r="A648" t="str">
        <f ca="1">Language!A545</f>
        <v xml:space="preserve">    дебиторская задолженность</v>
      </c>
      <c r="C648" s="5" t="str">
        <f t="shared" ca="1" si="840"/>
        <v>руб.</v>
      </c>
      <c r="D648" s="16" t="s">
        <v>384</v>
      </c>
      <c r="F648" s="53">
        <f>SUMIF($D600:$D641,"*1_06*",F600:F641)+SUMIF($D600:$D641,"*2_06*",F600:F641)*F$88</f>
        <v>0</v>
      </c>
      <c r="G648" s="53">
        <f>SUMIF($D600:$D641,"*1_06*",G600:G641)+SUMIF($D600:$D641,"*2_06*",G600:G641)*G$88</f>
        <v>0</v>
      </c>
      <c r="H648" s="53">
        <f>SUMIF($D600:$D641,"*1_06*",H600:H641)+SUMIF($D600:$D641,"*2_06*",H600:H641)*H$88</f>
        <v>0</v>
      </c>
      <c r="I648" s="53">
        <f>SUMIF($D600:$D641,"*1_06*",I600:I641)+SUMIF($D600:$D641,"*2_06*",I600:I641)*I$88</f>
        <v>0</v>
      </c>
      <c r="J648" s="53">
        <f>SUMIF($D600:$D641,"*1_06*",J600:J641)+SUMIF($D600:$D641,"*2_06*",J600:J641)*J$88</f>
        <v>0</v>
      </c>
      <c r="K648" s="53">
        <f>SUMIF($D600:$D641,"*1_06*",K600:K641)+SUMIF($D600:$D641,"*2_06*",K600:K641)*K$88</f>
        <v>0</v>
      </c>
      <c r="L648" s="53">
        <f>SUMIF($D600:$D641,"*1_06*",L600:L641)+SUMIF($D600:$D641,"*2_06*",L600:L641)*L$88</f>
        <v>0</v>
      </c>
      <c r="M648" s="53">
        <f>SUMIF($D600:$D641,"*1_06*",M600:M641)+SUMIF($D600:$D641,"*2_06*",M600:M641)*M$88</f>
        <v>0</v>
      </c>
      <c r="N648" s="53">
        <f>SUMIF($D600:$D641,"*1_06*",N600:N641)+SUMIF($D600:$D641,"*2_06*",N600:N641)*N$88</f>
        <v>0</v>
      </c>
      <c r="O648" s="53">
        <f>SUMIF($D600:$D641,"*1_06*",O600:O641)+SUMIF($D600:$D641,"*2_06*",O600:O641)*O$88</f>
        <v>0</v>
      </c>
      <c r="P648" s="53">
        <f>SUMIF($D600:$D641,"*1_06*",P600:P641)+SUMIF($D600:$D641,"*2_06*",P600:P641)*P$88</f>
        <v>0</v>
      </c>
      <c r="Q648" s="53">
        <f>SUMIF($D600:$D641,"*1_06*",Q600:Q641)+SUMIF($D600:$D641,"*2_06*",Q600:Q641)*Q$88</f>
        <v>0</v>
      </c>
    </row>
    <row r="649" spans="1:19" hidden="1" outlineLevel="2" x14ac:dyDescent="0.2">
      <c r="A649" t="str">
        <f ca="1">Language!A546</f>
        <v xml:space="preserve">    полученные авансы</v>
      </c>
      <c r="C649" s="5" t="str">
        <f t="shared" ca="1" si="840"/>
        <v>руб.</v>
      </c>
      <c r="D649" s="16" t="s">
        <v>384</v>
      </c>
      <c r="F649" s="53">
        <f>SUMIF($D600:$D641,"*1_07*",F600:F641)+SUMIF($D600:$D641,"*2_07*",F600:F641)*F$88</f>
        <v>0</v>
      </c>
      <c r="G649" s="53">
        <f>SUMIF($D600:$D641,"*1_07*",G600:G641)+SUMIF($D600:$D641,"*2_07*",G600:G641)*G$88</f>
        <v>0</v>
      </c>
      <c r="H649" s="53">
        <f>SUMIF($D600:$D641,"*1_07*",H600:H641)+SUMIF($D600:$D641,"*2_07*",H600:H641)*H$88</f>
        <v>0</v>
      </c>
      <c r="I649" s="53">
        <f>SUMIF($D600:$D641,"*1_07*",I600:I641)+SUMIF($D600:$D641,"*2_07*",I600:I641)*I$88</f>
        <v>0</v>
      </c>
      <c r="J649" s="53">
        <f>SUMIF($D600:$D641,"*1_07*",J600:J641)+SUMIF($D600:$D641,"*2_07*",J600:J641)*J$88</f>
        <v>0</v>
      </c>
      <c r="K649" s="53">
        <f>SUMIF($D600:$D641,"*1_07*",K600:K641)+SUMIF($D600:$D641,"*2_07*",K600:K641)*K$88</f>
        <v>0</v>
      </c>
      <c r="L649" s="53">
        <f>SUMIF($D600:$D641,"*1_07*",L600:L641)+SUMIF($D600:$D641,"*2_07*",L600:L641)*L$88</f>
        <v>0</v>
      </c>
      <c r="M649" s="53">
        <f>SUMIF($D600:$D641,"*1_07*",M600:M641)+SUMIF($D600:$D641,"*2_07*",M600:M641)*M$88</f>
        <v>0</v>
      </c>
      <c r="N649" s="53">
        <f>SUMIF($D600:$D641,"*1_07*",N600:N641)+SUMIF($D600:$D641,"*2_07*",N600:N641)*N$88</f>
        <v>0</v>
      </c>
      <c r="O649" s="53">
        <f>SUMIF($D600:$D641,"*1_07*",O600:O641)+SUMIF($D600:$D641,"*2_07*",O600:O641)*O$88</f>
        <v>0</v>
      </c>
      <c r="P649" s="53">
        <f>SUMIF($D600:$D641,"*1_07*",P600:P641)+SUMIF($D600:$D641,"*2_07*",P600:P641)*P$88</f>
        <v>0</v>
      </c>
      <c r="Q649" s="53">
        <f>SUMIF($D600:$D641,"*1_07*",Q600:Q641)+SUMIF($D600:$D641,"*2_07*",Q600:Q641)*Q$88</f>
        <v>0</v>
      </c>
    </row>
    <row r="650" spans="1:19" outlineLevel="1" x14ac:dyDescent="0.2">
      <c r="A650" s="63"/>
      <c r="B650" s="63"/>
      <c r="C650" s="67"/>
      <c r="D650" s="60"/>
      <c r="E650" s="63"/>
      <c r="F650" s="123"/>
      <c r="G650" s="123"/>
      <c r="H650" s="123"/>
      <c r="I650" s="123"/>
      <c r="J650" s="123"/>
      <c r="K650" s="123"/>
      <c r="L650" s="123"/>
      <c r="M650" s="123"/>
      <c r="N650" s="123"/>
      <c r="O650" s="123"/>
      <c r="P650" s="123"/>
      <c r="Q650" s="123"/>
      <c r="R650" s="63"/>
      <c r="S650" s="64"/>
    </row>
    <row r="651" spans="1:19" outlineLevel="1" x14ac:dyDescent="0.2">
      <c r="A651" s="19"/>
      <c r="B651" s="19"/>
      <c r="C651" s="26"/>
      <c r="D651" s="46"/>
      <c r="E651" s="19"/>
      <c r="F651" s="111"/>
      <c r="G651" s="111"/>
      <c r="H651" s="111"/>
      <c r="I651" s="111"/>
      <c r="J651" s="111"/>
      <c r="K651" s="111"/>
      <c r="L651" s="111"/>
      <c r="M651" s="111"/>
      <c r="N651" s="111"/>
      <c r="O651" s="111"/>
      <c r="P651" s="111"/>
      <c r="Q651" s="111"/>
      <c r="R651" s="19"/>
      <c r="S651" s="22"/>
    </row>
    <row r="652" spans="1:19" s="4" customFormat="1" ht="16" customHeight="1" thickBot="1" x14ac:dyDescent="0.25">
      <c r="A652" s="166" t="str">
        <f ca="1">Language!A548</f>
        <v xml:space="preserve">         ОБЪЕМЫ ПРОИЗВОДСТВА (в единицах)</v>
      </c>
      <c r="B652" s="166"/>
      <c r="C652" s="166"/>
      <c r="D652" s="166"/>
      <c r="E652" s="166"/>
      <c r="F652" s="178" t="str">
        <f t="shared" ref="F652:Q652" si="841">PeriodTitle</f>
        <v>4/ 2024</v>
      </c>
      <c r="G652" s="178" t="str">
        <f t="shared" si="841"/>
        <v>5/ 2024</v>
      </c>
      <c r="H652" s="178" t="str">
        <f t="shared" si="841"/>
        <v>6/ 2024</v>
      </c>
      <c r="I652" s="178" t="str">
        <f t="shared" si="841"/>
        <v>7/ 2024</v>
      </c>
      <c r="J652" s="178" t="str">
        <f t="shared" si="841"/>
        <v>8/ 2024</v>
      </c>
      <c r="K652" s="178" t="str">
        <f t="shared" si="841"/>
        <v>9/ 2024</v>
      </c>
      <c r="L652" s="178" t="str">
        <f t="shared" si="841"/>
        <v>10/ 2024</v>
      </c>
      <c r="M652" s="178" t="str">
        <f t="shared" si="841"/>
        <v>11/ 2024</v>
      </c>
      <c r="N652" s="178" t="str">
        <f t="shared" si="841"/>
        <v>12/ 2024</v>
      </c>
      <c r="O652" s="178" t="str">
        <f t="shared" si="841"/>
        <v>1/ 2025</v>
      </c>
      <c r="P652" s="178" t="str">
        <f t="shared" si="841"/>
        <v>2/ 2025</v>
      </c>
      <c r="Q652" s="178" t="str">
        <f t="shared" si="841"/>
        <v>3/ 2025</v>
      </c>
      <c r="R652" s="166"/>
      <c r="S652" s="195" t="str">
        <f ca="1">Language!$A$371</f>
        <v>ИТОГО</v>
      </c>
    </row>
    <row r="653" spans="1:19" ht="10.5" outlineLevel="1" thickTop="1" x14ac:dyDescent="0.2">
      <c r="D653">
        <v>0</v>
      </c>
      <c r="E653">
        <v>4</v>
      </c>
    </row>
    <row r="654" spans="1:19" outlineLevel="1" x14ac:dyDescent="0.2">
      <c r="A654" t="str">
        <f>A541</f>
        <v>Наименование товара</v>
      </c>
      <c r="B654" s="71"/>
      <c r="C654" s="5"/>
      <c r="F654" s="134" t="str">
        <f>IF(F657&lt;0,Language!$A$553,"")</f>
        <v/>
      </c>
      <c r="G654" s="134" t="str">
        <f>IF(G657&lt;0,Language!$A$553,"")</f>
        <v/>
      </c>
      <c r="H654" s="134" t="str">
        <f>IF(H657&lt;0,Language!$A$553,"")</f>
        <v/>
      </c>
      <c r="I654" s="134" t="str">
        <f>IF(I657&lt;0,Language!$A$553,"")</f>
        <v/>
      </c>
      <c r="J654" s="134" t="str">
        <f>IF(J657&lt;0,Language!$A$553,"")</f>
        <v/>
      </c>
      <c r="K654" s="134" t="str">
        <f>IF(K657&lt;0,Language!$A$553,"")</f>
        <v/>
      </c>
      <c r="L654" s="134" t="str">
        <f>IF(L657&lt;0,Language!$A$553,"")</f>
        <v/>
      </c>
      <c r="M654" s="134" t="str">
        <f>IF(M657&lt;0,Language!$A$553,"")</f>
        <v/>
      </c>
      <c r="N654" s="134" t="str">
        <f>IF(N657&lt;0,Language!$A$553,"")</f>
        <v/>
      </c>
      <c r="O654" s="134" t="str">
        <f>IF(O657&lt;0,Language!$A$553,"")</f>
        <v/>
      </c>
      <c r="P654" s="134" t="str">
        <f>IF(P657&lt;0,Language!$A$553,"")</f>
        <v/>
      </c>
      <c r="Q654" s="134" t="str">
        <f>IF(Q657&lt;0,Language!$A$553,"")</f>
        <v/>
      </c>
      <c r="S654" s="78"/>
    </row>
    <row r="655" spans="1:19" outlineLevel="1" x14ac:dyDescent="0.2">
      <c r="A655" s="41" t="str">
        <f ca="1">Language!A$549</f>
        <v xml:space="preserve">    план производства</v>
      </c>
      <c r="B655" s="72"/>
      <c r="C655" s="73" t="str">
        <f>C541</f>
        <v>шт</v>
      </c>
      <c r="D655" s="74" t="s">
        <v>188</v>
      </c>
      <c r="E655" s="48"/>
      <c r="F655" s="281">
        <f t="shared" ref="F655:M655" si="842">F551</f>
        <v>0</v>
      </c>
      <c r="G655" s="281">
        <f t="shared" si="842"/>
        <v>0</v>
      </c>
      <c r="H655" s="281">
        <f t="shared" si="842"/>
        <v>0</v>
      </c>
      <c r="I655" s="281">
        <f t="shared" si="842"/>
        <v>0</v>
      </c>
      <c r="J655" s="281">
        <f t="shared" si="842"/>
        <v>0</v>
      </c>
      <c r="K655" s="281">
        <f t="shared" si="842"/>
        <v>0</v>
      </c>
      <c r="L655" s="281">
        <f t="shared" si="842"/>
        <v>0</v>
      </c>
      <c r="M655" s="281">
        <f t="shared" si="842"/>
        <v>0</v>
      </c>
      <c r="N655" s="281">
        <f t="shared" ref="N655" si="843">N551</f>
        <v>0</v>
      </c>
      <c r="O655" s="281">
        <f t="shared" ref="O655" si="844">O551</f>
        <v>0</v>
      </c>
      <c r="P655" s="281">
        <f t="shared" ref="P655:Q655" si="845">P551</f>
        <v>0</v>
      </c>
      <c r="Q655" s="281">
        <f t="shared" si="845"/>
        <v>0</v>
      </c>
      <c r="R655" s="43"/>
      <c r="S655" s="54">
        <f>SUM(F655:Q655)</f>
        <v>0</v>
      </c>
    </row>
    <row r="656" spans="1:19" outlineLevel="1" x14ac:dyDescent="0.2">
      <c r="A656" s="41" t="str">
        <f ca="1">Language!A$550</f>
        <v xml:space="preserve">    план реализации</v>
      </c>
      <c r="C656" s="5" t="str">
        <f>C541</f>
        <v>шт</v>
      </c>
      <c r="D656" s="16" t="s">
        <v>188</v>
      </c>
      <c r="F656" s="83">
        <f t="shared" ref="F656:M656" si="846">F551</f>
        <v>0</v>
      </c>
      <c r="G656" s="83">
        <f t="shared" si="846"/>
        <v>0</v>
      </c>
      <c r="H656" s="83">
        <f t="shared" si="846"/>
        <v>0</v>
      </c>
      <c r="I656" s="83">
        <f t="shared" si="846"/>
        <v>0</v>
      </c>
      <c r="J656" s="83">
        <f t="shared" si="846"/>
        <v>0</v>
      </c>
      <c r="K656" s="83">
        <f t="shared" si="846"/>
        <v>0</v>
      </c>
      <c r="L656" s="83">
        <f t="shared" si="846"/>
        <v>0</v>
      </c>
      <c r="M656" s="83">
        <f t="shared" si="846"/>
        <v>0</v>
      </c>
      <c r="N656" s="83">
        <f t="shared" ref="N656" si="847">N551</f>
        <v>0</v>
      </c>
      <c r="O656" s="83">
        <f t="shared" ref="O656" si="848">O551</f>
        <v>0</v>
      </c>
      <c r="P656" s="83">
        <f t="shared" ref="P656:Q656" si="849">P551</f>
        <v>0</v>
      </c>
      <c r="Q656" s="83">
        <f t="shared" si="849"/>
        <v>0</v>
      </c>
      <c r="R656" s="43"/>
      <c r="S656" s="54">
        <f>SUM(F656:Q656)</f>
        <v>0</v>
      </c>
    </row>
    <row r="657" spans="1:19" outlineLevel="1" x14ac:dyDescent="0.2">
      <c r="A657" s="41" t="str">
        <f ca="1">Language!A$551</f>
        <v xml:space="preserve">    склад готовой продукции</v>
      </c>
      <c r="C657" s="5" t="str">
        <f>C541</f>
        <v>шт</v>
      </c>
      <c r="D657" s="16" t="s">
        <v>665</v>
      </c>
      <c r="E657">
        <v>0</v>
      </c>
      <c r="F657" s="83">
        <f t="shared" ref="F657:Q657" si="850">E657+F655-F656</f>
        <v>0</v>
      </c>
      <c r="G657" s="83">
        <f t="shared" si="850"/>
        <v>0</v>
      </c>
      <c r="H657" s="83">
        <f t="shared" si="850"/>
        <v>0</v>
      </c>
      <c r="I657" s="83">
        <f t="shared" si="850"/>
        <v>0</v>
      </c>
      <c r="J657" s="83">
        <f t="shared" si="850"/>
        <v>0</v>
      </c>
      <c r="K657" s="83">
        <f t="shared" si="850"/>
        <v>0</v>
      </c>
      <c r="L657" s="83">
        <f t="shared" si="850"/>
        <v>0</v>
      </c>
      <c r="M657" s="83">
        <f t="shared" si="850"/>
        <v>0</v>
      </c>
      <c r="N657" s="83">
        <f t="shared" si="850"/>
        <v>0</v>
      </c>
      <c r="O657" s="83">
        <f t="shared" si="850"/>
        <v>0</v>
      </c>
      <c r="P657" s="83">
        <f t="shared" si="850"/>
        <v>0</v>
      </c>
      <c r="Q657" s="83">
        <f t="shared" si="850"/>
        <v>0</v>
      </c>
      <c r="R657" s="43"/>
      <c r="S657" s="54"/>
    </row>
    <row r="658" spans="1:19" outlineLevel="1" x14ac:dyDescent="0.2">
      <c r="A658" t="str">
        <f>A542</f>
        <v>Коробочная версия продукта</v>
      </c>
      <c r="B658" s="71"/>
      <c r="C658" s="5"/>
      <c r="F658" s="134" t="str">
        <f>IF(F661&lt;0,Language!$A$553,"")</f>
        <v/>
      </c>
      <c r="G658" s="134" t="str">
        <f>IF(G661&lt;0,Language!$A$553,"")</f>
        <v/>
      </c>
      <c r="H658" s="134" t="str">
        <f>IF(H661&lt;0,Language!$A$553,"")</f>
        <v/>
      </c>
      <c r="I658" s="134" t="str">
        <f>IF(I661&lt;0,Language!$A$553,"")</f>
        <v/>
      </c>
      <c r="J658" s="134" t="str">
        <f>IF(J661&lt;0,Language!$A$553,"")</f>
        <v/>
      </c>
      <c r="K658" s="134" t="str">
        <f>IF(K661&lt;0,Language!$A$553,"")</f>
        <v/>
      </c>
      <c r="L658" s="134" t="str">
        <f>IF(L661&lt;0,Language!$A$553,"")</f>
        <v/>
      </c>
      <c r="M658" s="134" t="str">
        <f>IF(M661&lt;0,Language!$A$553,"")</f>
        <v/>
      </c>
      <c r="N658" s="134" t="str">
        <f>IF(N661&lt;0,Language!$A$553,"")</f>
        <v/>
      </c>
      <c r="O658" s="134" t="str">
        <f>IF(O661&lt;0,Language!$A$553,"")</f>
        <v/>
      </c>
      <c r="P658" s="134" t="str">
        <f>IF(P661&lt;0,Language!$A$553,"")</f>
        <v/>
      </c>
      <c r="Q658" s="134" t="str">
        <f>IF(Q661&lt;0,Language!$A$553,"")</f>
        <v/>
      </c>
      <c r="S658" s="78"/>
    </row>
    <row r="659" spans="1:19" outlineLevel="1" x14ac:dyDescent="0.2">
      <c r="A659" s="41" t="str">
        <f ca="1">Language!A$549</f>
        <v xml:space="preserve">    план производства</v>
      </c>
      <c r="B659" s="72"/>
      <c r="C659" s="73" t="str">
        <f>C542</f>
        <v>шт</v>
      </c>
      <c r="D659" s="74" t="s">
        <v>188</v>
      </c>
      <c r="E659" s="48"/>
      <c r="F659" s="281">
        <f>F552</f>
        <v>0</v>
      </c>
      <c r="G659" s="281">
        <f>G552</f>
        <v>0</v>
      </c>
      <c r="H659" s="281">
        <f>H552</f>
        <v>1.2</v>
      </c>
      <c r="I659" s="281">
        <f>I552</f>
        <v>6</v>
      </c>
      <c r="J659" s="281">
        <f>J552</f>
        <v>12</v>
      </c>
      <c r="K659" s="281">
        <f>K552</f>
        <v>24</v>
      </c>
      <c r="L659" s="281">
        <f>L552</f>
        <v>36</v>
      </c>
      <c r="M659" s="281">
        <f>M552</f>
        <v>48</v>
      </c>
      <c r="N659" s="281">
        <f>N552</f>
        <v>66</v>
      </c>
      <c r="O659" s="281">
        <f>O552</f>
        <v>90</v>
      </c>
      <c r="P659" s="281">
        <f>P552</f>
        <v>108</v>
      </c>
      <c r="Q659" s="281">
        <f>Q552</f>
        <v>120</v>
      </c>
      <c r="R659" s="43"/>
      <c r="S659" s="54">
        <f>SUM(F659:Q659)</f>
        <v>511.2</v>
      </c>
    </row>
    <row r="660" spans="1:19" outlineLevel="1" x14ac:dyDescent="0.2">
      <c r="A660" s="41" t="str">
        <f ca="1">Language!A$550</f>
        <v xml:space="preserve">    план реализации</v>
      </c>
      <c r="C660" s="5" t="str">
        <f>C542</f>
        <v>шт</v>
      </c>
      <c r="D660" s="16" t="s">
        <v>188</v>
      </c>
      <c r="F660" s="83">
        <f>F552</f>
        <v>0</v>
      </c>
      <c r="G660" s="83">
        <f>G552</f>
        <v>0</v>
      </c>
      <c r="H660" s="83">
        <f>H552</f>
        <v>1.2</v>
      </c>
      <c r="I660" s="83">
        <f>I552</f>
        <v>6</v>
      </c>
      <c r="J660" s="83">
        <f>J552</f>
        <v>12</v>
      </c>
      <c r="K660" s="83">
        <f>K552</f>
        <v>24</v>
      </c>
      <c r="L660" s="83">
        <f>L552</f>
        <v>36</v>
      </c>
      <c r="M660" s="83">
        <f>M552</f>
        <v>48</v>
      </c>
      <c r="N660" s="83">
        <f>N552</f>
        <v>66</v>
      </c>
      <c r="O660" s="83">
        <f>O552</f>
        <v>90</v>
      </c>
      <c r="P660" s="83">
        <f>P552</f>
        <v>108</v>
      </c>
      <c r="Q660" s="83">
        <f>Q552</f>
        <v>120</v>
      </c>
      <c r="R660" s="43"/>
      <c r="S660" s="54">
        <f>SUM(F660:Q660)</f>
        <v>511.2</v>
      </c>
    </row>
    <row r="661" spans="1:19" outlineLevel="1" x14ac:dyDescent="0.2">
      <c r="A661" s="41" t="str">
        <f ca="1">Language!A$551</f>
        <v xml:space="preserve">    склад готовой продукции</v>
      </c>
      <c r="C661" s="5" t="str">
        <f>C542</f>
        <v>шт</v>
      </c>
      <c r="D661" s="16" t="s">
        <v>665</v>
      </c>
      <c r="E661">
        <v>0</v>
      </c>
      <c r="F661" s="83">
        <f>E661+F659-F660</f>
        <v>0</v>
      </c>
      <c r="G661" s="83">
        <f>F661+G659-G660</f>
        <v>0</v>
      </c>
      <c r="H661" s="83">
        <f>G661+H659-H660</f>
        <v>0</v>
      </c>
      <c r="I661" s="83">
        <f>H661+I659-I660</f>
        <v>0</v>
      </c>
      <c r="J661" s="83">
        <f>I661+J659-J660</f>
        <v>0</v>
      </c>
      <c r="K661" s="83">
        <f>J661+K659-K660</f>
        <v>0</v>
      </c>
      <c r="L661" s="83">
        <f>K661+L659-L660</f>
        <v>0</v>
      </c>
      <c r="M661" s="83">
        <f>L661+M659-M660</f>
        <v>0</v>
      </c>
      <c r="N661" s="83">
        <f>M661+N659-N660</f>
        <v>0</v>
      </c>
      <c r="O661" s="83">
        <f>N661+O659-O660</f>
        <v>0</v>
      </c>
      <c r="P661" s="83">
        <f>O661+P659-P660</f>
        <v>0</v>
      </c>
      <c r="Q661" s="83">
        <f>P661+Q659-Q660</f>
        <v>0</v>
      </c>
      <c r="R661" s="43"/>
      <c r="S661" s="54"/>
    </row>
    <row r="662" spans="1:19" outlineLevel="1" x14ac:dyDescent="0.2">
      <c r="A662" t="str">
        <f>A543</f>
        <v>Исключительные права</v>
      </c>
      <c r="B662" s="71"/>
      <c r="C662" s="5"/>
      <c r="F662" s="134" t="str">
        <f>IF(F665&lt;0,Language!$A$553,"")</f>
        <v/>
      </c>
      <c r="G662" s="134" t="str">
        <f>IF(G665&lt;0,Language!$A$553,"")</f>
        <v/>
      </c>
      <c r="H662" s="134" t="str">
        <f>IF(H665&lt;0,Language!$A$553,"")</f>
        <v/>
      </c>
      <c r="I662" s="134" t="str">
        <f>IF(I665&lt;0,Language!$A$553,"")</f>
        <v/>
      </c>
      <c r="J662" s="134" t="str">
        <f>IF(J665&lt;0,Language!$A$553,"")</f>
        <v/>
      </c>
      <c r="K662" s="134" t="str">
        <f>IF(K665&lt;0,Language!$A$553,"")</f>
        <v/>
      </c>
      <c r="L662" s="134" t="str">
        <f>IF(L665&lt;0,Language!$A$553,"")</f>
        <v/>
      </c>
      <c r="M662" s="134" t="str">
        <f>IF(M665&lt;0,Language!$A$553,"")</f>
        <v/>
      </c>
      <c r="N662" s="134" t="str">
        <f>IF(N665&lt;0,Language!$A$553,"")</f>
        <v/>
      </c>
      <c r="O662" s="134" t="str">
        <f>IF(O665&lt;0,Language!$A$553,"")</f>
        <v/>
      </c>
      <c r="P662" s="134" t="str">
        <f>IF(P665&lt;0,Language!$A$553,"")</f>
        <v/>
      </c>
      <c r="Q662" s="134" t="str">
        <f>IF(Q665&lt;0,Language!$A$553,"")</f>
        <v/>
      </c>
      <c r="S662" s="78"/>
    </row>
    <row r="663" spans="1:19" outlineLevel="1" x14ac:dyDescent="0.2">
      <c r="A663" s="41" t="str">
        <f ca="1">Language!A$549</f>
        <v xml:space="preserve">    план производства</v>
      </c>
      <c r="B663" s="72"/>
      <c r="C663" s="73" t="str">
        <f>C543</f>
        <v>шт</v>
      </c>
      <c r="D663" s="74" t="s">
        <v>188</v>
      </c>
      <c r="E663" s="48"/>
      <c r="F663" s="281">
        <f>F553</f>
        <v>0</v>
      </c>
      <c r="G663" s="281">
        <f>G553</f>
        <v>0</v>
      </c>
      <c r="H663" s="281">
        <f>H553</f>
        <v>0.03</v>
      </c>
      <c r="I663" s="281">
        <f>I553</f>
        <v>0.15000000000000002</v>
      </c>
      <c r="J663" s="281">
        <f>J553</f>
        <v>0.30000000000000004</v>
      </c>
      <c r="K663" s="281">
        <f>K553</f>
        <v>0.60000000000000009</v>
      </c>
      <c r="L663" s="281">
        <f>L553</f>
        <v>0.89999999999999991</v>
      </c>
      <c r="M663" s="281">
        <f>M553</f>
        <v>1.2000000000000002</v>
      </c>
      <c r="N663" s="281">
        <f>N553</f>
        <v>1.6500000000000001</v>
      </c>
      <c r="O663" s="281">
        <f>O553</f>
        <v>2.25</v>
      </c>
      <c r="P663" s="281">
        <f>P553</f>
        <v>2.7</v>
      </c>
      <c r="Q663" s="281">
        <f>Q553</f>
        <v>3</v>
      </c>
      <c r="R663" s="43"/>
      <c r="S663" s="54">
        <f>SUM(F663:Q663)</f>
        <v>12.780000000000001</v>
      </c>
    </row>
    <row r="664" spans="1:19" outlineLevel="1" x14ac:dyDescent="0.2">
      <c r="A664" s="41" t="str">
        <f ca="1">Language!A$550</f>
        <v xml:space="preserve">    план реализации</v>
      </c>
      <c r="C664" s="5" t="str">
        <f>C543</f>
        <v>шт</v>
      </c>
      <c r="D664" s="16" t="s">
        <v>188</v>
      </c>
      <c r="F664" s="83">
        <f>F553</f>
        <v>0</v>
      </c>
      <c r="G664" s="83">
        <f>G553</f>
        <v>0</v>
      </c>
      <c r="H664" s="83">
        <f>H553</f>
        <v>0.03</v>
      </c>
      <c r="I664" s="83">
        <f>I553</f>
        <v>0.15000000000000002</v>
      </c>
      <c r="J664" s="83">
        <f>J553</f>
        <v>0.30000000000000004</v>
      </c>
      <c r="K664" s="83">
        <f>K553</f>
        <v>0.60000000000000009</v>
      </c>
      <c r="L664" s="83">
        <f>L553</f>
        <v>0.89999999999999991</v>
      </c>
      <c r="M664" s="83">
        <f>M553</f>
        <v>1.2000000000000002</v>
      </c>
      <c r="N664" s="83">
        <f>N553</f>
        <v>1.6500000000000001</v>
      </c>
      <c r="O664" s="83">
        <f>O553</f>
        <v>2.25</v>
      </c>
      <c r="P664" s="83">
        <f>P553</f>
        <v>2.7</v>
      </c>
      <c r="Q664" s="83">
        <f>Q553</f>
        <v>3</v>
      </c>
      <c r="R664" s="43"/>
      <c r="S664" s="54">
        <f>SUM(F664:Q664)</f>
        <v>12.780000000000001</v>
      </c>
    </row>
    <row r="665" spans="1:19" outlineLevel="1" x14ac:dyDescent="0.2">
      <c r="A665" s="41" t="str">
        <f ca="1">Language!A$551</f>
        <v xml:space="preserve">    склад готовой продукции</v>
      </c>
      <c r="C665" s="5" t="str">
        <f>C543</f>
        <v>шт</v>
      </c>
      <c r="D665" s="16" t="s">
        <v>665</v>
      </c>
      <c r="E665">
        <v>0</v>
      </c>
      <c r="F665" s="83">
        <f>E665+F663-F664</f>
        <v>0</v>
      </c>
      <c r="G665" s="83">
        <f>F665+G663-G664</f>
        <v>0</v>
      </c>
      <c r="H665" s="83">
        <f>G665+H663-H664</f>
        <v>0</v>
      </c>
      <c r="I665" s="83">
        <f>H665+I663-I664</f>
        <v>0</v>
      </c>
      <c r="J665" s="83">
        <f>I665+J663-J664</f>
        <v>0</v>
      </c>
      <c r="K665" s="83">
        <f>J665+K663-K664</f>
        <v>0</v>
      </c>
      <c r="L665" s="83">
        <f>K665+L663-L664</f>
        <v>0</v>
      </c>
      <c r="M665" s="83">
        <f>L665+M663-M664</f>
        <v>0</v>
      </c>
      <c r="N665" s="83">
        <f>M665+N663-N664</f>
        <v>0</v>
      </c>
      <c r="O665" s="83">
        <f>N665+O663-O664</f>
        <v>0</v>
      </c>
      <c r="P665" s="83">
        <f>O665+P663-P664</f>
        <v>0</v>
      </c>
      <c r="Q665" s="83">
        <f>P665+Q663-Q664</f>
        <v>0</v>
      </c>
      <c r="R665" s="43"/>
      <c r="S665" s="54"/>
    </row>
    <row r="666" spans="1:19" outlineLevel="1" x14ac:dyDescent="0.2">
      <c r="A666" t="str">
        <f>A544</f>
        <v>Проект</v>
      </c>
      <c r="B666" s="71"/>
      <c r="C666" s="5"/>
      <c r="F666" s="134" t="str">
        <f>IF(F669&lt;0,Language!$A$553,"")</f>
        <v/>
      </c>
      <c r="G666" s="134" t="str">
        <f>IF(G669&lt;0,Language!$A$553,"")</f>
        <v/>
      </c>
      <c r="H666" s="134" t="str">
        <f>IF(H669&lt;0,Language!$A$553,"")</f>
        <v/>
      </c>
      <c r="I666" s="134" t="str">
        <f>IF(I669&lt;0,Language!$A$553,"")</f>
        <v/>
      </c>
      <c r="J666" s="134" t="str">
        <f>IF(J669&lt;0,Language!$A$553,"")</f>
        <v/>
      </c>
      <c r="K666" s="134" t="str">
        <f>IF(K669&lt;0,Language!$A$553,"")</f>
        <v/>
      </c>
      <c r="L666" s="134" t="str">
        <f>IF(L669&lt;0,Language!$A$553,"")</f>
        <v/>
      </c>
      <c r="M666" s="134" t="str">
        <f>IF(M669&lt;0,Language!$A$553,"")</f>
        <v/>
      </c>
      <c r="N666" s="134" t="str">
        <f>IF(N669&lt;0,Language!$A$553,"")</f>
        <v/>
      </c>
      <c r="O666" s="134" t="str">
        <f>IF(O669&lt;0,Language!$A$553,"")</f>
        <v/>
      </c>
      <c r="P666" s="134" t="str">
        <f>IF(P669&lt;0,Language!$A$553,"")</f>
        <v/>
      </c>
      <c r="Q666" s="134" t="str">
        <f>IF(Q669&lt;0,Language!$A$553,"")</f>
        <v/>
      </c>
      <c r="S666" s="78"/>
    </row>
    <row r="667" spans="1:19" outlineLevel="1" x14ac:dyDescent="0.2">
      <c r="A667" s="41" t="str">
        <f ca="1">Language!A$549</f>
        <v xml:space="preserve">    план производства</v>
      </c>
      <c r="B667" s="72"/>
      <c r="C667" s="73" t="str">
        <f>C544</f>
        <v>шт</v>
      </c>
      <c r="D667" s="74" t="s">
        <v>188</v>
      </c>
      <c r="E667" s="48"/>
      <c r="F667" s="281">
        <f>F554</f>
        <v>0</v>
      </c>
      <c r="G667" s="281">
        <f>G554</f>
        <v>0</v>
      </c>
      <c r="H667" s="281">
        <f>H554</f>
        <v>0.01</v>
      </c>
      <c r="I667" s="281">
        <f>I554</f>
        <v>0.05</v>
      </c>
      <c r="J667" s="281">
        <f>J554</f>
        <v>0.1</v>
      </c>
      <c r="K667" s="281">
        <f>K554</f>
        <v>0.2</v>
      </c>
      <c r="L667" s="281">
        <f>L554</f>
        <v>0.3</v>
      </c>
      <c r="M667" s="281">
        <f>M554</f>
        <v>0.4</v>
      </c>
      <c r="N667" s="281">
        <f>N554</f>
        <v>0.55000000000000004</v>
      </c>
      <c r="O667" s="281">
        <f>O554</f>
        <v>0.75</v>
      </c>
      <c r="P667" s="281">
        <f>P554</f>
        <v>0.9</v>
      </c>
      <c r="Q667" s="281">
        <f>Q554</f>
        <v>1</v>
      </c>
      <c r="R667" s="43"/>
      <c r="S667" s="54">
        <f>SUM(F667:Q667)</f>
        <v>4.26</v>
      </c>
    </row>
    <row r="668" spans="1:19" outlineLevel="1" x14ac:dyDescent="0.2">
      <c r="A668" s="41" t="str">
        <f ca="1">Language!A$550</f>
        <v xml:space="preserve">    план реализации</v>
      </c>
      <c r="C668" s="5" t="str">
        <f>C544</f>
        <v>шт</v>
      </c>
      <c r="D668" s="16" t="s">
        <v>188</v>
      </c>
      <c r="F668" s="83">
        <f>F554</f>
        <v>0</v>
      </c>
      <c r="G668" s="83">
        <f>G554</f>
        <v>0</v>
      </c>
      <c r="H668" s="83">
        <f>H554</f>
        <v>0.01</v>
      </c>
      <c r="I668" s="83">
        <f>I554</f>
        <v>0.05</v>
      </c>
      <c r="J668" s="83">
        <f>J554</f>
        <v>0.1</v>
      </c>
      <c r="K668" s="83">
        <f>K554</f>
        <v>0.2</v>
      </c>
      <c r="L668" s="83">
        <f>L554</f>
        <v>0.3</v>
      </c>
      <c r="M668" s="83">
        <f>M554</f>
        <v>0.4</v>
      </c>
      <c r="N668" s="83">
        <f>N554</f>
        <v>0.55000000000000004</v>
      </c>
      <c r="O668" s="83">
        <f>O554</f>
        <v>0.75</v>
      </c>
      <c r="P668" s="83">
        <f>P554</f>
        <v>0.9</v>
      </c>
      <c r="Q668" s="83">
        <f>Q554</f>
        <v>1</v>
      </c>
      <c r="R668" s="43"/>
      <c r="S668" s="54">
        <f>SUM(F668:Q668)</f>
        <v>4.26</v>
      </c>
    </row>
    <row r="669" spans="1:19" outlineLevel="1" x14ac:dyDescent="0.2">
      <c r="A669" s="41" t="str">
        <f ca="1">Language!A$551</f>
        <v xml:space="preserve">    склад готовой продукции</v>
      </c>
      <c r="C669" s="5" t="str">
        <f>C544</f>
        <v>шт</v>
      </c>
      <c r="D669" s="16" t="s">
        <v>665</v>
      </c>
      <c r="E669">
        <v>0</v>
      </c>
      <c r="F669" s="83">
        <f>E669+F667-F668</f>
        <v>0</v>
      </c>
      <c r="G669" s="83">
        <f>F669+G667-G668</f>
        <v>0</v>
      </c>
      <c r="H669" s="83">
        <f>G669+H667-H668</f>
        <v>0</v>
      </c>
      <c r="I669" s="83">
        <f>H669+I667-I668</f>
        <v>0</v>
      </c>
      <c r="J669" s="83">
        <f>I669+J667-J668</f>
        <v>0</v>
      </c>
      <c r="K669" s="83">
        <f>J669+K667-K668</f>
        <v>0</v>
      </c>
      <c r="L669" s="83">
        <f>K669+L667-L668</f>
        <v>0</v>
      </c>
      <c r="M669" s="83">
        <f>L669+M667-M668</f>
        <v>0</v>
      </c>
      <c r="N669" s="83">
        <f>M669+N667-N668</f>
        <v>0</v>
      </c>
      <c r="O669" s="83">
        <f>N669+O667-O668</f>
        <v>0</v>
      </c>
      <c r="P669" s="83">
        <f>O669+P667-P668</f>
        <v>0</v>
      </c>
      <c r="Q669" s="83">
        <f>P669+Q667-Q668</f>
        <v>0</v>
      </c>
      <c r="R669" s="43"/>
      <c r="S669" s="54"/>
    </row>
    <row r="670" spans="1:19" outlineLevel="1" x14ac:dyDescent="0.2">
      <c r="A670" t="str">
        <f>A545</f>
        <v>Облачная версия продукта</v>
      </c>
      <c r="B670" s="71"/>
      <c r="C670" s="5"/>
      <c r="F670" s="134" t="str">
        <f>IF(F673&lt;0,Language!$A$553,"")</f>
        <v/>
      </c>
      <c r="G670" s="134" t="str">
        <f>IF(G673&lt;0,Language!$A$553,"")</f>
        <v/>
      </c>
      <c r="H670" s="134" t="str">
        <f>IF(H673&lt;0,Language!$A$553,"")</f>
        <v/>
      </c>
      <c r="I670" s="134" t="str">
        <f>IF(I673&lt;0,Language!$A$553,"")</f>
        <v/>
      </c>
      <c r="J670" s="134" t="str">
        <f>IF(J673&lt;0,Language!$A$553,"")</f>
        <v/>
      </c>
      <c r="K670" s="134" t="str">
        <f>IF(K673&lt;0,Language!$A$553,"")</f>
        <v/>
      </c>
      <c r="L670" s="134" t="str">
        <f>IF(L673&lt;0,Language!$A$553,"")</f>
        <v/>
      </c>
      <c r="M670" s="134" t="str">
        <f>IF(M673&lt;0,Language!$A$553,"")</f>
        <v/>
      </c>
      <c r="N670" s="134" t="str">
        <f>IF(N673&lt;0,Language!$A$553,"")</f>
        <v/>
      </c>
      <c r="O670" s="134" t="str">
        <f>IF(O673&lt;0,Language!$A$553,"")</f>
        <v/>
      </c>
      <c r="P670" s="134" t="str">
        <f>IF(P673&lt;0,Language!$A$553,"")</f>
        <v/>
      </c>
      <c r="Q670" s="134" t="str">
        <f>IF(Q673&lt;0,Language!$A$553,"")</f>
        <v/>
      </c>
      <c r="S670" s="78"/>
    </row>
    <row r="671" spans="1:19" outlineLevel="1" x14ac:dyDescent="0.2">
      <c r="A671" s="41" t="str">
        <f ca="1">Language!A$549</f>
        <v xml:space="preserve">    план производства</v>
      </c>
      <c r="B671" s="72"/>
      <c r="C671" s="73" t="str">
        <f>C545</f>
        <v>шт</v>
      </c>
      <c r="D671" s="74" t="s">
        <v>188</v>
      </c>
      <c r="E671" s="48"/>
      <c r="F671" s="281">
        <f t="shared" ref="F671:Q671" si="851">F555</f>
        <v>0</v>
      </c>
      <c r="G671" s="281">
        <f t="shared" si="851"/>
        <v>0</v>
      </c>
      <c r="H671" s="281">
        <f t="shared" si="851"/>
        <v>5.46</v>
      </c>
      <c r="I671" s="281">
        <f t="shared" si="851"/>
        <v>27.3</v>
      </c>
      <c r="J671" s="281">
        <f t="shared" si="851"/>
        <v>54.6</v>
      </c>
      <c r="K671" s="281">
        <f t="shared" si="851"/>
        <v>109.2</v>
      </c>
      <c r="L671" s="281">
        <f t="shared" si="851"/>
        <v>163.79999999999998</v>
      </c>
      <c r="M671" s="281">
        <f t="shared" si="851"/>
        <v>218.4</v>
      </c>
      <c r="N671" s="281">
        <f t="shared" ref="N671:Q671" si="852">N555</f>
        <v>300.3</v>
      </c>
      <c r="O671" s="281">
        <f t="shared" ref="O671:Q671" si="853">O555</f>
        <v>409.5</v>
      </c>
      <c r="P671" s="281">
        <f t="shared" ref="P671:Q671" si="854">P555</f>
        <v>491.40000000000003</v>
      </c>
      <c r="Q671" s="281">
        <f t="shared" si="854"/>
        <v>546</v>
      </c>
      <c r="R671" s="43"/>
      <c r="S671" s="54">
        <f>SUM(F671:Q671)</f>
        <v>2325.96</v>
      </c>
    </row>
    <row r="672" spans="1:19" outlineLevel="1" x14ac:dyDescent="0.2">
      <c r="A672" s="41" t="str">
        <f ca="1">Language!A$550</f>
        <v xml:space="preserve">    план реализации</v>
      </c>
      <c r="C672" s="5" t="str">
        <f>C545</f>
        <v>шт</v>
      </c>
      <c r="D672" s="16" t="s">
        <v>188</v>
      </c>
      <c r="F672" s="83">
        <f t="shared" ref="F672:Q672" si="855">F555</f>
        <v>0</v>
      </c>
      <c r="G672" s="83">
        <f t="shared" si="855"/>
        <v>0</v>
      </c>
      <c r="H672" s="83">
        <f t="shared" si="855"/>
        <v>5.46</v>
      </c>
      <c r="I672" s="83">
        <f t="shared" si="855"/>
        <v>27.3</v>
      </c>
      <c r="J672" s="83">
        <f t="shared" si="855"/>
        <v>54.6</v>
      </c>
      <c r="K672" s="83">
        <f t="shared" si="855"/>
        <v>109.2</v>
      </c>
      <c r="L672" s="83">
        <f t="shared" si="855"/>
        <v>163.79999999999998</v>
      </c>
      <c r="M672" s="83">
        <f t="shared" si="855"/>
        <v>218.4</v>
      </c>
      <c r="N672" s="83">
        <f t="shared" ref="N672:Q672" si="856">N555</f>
        <v>300.3</v>
      </c>
      <c r="O672" s="83">
        <f t="shared" ref="O672:Q672" si="857">O555</f>
        <v>409.5</v>
      </c>
      <c r="P672" s="83">
        <f t="shared" ref="P672:Q672" si="858">P555</f>
        <v>491.40000000000003</v>
      </c>
      <c r="Q672" s="83">
        <f t="shared" si="858"/>
        <v>546</v>
      </c>
      <c r="R672" s="43"/>
      <c r="S672" s="54">
        <f>SUM(F672:Q672)</f>
        <v>2325.96</v>
      </c>
    </row>
    <row r="673" spans="1:19" outlineLevel="1" x14ac:dyDescent="0.2">
      <c r="A673" s="41" t="str">
        <f ca="1">Language!A$551</f>
        <v xml:space="preserve">    склад готовой продукции</v>
      </c>
      <c r="C673" s="5" t="str">
        <f>C545</f>
        <v>шт</v>
      </c>
      <c r="D673" s="16" t="s">
        <v>665</v>
      </c>
      <c r="E673">
        <v>0</v>
      </c>
      <c r="F673" s="83">
        <f t="shared" ref="F673:Q673" si="859">E673+F671-F672</f>
        <v>0</v>
      </c>
      <c r="G673" s="83">
        <f t="shared" si="859"/>
        <v>0</v>
      </c>
      <c r="H673" s="83">
        <f t="shared" si="859"/>
        <v>0</v>
      </c>
      <c r="I673" s="83">
        <f t="shared" si="859"/>
        <v>0</v>
      </c>
      <c r="J673" s="83">
        <f t="shared" si="859"/>
        <v>0</v>
      </c>
      <c r="K673" s="83">
        <f t="shared" si="859"/>
        <v>0</v>
      </c>
      <c r="L673" s="83">
        <f t="shared" si="859"/>
        <v>0</v>
      </c>
      <c r="M673" s="83">
        <f t="shared" si="859"/>
        <v>0</v>
      </c>
      <c r="N673" s="83">
        <f t="shared" si="859"/>
        <v>0</v>
      </c>
      <c r="O673" s="83">
        <f t="shared" si="859"/>
        <v>0</v>
      </c>
      <c r="P673" s="83">
        <f t="shared" si="859"/>
        <v>0</v>
      </c>
      <c r="Q673" s="83">
        <f t="shared" si="859"/>
        <v>0</v>
      </c>
      <c r="R673" s="43"/>
      <c r="S673" s="54"/>
    </row>
    <row r="674" spans="1:19" outlineLevel="1" x14ac:dyDescent="0.2">
      <c r="C674" s="5"/>
      <c r="D674" s="16"/>
      <c r="F674" s="53"/>
      <c r="G674" s="53"/>
      <c r="H674" s="53"/>
      <c r="I674" s="53"/>
      <c r="J674" s="53"/>
      <c r="K674" s="53"/>
      <c r="L674" s="53"/>
      <c r="M674" s="53"/>
      <c r="N674" s="53"/>
      <c r="O674" s="53"/>
      <c r="P674" s="53"/>
      <c r="Q674" s="53"/>
    </row>
    <row r="675" spans="1:19" outlineLevel="1" x14ac:dyDescent="0.2">
      <c r="A675" s="63"/>
      <c r="B675" s="63"/>
      <c r="C675" s="67"/>
      <c r="D675" s="60"/>
      <c r="E675" s="63"/>
      <c r="F675" s="63"/>
      <c r="G675" s="123"/>
      <c r="H675" s="123"/>
      <c r="I675" s="123"/>
      <c r="J675" s="123"/>
      <c r="K675" s="123"/>
      <c r="L675" s="123"/>
      <c r="M675" s="123"/>
      <c r="N675" s="123"/>
      <c r="O675" s="123"/>
      <c r="P675" s="123"/>
      <c r="Q675" s="123"/>
      <c r="R675" s="63"/>
      <c r="S675" s="64"/>
    </row>
    <row r="676" spans="1:19" outlineLevel="1" x14ac:dyDescent="0.2">
      <c r="A676" s="19"/>
      <c r="B676" s="19"/>
      <c r="C676" s="26"/>
      <c r="D676" s="46"/>
      <c r="E676" s="19"/>
      <c r="F676" s="111"/>
      <c r="G676" s="111"/>
      <c r="H676" s="111"/>
      <c r="I676" s="111"/>
      <c r="J676" s="111"/>
      <c r="K676" s="111"/>
      <c r="L676" s="111"/>
      <c r="M676" s="111"/>
      <c r="N676" s="111"/>
      <c r="O676" s="111"/>
      <c r="P676" s="111"/>
      <c r="Q676" s="111"/>
      <c r="R676" s="19"/>
      <c r="S676" s="22"/>
    </row>
    <row r="677" spans="1:19" s="4" customFormat="1" ht="16" customHeight="1" thickBot="1" x14ac:dyDescent="0.25">
      <c r="A677" s="166" t="str">
        <f ca="1">Language!A554</f>
        <v xml:space="preserve">         РАСХОД СЫРЬЯ И МАТЕРИАЛОВ (в единицах)</v>
      </c>
      <c r="B677" s="166"/>
      <c r="C677" s="166"/>
      <c r="D677" s="166">
        <v>1</v>
      </c>
      <c r="E677" s="166"/>
      <c r="F677" s="178" t="str">
        <f t="shared" ref="F677:Q677" si="860">PeriodTitle</f>
        <v>4/ 2024</v>
      </c>
      <c r="G677" s="178" t="str">
        <f t="shared" si="860"/>
        <v>5/ 2024</v>
      </c>
      <c r="H677" s="178" t="str">
        <f t="shared" si="860"/>
        <v>6/ 2024</v>
      </c>
      <c r="I677" s="178" t="str">
        <f t="shared" si="860"/>
        <v>7/ 2024</v>
      </c>
      <c r="J677" s="178" t="str">
        <f t="shared" si="860"/>
        <v>8/ 2024</v>
      </c>
      <c r="K677" s="178" t="str">
        <f t="shared" si="860"/>
        <v>9/ 2024</v>
      </c>
      <c r="L677" s="178" t="str">
        <f t="shared" si="860"/>
        <v>10/ 2024</v>
      </c>
      <c r="M677" s="178" t="str">
        <f t="shared" si="860"/>
        <v>11/ 2024</v>
      </c>
      <c r="N677" s="178" t="str">
        <f t="shared" si="860"/>
        <v>12/ 2024</v>
      </c>
      <c r="O677" s="178" t="str">
        <f t="shared" si="860"/>
        <v>1/ 2025</v>
      </c>
      <c r="P677" s="178" t="str">
        <f t="shared" si="860"/>
        <v>2/ 2025</v>
      </c>
      <c r="Q677" s="178" t="str">
        <f t="shared" si="860"/>
        <v>3/ 2025</v>
      </c>
      <c r="R677" s="166"/>
      <c r="S677" s="195" t="str">
        <f ca="1">Language!$A$371</f>
        <v>ИТОГО</v>
      </c>
    </row>
    <row r="678" spans="1:19" ht="10.5" outlineLevel="1" thickTop="1" x14ac:dyDescent="0.2">
      <c r="D678">
        <v>0</v>
      </c>
      <c r="E678">
        <v>1</v>
      </c>
    </row>
    <row r="679" spans="1:19" outlineLevel="1" x14ac:dyDescent="0.2">
      <c r="A679" s="48" t="str">
        <f>A541</f>
        <v>Наименование товара</v>
      </c>
      <c r="B679" s="11" t="str">
        <f ca="1">Language!A$556</f>
        <v>Плановый расход на единицу продукции</v>
      </c>
      <c r="D679">
        <v>1</v>
      </c>
      <c r="E679">
        <v>1</v>
      </c>
    </row>
    <row r="680" spans="1:19" outlineLevel="1" x14ac:dyDescent="0.2">
      <c r="A680" s="274" t="s">
        <v>2690</v>
      </c>
      <c r="B680" s="256">
        <v>0</v>
      </c>
      <c r="C680" s="255" t="s">
        <v>2686</v>
      </c>
      <c r="F680" s="106">
        <f t="shared" ref="F680:M680" si="861">$B680*F655</f>
        <v>0</v>
      </c>
      <c r="G680" s="106">
        <f t="shared" si="861"/>
        <v>0</v>
      </c>
      <c r="H680" s="106">
        <f t="shared" si="861"/>
        <v>0</v>
      </c>
      <c r="I680" s="106">
        <f t="shared" si="861"/>
        <v>0</v>
      </c>
      <c r="J680" s="106">
        <f t="shared" si="861"/>
        <v>0</v>
      </c>
      <c r="K680" s="106">
        <f t="shared" si="861"/>
        <v>0</v>
      </c>
      <c r="L680" s="106">
        <f t="shared" si="861"/>
        <v>0</v>
      </c>
      <c r="M680" s="106">
        <f t="shared" si="861"/>
        <v>0</v>
      </c>
      <c r="N680" s="106">
        <f t="shared" ref="N680" si="862">$B680*N655</f>
        <v>0</v>
      </c>
      <c r="O680" s="106">
        <f t="shared" ref="O680" si="863">$B680*O655</f>
        <v>0</v>
      </c>
      <c r="P680" s="106">
        <f t="shared" ref="P680:Q680" si="864">$B680*P655</f>
        <v>0</v>
      </c>
      <c r="Q680" s="106">
        <f t="shared" si="864"/>
        <v>0</v>
      </c>
      <c r="R680" s="43"/>
      <c r="S680" s="54">
        <f>SUM(F680:Q680)</f>
        <v>0</v>
      </c>
    </row>
    <row r="681" spans="1:19" outlineLevel="1" x14ac:dyDescent="0.2">
      <c r="A681" s="48" t="str">
        <f>A542</f>
        <v>Коробочная версия продукта</v>
      </c>
      <c r="B681" s="11" t="str">
        <f ca="1">Language!A$556</f>
        <v>Плановый расход на единицу продукции</v>
      </c>
      <c r="D681">
        <v>1</v>
      </c>
      <c r="E681">
        <v>1</v>
      </c>
    </row>
    <row r="682" spans="1:19" outlineLevel="1" x14ac:dyDescent="0.2">
      <c r="A682" s="274" t="s">
        <v>2690</v>
      </c>
      <c r="B682" s="256">
        <v>0</v>
      </c>
      <c r="C682" s="255" t="s">
        <v>2686</v>
      </c>
      <c r="F682" s="106">
        <f>$B682*F659</f>
        <v>0</v>
      </c>
      <c r="G682" s="106">
        <f>$B682*G659</f>
        <v>0</v>
      </c>
      <c r="H682" s="106">
        <f>$B682*H659</f>
        <v>0</v>
      </c>
      <c r="I682" s="106">
        <f>$B682*I659</f>
        <v>0</v>
      </c>
      <c r="J682" s="106">
        <f>$B682*J659</f>
        <v>0</v>
      </c>
      <c r="K682" s="106">
        <f>$B682*K659</f>
        <v>0</v>
      </c>
      <c r="L682" s="106">
        <f>$B682*L659</f>
        <v>0</v>
      </c>
      <c r="M682" s="106">
        <f>$B682*M659</f>
        <v>0</v>
      </c>
      <c r="N682" s="106">
        <f>$B682*N659</f>
        <v>0</v>
      </c>
      <c r="O682" s="106">
        <f>$B682*O659</f>
        <v>0</v>
      </c>
      <c r="P682" s="106">
        <f>$B682*P659</f>
        <v>0</v>
      </c>
      <c r="Q682" s="106">
        <f>$B682*Q659</f>
        <v>0</v>
      </c>
      <c r="R682" s="43"/>
      <c r="S682" s="54">
        <f>SUM(F682:Q682)</f>
        <v>0</v>
      </c>
    </row>
    <row r="683" spans="1:19" outlineLevel="1" x14ac:dyDescent="0.2">
      <c r="A683" s="48" t="str">
        <f>A543</f>
        <v>Исключительные права</v>
      </c>
      <c r="B683" s="11" t="str">
        <f ca="1">Language!A$556</f>
        <v>Плановый расход на единицу продукции</v>
      </c>
      <c r="D683">
        <v>1</v>
      </c>
      <c r="E683">
        <v>1</v>
      </c>
    </row>
    <row r="684" spans="1:19" outlineLevel="1" x14ac:dyDescent="0.2">
      <c r="A684" s="274" t="s">
        <v>2690</v>
      </c>
      <c r="B684" s="256">
        <v>0</v>
      </c>
      <c r="C684" s="255" t="s">
        <v>2686</v>
      </c>
      <c r="F684" s="106">
        <f>$B684*F663</f>
        <v>0</v>
      </c>
      <c r="G684" s="106">
        <f>$B684*G663</f>
        <v>0</v>
      </c>
      <c r="H684" s="106">
        <f>$B684*H663</f>
        <v>0</v>
      </c>
      <c r="I684" s="106">
        <f>$B684*I663</f>
        <v>0</v>
      </c>
      <c r="J684" s="106">
        <f>$B684*J663</f>
        <v>0</v>
      </c>
      <c r="K684" s="106">
        <f>$B684*K663</f>
        <v>0</v>
      </c>
      <c r="L684" s="106">
        <f>$B684*L663</f>
        <v>0</v>
      </c>
      <c r="M684" s="106">
        <f>$B684*M663</f>
        <v>0</v>
      </c>
      <c r="N684" s="106">
        <f>$B684*N663</f>
        <v>0</v>
      </c>
      <c r="O684" s="106">
        <f>$B684*O663</f>
        <v>0</v>
      </c>
      <c r="P684" s="106">
        <f>$B684*P663</f>
        <v>0</v>
      </c>
      <c r="Q684" s="106">
        <f>$B684*Q663</f>
        <v>0</v>
      </c>
      <c r="R684" s="43"/>
      <c r="S684" s="54">
        <f>SUM(F684:Q684)</f>
        <v>0</v>
      </c>
    </row>
    <row r="685" spans="1:19" outlineLevel="1" x14ac:dyDescent="0.2">
      <c r="A685" s="48" t="str">
        <f>A544</f>
        <v>Проект</v>
      </c>
      <c r="B685" s="11" t="str">
        <f ca="1">Language!A$556</f>
        <v>Плановый расход на единицу продукции</v>
      </c>
      <c r="D685">
        <v>1</v>
      </c>
      <c r="E685">
        <v>1</v>
      </c>
    </row>
    <row r="686" spans="1:19" outlineLevel="1" x14ac:dyDescent="0.2">
      <c r="A686" s="274" t="s">
        <v>2690</v>
      </c>
      <c r="B686" s="256">
        <v>0</v>
      </c>
      <c r="C686" s="255" t="s">
        <v>2686</v>
      </c>
      <c r="F686" s="106">
        <f>$B686*F667</f>
        <v>0</v>
      </c>
      <c r="G686" s="106">
        <f>$B686*G667</f>
        <v>0</v>
      </c>
      <c r="H686" s="106">
        <f>$B686*H667</f>
        <v>0</v>
      </c>
      <c r="I686" s="106">
        <f>$B686*I667</f>
        <v>0</v>
      </c>
      <c r="J686" s="106">
        <f>$B686*J667</f>
        <v>0</v>
      </c>
      <c r="K686" s="106">
        <f>$B686*K667</f>
        <v>0</v>
      </c>
      <c r="L686" s="106">
        <f>$B686*L667</f>
        <v>0</v>
      </c>
      <c r="M686" s="106">
        <f>$B686*M667</f>
        <v>0</v>
      </c>
      <c r="N686" s="106">
        <f>$B686*N667</f>
        <v>0</v>
      </c>
      <c r="O686" s="106">
        <f>$B686*O667</f>
        <v>0</v>
      </c>
      <c r="P686" s="106">
        <f>$B686*P667</f>
        <v>0</v>
      </c>
      <c r="Q686" s="106">
        <f>$B686*Q667</f>
        <v>0</v>
      </c>
      <c r="R686" s="43"/>
      <c r="S686" s="54">
        <f>SUM(F686:Q686)</f>
        <v>0</v>
      </c>
    </row>
    <row r="687" spans="1:19" outlineLevel="1" x14ac:dyDescent="0.2">
      <c r="A687" s="48" t="str">
        <f>A545</f>
        <v>Облачная версия продукта</v>
      </c>
      <c r="B687" s="11" t="str">
        <f ca="1">Language!A$556</f>
        <v>Плановый расход на единицу продукции</v>
      </c>
      <c r="D687">
        <v>2</v>
      </c>
      <c r="E687">
        <v>1</v>
      </c>
    </row>
    <row r="688" spans="1:19" outlineLevel="1" x14ac:dyDescent="0.2">
      <c r="A688" s="274" t="s">
        <v>2690</v>
      </c>
      <c r="B688" s="256">
        <v>0</v>
      </c>
      <c r="C688" s="255" t="s">
        <v>2686</v>
      </c>
      <c r="F688" s="106">
        <f t="shared" ref="F688:Q688" si="865">$B688*F671</f>
        <v>0</v>
      </c>
      <c r="G688" s="106">
        <f t="shared" si="865"/>
        <v>0</v>
      </c>
      <c r="H688" s="106">
        <f t="shared" si="865"/>
        <v>0</v>
      </c>
      <c r="I688" s="106">
        <f t="shared" si="865"/>
        <v>0</v>
      </c>
      <c r="J688" s="106">
        <f t="shared" si="865"/>
        <v>0</v>
      </c>
      <c r="K688" s="106">
        <f t="shared" si="865"/>
        <v>0</v>
      </c>
      <c r="L688" s="106">
        <f t="shared" si="865"/>
        <v>0</v>
      </c>
      <c r="M688" s="106">
        <f t="shared" si="865"/>
        <v>0</v>
      </c>
      <c r="N688" s="106">
        <f t="shared" ref="N688:Q688" si="866">$B688*N671</f>
        <v>0</v>
      </c>
      <c r="O688" s="106">
        <f t="shared" ref="O688:Q688" si="867">$B688*O671</f>
        <v>0</v>
      </c>
      <c r="P688" s="106">
        <f t="shared" ref="P688:Q688" si="868">$B688*P671</f>
        <v>0</v>
      </c>
      <c r="Q688" s="106">
        <f t="shared" si="868"/>
        <v>0</v>
      </c>
      <c r="R688" s="43"/>
      <c r="S688" s="54">
        <f>SUM(F688:Q688)</f>
        <v>0</v>
      </c>
    </row>
    <row r="689" spans="1:19" outlineLevel="1" x14ac:dyDescent="0.2">
      <c r="A689" s="274" t="s">
        <v>2694</v>
      </c>
      <c r="B689" s="409">
        <v>0.65</v>
      </c>
      <c r="C689" s="255" t="s">
        <v>2686</v>
      </c>
      <c r="F689" s="106">
        <f t="shared" ref="F689:Q689" si="869">$B689*F671</f>
        <v>0</v>
      </c>
      <c r="G689" s="106">
        <f t="shared" si="869"/>
        <v>0</v>
      </c>
      <c r="H689" s="106">
        <f t="shared" si="869"/>
        <v>3.5489999999999999</v>
      </c>
      <c r="I689" s="106">
        <f t="shared" si="869"/>
        <v>17.745000000000001</v>
      </c>
      <c r="J689" s="106">
        <f t="shared" si="869"/>
        <v>35.49</v>
      </c>
      <c r="K689" s="106">
        <f t="shared" si="869"/>
        <v>70.98</v>
      </c>
      <c r="L689" s="106">
        <f t="shared" si="869"/>
        <v>106.47</v>
      </c>
      <c r="M689" s="106">
        <f t="shared" si="869"/>
        <v>141.96</v>
      </c>
      <c r="N689" s="106">
        <f t="shared" ref="N689:Q689" si="870">$B689*N671</f>
        <v>195.19500000000002</v>
      </c>
      <c r="O689" s="106">
        <f t="shared" ref="O689:Q689" si="871">$B689*O671</f>
        <v>266.17500000000001</v>
      </c>
      <c r="P689" s="106">
        <f t="shared" ref="P689:Q689" si="872">$B689*P671</f>
        <v>319.41000000000003</v>
      </c>
      <c r="Q689" s="106">
        <f t="shared" si="872"/>
        <v>354.90000000000003</v>
      </c>
      <c r="R689" s="43"/>
      <c r="S689" s="54">
        <f>SUM(F689:Q689)</f>
        <v>1511.8740000000003</v>
      </c>
    </row>
    <row r="690" spans="1:19" outlineLevel="1" x14ac:dyDescent="0.2"/>
    <row r="691" spans="1:19" outlineLevel="1" x14ac:dyDescent="0.2">
      <c r="A691" s="63"/>
      <c r="B691" s="63"/>
      <c r="C691" s="63"/>
      <c r="D691" s="63"/>
      <c r="E691" s="63"/>
      <c r="F691" s="63"/>
      <c r="G691" s="63"/>
      <c r="H691" s="63"/>
      <c r="I691" s="63"/>
      <c r="J691" s="63"/>
      <c r="K691" s="63"/>
      <c r="L691" s="63"/>
      <c r="M691" s="63"/>
      <c r="N691" s="63"/>
      <c r="O691" s="63"/>
      <c r="P691" s="63"/>
      <c r="Q691" s="63"/>
      <c r="R691" s="63"/>
      <c r="S691" s="64"/>
    </row>
    <row r="692" spans="1:19" outlineLevel="1" x14ac:dyDescent="0.2"/>
    <row r="693" spans="1:19" s="4" customFormat="1" ht="16" customHeight="1" thickBot="1" x14ac:dyDescent="0.25">
      <c r="A693" s="166" t="str">
        <f ca="1">Language!A557</f>
        <v xml:space="preserve">         ЦЕНА СЫРЬЯ И МАТЕРИАЛОВ (за единицу, с НДС)</v>
      </c>
      <c r="B693" s="166"/>
      <c r="C693" s="166"/>
      <c r="D693" s="166"/>
      <c r="E693" s="166"/>
      <c r="F693" s="178" t="str">
        <f t="shared" ref="F693:Q693" si="873">PeriodTitle</f>
        <v>4/ 2024</v>
      </c>
      <c r="G693" s="178" t="str">
        <f t="shared" si="873"/>
        <v>5/ 2024</v>
      </c>
      <c r="H693" s="178" t="str">
        <f t="shared" si="873"/>
        <v>6/ 2024</v>
      </c>
      <c r="I693" s="178" t="str">
        <f t="shared" si="873"/>
        <v>7/ 2024</v>
      </c>
      <c r="J693" s="178" t="str">
        <f t="shared" si="873"/>
        <v>8/ 2024</v>
      </c>
      <c r="K693" s="178" t="str">
        <f t="shared" si="873"/>
        <v>9/ 2024</v>
      </c>
      <c r="L693" s="178" t="str">
        <f t="shared" si="873"/>
        <v>10/ 2024</v>
      </c>
      <c r="M693" s="178" t="str">
        <f t="shared" si="873"/>
        <v>11/ 2024</v>
      </c>
      <c r="N693" s="178" t="str">
        <f t="shared" si="873"/>
        <v>12/ 2024</v>
      </c>
      <c r="O693" s="178" t="str">
        <f t="shared" si="873"/>
        <v>1/ 2025</v>
      </c>
      <c r="P693" s="178" t="str">
        <f t="shared" si="873"/>
        <v>2/ 2025</v>
      </c>
      <c r="Q693" s="178" t="str">
        <f t="shared" si="873"/>
        <v>3/ 2025</v>
      </c>
      <c r="R693" s="166"/>
      <c r="S693" s="195"/>
    </row>
    <row r="694" spans="1:19" ht="10.5" outlineLevel="1" thickTop="1" x14ac:dyDescent="0.2">
      <c r="D694">
        <v>0</v>
      </c>
      <c r="E694">
        <v>1</v>
      </c>
    </row>
    <row r="695" spans="1:19" outlineLevel="1" x14ac:dyDescent="0.2">
      <c r="A695" s="48" t="str">
        <f>A541</f>
        <v>Наименование товара</v>
      </c>
      <c r="B695" s="36" t="str">
        <f ca="1">Language!A$73</f>
        <v>Валюта</v>
      </c>
      <c r="E695">
        <v>6</v>
      </c>
    </row>
    <row r="696" spans="1:19" outlineLevel="1" collapsed="1" x14ac:dyDescent="0.2">
      <c r="A696" s="11" t="str">
        <f>A680</f>
        <v xml:space="preserve">Наименование сырья </v>
      </c>
      <c r="B696" s="255">
        <v>1</v>
      </c>
      <c r="C696" s="79" t="str">
        <f ca="1">CHOOSE(B696,CUR_Main,CUR_Foreign)</f>
        <v>руб.</v>
      </c>
      <c r="D696" s="46" t="s">
        <v>176</v>
      </c>
      <c r="F696" s="281">
        <v>0</v>
      </c>
      <c r="G696" s="281">
        <v>0</v>
      </c>
      <c r="H696" s="281">
        <v>0</v>
      </c>
      <c r="I696" s="281">
        <v>0</v>
      </c>
      <c r="J696" s="281">
        <v>0</v>
      </c>
      <c r="K696" s="281">
        <v>0</v>
      </c>
      <c r="L696" s="281">
        <v>0</v>
      </c>
      <c r="M696" s="281">
        <v>0</v>
      </c>
      <c r="N696" s="281">
        <v>0</v>
      </c>
      <c r="O696" s="281">
        <v>0</v>
      </c>
      <c r="P696" s="281">
        <v>0</v>
      </c>
      <c r="Q696" s="281">
        <v>0</v>
      </c>
    </row>
    <row r="697" spans="1:19" hidden="1" outlineLevel="2" x14ac:dyDescent="0.2">
      <c r="A697" t="str">
        <f ca="1">Language!A$104</f>
        <v>Предполагаемый темп годового роста цен</v>
      </c>
      <c r="C697" s="5" t="s">
        <v>177</v>
      </c>
      <c r="D697" s="16" t="s">
        <v>176</v>
      </c>
      <c r="F697" s="269">
        <f t="shared" ref="F697:M697" si="874">CHOOSE($B696,F$80,F$91)</f>
        <v>8.0000000000000002E-3</v>
      </c>
      <c r="G697" s="269">
        <f t="shared" si="874"/>
        <v>8.0000000000000002E-3</v>
      </c>
      <c r="H697" s="269">
        <f t="shared" si="874"/>
        <v>8.0000000000000002E-3</v>
      </c>
      <c r="I697" s="269">
        <f t="shared" si="874"/>
        <v>8.0000000000000002E-3</v>
      </c>
      <c r="J697" s="269">
        <f t="shared" si="874"/>
        <v>8.0000000000000002E-3</v>
      </c>
      <c r="K697" s="269">
        <f t="shared" si="874"/>
        <v>8.0000000000000002E-3</v>
      </c>
      <c r="L697" s="269">
        <f t="shared" si="874"/>
        <v>8.0000000000000002E-3</v>
      </c>
      <c r="M697" s="269">
        <f t="shared" si="874"/>
        <v>8.0000000000000002E-3</v>
      </c>
      <c r="N697" s="269">
        <f t="shared" ref="N697" si="875">CHOOSE($B696,N$80,N$91)</f>
        <v>8.0000000000000002E-3</v>
      </c>
      <c r="O697" s="269">
        <f t="shared" ref="O697" si="876">CHOOSE($B696,O$80,O$91)</f>
        <v>8.0000000000000002E-3</v>
      </c>
      <c r="P697" s="269">
        <f t="shared" ref="P697:Q697" si="877">CHOOSE($B696,P$80,P$91)</f>
        <v>8.0000000000000002E-3</v>
      </c>
      <c r="Q697" s="269">
        <f t="shared" si="877"/>
        <v>8.0000000000000002E-3</v>
      </c>
    </row>
    <row r="698" spans="1:19" hidden="1" outlineLevel="2" x14ac:dyDescent="0.2">
      <c r="A698" t="str">
        <f ca="1">Language!A$106</f>
        <v>То же, в пересчете на период, равный шагу проекта</v>
      </c>
      <c r="C698" s="5" t="s">
        <v>177</v>
      </c>
      <c r="D698" s="16" t="s">
        <v>176</v>
      </c>
      <c r="F698" s="30">
        <f t="shared" ref="F698:M698" si="878">POWER(1+F697,PRJ_Step/360)-1</f>
        <v>6.6423464362252993E-4</v>
      </c>
      <c r="G698" s="30">
        <f t="shared" si="878"/>
        <v>6.6423464362252993E-4</v>
      </c>
      <c r="H698" s="30">
        <f t="shared" si="878"/>
        <v>6.6423464362252993E-4</v>
      </c>
      <c r="I698" s="30">
        <f t="shared" si="878"/>
        <v>6.6423464362252993E-4</v>
      </c>
      <c r="J698" s="30">
        <f t="shared" si="878"/>
        <v>6.6423464362252993E-4</v>
      </c>
      <c r="K698" s="30">
        <f t="shared" si="878"/>
        <v>6.6423464362252993E-4</v>
      </c>
      <c r="L698" s="30">
        <f t="shared" si="878"/>
        <v>6.6423464362252993E-4</v>
      </c>
      <c r="M698" s="30">
        <f t="shared" si="878"/>
        <v>6.6423464362252993E-4</v>
      </c>
      <c r="N698" s="30">
        <f t="shared" ref="N698" si="879">POWER(1+N697,PRJ_Step/360)-1</f>
        <v>6.6423464362252993E-4</v>
      </c>
      <c r="O698" s="30">
        <f t="shared" ref="O698" si="880">POWER(1+O697,PRJ_Step/360)-1</f>
        <v>6.6423464362252993E-4</v>
      </c>
      <c r="P698" s="30">
        <f t="shared" ref="P698:Q698" si="881">POWER(1+P697,PRJ_Step/360)-1</f>
        <v>6.6423464362252993E-4</v>
      </c>
      <c r="Q698" s="30">
        <f t="shared" si="881"/>
        <v>6.6423464362252993E-4</v>
      </c>
    </row>
    <row r="699" spans="1:19" hidden="1" outlineLevel="2" x14ac:dyDescent="0.2">
      <c r="A699" t="str">
        <f ca="1">Language!A$558</f>
        <v xml:space="preserve">    цена без НДС</v>
      </c>
      <c r="C699" s="5" t="str">
        <f ca="1">CHOOSE(B696,CUR_Main,CUR_Foreign)</f>
        <v>руб.</v>
      </c>
      <c r="F699" s="86">
        <f t="shared" ref="F699:M699" si="882">F696/(1+$B701)</f>
        <v>0</v>
      </c>
      <c r="G699" s="86">
        <f t="shared" si="882"/>
        <v>0</v>
      </c>
      <c r="H699" s="86">
        <f t="shared" si="882"/>
        <v>0</v>
      </c>
      <c r="I699" s="86">
        <f t="shared" si="882"/>
        <v>0</v>
      </c>
      <c r="J699" s="86">
        <f t="shared" si="882"/>
        <v>0</v>
      </c>
      <c r="K699" s="86">
        <f t="shared" si="882"/>
        <v>0</v>
      </c>
      <c r="L699" s="86">
        <f t="shared" si="882"/>
        <v>0</v>
      </c>
      <c r="M699" s="86">
        <f t="shared" si="882"/>
        <v>0</v>
      </c>
      <c r="N699" s="86">
        <f t="shared" ref="N699" si="883">N696/(1+$B701)</f>
        <v>0</v>
      </c>
      <c r="O699" s="86">
        <f t="shared" ref="O699" si="884">O696/(1+$B701)</f>
        <v>0</v>
      </c>
      <c r="P699" s="86">
        <f t="shared" ref="P699:Q699" si="885">P696/(1+$B701)</f>
        <v>0</v>
      </c>
      <c r="Q699" s="86">
        <f t="shared" si="885"/>
        <v>0</v>
      </c>
    </row>
    <row r="700" spans="1:19" hidden="1" outlineLevel="2" x14ac:dyDescent="0.2">
      <c r="A700" t="str">
        <f ca="1">Language!A$559</f>
        <v xml:space="preserve">    в том числе импортная пошлина</v>
      </c>
      <c r="B700" s="286">
        <v>0</v>
      </c>
      <c r="C700" s="5" t="str">
        <f ca="1">CHOOSE(B696,CUR_Main,CUR_Foreign)</f>
        <v>руб.</v>
      </c>
      <c r="F700" s="86">
        <f t="shared" ref="F700:M700" si="886">F699/(1+$B700)*$B700</f>
        <v>0</v>
      </c>
      <c r="G700" s="86">
        <f t="shared" si="886"/>
        <v>0</v>
      </c>
      <c r="H700" s="86">
        <f t="shared" si="886"/>
        <v>0</v>
      </c>
      <c r="I700" s="86">
        <f t="shared" si="886"/>
        <v>0</v>
      </c>
      <c r="J700" s="86">
        <f t="shared" si="886"/>
        <v>0</v>
      </c>
      <c r="K700" s="86">
        <f t="shared" si="886"/>
        <v>0</v>
      </c>
      <c r="L700" s="86">
        <f t="shared" si="886"/>
        <v>0</v>
      </c>
      <c r="M700" s="86">
        <f t="shared" si="886"/>
        <v>0</v>
      </c>
      <c r="N700" s="86">
        <f t="shared" ref="N700" si="887">N699/(1+$B700)*$B700</f>
        <v>0</v>
      </c>
      <c r="O700" s="86">
        <f t="shared" ref="O700" si="888">O699/(1+$B700)*$B700</f>
        <v>0</v>
      </c>
      <c r="P700" s="86">
        <f t="shared" ref="P700:Q700" si="889">P699/(1+$B700)*$B700</f>
        <v>0</v>
      </c>
      <c r="Q700" s="86">
        <f t="shared" si="889"/>
        <v>0</v>
      </c>
    </row>
    <row r="701" spans="1:19" hidden="1" outlineLevel="2" x14ac:dyDescent="0.2">
      <c r="A701" t="str">
        <f ca="1">Language!A$560</f>
        <v xml:space="preserve">    НДС</v>
      </c>
      <c r="B701" s="283">
        <f>VAT</f>
        <v>0</v>
      </c>
      <c r="C701" s="5" t="str">
        <f ca="1">CHOOSE(B696,CUR_Main,CUR_Foreign)</f>
        <v>руб.</v>
      </c>
      <c r="F701" s="86">
        <f t="shared" ref="F701:M701" si="890">F696-F699</f>
        <v>0</v>
      </c>
      <c r="G701" s="86">
        <f t="shared" si="890"/>
        <v>0</v>
      </c>
      <c r="H701" s="86">
        <f t="shared" si="890"/>
        <v>0</v>
      </c>
      <c r="I701" s="86">
        <f t="shared" si="890"/>
        <v>0</v>
      </c>
      <c r="J701" s="86">
        <f t="shared" si="890"/>
        <v>0</v>
      </c>
      <c r="K701" s="86">
        <f t="shared" si="890"/>
        <v>0</v>
      </c>
      <c r="L701" s="86">
        <f t="shared" si="890"/>
        <v>0</v>
      </c>
      <c r="M701" s="86">
        <f t="shared" si="890"/>
        <v>0</v>
      </c>
      <c r="N701" s="86">
        <f t="shared" ref="N701" si="891">N696-N699</f>
        <v>0</v>
      </c>
      <c r="O701" s="86">
        <f t="shared" ref="O701" si="892">O696-O699</f>
        <v>0</v>
      </c>
      <c r="P701" s="86">
        <f t="shared" ref="P701:Q701" si="893">P696-P699</f>
        <v>0</v>
      </c>
      <c r="Q701" s="86">
        <f t="shared" si="893"/>
        <v>0</v>
      </c>
    </row>
    <row r="702" spans="1:19" outlineLevel="1" x14ac:dyDescent="0.2">
      <c r="A702" s="48" t="str">
        <f>A542</f>
        <v>Коробочная версия продукта</v>
      </c>
      <c r="B702" s="36" t="str">
        <f ca="1">Language!A$73</f>
        <v>Валюта</v>
      </c>
      <c r="E702">
        <v>6</v>
      </c>
    </row>
    <row r="703" spans="1:19" outlineLevel="1" collapsed="1" x14ac:dyDescent="0.2">
      <c r="A703" s="11" t="str">
        <f>A682</f>
        <v xml:space="preserve">Наименование сырья </v>
      </c>
      <c r="B703" s="255">
        <v>1</v>
      </c>
      <c r="C703" s="79" t="str">
        <f ca="1">CHOOSE(B703,CUR_Main,CUR_Foreign)</f>
        <v>руб.</v>
      </c>
      <c r="D703" s="46" t="s">
        <v>176</v>
      </c>
      <c r="F703" s="281">
        <v>0</v>
      </c>
      <c r="G703" s="281">
        <v>0</v>
      </c>
      <c r="H703" s="281">
        <v>0</v>
      </c>
      <c r="I703" s="281">
        <v>0</v>
      </c>
      <c r="J703" s="281">
        <v>0</v>
      </c>
      <c r="K703" s="281">
        <v>0</v>
      </c>
      <c r="L703" s="281">
        <v>0</v>
      </c>
      <c r="M703" s="281">
        <v>0</v>
      </c>
      <c r="N703" s="281">
        <v>0</v>
      </c>
      <c r="O703" s="281">
        <v>0</v>
      </c>
      <c r="P703" s="281">
        <v>0</v>
      </c>
      <c r="Q703" s="281">
        <v>0</v>
      </c>
    </row>
    <row r="704" spans="1:19" hidden="1" outlineLevel="2" x14ac:dyDescent="0.2">
      <c r="A704" t="str">
        <f ca="1">Language!A$104</f>
        <v>Предполагаемый темп годового роста цен</v>
      </c>
      <c r="C704" s="5" t="s">
        <v>177</v>
      </c>
      <c r="D704" s="16" t="s">
        <v>176</v>
      </c>
      <c r="F704" s="269">
        <f>CHOOSE($B703,F$80,F$91)</f>
        <v>8.0000000000000002E-3</v>
      </c>
      <c r="G704" s="269">
        <f>CHOOSE($B703,G$80,G$91)</f>
        <v>8.0000000000000002E-3</v>
      </c>
      <c r="H704" s="269">
        <f>CHOOSE($B703,H$80,H$91)</f>
        <v>8.0000000000000002E-3</v>
      </c>
      <c r="I704" s="269">
        <f>CHOOSE($B703,I$80,I$91)</f>
        <v>8.0000000000000002E-3</v>
      </c>
      <c r="J704" s="269">
        <f>CHOOSE($B703,J$80,J$91)</f>
        <v>8.0000000000000002E-3</v>
      </c>
      <c r="K704" s="269">
        <f>CHOOSE($B703,K$80,K$91)</f>
        <v>8.0000000000000002E-3</v>
      </c>
      <c r="L704" s="269">
        <f>CHOOSE($B703,L$80,L$91)</f>
        <v>8.0000000000000002E-3</v>
      </c>
      <c r="M704" s="269">
        <f>CHOOSE($B703,M$80,M$91)</f>
        <v>8.0000000000000002E-3</v>
      </c>
      <c r="N704" s="269">
        <f>CHOOSE($B703,N$80,N$91)</f>
        <v>8.0000000000000002E-3</v>
      </c>
      <c r="O704" s="269">
        <f>CHOOSE($B703,O$80,O$91)</f>
        <v>8.0000000000000002E-3</v>
      </c>
      <c r="P704" s="269">
        <f>CHOOSE($B703,P$80,P$91)</f>
        <v>8.0000000000000002E-3</v>
      </c>
      <c r="Q704" s="269">
        <f>CHOOSE($B703,Q$80,Q$91)</f>
        <v>8.0000000000000002E-3</v>
      </c>
    </row>
    <row r="705" spans="1:17" hidden="1" outlineLevel="2" x14ac:dyDescent="0.2">
      <c r="A705" t="str">
        <f ca="1">Language!A$106</f>
        <v>То же, в пересчете на период, равный шагу проекта</v>
      </c>
      <c r="C705" s="5" t="s">
        <v>177</v>
      </c>
      <c r="D705" s="16" t="s">
        <v>176</v>
      </c>
      <c r="F705" s="30">
        <f>POWER(1+F704,PRJ_Step/360)-1</f>
        <v>6.6423464362252993E-4</v>
      </c>
      <c r="G705" s="30">
        <f>POWER(1+G704,PRJ_Step/360)-1</f>
        <v>6.6423464362252993E-4</v>
      </c>
      <c r="H705" s="30">
        <f>POWER(1+H704,PRJ_Step/360)-1</f>
        <v>6.6423464362252993E-4</v>
      </c>
      <c r="I705" s="30">
        <f>POWER(1+I704,PRJ_Step/360)-1</f>
        <v>6.6423464362252993E-4</v>
      </c>
      <c r="J705" s="30">
        <f>POWER(1+J704,PRJ_Step/360)-1</f>
        <v>6.6423464362252993E-4</v>
      </c>
      <c r="K705" s="30">
        <f>POWER(1+K704,PRJ_Step/360)-1</f>
        <v>6.6423464362252993E-4</v>
      </c>
      <c r="L705" s="30">
        <f>POWER(1+L704,PRJ_Step/360)-1</f>
        <v>6.6423464362252993E-4</v>
      </c>
      <c r="M705" s="30">
        <f>POWER(1+M704,PRJ_Step/360)-1</f>
        <v>6.6423464362252993E-4</v>
      </c>
      <c r="N705" s="30">
        <f>POWER(1+N704,PRJ_Step/360)-1</f>
        <v>6.6423464362252993E-4</v>
      </c>
      <c r="O705" s="30">
        <f>POWER(1+O704,PRJ_Step/360)-1</f>
        <v>6.6423464362252993E-4</v>
      </c>
      <c r="P705" s="30">
        <f>POWER(1+P704,PRJ_Step/360)-1</f>
        <v>6.6423464362252993E-4</v>
      </c>
      <c r="Q705" s="30">
        <f>POWER(1+Q704,PRJ_Step/360)-1</f>
        <v>6.6423464362252993E-4</v>
      </c>
    </row>
    <row r="706" spans="1:17" hidden="1" outlineLevel="2" x14ac:dyDescent="0.2">
      <c r="A706" t="str">
        <f ca="1">Language!A$558</f>
        <v xml:space="preserve">    цена без НДС</v>
      </c>
      <c r="C706" s="5" t="str">
        <f ca="1">CHOOSE(B703,CUR_Main,CUR_Foreign)</f>
        <v>руб.</v>
      </c>
      <c r="F706" s="86">
        <f>F703/(1+$B708)</f>
        <v>0</v>
      </c>
      <c r="G706" s="86">
        <f>G703/(1+$B708)</f>
        <v>0</v>
      </c>
      <c r="H706" s="86">
        <f>H703/(1+$B708)</f>
        <v>0</v>
      </c>
      <c r="I706" s="86">
        <f>I703/(1+$B708)</f>
        <v>0</v>
      </c>
      <c r="J706" s="86">
        <f>J703/(1+$B708)</f>
        <v>0</v>
      </c>
      <c r="K706" s="86">
        <f>K703/(1+$B708)</f>
        <v>0</v>
      </c>
      <c r="L706" s="86">
        <f>L703/(1+$B708)</f>
        <v>0</v>
      </c>
      <c r="M706" s="86">
        <f>M703/(1+$B708)</f>
        <v>0</v>
      </c>
      <c r="N706" s="86">
        <f>N703/(1+$B708)</f>
        <v>0</v>
      </c>
      <c r="O706" s="86">
        <f>O703/(1+$B708)</f>
        <v>0</v>
      </c>
      <c r="P706" s="86">
        <f>P703/(1+$B708)</f>
        <v>0</v>
      </c>
      <c r="Q706" s="86">
        <f>Q703/(1+$B708)</f>
        <v>0</v>
      </c>
    </row>
    <row r="707" spans="1:17" hidden="1" outlineLevel="2" x14ac:dyDescent="0.2">
      <c r="A707" t="str">
        <f ca="1">Language!A$559</f>
        <v xml:space="preserve">    в том числе импортная пошлина</v>
      </c>
      <c r="B707" s="286">
        <v>0</v>
      </c>
      <c r="C707" s="5" t="str">
        <f ca="1">CHOOSE(B703,CUR_Main,CUR_Foreign)</f>
        <v>руб.</v>
      </c>
      <c r="F707" s="86">
        <f>F706/(1+$B707)*$B707</f>
        <v>0</v>
      </c>
      <c r="G707" s="86">
        <f>G706/(1+$B707)*$B707</f>
        <v>0</v>
      </c>
      <c r="H707" s="86">
        <f>H706/(1+$B707)*$B707</f>
        <v>0</v>
      </c>
      <c r="I707" s="86">
        <f>I706/(1+$B707)*$B707</f>
        <v>0</v>
      </c>
      <c r="J707" s="86">
        <f>J706/(1+$B707)*$B707</f>
        <v>0</v>
      </c>
      <c r="K707" s="86">
        <f>K706/(1+$B707)*$B707</f>
        <v>0</v>
      </c>
      <c r="L707" s="86">
        <f>L706/(1+$B707)*$B707</f>
        <v>0</v>
      </c>
      <c r="M707" s="86">
        <f>M706/(1+$B707)*$B707</f>
        <v>0</v>
      </c>
      <c r="N707" s="86">
        <f>N706/(1+$B707)*$B707</f>
        <v>0</v>
      </c>
      <c r="O707" s="86">
        <f>O706/(1+$B707)*$B707</f>
        <v>0</v>
      </c>
      <c r="P707" s="86">
        <f>P706/(1+$B707)*$B707</f>
        <v>0</v>
      </c>
      <c r="Q707" s="86">
        <f>Q706/(1+$B707)*$B707</f>
        <v>0</v>
      </c>
    </row>
    <row r="708" spans="1:17" hidden="1" outlineLevel="2" x14ac:dyDescent="0.2">
      <c r="A708" t="str">
        <f ca="1">Language!A$560</f>
        <v xml:space="preserve">    НДС</v>
      </c>
      <c r="B708" s="283">
        <f>VAT</f>
        <v>0</v>
      </c>
      <c r="C708" s="5" t="str">
        <f ca="1">CHOOSE(B703,CUR_Main,CUR_Foreign)</f>
        <v>руб.</v>
      </c>
      <c r="F708" s="86">
        <f>F703-F706</f>
        <v>0</v>
      </c>
      <c r="G708" s="86">
        <f>G703-G706</f>
        <v>0</v>
      </c>
      <c r="H708" s="86">
        <f>H703-H706</f>
        <v>0</v>
      </c>
      <c r="I708" s="86">
        <f>I703-I706</f>
        <v>0</v>
      </c>
      <c r="J708" s="86">
        <f>J703-J706</f>
        <v>0</v>
      </c>
      <c r="K708" s="86">
        <f>K703-K706</f>
        <v>0</v>
      </c>
      <c r="L708" s="86">
        <f>L703-L706</f>
        <v>0</v>
      </c>
      <c r="M708" s="86">
        <f>M703-M706</f>
        <v>0</v>
      </c>
      <c r="N708" s="86">
        <f>N703-N706</f>
        <v>0</v>
      </c>
      <c r="O708" s="86">
        <f>O703-O706</f>
        <v>0</v>
      </c>
      <c r="P708" s="86">
        <f>P703-P706</f>
        <v>0</v>
      </c>
      <c r="Q708" s="86">
        <f>Q703-Q706</f>
        <v>0</v>
      </c>
    </row>
    <row r="709" spans="1:17" outlineLevel="1" x14ac:dyDescent="0.2">
      <c r="A709" s="48" t="str">
        <f>A543</f>
        <v>Исключительные права</v>
      </c>
      <c r="B709" s="36" t="str">
        <f ca="1">Language!A$73</f>
        <v>Валюта</v>
      </c>
      <c r="E709">
        <v>6</v>
      </c>
    </row>
    <row r="710" spans="1:17" outlineLevel="1" collapsed="1" x14ac:dyDescent="0.2">
      <c r="A710" s="11" t="str">
        <f>A684</f>
        <v xml:space="preserve">Наименование сырья </v>
      </c>
      <c r="B710" s="255">
        <v>1</v>
      </c>
      <c r="C710" s="79" t="str">
        <f ca="1">CHOOSE(B710,CUR_Main,CUR_Foreign)</f>
        <v>руб.</v>
      </c>
      <c r="D710" s="46" t="s">
        <v>176</v>
      </c>
      <c r="F710" s="281">
        <v>0</v>
      </c>
      <c r="G710" s="281">
        <v>0</v>
      </c>
      <c r="H710" s="281">
        <v>0</v>
      </c>
      <c r="I710" s="281">
        <v>0</v>
      </c>
      <c r="J710" s="281">
        <v>0</v>
      </c>
      <c r="K710" s="281">
        <v>0</v>
      </c>
      <c r="L710" s="281">
        <v>0</v>
      </c>
      <c r="M710" s="281">
        <v>0</v>
      </c>
      <c r="N710" s="281">
        <v>0</v>
      </c>
      <c r="O710" s="281">
        <v>0</v>
      </c>
      <c r="P710" s="281">
        <v>0</v>
      </c>
      <c r="Q710" s="281">
        <v>0</v>
      </c>
    </row>
    <row r="711" spans="1:17" hidden="1" outlineLevel="2" x14ac:dyDescent="0.2">
      <c r="A711" t="str">
        <f ca="1">Language!A$104</f>
        <v>Предполагаемый темп годового роста цен</v>
      </c>
      <c r="C711" s="5" t="s">
        <v>177</v>
      </c>
      <c r="D711" s="16" t="s">
        <v>176</v>
      </c>
      <c r="F711" s="269">
        <f>CHOOSE($B710,F$80,F$91)</f>
        <v>8.0000000000000002E-3</v>
      </c>
      <c r="G711" s="269">
        <f>CHOOSE($B710,G$80,G$91)</f>
        <v>8.0000000000000002E-3</v>
      </c>
      <c r="H711" s="269">
        <f>CHOOSE($B710,H$80,H$91)</f>
        <v>8.0000000000000002E-3</v>
      </c>
      <c r="I711" s="269">
        <f>CHOOSE($B710,I$80,I$91)</f>
        <v>8.0000000000000002E-3</v>
      </c>
      <c r="J711" s="269">
        <f>CHOOSE($B710,J$80,J$91)</f>
        <v>8.0000000000000002E-3</v>
      </c>
      <c r="K711" s="269">
        <f>CHOOSE($B710,K$80,K$91)</f>
        <v>8.0000000000000002E-3</v>
      </c>
      <c r="L711" s="269">
        <f>CHOOSE($B710,L$80,L$91)</f>
        <v>8.0000000000000002E-3</v>
      </c>
      <c r="M711" s="269">
        <f>CHOOSE($B710,M$80,M$91)</f>
        <v>8.0000000000000002E-3</v>
      </c>
      <c r="N711" s="269">
        <f>CHOOSE($B710,N$80,N$91)</f>
        <v>8.0000000000000002E-3</v>
      </c>
      <c r="O711" s="269">
        <f>CHOOSE($B710,O$80,O$91)</f>
        <v>8.0000000000000002E-3</v>
      </c>
      <c r="P711" s="269">
        <f>CHOOSE($B710,P$80,P$91)</f>
        <v>8.0000000000000002E-3</v>
      </c>
      <c r="Q711" s="269">
        <f>CHOOSE($B710,Q$80,Q$91)</f>
        <v>8.0000000000000002E-3</v>
      </c>
    </row>
    <row r="712" spans="1:17" hidden="1" outlineLevel="2" x14ac:dyDescent="0.2">
      <c r="A712" t="str">
        <f ca="1">Language!A$106</f>
        <v>То же, в пересчете на период, равный шагу проекта</v>
      </c>
      <c r="C712" s="5" t="s">
        <v>177</v>
      </c>
      <c r="D712" s="16" t="s">
        <v>176</v>
      </c>
      <c r="F712" s="30">
        <f>POWER(1+F711,PRJ_Step/360)-1</f>
        <v>6.6423464362252993E-4</v>
      </c>
      <c r="G712" s="30">
        <f>POWER(1+G711,PRJ_Step/360)-1</f>
        <v>6.6423464362252993E-4</v>
      </c>
      <c r="H712" s="30">
        <f>POWER(1+H711,PRJ_Step/360)-1</f>
        <v>6.6423464362252993E-4</v>
      </c>
      <c r="I712" s="30">
        <f>POWER(1+I711,PRJ_Step/360)-1</f>
        <v>6.6423464362252993E-4</v>
      </c>
      <c r="J712" s="30">
        <f>POWER(1+J711,PRJ_Step/360)-1</f>
        <v>6.6423464362252993E-4</v>
      </c>
      <c r="K712" s="30">
        <f>POWER(1+K711,PRJ_Step/360)-1</f>
        <v>6.6423464362252993E-4</v>
      </c>
      <c r="L712" s="30">
        <f>POWER(1+L711,PRJ_Step/360)-1</f>
        <v>6.6423464362252993E-4</v>
      </c>
      <c r="M712" s="30">
        <f>POWER(1+M711,PRJ_Step/360)-1</f>
        <v>6.6423464362252993E-4</v>
      </c>
      <c r="N712" s="30">
        <f>POWER(1+N711,PRJ_Step/360)-1</f>
        <v>6.6423464362252993E-4</v>
      </c>
      <c r="O712" s="30">
        <f>POWER(1+O711,PRJ_Step/360)-1</f>
        <v>6.6423464362252993E-4</v>
      </c>
      <c r="P712" s="30">
        <f>POWER(1+P711,PRJ_Step/360)-1</f>
        <v>6.6423464362252993E-4</v>
      </c>
      <c r="Q712" s="30">
        <f>POWER(1+Q711,PRJ_Step/360)-1</f>
        <v>6.6423464362252993E-4</v>
      </c>
    </row>
    <row r="713" spans="1:17" hidden="1" outlineLevel="2" x14ac:dyDescent="0.2">
      <c r="A713" t="str">
        <f ca="1">Language!A$558</f>
        <v xml:space="preserve">    цена без НДС</v>
      </c>
      <c r="C713" s="5" t="str">
        <f ca="1">CHOOSE(B710,CUR_Main,CUR_Foreign)</f>
        <v>руб.</v>
      </c>
      <c r="F713" s="86">
        <f>F710/(1+$B715)</f>
        <v>0</v>
      </c>
      <c r="G713" s="86">
        <f>G710/(1+$B715)</f>
        <v>0</v>
      </c>
      <c r="H713" s="86">
        <f>H710/(1+$B715)</f>
        <v>0</v>
      </c>
      <c r="I713" s="86">
        <f>I710/(1+$B715)</f>
        <v>0</v>
      </c>
      <c r="J713" s="86">
        <f>J710/(1+$B715)</f>
        <v>0</v>
      </c>
      <c r="K713" s="86">
        <f>K710/(1+$B715)</f>
        <v>0</v>
      </c>
      <c r="L713" s="86">
        <f>L710/(1+$B715)</f>
        <v>0</v>
      </c>
      <c r="M713" s="86">
        <f>M710/(1+$B715)</f>
        <v>0</v>
      </c>
      <c r="N713" s="86">
        <f>N710/(1+$B715)</f>
        <v>0</v>
      </c>
      <c r="O713" s="86">
        <f>O710/(1+$B715)</f>
        <v>0</v>
      </c>
      <c r="P713" s="86">
        <f>P710/(1+$B715)</f>
        <v>0</v>
      </c>
      <c r="Q713" s="86">
        <f>Q710/(1+$B715)</f>
        <v>0</v>
      </c>
    </row>
    <row r="714" spans="1:17" hidden="1" outlineLevel="2" x14ac:dyDescent="0.2">
      <c r="A714" t="str">
        <f ca="1">Language!A$559</f>
        <v xml:space="preserve">    в том числе импортная пошлина</v>
      </c>
      <c r="B714" s="286">
        <v>0</v>
      </c>
      <c r="C714" s="5" t="str">
        <f ca="1">CHOOSE(B710,CUR_Main,CUR_Foreign)</f>
        <v>руб.</v>
      </c>
      <c r="F714" s="86">
        <f>F713/(1+$B714)*$B714</f>
        <v>0</v>
      </c>
      <c r="G714" s="86">
        <f>G713/(1+$B714)*$B714</f>
        <v>0</v>
      </c>
      <c r="H714" s="86">
        <f>H713/(1+$B714)*$B714</f>
        <v>0</v>
      </c>
      <c r="I714" s="86">
        <f>I713/(1+$B714)*$B714</f>
        <v>0</v>
      </c>
      <c r="J714" s="86">
        <f>J713/(1+$B714)*$B714</f>
        <v>0</v>
      </c>
      <c r="K714" s="86">
        <f>K713/(1+$B714)*$B714</f>
        <v>0</v>
      </c>
      <c r="L714" s="86">
        <f>L713/(1+$B714)*$B714</f>
        <v>0</v>
      </c>
      <c r="M714" s="86">
        <f>M713/(1+$B714)*$B714</f>
        <v>0</v>
      </c>
      <c r="N714" s="86">
        <f>N713/(1+$B714)*$B714</f>
        <v>0</v>
      </c>
      <c r="O714" s="86">
        <f>O713/(1+$B714)*$B714</f>
        <v>0</v>
      </c>
      <c r="P714" s="86">
        <f>P713/(1+$B714)*$B714</f>
        <v>0</v>
      </c>
      <c r="Q714" s="86">
        <f>Q713/(1+$B714)*$B714</f>
        <v>0</v>
      </c>
    </row>
    <row r="715" spans="1:17" hidden="1" outlineLevel="2" x14ac:dyDescent="0.2">
      <c r="A715" t="str">
        <f ca="1">Language!A$560</f>
        <v xml:space="preserve">    НДС</v>
      </c>
      <c r="B715" s="283">
        <f>VAT</f>
        <v>0</v>
      </c>
      <c r="C715" s="5" t="str">
        <f ca="1">CHOOSE(B710,CUR_Main,CUR_Foreign)</f>
        <v>руб.</v>
      </c>
      <c r="F715" s="86">
        <f>F710-F713</f>
        <v>0</v>
      </c>
      <c r="G715" s="86">
        <f>G710-G713</f>
        <v>0</v>
      </c>
      <c r="H715" s="86">
        <f>H710-H713</f>
        <v>0</v>
      </c>
      <c r="I715" s="86">
        <f>I710-I713</f>
        <v>0</v>
      </c>
      <c r="J715" s="86">
        <f>J710-J713</f>
        <v>0</v>
      </c>
      <c r="K715" s="86">
        <f>K710-K713</f>
        <v>0</v>
      </c>
      <c r="L715" s="86">
        <f>L710-L713</f>
        <v>0</v>
      </c>
      <c r="M715" s="86">
        <f>M710-M713</f>
        <v>0</v>
      </c>
      <c r="N715" s="86">
        <f>N710-N713</f>
        <v>0</v>
      </c>
      <c r="O715" s="86">
        <f>O710-O713</f>
        <v>0</v>
      </c>
      <c r="P715" s="86">
        <f>P710-P713</f>
        <v>0</v>
      </c>
      <c r="Q715" s="86">
        <f>Q710-Q713</f>
        <v>0</v>
      </c>
    </row>
    <row r="716" spans="1:17" outlineLevel="1" x14ac:dyDescent="0.2">
      <c r="A716" s="48" t="str">
        <f>A544</f>
        <v>Проект</v>
      </c>
      <c r="B716" s="36" t="str">
        <f ca="1">Language!A$73</f>
        <v>Валюта</v>
      </c>
      <c r="E716">
        <v>6</v>
      </c>
    </row>
    <row r="717" spans="1:17" outlineLevel="1" collapsed="1" x14ac:dyDescent="0.2">
      <c r="A717" s="11" t="str">
        <f>A686</f>
        <v xml:space="preserve">Наименование сырья </v>
      </c>
      <c r="B717" s="255">
        <v>1</v>
      </c>
      <c r="C717" s="79" t="str">
        <f ca="1">CHOOSE(B717,CUR_Main,CUR_Foreign)</f>
        <v>руб.</v>
      </c>
      <c r="D717" s="46" t="s">
        <v>176</v>
      </c>
      <c r="F717" s="281">
        <v>0</v>
      </c>
      <c r="G717" s="281">
        <v>0</v>
      </c>
      <c r="H717" s="281">
        <v>0</v>
      </c>
      <c r="I717" s="281">
        <v>0</v>
      </c>
      <c r="J717" s="281">
        <v>0</v>
      </c>
      <c r="K717" s="281">
        <v>0</v>
      </c>
      <c r="L717" s="281">
        <v>0</v>
      </c>
      <c r="M717" s="281">
        <v>0</v>
      </c>
      <c r="N717" s="281">
        <v>0</v>
      </c>
      <c r="O717" s="281">
        <v>0</v>
      </c>
      <c r="P717" s="281">
        <v>0</v>
      </c>
      <c r="Q717" s="281">
        <v>0</v>
      </c>
    </row>
    <row r="718" spans="1:17" hidden="1" outlineLevel="2" x14ac:dyDescent="0.2">
      <c r="A718" t="str">
        <f ca="1">Language!A$104</f>
        <v>Предполагаемый темп годового роста цен</v>
      </c>
      <c r="C718" s="5" t="s">
        <v>177</v>
      </c>
      <c r="D718" s="16" t="s">
        <v>176</v>
      </c>
      <c r="F718" s="269">
        <f>CHOOSE($B717,F$80,F$91)</f>
        <v>8.0000000000000002E-3</v>
      </c>
      <c r="G718" s="269">
        <f>CHOOSE($B717,G$80,G$91)</f>
        <v>8.0000000000000002E-3</v>
      </c>
      <c r="H718" s="269">
        <f>CHOOSE($B717,H$80,H$91)</f>
        <v>8.0000000000000002E-3</v>
      </c>
      <c r="I718" s="269">
        <f>CHOOSE($B717,I$80,I$91)</f>
        <v>8.0000000000000002E-3</v>
      </c>
      <c r="J718" s="269">
        <f>CHOOSE($B717,J$80,J$91)</f>
        <v>8.0000000000000002E-3</v>
      </c>
      <c r="K718" s="269">
        <f>CHOOSE($B717,K$80,K$91)</f>
        <v>8.0000000000000002E-3</v>
      </c>
      <c r="L718" s="269">
        <f>CHOOSE($B717,L$80,L$91)</f>
        <v>8.0000000000000002E-3</v>
      </c>
      <c r="M718" s="269">
        <f>CHOOSE($B717,M$80,M$91)</f>
        <v>8.0000000000000002E-3</v>
      </c>
      <c r="N718" s="269">
        <f>CHOOSE($B717,N$80,N$91)</f>
        <v>8.0000000000000002E-3</v>
      </c>
      <c r="O718" s="269">
        <f>CHOOSE($B717,O$80,O$91)</f>
        <v>8.0000000000000002E-3</v>
      </c>
      <c r="P718" s="269">
        <f>CHOOSE($B717,P$80,P$91)</f>
        <v>8.0000000000000002E-3</v>
      </c>
      <c r="Q718" s="269">
        <f>CHOOSE($B717,Q$80,Q$91)</f>
        <v>8.0000000000000002E-3</v>
      </c>
    </row>
    <row r="719" spans="1:17" hidden="1" outlineLevel="2" x14ac:dyDescent="0.2">
      <c r="A719" t="str">
        <f ca="1">Language!A$106</f>
        <v>То же, в пересчете на период, равный шагу проекта</v>
      </c>
      <c r="C719" s="5" t="s">
        <v>177</v>
      </c>
      <c r="D719" s="16" t="s">
        <v>176</v>
      </c>
      <c r="F719" s="30">
        <f>POWER(1+F718,PRJ_Step/360)-1</f>
        <v>6.6423464362252993E-4</v>
      </c>
      <c r="G719" s="30">
        <f>POWER(1+G718,PRJ_Step/360)-1</f>
        <v>6.6423464362252993E-4</v>
      </c>
      <c r="H719" s="30">
        <f>POWER(1+H718,PRJ_Step/360)-1</f>
        <v>6.6423464362252993E-4</v>
      </c>
      <c r="I719" s="30">
        <f>POWER(1+I718,PRJ_Step/360)-1</f>
        <v>6.6423464362252993E-4</v>
      </c>
      <c r="J719" s="30">
        <f>POWER(1+J718,PRJ_Step/360)-1</f>
        <v>6.6423464362252993E-4</v>
      </c>
      <c r="K719" s="30">
        <f>POWER(1+K718,PRJ_Step/360)-1</f>
        <v>6.6423464362252993E-4</v>
      </c>
      <c r="L719" s="30">
        <f>POWER(1+L718,PRJ_Step/360)-1</f>
        <v>6.6423464362252993E-4</v>
      </c>
      <c r="M719" s="30">
        <f>POWER(1+M718,PRJ_Step/360)-1</f>
        <v>6.6423464362252993E-4</v>
      </c>
      <c r="N719" s="30">
        <f>POWER(1+N718,PRJ_Step/360)-1</f>
        <v>6.6423464362252993E-4</v>
      </c>
      <c r="O719" s="30">
        <f>POWER(1+O718,PRJ_Step/360)-1</f>
        <v>6.6423464362252993E-4</v>
      </c>
      <c r="P719" s="30">
        <f>POWER(1+P718,PRJ_Step/360)-1</f>
        <v>6.6423464362252993E-4</v>
      </c>
      <c r="Q719" s="30">
        <f>POWER(1+Q718,PRJ_Step/360)-1</f>
        <v>6.6423464362252993E-4</v>
      </c>
    </row>
    <row r="720" spans="1:17" hidden="1" outlineLevel="2" x14ac:dyDescent="0.2">
      <c r="A720" t="str">
        <f ca="1">Language!A$558</f>
        <v xml:space="preserve">    цена без НДС</v>
      </c>
      <c r="C720" s="5" t="str">
        <f ca="1">CHOOSE(B717,CUR_Main,CUR_Foreign)</f>
        <v>руб.</v>
      </c>
      <c r="F720" s="86">
        <f>F717/(1+$B722)</f>
        <v>0</v>
      </c>
      <c r="G720" s="86">
        <f>G717/(1+$B722)</f>
        <v>0</v>
      </c>
      <c r="H720" s="86">
        <f>H717/(1+$B722)</f>
        <v>0</v>
      </c>
      <c r="I720" s="86">
        <f>I717/(1+$B722)</f>
        <v>0</v>
      </c>
      <c r="J720" s="86">
        <f>J717/(1+$B722)</f>
        <v>0</v>
      </c>
      <c r="K720" s="86">
        <f>K717/(1+$B722)</f>
        <v>0</v>
      </c>
      <c r="L720" s="86">
        <f>L717/(1+$B722)</f>
        <v>0</v>
      </c>
      <c r="M720" s="86">
        <f>M717/(1+$B722)</f>
        <v>0</v>
      </c>
      <c r="N720" s="86">
        <f>N717/(1+$B722)</f>
        <v>0</v>
      </c>
      <c r="O720" s="86">
        <f>O717/(1+$B722)</f>
        <v>0</v>
      </c>
      <c r="P720" s="86">
        <f>P717/(1+$B722)</f>
        <v>0</v>
      </c>
      <c r="Q720" s="86">
        <f>Q717/(1+$B722)</f>
        <v>0</v>
      </c>
    </row>
    <row r="721" spans="1:17" hidden="1" outlineLevel="2" x14ac:dyDescent="0.2">
      <c r="A721" t="str">
        <f ca="1">Language!A$559</f>
        <v xml:space="preserve">    в том числе импортная пошлина</v>
      </c>
      <c r="B721" s="286">
        <v>0</v>
      </c>
      <c r="C721" s="5" t="str">
        <f ca="1">CHOOSE(B717,CUR_Main,CUR_Foreign)</f>
        <v>руб.</v>
      </c>
      <c r="F721" s="86">
        <f>F720/(1+$B721)*$B721</f>
        <v>0</v>
      </c>
      <c r="G721" s="86">
        <f>G720/(1+$B721)*$B721</f>
        <v>0</v>
      </c>
      <c r="H721" s="86">
        <f>H720/(1+$B721)*$B721</f>
        <v>0</v>
      </c>
      <c r="I721" s="86">
        <f>I720/(1+$B721)*$B721</f>
        <v>0</v>
      </c>
      <c r="J721" s="86">
        <f>J720/(1+$B721)*$B721</f>
        <v>0</v>
      </c>
      <c r="K721" s="86">
        <f>K720/(1+$B721)*$B721</f>
        <v>0</v>
      </c>
      <c r="L721" s="86">
        <f>L720/(1+$B721)*$B721</f>
        <v>0</v>
      </c>
      <c r="M721" s="86">
        <f>M720/(1+$B721)*$B721</f>
        <v>0</v>
      </c>
      <c r="N721" s="86">
        <f>N720/(1+$B721)*$B721</f>
        <v>0</v>
      </c>
      <c r="O721" s="86">
        <f>O720/(1+$B721)*$B721</f>
        <v>0</v>
      </c>
      <c r="P721" s="86">
        <f>P720/(1+$B721)*$B721</f>
        <v>0</v>
      </c>
      <c r="Q721" s="86">
        <f>Q720/(1+$B721)*$B721</f>
        <v>0</v>
      </c>
    </row>
    <row r="722" spans="1:17" hidden="1" outlineLevel="2" x14ac:dyDescent="0.2">
      <c r="A722" t="str">
        <f ca="1">Language!A$560</f>
        <v xml:space="preserve">    НДС</v>
      </c>
      <c r="B722" s="283">
        <f>VAT</f>
        <v>0</v>
      </c>
      <c r="C722" s="5" t="str">
        <f ca="1">CHOOSE(B717,CUR_Main,CUR_Foreign)</f>
        <v>руб.</v>
      </c>
      <c r="F722" s="86">
        <f>F717-F720</f>
        <v>0</v>
      </c>
      <c r="G722" s="86">
        <f>G717-G720</f>
        <v>0</v>
      </c>
      <c r="H722" s="86">
        <f>H717-H720</f>
        <v>0</v>
      </c>
      <c r="I722" s="86">
        <f>I717-I720</f>
        <v>0</v>
      </c>
      <c r="J722" s="86">
        <f>J717-J720</f>
        <v>0</v>
      </c>
      <c r="K722" s="86">
        <f>K717-K720</f>
        <v>0</v>
      </c>
      <c r="L722" s="86">
        <f>L717-L720</f>
        <v>0</v>
      </c>
      <c r="M722" s="86">
        <f>M717-M720</f>
        <v>0</v>
      </c>
      <c r="N722" s="86">
        <f>N717-N720</f>
        <v>0</v>
      </c>
      <c r="O722" s="86">
        <f>O717-O720</f>
        <v>0</v>
      </c>
      <c r="P722" s="86">
        <f>P717-P720</f>
        <v>0</v>
      </c>
      <c r="Q722" s="86">
        <f>Q717-Q720</f>
        <v>0</v>
      </c>
    </row>
    <row r="723" spans="1:17" outlineLevel="1" x14ac:dyDescent="0.2">
      <c r="A723" s="48" t="str">
        <f>A545</f>
        <v>Облачная версия продукта</v>
      </c>
      <c r="B723" s="36" t="str">
        <f ca="1">Language!A$73</f>
        <v>Валюта</v>
      </c>
      <c r="E723">
        <v>6</v>
      </c>
    </row>
    <row r="724" spans="1:17" outlineLevel="1" collapsed="1" x14ac:dyDescent="0.2">
      <c r="A724" s="11" t="str">
        <f>A688</f>
        <v xml:space="preserve">Наименование сырья </v>
      </c>
      <c r="B724" s="255">
        <v>1</v>
      </c>
      <c r="C724" s="79" t="str">
        <f ca="1">CHOOSE(B724,CUR_Main,CUR_Foreign)</f>
        <v>руб.</v>
      </c>
      <c r="D724" s="46" t="s">
        <v>176</v>
      </c>
      <c r="F724" s="281">
        <v>0</v>
      </c>
      <c r="G724" s="281">
        <v>0</v>
      </c>
      <c r="H724" s="281">
        <v>0</v>
      </c>
      <c r="I724" s="281">
        <v>0</v>
      </c>
      <c r="J724" s="281">
        <v>0</v>
      </c>
      <c r="K724" s="281">
        <v>0</v>
      </c>
      <c r="L724" s="281">
        <v>0</v>
      </c>
      <c r="M724" s="281">
        <v>0</v>
      </c>
      <c r="N724" s="281">
        <v>0</v>
      </c>
      <c r="O724" s="281">
        <v>0</v>
      </c>
      <c r="P724" s="281">
        <v>0</v>
      </c>
      <c r="Q724" s="281">
        <v>0</v>
      </c>
    </row>
    <row r="725" spans="1:17" hidden="1" outlineLevel="2" x14ac:dyDescent="0.2">
      <c r="A725" t="str">
        <f ca="1">Language!A$104</f>
        <v>Предполагаемый темп годового роста цен</v>
      </c>
      <c r="C725" s="5" t="s">
        <v>177</v>
      </c>
      <c r="D725" s="16" t="s">
        <v>176</v>
      </c>
      <c r="F725" s="269">
        <f t="shared" ref="F725:Q725" si="894">CHOOSE($B724,F$80,F$91)</f>
        <v>8.0000000000000002E-3</v>
      </c>
      <c r="G725" s="269">
        <f t="shared" si="894"/>
        <v>8.0000000000000002E-3</v>
      </c>
      <c r="H725" s="269">
        <f t="shared" si="894"/>
        <v>8.0000000000000002E-3</v>
      </c>
      <c r="I725" s="269">
        <f t="shared" si="894"/>
        <v>8.0000000000000002E-3</v>
      </c>
      <c r="J725" s="269">
        <f t="shared" si="894"/>
        <v>8.0000000000000002E-3</v>
      </c>
      <c r="K725" s="269">
        <f t="shared" si="894"/>
        <v>8.0000000000000002E-3</v>
      </c>
      <c r="L725" s="269">
        <f t="shared" si="894"/>
        <v>8.0000000000000002E-3</v>
      </c>
      <c r="M725" s="269">
        <f t="shared" si="894"/>
        <v>8.0000000000000002E-3</v>
      </c>
      <c r="N725" s="269">
        <f t="shared" si="894"/>
        <v>8.0000000000000002E-3</v>
      </c>
      <c r="O725" s="269">
        <f t="shared" si="894"/>
        <v>8.0000000000000002E-3</v>
      </c>
      <c r="P725" s="269">
        <f t="shared" si="894"/>
        <v>8.0000000000000002E-3</v>
      </c>
      <c r="Q725" s="269">
        <f t="shared" si="894"/>
        <v>8.0000000000000002E-3</v>
      </c>
    </row>
    <row r="726" spans="1:17" hidden="1" outlineLevel="2" x14ac:dyDescent="0.2">
      <c r="A726" t="str">
        <f ca="1">Language!A$106</f>
        <v>То же, в пересчете на период, равный шагу проекта</v>
      </c>
      <c r="C726" s="5" t="s">
        <v>177</v>
      </c>
      <c r="D726" s="16" t="s">
        <v>176</v>
      </c>
      <c r="F726" s="30">
        <f t="shared" ref="F726:Q726" si="895">POWER(1+F725,PRJ_Step/360)-1</f>
        <v>6.6423464362252993E-4</v>
      </c>
      <c r="G726" s="30">
        <f t="shared" si="895"/>
        <v>6.6423464362252993E-4</v>
      </c>
      <c r="H726" s="30">
        <f t="shared" si="895"/>
        <v>6.6423464362252993E-4</v>
      </c>
      <c r="I726" s="30">
        <f t="shared" si="895"/>
        <v>6.6423464362252993E-4</v>
      </c>
      <c r="J726" s="30">
        <f t="shared" si="895"/>
        <v>6.6423464362252993E-4</v>
      </c>
      <c r="K726" s="30">
        <f t="shared" si="895"/>
        <v>6.6423464362252993E-4</v>
      </c>
      <c r="L726" s="30">
        <f t="shared" si="895"/>
        <v>6.6423464362252993E-4</v>
      </c>
      <c r="M726" s="30">
        <f t="shared" si="895"/>
        <v>6.6423464362252993E-4</v>
      </c>
      <c r="N726" s="30">
        <f t="shared" si="895"/>
        <v>6.6423464362252993E-4</v>
      </c>
      <c r="O726" s="30">
        <f t="shared" si="895"/>
        <v>6.6423464362252993E-4</v>
      </c>
      <c r="P726" s="30">
        <f t="shared" si="895"/>
        <v>6.6423464362252993E-4</v>
      </c>
      <c r="Q726" s="30">
        <f t="shared" si="895"/>
        <v>6.6423464362252993E-4</v>
      </c>
    </row>
    <row r="727" spans="1:17" hidden="1" outlineLevel="2" x14ac:dyDescent="0.2">
      <c r="A727" t="str">
        <f ca="1">Language!A$558</f>
        <v xml:space="preserve">    цена без НДС</v>
      </c>
      <c r="C727" s="5" t="str">
        <f ca="1">CHOOSE(B724,CUR_Main,CUR_Foreign)</f>
        <v>руб.</v>
      </c>
      <c r="F727" s="86">
        <f t="shared" ref="F727:M727" si="896">F724/(1+$B729)</f>
        <v>0</v>
      </c>
      <c r="G727" s="86">
        <f t="shared" si="896"/>
        <v>0</v>
      </c>
      <c r="H727" s="86">
        <f t="shared" si="896"/>
        <v>0</v>
      </c>
      <c r="I727" s="86">
        <f t="shared" si="896"/>
        <v>0</v>
      </c>
      <c r="J727" s="86">
        <f t="shared" si="896"/>
        <v>0</v>
      </c>
      <c r="K727" s="86">
        <f t="shared" si="896"/>
        <v>0</v>
      </c>
      <c r="L727" s="86">
        <f t="shared" si="896"/>
        <v>0</v>
      </c>
      <c r="M727" s="86">
        <f t="shared" si="896"/>
        <v>0</v>
      </c>
      <c r="N727" s="86">
        <f t="shared" ref="N727" si="897">N724/(1+$B729)</f>
        <v>0</v>
      </c>
      <c r="O727" s="86">
        <f t="shared" ref="O727" si="898">O724/(1+$B729)</f>
        <v>0</v>
      </c>
      <c r="P727" s="86">
        <f t="shared" ref="P727:Q727" si="899">P724/(1+$B729)</f>
        <v>0</v>
      </c>
      <c r="Q727" s="86">
        <f t="shared" si="899"/>
        <v>0</v>
      </c>
    </row>
    <row r="728" spans="1:17" hidden="1" outlineLevel="2" x14ac:dyDescent="0.2">
      <c r="A728" t="str">
        <f ca="1">Language!A$559</f>
        <v xml:space="preserve">    в том числе импортная пошлина</v>
      </c>
      <c r="B728" s="286">
        <v>0</v>
      </c>
      <c r="C728" s="5" t="str">
        <f ca="1">CHOOSE(B724,CUR_Main,CUR_Foreign)</f>
        <v>руб.</v>
      </c>
      <c r="F728" s="86">
        <f t="shared" ref="F728:Q728" si="900">F727/(1+$B728)*$B728</f>
        <v>0</v>
      </c>
      <c r="G728" s="86">
        <f t="shared" si="900"/>
        <v>0</v>
      </c>
      <c r="H728" s="86">
        <f t="shared" si="900"/>
        <v>0</v>
      </c>
      <c r="I728" s="86">
        <f t="shared" si="900"/>
        <v>0</v>
      </c>
      <c r="J728" s="86">
        <f t="shared" si="900"/>
        <v>0</v>
      </c>
      <c r="K728" s="86">
        <f t="shared" si="900"/>
        <v>0</v>
      </c>
      <c r="L728" s="86">
        <f t="shared" si="900"/>
        <v>0</v>
      </c>
      <c r="M728" s="86">
        <f t="shared" si="900"/>
        <v>0</v>
      </c>
      <c r="N728" s="86">
        <f t="shared" si="900"/>
        <v>0</v>
      </c>
      <c r="O728" s="86">
        <f t="shared" si="900"/>
        <v>0</v>
      </c>
      <c r="P728" s="86">
        <f t="shared" si="900"/>
        <v>0</v>
      </c>
      <c r="Q728" s="86">
        <f t="shared" si="900"/>
        <v>0</v>
      </c>
    </row>
    <row r="729" spans="1:17" hidden="1" outlineLevel="2" x14ac:dyDescent="0.2">
      <c r="A729" t="str">
        <f ca="1">Language!A$560</f>
        <v xml:space="preserve">    НДС</v>
      </c>
      <c r="B729" s="283">
        <f>VAT</f>
        <v>0</v>
      </c>
      <c r="C729" s="5" t="str">
        <f ca="1">CHOOSE(B724,CUR_Main,CUR_Foreign)</f>
        <v>руб.</v>
      </c>
      <c r="F729" s="86">
        <f t="shared" ref="F729:Q729" si="901">F724-F727</f>
        <v>0</v>
      </c>
      <c r="G729" s="86">
        <f t="shared" si="901"/>
        <v>0</v>
      </c>
      <c r="H729" s="86">
        <f t="shared" si="901"/>
        <v>0</v>
      </c>
      <c r="I729" s="86">
        <f t="shared" si="901"/>
        <v>0</v>
      </c>
      <c r="J729" s="86">
        <f t="shared" si="901"/>
        <v>0</v>
      </c>
      <c r="K729" s="86">
        <f t="shared" si="901"/>
        <v>0</v>
      </c>
      <c r="L729" s="86">
        <f t="shared" si="901"/>
        <v>0</v>
      </c>
      <c r="M729" s="86">
        <f t="shared" si="901"/>
        <v>0</v>
      </c>
      <c r="N729" s="86">
        <f t="shared" ref="N729:Q729" si="902">N724-N727</f>
        <v>0</v>
      </c>
      <c r="O729" s="86">
        <f t="shared" ref="O729:Q729" si="903">O724-O727</f>
        <v>0</v>
      </c>
      <c r="P729" s="86">
        <f t="shared" ref="P729:Q729" si="904">P724-P727</f>
        <v>0</v>
      </c>
      <c r="Q729" s="86">
        <f t="shared" si="904"/>
        <v>0</v>
      </c>
    </row>
    <row r="730" spans="1:17" outlineLevel="1" collapsed="1" x14ac:dyDescent="0.2">
      <c r="A730" s="11" t="str">
        <f>A689</f>
        <v>Электричество</v>
      </c>
      <c r="B730" s="255">
        <v>1</v>
      </c>
      <c r="C730" s="79" t="str">
        <f ca="1">CHOOSE(B730,CUR_Main,CUR_Foreign)</f>
        <v>руб.</v>
      </c>
      <c r="D730" s="46" t="s">
        <v>176</v>
      </c>
      <c r="F730" s="285">
        <v>3.75</v>
      </c>
      <c r="G730" s="285">
        <v>3.75</v>
      </c>
      <c r="H730" s="285">
        <v>3.75</v>
      </c>
      <c r="I730" s="285">
        <v>3.75</v>
      </c>
      <c r="J730" s="285">
        <v>3.75</v>
      </c>
      <c r="K730" s="285">
        <v>3.75</v>
      </c>
      <c r="L730" s="285">
        <v>3.75</v>
      </c>
      <c r="M730" s="285">
        <v>3.75</v>
      </c>
      <c r="N730" s="285">
        <v>3.75</v>
      </c>
      <c r="O730" s="285">
        <v>3.75</v>
      </c>
      <c r="P730" s="285">
        <v>3.75</v>
      </c>
      <c r="Q730" s="285">
        <v>3.75</v>
      </c>
    </row>
    <row r="731" spans="1:17" hidden="1" outlineLevel="2" x14ac:dyDescent="0.2">
      <c r="A731" t="str">
        <f ca="1">Language!A$104</f>
        <v>Предполагаемый темп годового роста цен</v>
      </c>
      <c r="C731" s="5" t="s">
        <v>177</v>
      </c>
      <c r="D731" s="16" t="s">
        <v>176</v>
      </c>
      <c r="F731" s="269">
        <f t="shared" ref="F731:Q731" si="905">CHOOSE($B730,F$80,F$91)</f>
        <v>8.0000000000000002E-3</v>
      </c>
      <c r="G731" s="269">
        <f t="shared" si="905"/>
        <v>8.0000000000000002E-3</v>
      </c>
      <c r="H731" s="269">
        <f t="shared" si="905"/>
        <v>8.0000000000000002E-3</v>
      </c>
      <c r="I731" s="269">
        <f t="shared" si="905"/>
        <v>8.0000000000000002E-3</v>
      </c>
      <c r="J731" s="269">
        <f t="shared" si="905"/>
        <v>8.0000000000000002E-3</v>
      </c>
      <c r="K731" s="269">
        <f t="shared" si="905"/>
        <v>8.0000000000000002E-3</v>
      </c>
      <c r="L731" s="269">
        <f t="shared" si="905"/>
        <v>8.0000000000000002E-3</v>
      </c>
      <c r="M731" s="269">
        <f t="shared" si="905"/>
        <v>8.0000000000000002E-3</v>
      </c>
      <c r="N731" s="269">
        <f t="shared" si="905"/>
        <v>8.0000000000000002E-3</v>
      </c>
      <c r="O731" s="269">
        <f t="shared" si="905"/>
        <v>8.0000000000000002E-3</v>
      </c>
      <c r="P731" s="269">
        <f t="shared" si="905"/>
        <v>8.0000000000000002E-3</v>
      </c>
      <c r="Q731" s="269">
        <f t="shared" si="905"/>
        <v>8.0000000000000002E-3</v>
      </c>
    </row>
    <row r="732" spans="1:17" hidden="1" outlineLevel="2" x14ac:dyDescent="0.2">
      <c r="A732" t="str">
        <f ca="1">Language!A$106</f>
        <v>То же, в пересчете на период, равный шагу проекта</v>
      </c>
      <c r="C732" s="5" t="s">
        <v>177</v>
      </c>
      <c r="D732" s="16" t="s">
        <v>176</v>
      </c>
      <c r="F732" s="30">
        <f t="shared" ref="F732:Q732" si="906">POWER(1+F731,PRJ_Step/360)-1</f>
        <v>6.6423464362252993E-4</v>
      </c>
      <c r="G732" s="30">
        <f t="shared" si="906"/>
        <v>6.6423464362252993E-4</v>
      </c>
      <c r="H732" s="30">
        <f t="shared" si="906"/>
        <v>6.6423464362252993E-4</v>
      </c>
      <c r="I732" s="30">
        <f t="shared" si="906"/>
        <v>6.6423464362252993E-4</v>
      </c>
      <c r="J732" s="30">
        <f t="shared" si="906"/>
        <v>6.6423464362252993E-4</v>
      </c>
      <c r="K732" s="30">
        <f t="shared" si="906"/>
        <v>6.6423464362252993E-4</v>
      </c>
      <c r="L732" s="30">
        <f t="shared" si="906"/>
        <v>6.6423464362252993E-4</v>
      </c>
      <c r="M732" s="30">
        <f t="shared" si="906"/>
        <v>6.6423464362252993E-4</v>
      </c>
      <c r="N732" s="30">
        <f t="shared" si="906"/>
        <v>6.6423464362252993E-4</v>
      </c>
      <c r="O732" s="30">
        <f t="shared" si="906"/>
        <v>6.6423464362252993E-4</v>
      </c>
      <c r="P732" s="30">
        <f t="shared" si="906"/>
        <v>6.6423464362252993E-4</v>
      </c>
      <c r="Q732" s="30">
        <f t="shared" si="906"/>
        <v>6.6423464362252993E-4</v>
      </c>
    </row>
    <row r="733" spans="1:17" hidden="1" outlineLevel="2" x14ac:dyDescent="0.2">
      <c r="A733" t="str">
        <f ca="1">Language!A$558</f>
        <v xml:space="preserve">    цена без НДС</v>
      </c>
      <c r="C733" s="5" t="str">
        <f ca="1">CHOOSE(B730,CUR_Main,CUR_Foreign)</f>
        <v>руб.</v>
      </c>
      <c r="F733" s="86">
        <f t="shared" ref="F733:M733" si="907">F730/(1+$B735)</f>
        <v>3.75</v>
      </c>
      <c r="G733" s="86">
        <f t="shared" si="907"/>
        <v>3.75</v>
      </c>
      <c r="H733" s="86">
        <f t="shared" si="907"/>
        <v>3.75</v>
      </c>
      <c r="I733" s="86">
        <f t="shared" si="907"/>
        <v>3.75</v>
      </c>
      <c r="J733" s="86">
        <f t="shared" si="907"/>
        <v>3.75</v>
      </c>
      <c r="K733" s="86">
        <f t="shared" si="907"/>
        <v>3.75</v>
      </c>
      <c r="L733" s="86">
        <f t="shared" si="907"/>
        <v>3.75</v>
      </c>
      <c r="M733" s="86">
        <f t="shared" si="907"/>
        <v>3.75</v>
      </c>
      <c r="N733" s="86">
        <f t="shared" ref="N733" si="908">N730/(1+$B735)</f>
        <v>3.75</v>
      </c>
      <c r="O733" s="86">
        <f t="shared" ref="O733" si="909">O730/(1+$B735)</f>
        <v>3.75</v>
      </c>
      <c r="P733" s="86">
        <f t="shared" ref="P733:Q733" si="910">P730/(1+$B735)</f>
        <v>3.75</v>
      </c>
      <c r="Q733" s="86">
        <f t="shared" si="910"/>
        <v>3.75</v>
      </c>
    </row>
    <row r="734" spans="1:17" hidden="1" outlineLevel="2" x14ac:dyDescent="0.2">
      <c r="A734" t="str">
        <f ca="1">Language!A$559</f>
        <v xml:space="preserve">    в том числе импортная пошлина</v>
      </c>
      <c r="B734" s="286">
        <v>0</v>
      </c>
      <c r="C734" s="5" t="str">
        <f ca="1">CHOOSE(B730,CUR_Main,CUR_Foreign)</f>
        <v>руб.</v>
      </c>
      <c r="F734" s="86">
        <f t="shared" ref="F734:Q734" si="911">F733/(1+$B734)*$B734</f>
        <v>0</v>
      </c>
      <c r="G734" s="86">
        <f t="shared" si="911"/>
        <v>0</v>
      </c>
      <c r="H734" s="86">
        <f t="shared" si="911"/>
        <v>0</v>
      </c>
      <c r="I734" s="86">
        <f t="shared" si="911"/>
        <v>0</v>
      </c>
      <c r="J734" s="86">
        <f t="shared" si="911"/>
        <v>0</v>
      </c>
      <c r="K734" s="86">
        <f t="shared" si="911"/>
        <v>0</v>
      </c>
      <c r="L734" s="86">
        <f t="shared" si="911"/>
        <v>0</v>
      </c>
      <c r="M734" s="86">
        <f t="shared" si="911"/>
        <v>0</v>
      </c>
      <c r="N734" s="86">
        <f t="shared" si="911"/>
        <v>0</v>
      </c>
      <c r="O734" s="86">
        <f t="shared" si="911"/>
        <v>0</v>
      </c>
      <c r="P734" s="86">
        <f t="shared" si="911"/>
        <v>0</v>
      </c>
      <c r="Q734" s="86">
        <f t="shared" si="911"/>
        <v>0</v>
      </c>
    </row>
    <row r="735" spans="1:17" hidden="1" outlineLevel="2" x14ac:dyDescent="0.2">
      <c r="A735" t="str">
        <f ca="1">Language!A$560</f>
        <v xml:space="preserve">    НДС</v>
      </c>
      <c r="B735" s="283">
        <f>VAT</f>
        <v>0</v>
      </c>
      <c r="C735" s="5" t="str">
        <f ca="1">CHOOSE(B730,CUR_Main,CUR_Foreign)</f>
        <v>руб.</v>
      </c>
      <c r="F735" s="86">
        <f t="shared" ref="F735:Q735" si="912">F730-F733</f>
        <v>0</v>
      </c>
      <c r="G735" s="86">
        <f t="shared" si="912"/>
        <v>0</v>
      </c>
      <c r="H735" s="86">
        <f t="shared" si="912"/>
        <v>0</v>
      </c>
      <c r="I735" s="86">
        <f t="shared" si="912"/>
        <v>0</v>
      </c>
      <c r="J735" s="86">
        <f t="shared" si="912"/>
        <v>0</v>
      </c>
      <c r="K735" s="86">
        <f t="shared" si="912"/>
        <v>0</v>
      </c>
      <c r="L735" s="86">
        <f t="shared" si="912"/>
        <v>0</v>
      </c>
      <c r="M735" s="86">
        <f t="shared" si="912"/>
        <v>0</v>
      </c>
      <c r="N735" s="86">
        <f t="shared" ref="N735:Q735" si="913">N730-N733</f>
        <v>0</v>
      </c>
      <c r="O735" s="86">
        <f t="shared" ref="O735:Q735" si="914">O730-O733</f>
        <v>0</v>
      </c>
      <c r="P735" s="86">
        <f t="shared" ref="P735:Q735" si="915">P730-P733</f>
        <v>0</v>
      </c>
      <c r="Q735" s="86">
        <f t="shared" si="915"/>
        <v>0</v>
      </c>
    </row>
    <row r="736" spans="1:17" outlineLevel="1" x14ac:dyDescent="0.2"/>
    <row r="737" spans="1:19" outlineLevel="1" x14ac:dyDescent="0.2">
      <c r="A737" s="63"/>
      <c r="B737" s="63"/>
      <c r="C737" s="63"/>
      <c r="D737" s="63"/>
      <c r="E737" s="63"/>
      <c r="F737" s="63"/>
      <c r="G737" s="63"/>
      <c r="H737" s="63"/>
      <c r="I737" s="63"/>
      <c r="J737" s="63"/>
      <c r="K737" s="63"/>
      <c r="L737" s="63"/>
      <c r="M737" s="63"/>
      <c r="N737" s="63"/>
      <c r="O737" s="63"/>
      <c r="P737" s="63"/>
      <c r="Q737" s="63"/>
      <c r="R737" s="63"/>
      <c r="S737" s="64"/>
    </row>
    <row r="738" spans="1:19" outlineLevel="1" x14ac:dyDescent="0.2"/>
    <row r="739" spans="1:19" s="4" customFormat="1" ht="16" customHeight="1" thickBot="1" x14ac:dyDescent="0.25">
      <c r="A739" s="166" t="str">
        <f ca="1">Language!A561</f>
        <v xml:space="preserve">         ЗАТРАТЫ НА СЫРЬЕ И МАТЕРИАЛЫ</v>
      </c>
      <c r="B739" s="166"/>
      <c r="C739" s="166"/>
      <c r="D739" s="166"/>
      <c r="E739" s="166"/>
      <c r="F739" s="178" t="str">
        <f t="shared" ref="F739:Q739" si="916">PeriodTitle</f>
        <v>4/ 2024</v>
      </c>
      <c r="G739" s="178" t="str">
        <f t="shared" si="916"/>
        <v>5/ 2024</v>
      </c>
      <c r="H739" s="178" t="str">
        <f t="shared" si="916"/>
        <v>6/ 2024</v>
      </c>
      <c r="I739" s="178" t="str">
        <f t="shared" si="916"/>
        <v>7/ 2024</v>
      </c>
      <c r="J739" s="178" t="str">
        <f t="shared" si="916"/>
        <v>8/ 2024</v>
      </c>
      <c r="K739" s="178" t="str">
        <f t="shared" si="916"/>
        <v>9/ 2024</v>
      </c>
      <c r="L739" s="178" t="str">
        <f t="shared" si="916"/>
        <v>10/ 2024</v>
      </c>
      <c r="M739" s="178" t="str">
        <f t="shared" si="916"/>
        <v>11/ 2024</v>
      </c>
      <c r="N739" s="178" t="str">
        <f t="shared" si="916"/>
        <v>12/ 2024</v>
      </c>
      <c r="O739" s="178" t="str">
        <f t="shared" si="916"/>
        <v>1/ 2025</v>
      </c>
      <c r="P739" s="178" t="str">
        <f t="shared" si="916"/>
        <v>2/ 2025</v>
      </c>
      <c r="Q739" s="178" t="str">
        <f t="shared" si="916"/>
        <v>3/ 2025</v>
      </c>
      <c r="R739" s="166"/>
      <c r="S739" s="195" t="str">
        <f ca="1">Language!$A$371</f>
        <v>ИТОГО</v>
      </c>
    </row>
    <row r="740" spans="1:19" ht="10.5" outlineLevel="1" thickTop="1" x14ac:dyDescent="0.2">
      <c r="D740">
        <v>0</v>
      </c>
      <c r="E740">
        <v>1</v>
      </c>
    </row>
    <row r="741" spans="1:19" outlineLevel="1" x14ac:dyDescent="0.2">
      <c r="A741" s="48" t="str">
        <f>A541</f>
        <v>Наименование товара</v>
      </c>
      <c r="E741">
        <v>15</v>
      </c>
    </row>
    <row r="742" spans="1:19" outlineLevel="1" collapsed="1" x14ac:dyDescent="0.2">
      <c r="A742" s="11" t="str">
        <f>A680</f>
        <v xml:space="preserve">Наименование сырья </v>
      </c>
      <c r="C742" s="5" t="str">
        <f ca="1">CHOOSE(B696,CUR_Main,CUR_Foreign)</f>
        <v>руб.</v>
      </c>
      <c r="D742" s="16" t="str">
        <f>TEXT(B696,"0")&amp;"_00"</f>
        <v>1_00</v>
      </c>
      <c r="F742" s="53">
        <f t="shared" ref="F742:M742" si="917">F680*F696</f>
        <v>0</v>
      </c>
      <c r="G742" s="53">
        <f t="shared" si="917"/>
        <v>0</v>
      </c>
      <c r="H742" s="53">
        <f t="shared" si="917"/>
        <v>0</v>
      </c>
      <c r="I742" s="53">
        <f t="shared" si="917"/>
        <v>0</v>
      </c>
      <c r="J742" s="53">
        <f t="shared" si="917"/>
        <v>0</v>
      </c>
      <c r="K742" s="53">
        <f t="shared" si="917"/>
        <v>0</v>
      </c>
      <c r="L742" s="53">
        <f t="shared" si="917"/>
        <v>0</v>
      </c>
      <c r="M742" s="53">
        <f t="shared" si="917"/>
        <v>0</v>
      </c>
      <c r="N742" s="53">
        <f t="shared" ref="N742" si="918">N680*N696</f>
        <v>0</v>
      </c>
      <c r="O742" s="53">
        <f t="shared" ref="O742" si="919">O680*O696</f>
        <v>0</v>
      </c>
      <c r="P742" s="53">
        <f t="shared" ref="P742:Q742" si="920">P680*P696</f>
        <v>0</v>
      </c>
      <c r="Q742" s="53">
        <f t="shared" si="920"/>
        <v>0</v>
      </c>
      <c r="S742" s="54">
        <f>SUM(F742:Q742)</f>
        <v>0</v>
      </c>
    </row>
    <row r="743" spans="1:19" hidden="1" outlineLevel="2" x14ac:dyDescent="0.2">
      <c r="A743" t="str">
        <f ca="1">Language!A$562</f>
        <v xml:space="preserve">    среднее время хранения</v>
      </c>
      <c r="B743" s="255">
        <f>NWC_T_Mat</f>
        <v>0</v>
      </c>
      <c r="C743" s="5" t="str">
        <f ca="1">Language!A$38</f>
        <v>дн.</v>
      </c>
      <c r="D743" s="16"/>
      <c r="F743" s="53"/>
      <c r="G743" s="53"/>
      <c r="H743" s="53"/>
      <c r="I743" s="53"/>
      <c r="J743" s="53"/>
      <c r="K743" s="53"/>
      <c r="L743" s="53"/>
      <c r="M743" s="53"/>
      <c r="N743" s="53"/>
      <c r="O743" s="53"/>
      <c r="P743" s="53"/>
      <c r="Q743" s="53"/>
      <c r="S743" s="57"/>
    </row>
    <row r="744" spans="1:19" hidden="1" outlineLevel="2" x14ac:dyDescent="0.2">
      <c r="A744" t="str">
        <f ca="1">Language!A$563</f>
        <v xml:space="preserve">    затраты на сырье и материалы без НДС</v>
      </c>
      <c r="C744" s="5" t="str">
        <f ca="1">CHOOSE(B696,CUR_Main,CUR_Foreign)</f>
        <v>руб.</v>
      </c>
      <c r="D744" t="str">
        <f>TEXT(B696,"0")&amp;"_01"</f>
        <v>1_01</v>
      </c>
      <c r="F744" s="53">
        <f t="shared" ref="F744:M744" si="921">F742/(1+$B701)</f>
        <v>0</v>
      </c>
      <c r="G744" s="53">
        <f t="shared" si="921"/>
        <v>0</v>
      </c>
      <c r="H744" s="53">
        <f t="shared" si="921"/>
        <v>0</v>
      </c>
      <c r="I744" s="53">
        <f t="shared" si="921"/>
        <v>0</v>
      </c>
      <c r="J744" s="53">
        <f t="shared" si="921"/>
        <v>0</v>
      </c>
      <c r="K744" s="53">
        <f t="shared" si="921"/>
        <v>0</v>
      </c>
      <c r="L744" s="53">
        <f t="shared" si="921"/>
        <v>0</v>
      </c>
      <c r="M744" s="53">
        <f t="shared" si="921"/>
        <v>0</v>
      </c>
      <c r="N744" s="53">
        <f t="shared" ref="N744" si="922">N742/(1+$B701)</f>
        <v>0</v>
      </c>
      <c r="O744" s="53">
        <f t="shared" ref="O744" si="923">O742/(1+$B701)</f>
        <v>0</v>
      </c>
      <c r="P744" s="53">
        <f t="shared" ref="P744:Q744" si="924">P742/(1+$B701)</f>
        <v>0</v>
      </c>
      <c r="Q744" s="53">
        <f t="shared" si="924"/>
        <v>0</v>
      </c>
      <c r="S744" s="54">
        <f>SUM(F744:Q744)</f>
        <v>0</v>
      </c>
    </row>
    <row r="745" spans="1:19" hidden="1" outlineLevel="2" x14ac:dyDescent="0.2">
      <c r="A745" t="str">
        <f ca="1">Language!A$564</f>
        <v xml:space="preserve">    в том числе импортная пошлина</v>
      </c>
      <c r="C745" s="5" t="str">
        <f ca="1">CHOOSE(B696,CUR_Main,CUR_Foreign)</f>
        <v>руб.</v>
      </c>
      <c r="D745" t="str">
        <f>TEXT(B696,"0")&amp;"_02"</f>
        <v>1_02</v>
      </c>
      <c r="F745" s="53">
        <f t="shared" ref="F745:M745" si="925">F744/(1+$B700)*$B700</f>
        <v>0</v>
      </c>
      <c r="G745" s="53">
        <f t="shared" si="925"/>
        <v>0</v>
      </c>
      <c r="H745" s="53">
        <f t="shared" si="925"/>
        <v>0</v>
      </c>
      <c r="I745" s="53">
        <f t="shared" si="925"/>
        <v>0</v>
      </c>
      <c r="J745" s="53">
        <f t="shared" si="925"/>
        <v>0</v>
      </c>
      <c r="K745" s="53">
        <f t="shared" si="925"/>
        <v>0</v>
      </c>
      <c r="L745" s="53">
        <f t="shared" si="925"/>
        <v>0</v>
      </c>
      <c r="M745" s="53">
        <f t="shared" si="925"/>
        <v>0</v>
      </c>
      <c r="N745" s="53">
        <f t="shared" ref="N745" si="926">N744/(1+$B700)*$B700</f>
        <v>0</v>
      </c>
      <c r="O745" s="53">
        <f t="shared" ref="O745" si="927">O744/(1+$B700)*$B700</f>
        <v>0</v>
      </c>
      <c r="P745" s="53">
        <f t="shared" ref="P745:Q745" si="928">P744/(1+$B700)*$B700</f>
        <v>0</v>
      </c>
      <c r="Q745" s="53">
        <f t="shared" si="928"/>
        <v>0</v>
      </c>
      <c r="S745" s="54">
        <f>SUM(F745:Q745)</f>
        <v>0</v>
      </c>
    </row>
    <row r="746" spans="1:19" hidden="1" outlineLevel="2" x14ac:dyDescent="0.2">
      <c r="A746" t="str">
        <f ca="1">Language!A$565</f>
        <v xml:space="preserve">    закуплено сырья и материалов на сумму (без НДС)</v>
      </c>
      <c r="C746" s="5" t="str">
        <f ca="1">CHOOSE(B696,CUR_Main,CUR_Foreign)</f>
        <v>руб.</v>
      </c>
      <c r="D746" t="str">
        <f>TEXT(B696,"0")&amp;"_03"</f>
        <v>1_03</v>
      </c>
      <c r="F746" s="270">
        <f t="shared" ref="F746:M746" si="929">F744</f>
        <v>0</v>
      </c>
      <c r="G746" s="270">
        <f t="shared" si="929"/>
        <v>0</v>
      </c>
      <c r="H746" s="270">
        <f t="shared" si="929"/>
        <v>0</v>
      </c>
      <c r="I746" s="270">
        <f t="shared" si="929"/>
        <v>0</v>
      </c>
      <c r="J746" s="270">
        <f t="shared" si="929"/>
        <v>0</v>
      </c>
      <c r="K746" s="270">
        <f t="shared" si="929"/>
        <v>0</v>
      </c>
      <c r="L746" s="270">
        <f t="shared" si="929"/>
        <v>0</v>
      </c>
      <c r="M746" s="270">
        <f t="shared" si="929"/>
        <v>0</v>
      </c>
      <c r="N746" s="270">
        <f t="shared" ref="N746" si="930">N744</f>
        <v>0</v>
      </c>
      <c r="O746" s="270">
        <f t="shared" ref="O746" si="931">O744</f>
        <v>0</v>
      </c>
      <c r="P746" s="270">
        <f t="shared" ref="P746:Q746" si="932">P744</f>
        <v>0</v>
      </c>
      <c r="Q746" s="270">
        <f t="shared" si="932"/>
        <v>0</v>
      </c>
      <c r="S746" s="54">
        <f>SUM(F746:Q746)</f>
        <v>0</v>
      </c>
    </row>
    <row r="747" spans="1:19" hidden="1" outlineLevel="2" x14ac:dyDescent="0.2">
      <c r="A747" t="str">
        <f ca="1">Language!A$569</f>
        <v xml:space="preserve">    оплачено сырья и материалов (без НДС)</v>
      </c>
      <c r="C747" s="5" t="str">
        <f ca="1">CHOOSE(B696,CUR_Main,CUR_Foreign)</f>
        <v>руб.</v>
      </c>
      <c r="D747" t="str">
        <f>TEXT(B696,"0")&amp;"_06"</f>
        <v>1_06</v>
      </c>
      <c r="F747" s="270">
        <f t="shared" ref="F747:M747" si="933">F746</f>
        <v>0</v>
      </c>
      <c r="G747" s="270">
        <f t="shared" si="933"/>
        <v>0</v>
      </c>
      <c r="H747" s="270">
        <f t="shared" si="933"/>
        <v>0</v>
      </c>
      <c r="I747" s="270">
        <f t="shared" si="933"/>
        <v>0</v>
      </c>
      <c r="J747" s="270">
        <f t="shared" si="933"/>
        <v>0</v>
      </c>
      <c r="K747" s="270">
        <f t="shared" si="933"/>
        <v>0</v>
      </c>
      <c r="L747" s="270">
        <f t="shared" si="933"/>
        <v>0</v>
      </c>
      <c r="M747" s="270">
        <f t="shared" si="933"/>
        <v>0</v>
      </c>
      <c r="N747" s="270">
        <f t="shared" ref="N747" si="934">N746</f>
        <v>0</v>
      </c>
      <c r="O747" s="270">
        <f t="shared" ref="O747" si="935">O746</f>
        <v>0</v>
      </c>
      <c r="P747" s="270">
        <f t="shared" ref="P747:Q747" si="936">P746</f>
        <v>0</v>
      </c>
      <c r="Q747" s="270">
        <f t="shared" si="936"/>
        <v>0</v>
      </c>
      <c r="S747" s="54">
        <f>SUM(F747:Q747)</f>
        <v>0</v>
      </c>
    </row>
    <row r="748" spans="1:19" hidden="1" outlineLevel="2" x14ac:dyDescent="0.2">
      <c r="A748" t="str">
        <f ca="1">Language!A$566</f>
        <v xml:space="preserve">    зачет НДС</v>
      </c>
      <c r="C748" s="5" t="str">
        <f ca="1">CHOOSE(B696,CUR_Main,CUR_Foreign)</f>
        <v>руб.</v>
      </c>
      <c r="D748" t="str">
        <f>TEXT(B696,"0")&amp;"_04"</f>
        <v>1_04</v>
      </c>
      <c r="F748" s="53">
        <f t="shared" ref="F748:M748" si="937">F746*$B701</f>
        <v>0</v>
      </c>
      <c r="G748" s="53">
        <f t="shared" si="937"/>
        <v>0</v>
      </c>
      <c r="H748" s="53">
        <f t="shared" si="937"/>
        <v>0</v>
      </c>
      <c r="I748" s="53">
        <f t="shared" si="937"/>
        <v>0</v>
      </c>
      <c r="J748" s="53">
        <f t="shared" si="937"/>
        <v>0</v>
      </c>
      <c r="K748" s="53">
        <f t="shared" si="937"/>
        <v>0</v>
      </c>
      <c r="L748" s="53">
        <f t="shared" si="937"/>
        <v>0</v>
      </c>
      <c r="M748" s="53">
        <f t="shared" si="937"/>
        <v>0</v>
      </c>
      <c r="N748" s="53">
        <f t="shared" ref="N748" si="938">N746*$B701</f>
        <v>0</v>
      </c>
      <c r="O748" s="53">
        <f t="shared" ref="O748" si="939">O746*$B701</f>
        <v>0</v>
      </c>
      <c r="P748" s="53">
        <f t="shared" ref="P748:Q748" si="940">P746*$B701</f>
        <v>0</v>
      </c>
      <c r="Q748" s="53">
        <f t="shared" si="940"/>
        <v>0</v>
      </c>
      <c r="S748" s="54">
        <f>SUM(F748:Q748)</f>
        <v>0</v>
      </c>
    </row>
    <row r="749" spans="1:19" hidden="1" outlineLevel="2" x14ac:dyDescent="0.2">
      <c r="A749" t="str">
        <f ca="1">Language!A$567</f>
        <v xml:space="preserve">    запасы на основе периодов оборота</v>
      </c>
      <c r="C749" s="5" t="str">
        <f ca="1">CHOOSE(B696,CUR_Main,CUR_Foreign)</f>
        <v>руб.</v>
      </c>
      <c r="D749" t="str">
        <f>TEXT(B696,"0")&amp;"_05"&amp;";int_end"</f>
        <v>1_05;int_end</v>
      </c>
      <c r="F749" s="84">
        <f t="shared" ref="F749:M749" si="941">F744*$B743/PRJ_Step</f>
        <v>0</v>
      </c>
      <c r="G749" s="84">
        <f t="shared" si="941"/>
        <v>0</v>
      </c>
      <c r="H749" s="84">
        <f t="shared" si="941"/>
        <v>0</v>
      </c>
      <c r="I749" s="84">
        <f t="shared" si="941"/>
        <v>0</v>
      </c>
      <c r="J749" s="84">
        <f t="shared" si="941"/>
        <v>0</v>
      </c>
      <c r="K749" s="84">
        <f t="shared" si="941"/>
        <v>0</v>
      </c>
      <c r="L749" s="84">
        <f t="shared" si="941"/>
        <v>0</v>
      </c>
      <c r="M749" s="84">
        <f t="shared" si="941"/>
        <v>0</v>
      </c>
      <c r="N749" s="84">
        <f t="shared" ref="N749" si="942">N744*$B743/PRJ_Step</f>
        <v>0</v>
      </c>
      <c r="O749" s="84">
        <f t="shared" ref="O749" si="943">O744*$B743/PRJ_Step</f>
        <v>0</v>
      </c>
      <c r="P749" s="84">
        <f t="shared" ref="P749:Q749" si="944">P744*$B743/PRJ_Step</f>
        <v>0</v>
      </c>
      <c r="Q749" s="84">
        <f t="shared" si="944"/>
        <v>0</v>
      </c>
    </row>
    <row r="750" spans="1:19" hidden="1" outlineLevel="2" x14ac:dyDescent="0.2">
      <c r="A750" t="str">
        <f ca="1">Language!A$568</f>
        <v xml:space="preserve">    запасы на основе графика оплаты</v>
      </c>
      <c r="C750" s="5" t="str">
        <f ca="1">CHOOSE(B696,CUR_Main,CUR_Foreign)</f>
        <v>руб.</v>
      </c>
      <c r="D750" t="str">
        <f>TEXT(B696,"0")&amp;"_13"&amp;";int_end"</f>
        <v>1_13;int_end</v>
      </c>
      <c r="F750" s="84">
        <f t="shared" ref="F750:Q750" si="945">E750+F746-F744</f>
        <v>0</v>
      </c>
      <c r="G750" s="84">
        <f t="shared" si="945"/>
        <v>0</v>
      </c>
      <c r="H750" s="84">
        <f t="shared" si="945"/>
        <v>0</v>
      </c>
      <c r="I750" s="84">
        <f t="shared" si="945"/>
        <v>0</v>
      </c>
      <c r="J750" s="84">
        <f t="shared" si="945"/>
        <v>0</v>
      </c>
      <c r="K750" s="84">
        <f t="shared" si="945"/>
        <v>0</v>
      </c>
      <c r="L750" s="84">
        <f t="shared" si="945"/>
        <v>0</v>
      </c>
      <c r="M750" s="84">
        <f t="shared" si="945"/>
        <v>0</v>
      </c>
      <c r="N750" s="84">
        <f t="shared" si="945"/>
        <v>0</v>
      </c>
      <c r="O750" s="84">
        <f t="shared" si="945"/>
        <v>0</v>
      </c>
      <c r="P750" s="84">
        <f t="shared" si="945"/>
        <v>0</v>
      </c>
      <c r="Q750" s="84">
        <f t="shared" si="945"/>
        <v>0</v>
      </c>
    </row>
    <row r="751" spans="1:19" hidden="1" outlineLevel="2" x14ac:dyDescent="0.2">
      <c r="A751" t="str">
        <f ca="1">Language!A$570</f>
        <v xml:space="preserve">    выплаченный НДС</v>
      </c>
      <c r="C751" s="5" t="str">
        <f ca="1">CHOOSE(B696,CUR_Main,CUR_Foreign)</f>
        <v>руб.</v>
      </c>
      <c r="D751" t="str">
        <f>TEXT(B696,"0")&amp;"_07"</f>
        <v>1_07</v>
      </c>
      <c r="F751" s="53">
        <f t="shared" ref="F751:M751" si="946">F747*$B701</f>
        <v>0</v>
      </c>
      <c r="G751" s="53">
        <f t="shared" si="946"/>
        <v>0</v>
      </c>
      <c r="H751" s="53">
        <f t="shared" si="946"/>
        <v>0</v>
      </c>
      <c r="I751" s="53">
        <f t="shared" si="946"/>
        <v>0</v>
      </c>
      <c r="J751" s="53">
        <f t="shared" si="946"/>
        <v>0</v>
      </c>
      <c r="K751" s="53">
        <f t="shared" si="946"/>
        <v>0</v>
      </c>
      <c r="L751" s="53">
        <f t="shared" si="946"/>
        <v>0</v>
      </c>
      <c r="M751" s="53">
        <f t="shared" si="946"/>
        <v>0</v>
      </c>
      <c r="N751" s="53">
        <f t="shared" ref="N751" si="947">N747*$B701</f>
        <v>0</v>
      </c>
      <c r="O751" s="53">
        <f t="shared" ref="O751" si="948">O747*$B701</f>
        <v>0</v>
      </c>
      <c r="P751" s="53">
        <f t="shared" ref="P751:Q751" si="949">P747*$B701</f>
        <v>0</v>
      </c>
      <c r="Q751" s="53">
        <f t="shared" si="949"/>
        <v>0</v>
      </c>
      <c r="S751" s="54">
        <f>SUM(F751:Q751)</f>
        <v>0</v>
      </c>
    </row>
    <row r="752" spans="1:19" hidden="1" outlineLevel="2" x14ac:dyDescent="0.2">
      <c r="A752" t="str">
        <f ca="1">Language!A$571</f>
        <v xml:space="preserve">    кредиторская задолженность</v>
      </c>
      <c r="C752" s="5" t="str">
        <f ca="1">CHOOSE(B696,CUR_Main,CUR_Foreign)</f>
        <v>руб.</v>
      </c>
      <c r="D752" t="str">
        <f>TEXT(B696,"0")&amp;"_08"&amp;";int_end"</f>
        <v>1_08;int_end</v>
      </c>
      <c r="F752" s="53">
        <f>IF(SUM($F746:F746)&gt;=0,MAX(SUM($F746:F746)+SUM($F748:F748)-SUM($F747:F747)-SUM($F751:F751),0),MIN(SUM($F746:F746)+SUM($F748:F748)-SUM($F747:F747)-SUM($F751:F751),0))</f>
        <v>0</v>
      </c>
      <c r="G752" s="53">
        <f>IF(SUM($F746:G746)&gt;=0,MAX(SUM($F746:G746)+SUM($F748:G748)-SUM($F747:G747)-SUM($F751:G751),0),MIN(SUM($F746:G746)+SUM($F748:G748)-SUM($F747:G747)-SUM($F751:G751),0))</f>
        <v>0</v>
      </c>
      <c r="H752" s="53">
        <f>IF(SUM($F746:H746)&gt;=0,MAX(SUM($F746:H746)+SUM($F748:H748)-SUM($F747:H747)-SUM($F751:H751),0),MIN(SUM($F746:H746)+SUM($F748:H748)-SUM($F747:H747)-SUM($F751:H751),0))</f>
        <v>0</v>
      </c>
      <c r="I752" s="53">
        <f>IF(SUM($F746:I746)&gt;=0,MAX(SUM($F746:I746)+SUM($F748:I748)-SUM($F747:I747)-SUM($F751:I751),0),MIN(SUM($F746:I746)+SUM($F748:I748)-SUM($F747:I747)-SUM($F751:I751),0))</f>
        <v>0</v>
      </c>
      <c r="J752" s="53">
        <f>IF(SUM($F746:J746)&gt;=0,MAX(SUM($F746:J746)+SUM($F748:J748)-SUM($F747:J747)-SUM($F751:J751),0),MIN(SUM($F746:J746)+SUM($F748:J748)-SUM($F747:J747)-SUM($F751:J751),0))</f>
        <v>0</v>
      </c>
      <c r="K752" s="53">
        <f>IF(SUM($F746:K746)&gt;=0,MAX(SUM($F746:K746)+SUM($F748:K748)-SUM($F747:K747)-SUM($F751:K751),0),MIN(SUM($F746:K746)+SUM($F748:K748)-SUM($F747:K747)-SUM($F751:K751),0))</f>
        <v>0</v>
      </c>
      <c r="L752" s="53">
        <f>IF(SUM($F746:L746)&gt;=0,MAX(SUM($F746:L746)+SUM($F748:L748)-SUM($F747:L747)-SUM($F751:L751),0),MIN(SUM($F746:L746)+SUM($F748:L748)-SUM($F747:L747)-SUM($F751:L751),0))</f>
        <v>0</v>
      </c>
      <c r="M752" s="53">
        <f>IF(SUM($F746:M746)&gt;=0,MAX(SUM($F746:M746)+SUM($F748:M748)-SUM($F747:M747)-SUM($F751:M751),0),MIN(SUM($F746:M746)+SUM($F748:M748)-SUM($F747:M747)-SUM($F751:M751),0))</f>
        <v>0</v>
      </c>
      <c r="N752" s="53">
        <f>IF(SUM($F746:N746)&gt;=0,MAX(SUM($F746:N746)+SUM($F748:N748)-SUM($F747:N747)-SUM($F751:N751),0),MIN(SUM($F746:N746)+SUM($F748:N748)-SUM($F747:N747)-SUM($F751:N751),0))</f>
        <v>0</v>
      </c>
      <c r="O752" s="53">
        <f>IF(SUM($F746:O746)&gt;=0,MAX(SUM($F746:O746)+SUM($F748:O748)-SUM($F747:O747)-SUM($F751:O751),0),MIN(SUM($F746:O746)+SUM($F748:O748)-SUM($F747:O747)-SUM($F751:O751),0))</f>
        <v>0</v>
      </c>
      <c r="P752" s="53">
        <f>IF(SUM($F746:P746)&gt;=0,MAX(SUM($F746:P746)+SUM($F748:P748)-SUM($F747:P747)-SUM($F751:P751),0),MIN(SUM($F746:P746)+SUM($F748:P748)-SUM($F747:P747)-SUM($F751:P751),0))</f>
        <v>0</v>
      </c>
      <c r="Q752" s="53">
        <f>IF(SUM($F746:Q746)&gt;=0,MAX(SUM($F746:Q746)+SUM($F748:Q748)-SUM($F747:Q747)-SUM($F751:Q751),0),MIN(SUM($F746:Q746)+SUM($F748:Q748)-SUM($F747:Q747)-SUM($F751:Q751),0))</f>
        <v>0</v>
      </c>
    </row>
    <row r="753" spans="1:19" hidden="1" outlineLevel="2" x14ac:dyDescent="0.2">
      <c r="A753" t="str">
        <f ca="1">Language!A$572</f>
        <v xml:space="preserve">    выплаченные авансы</v>
      </c>
      <c r="C753" s="5" t="str">
        <f ca="1">CHOOSE(B696,CUR_Main,CUR_Foreign)</f>
        <v>руб.</v>
      </c>
      <c r="D753" t="str">
        <f>TEXT(B696,"0")&amp;"_09"&amp;";int_end"</f>
        <v>1_09;int_end</v>
      </c>
      <c r="F753" s="53">
        <f>IF(SUM($F746:F746)&gt;=0,MAX(SUM($F747:F747)+SUM($F751:F751)-SUM($F746:F746)-SUM($F748:F748),0),MIN(SUM($F747:F747)+SUM($F751:F751)-SUM($F746:F746)-SUM($F748:F748),0))</f>
        <v>0</v>
      </c>
      <c r="G753" s="53">
        <f>IF(SUM($F746:G746)&gt;=0,MAX(SUM($F747:G747)+SUM($F751:G751)-SUM($F746:G746)-SUM($F748:G748),0),MIN(SUM($F747:G747)+SUM($F751:G751)-SUM($F746:G746)-SUM($F748:G748),0))</f>
        <v>0</v>
      </c>
      <c r="H753" s="53">
        <f>IF(SUM($F746:H746)&gt;=0,MAX(SUM($F747:H747)+SUM($F751:H751)-SUM($F746:H746)-SUM($F748:H748),0),MIN(SUM($F747:H747)+SUM($F751:H751)-SUM($F746:H746)-SUM($F748:H748),0))</f>
        <v>0</v>
      </c>
      <c r="I753" s="53">
        <f>IF(SUM($F746:I746)&gt;=0,MAX(SUM($F747:I747)+SUM($F751:I751)-SUM($F746:I746)-SUM($F748:I748),0),MIN(SUM($F747:I747)+SUM($F751:I751)-SUM($F746:I746)-SUM($F748:I748),0))</f>
        <v>0</v>
      </c>
      <c r="J753" s="53">
        <f>IF(SUM($F746:J746)&gt;=0,MAX(SUM($F747:J747)+SUM($F751:J751)-SUM($F746:J746)-SUM($F748:J748),0),MIN(SUM($F747:J747)+SUM($F751:J751)-SUM($F746:J746)-SUM($F748:J748),0))</f>
        <v>0</v>
      </c>
      <c r="K753" s="53">
        <f>IF(SUM($F746:K746)&gt;=0,MAX(SUM($F747:K747)+SUM($F751:K751)-SUM($F746:K746)-SUM($F748:K748),0),MIN(SUM($F747:K747)+SUM($F751:K751)-SUM($F746:K746)-SUM($F748:K748),0))</f>
        <v>0</v>
      </c>
      <c r="L753" s="53">
        <f>IF(SUM($F746:L746)&gt;=0,MAX(SUM($F747:L747)+SUM($F751:L751)-SUM($F746:L746)-SUM($F748:L748),0),MIN(SUM($F747:L747)+SUM($F751:L751)-SUM($F746:L746)-SUM($F748:L748),0))</f>
        <v>0</v>
      </c>
      <c r="M753" s="53">
        <f>IF(SUM($F746:M746)&gt;=0,MAX(SUM($F747:M747)+SUM($F751:M751)-SUM($F746:M746)-SUM($F748:M748),0),MIN(SUM($F747:M747)+SUM($F751:M751)-SUM($F746:M746)-SUM($F748:M748),0))</f>
        <v>0</v>
      </c>
      <c r="N753" s="53">
        <f>IF(SUM($F746:N746)&gt;=0,MAX(SUM($F747:N747)+SUM($F751:N751)-SUM($F746:N746)-SUM($F748:N748),0),MIN(SUM($F747:N747)+SUM($F751:N751)-SUM($F746:N746)-SUM($F748:N748),0))</f>
        <v>0</v>
      </c>
      <c r="O753" s="53">
        <f>IF(SUM($F746:O746)&gt;=0,MAX(SUM($F747:O747)+SUM($F751:O751)-SUM($F746:O746)-SUM($F748:O748),0),MIN(SUM($F747:O747)+SUM($F751:O751)-SUM($F746:O746)-SUM($F748:O748),0))</f>
        <v>0</v>
      </c>
      <c r="P753" s="53">
        <f>IF(SUM($F746:P746)&gt;=0,MAX(SUM($F747:P747)+SUM($F751:P751)-SUM($F746:P746)-SUM($F748:P748),0),MIN(SUM($F747:P747)+SUM($F751:P751)-SUM($F746:P746)-SUM($F748:P748),0))</f>
        <v>0</v>
      </c>
      <c r="Q753" s="53">
        <f>IF(SUM($F746:Q746)&gt;=0,MAX(SUM($F747:Q747)+SUM($F751:Q751)-SUM($F746:Q746)-SUM($F748:Q748),0),MIN(SUM($F747:Q747)+SUM($F751:Q751)-SUM($F746:Q746)-SUM($F748:Q748),0))</f>
        <v>0</v>
      </c>
    </row>
    <row r="754" spans="1:19" hidden="1" outlineLevel="2" x14ac:dyDescent="0.2">
      <c r="A754" t="str">
        <f ca="1">Language!A$573</f>
        <v xml:space="preserve">    списано затрат на реализованную продукцию</v>
      </c>
      <c r="C754" s="5" t="str">
        <f ca="1">CHOOSE(B696,CUR_Main,CUR_Foreign)</f>
        <v>руб.</v>
      </c>
      <c r="D754" t="str">
        <f>TEXT(B696,"0")&amp;"_10"</f>
        <v>1_10</v>
      </c>
      <c r="F754" s="53">
        <f t="shared" ref="F754:Q754" si="950">IF((E657+F655)&gt;0,F656*(E755+F744)/(E657+F655),0)</f>
        <v>0</v>
      </c>
      <c r="G754" s="53">
        <f t="shared" si="950"/>
        <v>0</v>
      </c>
      <c r="H754" s="53">
        <f t="shared" si="950"/>
        <v>0</v>
      </c>
      <c r="I754" s="53">
        <f t="shared" si="950"/>
        <v>0</v>
      </c>
      <c r="J754" s="53">
        <f t="shared" si="950"/>
        <v>0</v>
      </c>
      <c r="K754" s="53">
        <f t="shared" si="950"/>
        <v>0</v>
      </c>
      <c r="L754" s="53">
        <f t="shared" si="950"/>
        <v>0</v>
      </c>
      <c r="M754" s="53">
        <f t="shared" si="950"/>
        <v>0</v>
      </c>
      <c r="N754" s="53">
        <f t="shared" si="950"/>
        <v>0</v>
      </c>
      <c r="O754" s="53">
        <f t="shared" si="950"/>
        <v>0</v>
      </c>
      <c r="P754" s="53">
        <f t="shared" si="950"/>
        <v>0</v>
      </c>
      <c r="Q754" s="53">
        <f t="shared" si="950"/>
        <v>0</v>
      </c>
      <c r="S754" s="54">
        <f>SUM(F754:Q754)</f>
        <v>0</v>
      </c>
    </row>
    <row r="755" spans="1:19" hidden="1" outlineLevel="2" x14ac:dyDescent="0.2">
      <c r="A755" s="48" t="str">
        <f ca="1">Language!A$574</f>
        <v xml:space="preserve">    остаток затрат на складе готовой продукции</v>
      </c>
      <c r="C755" s="5" t="str">
        <f ca="1">CHOOSE(B696,CUR_Main,CUR_Foreign)</f>
        <v>руб.</v>
      </c>
      <c r="D755" t="str">
        <f>TEXT(B696,"0")&amp;"_11"&amp;";int_end"</f>
        <v>1_11;int_end</v>
      </c>
      <c r="F755" s="84">
        <f t="shared" ref="F755:Q755" si="951">IF((F655+E657)&gt;0,F657*(E755+F744)/(E657+F655),0)</f>
        <v>0</v>
      </c>
      <c r="G755" s="84">
        <f t="shared" si="951"/>
        <v>0</v>
      </c>
      <c r="H755" s="84">
        <f t="shared" si="951"/>
        <v>0</v>
      </c>
      <c r="I755" s="84">
        <f t="shared" si="951"/>
        <v>0</v>
      </c>
      <c r="J755" s="84">
        <f t="shared" si="951"/>
        <v>0</v>
      </c>
      <c r="K755" s="84">
        <f t="shared" si="951"/>
        <v>0</v>
      </c>
      <c r="L755" s="84">
        <f t="shared" si="951"/>
        <v>0</v>
      </c>
      <c r="M755" s="84">
        <f t="shared" si="951"/>
        <v>0</v>
      </c>
      <c r="N755" s="84">
        <f t="shared" si="951"/>
        <v>0</v>
      </c>
      <c r="O755" s="84">
        <f t="shared" si="951"/>
        <v>0</v>
      </c>
      <c r="P755" s="84">
        <f t="shared" si="951"/>
        <v>0</v>
      </c>
      <c r="Q755" s="84">
        <f t="shared" si="951"/>
        <v>0</v>
      </c>
    </row>
    <row r="756" spans="1:19" hidden="1" outlineLevel="2" x14ac:dyDescent="0.2">
      <c r="A756" s="48" t="str">
        <f ca="1">Language!A$575</f>
        <v xml:space="preserve">    остаток затрат в незавершенном производстве</v>
      </c>
      <c r="B756" s="255">
        <f>NWC_T_Cycle</f>
        <v>60</v>
      </c>
      <c r="C756" s="5" t="str">
        <f ca="1">Language!A$38</f>
        <v>дн.</v>
      </c>
      <c r="D756" t="str">
        <f>TEXT(B696,"0")&amp;"_12"&amp;";int_end"</f>
        <v>1_12;int_end</v>
      </c>
      <c r="F756" s="84">
        <f t="shared" ref="F756:M756" si="952">F744*$B756/PRJ_Step</f>
        <v>0</v>
      </c>
      <c r="G756" s="84">
        <f t="shared" si="952"/>
        <v>0</v>
      </c>
      <c r="H756" s="84">
        <f t="shared" si="952"/>
        <v>0</v>
      </c>
      <c r="I756" s="84">
        <f t="shared" si="952"/>
        <v>0</v>
      </c>
      <c r="J756" s="84">
        <f t="shared" si="952"/>
        <v>0</v>
      </c>
      <c r="K756" s="84">
        <f t="shared" si="952"/>
        <v>0</v>
      </c>
      <c r="L756" s="84">
        <f t="shared" si="952"/>
        <v>0</v>
      </c>
      <c r="M756" s="84">
        <f t="shared" si="952"/>
        <v>0</v>
      </c>
      <c r="N756" s="84">
        <f t="shared" ref="N756" si="953">N744*$B756/PRJ_Step</f>
        <v>0</v>
      </c>
      <c r="O756" s="84">
        <f t="shared" ref="O756" si="954">O744*$B756/PRJ_Step</f>
        <v>0</v>
      </c>
      <c r="P756" s="84">
        <f t="shared" ref="P756:Q756" si="955">P744*$B756/PRJ_Step</f>
        <v>0</v>
      </c>
      <c r="Q756" s="84">
        <f t="shared" si="955"/>
        <v>0</v>
      </c>
    </row>
    <row r="757" spans="1:19" outlineLevel="1" x14ac:dyDescent="0.2">
      <c r="A757" s="48" t="str">
        <f>A542</f>
        <v>Коробочная версия продукта</v>
      </c>
      <c r="E757">
        <v>15</v>
      </c>
    </row>
    <row r="758" spans="1:19" outlineLevel="1" collapsed="1" x14ac:dyDescent="0.2">
      <c r="A758" s="11" t="str">
        <f>A682</f>
        <v xml:space="preserve">Наименование сырья </v>
      </c>
      <c r="C758" s="5" t="str">
        <f ca="1">CHOOSE(B703,CUR_Main,CUR_Foreign)</f>
        <v>руб.</v>
      </c>
      <c r="D758" s="16" t="str">
        <f>TEXT(B703,"0")&amp;"_00"</f>
        <v>1_00</v>
      </c>
      <c r="F758" s="53">
        <f>F682*F703</f>
        <v>0</v>
      </c>
      <c r="G758" s="53">
        <f>G682*G703</f>
        <v>0</v>
      </c>
      <c r="H758" s="53">
        <f>H682*H703</f>
        <v>0</v>
      </c>
      <c r="I758" s="53">
        <f>I682*I703</f>
        <v>0</v>
      </c>
      <c r="J758" s="53">
        <f>J682*J703</f>
        <v>0</v>
      </c>
      <c r="K758" s="53">
        <f>K682*K703</f>
        <v>0</v>
      </c>
      <c r="L758" s="53">
        <f>L682*L703</f>
        <v>0</v>
      </c>
      <c r="M758" s="53">
        <f>M682*M703</f>
        <v>0</v>
      </c>
      <c r="N758" s="53">
        <f>N682*N703</f>
        <v>0</v>
      </c>
      <c r="O758" s="53">
        <f>O682*O703</f>
        <v>0</v>
      </c>
      <c r="P758" s="53">
        <f>P682*P703</f>
        <v>0</v>
      </c>
      <c r="Q758" s="53">
        <f>Q682*Q703</f>
        <v>0</v>
      </c>
      <c r="S758" s="54">
        <f>SUM(F758:Q758)</f>
        <v>0</v>
      </c>
    </row>
    <row r="759" spans="1:19" hidden="1" outlineLevel="2" x14ac:dyDescent="0.2">
      <c r="A759" t="str">
        <f ca="1">Language!A$562</f>
        <v xml:space="preserve">    среднее время хранения</v>
      </c>
      <c r="B759" s="255">
        <f>NWC_T_Mat</f>
        <v>0</v>
      </c>
      <c r="C759" s="5" t="str">
        <f ca="1">Language!A$38</f>
        <v>дн.</v>
      </c>
      <c r="D759" s="16"/>
      <c r="F759" s="53"/>
      <c r="G759" s="53"/>
      <c r="H759" s="53"/>
      <c r="I759" s="53"/>
      <c r="J759" s="53"/>
      <c r="K759" s="53"/>
      <c r="L759" s="53"/>
      <c r="M759" s="53"/>
      <c r="N759" s="53"/>
      <c r="O759" s="53"/>
      <c r="P759" s="53"/>
      <c r="Q759" s="53"/>
      <c r="S759" s="57"/>
    </row>
    <row r="760" spans="1:19" hidden="1" outlineLevel="2" x14ac:dyDescent="0.2">
      <c r="A760" t="str">
        <f ca="1">Language!A$563</f>
        <v xml:space="preserve">    затраты на сырье и материалы без НДС</v>
      </c>
      <c r="C760" s="5" t="str">
        <f ca="1">CHOOSE(B703,CUR_Main,CUR_Foreign)</f>
        <v>руб.</v>
      </c>
      <c r="D760" t="str">
        <f>TEXT(B703,"0")&amp;"_01"</f>
        <v>1_01</v>
      </c>
      <c r="F760" s="53">
        <f>F758/(1+$B708)</f>
        <v>0</v>
      </c>
      <c r="G760" s="53">
        <f>G758/(1+$B708)</f>
        <v>0</v>
      </c>
      <c r="H760" s="53">
        <f>H758/(1+$B708)</f>
        <v>0</v>
      </c>
      <c r="I760" s="53">
        <f>I758/(1+$B708)</f>
        <v>0</v>
      </c>
      <c r="J760" s="53">
        <f>J758/(1+$B708)</f>
        <v>0</v>
      </c>
      <c r="K760" s="53">
        <f>K758/(1+$B708)</f>
        <v>0</v>
      </c>
      <c r="L760" s="53">
        <f>L758/(1+$B708)</f>
        <v>0</v>
      </c>
      <c r="M760" s="53">
        <f>M758/(1+$B708)</f>
        <v>0</v>
      </c>
      <c r="N760" s="53">
        <f>N758/(1+$B708)</f>
        <v>0</v>
      </c>
      <c r="O760" s="53">
        <f>O758/(1+$B708)</f>
        <v>0</v>
      </c>
      <c r="P760" s="53">
        <f>P758/(1+$B708)</f>
        <v>0</v>
      </c>
      <c r="Q760" s="53">
        <f>Q758/(1+$B708)</f>
        <v>0</v>
      </c>
      <c r="S760" s="54">
        <f>SUM(F760:Q760)</f>
        <v>0</v>
      </c>
    </row>
    <row r="761" spans="1:19" hidden="1" outlineLevel="2" x14ac:dyDescent="0.2">
      <c r="A761" t="str">
        <f ca="1">Language!A$564</f>
        <v xml:space="preserve">    в том числе импортная пошлина</v>
      </c>
      <c r="C761" s="5" t="str">
        <f ca="1">CHOOSE(B703,CUR_Main,CUR_Foreign)</f>
        <v>руб.</v>
      </c>
      <c r="D761" t="str">
        <f>TEXT(B703,"0")&amp;"_02"</f>
        <v>1_02</v>
      </c>
      <c r="F761" s="53">
        <f>F760/(1+$B707)*$B707</f>
        <v>0</v>
      </c>
      <c r="G761" s="53">
        <f>G760/(1+$B707)*$B707</f>
        <v>0</v>
      </c>
      <c r="H761" s="53">
        <f>H760/(1+$B707)*$B707</f>
        <v>0</v>
      </c>
      <c r="I761" s="53">
        <f>I760/(1+$B707)*$B707</f>
        <v>0</v>
      </c>
      <c r="J761" s="53">
        <f>J760/(1+$B707)*$B707</f>
        <v>0</v>
      </c>
      <c r="K761" s="53">
        <f>K760/(1+$B707)*$B707</f>
        <v>0</v>
      </c>
      <c r="L761" s="53">
        <f>L760/(1+$B707)*$B707</f>
        <v>0</v>
      </c>
      <c r="M761" s="53">
        <f>M760/(1+$B707)*$B707</f>
        <v>0</v>
      </c>
      <c r="N761" s="53">
        <f>N760/(1+$B707)*$B707</f>
        <v>0</v>
      </c>
      <c r="O761" s="53">
        <f>O760/(1+$B707)*$B707</f>
        <v>0</v>
      </c>
      <c r="P761" s="53">
        <f>P760/(1+$B707)*$B707</f>
        <v>0</v>
      </c>
      <c r="Q761" s="53">
        <f>Q760/(1+$B707)*$B707</f>
        <v>0</v>
      </c>
      <c r="S761" s="54">
        <f>SUM(F761:Q761)</f>
        <v>0</v>
      </c>
    </row>
    <row r="762" spans="1:19" hidden="1" outlineLevel="2" x14ac:dyDescent="0.2">
      <c r="A762" t="str">
        <f ca="1">Language!A$565</f>
        <v xml:space="preserve">    закуплено сырья и материалов на сумму (без НДС)</v>
      </c>
      <c r="C762" s="5" t="str">
        <f ca="1">CHOOSE(B703,CUR_Main,CUR_Foreign)</f>
        <v>руб.</v>
      </c>
      <c r="D762" t="str">
        <f>TEXT(B703,"0")&amp;"_03"</f>
        <v>1_03</v>
      </c>
      <c r="F762" s="270">
        <f>F760</f>
        <v>0</v>
      </c>
      <c r="G762" s="270">
        <f>G760</f>
        <v>0</v>
      </c>
      <c r="H762" s="270">
        <f>H760</f>
        <v>0</v>
      </c>
      <c r="I762" s="270">
        <f>I760</f>
        <v>0</v>
      </c>
      <c r="J762" s="270">
        <f>J760</f>
        <v>0</v>
      </c>
      <c r="K762" s="270">
        <f>K760</f>
        <v>0</v>
      </c>
      <c r="L762" s="270">
        <f>L760</f>
        <v>0</v>
      </c>
      <c r="M762" s="270">
        <f>M760</f>
        <v>0</v>
      </c>
      <c r="N762" s="270">
        <f>N760</f>
        <v>0</v>
      </c>
      <c r="O762" s="270">
        <f>O760</f>
        <v>0</v>
      </c>
      <c r="P762" s="270">
        <f>P760</f>
        <v>0</v>
      </c>
      <c r="Q762" s="270">
        <f>Q760</f>
        <v>0</v>
      </c>
      <c r="S762" s="54">
        <f>SUM(F762:Q762)</f>
        <v>0</v>
      </c>
    </row>
    <row r="763" spans="1:19" hidden="1" outlineLevel="2" x14ac:dyDescent="0.2">
      <c r="A763" t="str">
        <f ca="1">Language!A$569</f>
        <v xml:space="preserve">    оплачено сырья и материалов (без НДС)</v>
      </c>
      <c r="C763" s="5" t="str">
        <f ca="1">CHOOSE(B703,CUR_Main,CUR_Foreign)</f>
        <v>руб.</v>
      </c>
      <c r="D763" t="str">
        <f>TEXT(B703,"0")&amp;"_06"</f>
        <v>1_06</v>
      </c>
      <c r="F763" s="270">
        <f>F762</f>
        <v>0</v>
      </c>
      <c r="G763" s="270">
        <f>G762</f>
        <v>0</v>
      </c>
      <c r="H763" s="270">
        <f>H762</f>
        <v>0</v>
      </c>
      <c r="I763" s="270">
        <f>I762</f>
        <v>0</v>
      </c>
      <c r="J763" s="270">
        <f>J762</f>
        <v>0</v>
      </c>
      <c r="K763" s="270">
        <f>K762</f>
        <v>0</v>
      </c>
      <c r="L763" s="270">
        <f>L762</f>
        <v>0</v>
      </c>
      <c r="M763" s="270">
        <f>M762</f>
        <v>0</v>
      </c>
      <c r="N763" s="270">
        <f>N762</f>
        <v>0</v>
      </c>
      <c r="O763" s="270">
        <f>O762</f>
        <v>0</v>
      </c>
      <c r="P763" s="270">
        <f>P762</f>
        <v>0</v>
      </c>
      <c r="Q763" s="270">
        <f>Q762</f>
        <v>0</v>
      </c>
      <c r="S763" s="54">
        <f>SUM(F763:Q763)</f>
        <v>0</v>
      </c>
    </row>
    <row r="764" spans="1:19" hidden="1" outlineLevel="2" x14ac:dyDescent="0.2">
      <c r="A764" t="str">
        <f ca="1">Language!A$566</f>
        <v xml:space="preserve">    зачет НДС</v>
      </c>
      <c r="C764" s="5" t="str">
        <f ca="1">CHOOSE(B703,CUR_Main,CUR_Foreign)</f>
        <v>руб.</v>
      </c>
      <c r="D764" t="str">
        <f>TEXT(B703,"0")&amp;"_04"</f>
        <v>1_04</v>
      </c>
      <c r="F764" s="53">
        <f>F762*$B708</f>
        <v>0</v>
      </c>
      <c r="G764" s="53">
        <f>G762*$B708</f>
        <v>0</v>
      </c>
      <c r="H764" s="53">
        <f>H762*$B708</f>
        <v>0</v>
      </c>
      <c r="I764" s="53">
        <f>I762*$B708</f>
        <v>0</v>
      </c>
      <c r="J764" s="53">
        <f>J762*$B708</f>
        <v>0</v>
      </c>
      <c r="K764" s="53">
        <f>K762*$B708</f>
        <v>0</v>
      </c>
      <c r="L764" s="53">
        <f>L762*$B708</f>
        <v>0</v>
      </c>
      <c r="M764" s="53">
        <f>M762*$B708</f>
        <v>0</v>
      </c>
      <c r="N764" s="53">
        <f>N762*$B708</f>
        <v>0</v>
      </c>
      <c r="O764" s="53">
        <f>O762*$B708</f>
        <v>0</v>
      </c>
      <c r="P764" s="53">
        <f>P762*$B708</f>
        <v>0</v>
      </c>
      <c r="Q764" s="53">
        <f>Q762*$B708</f>
        <v>0</v>
      </c>
      <c r="S764" s="54">
        <f>SUM(F764:Q764)</f>
        <v>0</v>
      </c>
    </row>
    <row r="765" spans="1:19" hidden="1" outlineLevel="2" x14ac:dyDescent="0.2">
      <c r="A765" t="str">
        <f ca="1">Language!A$567</f>
        <v xml:space="preserve">    запасы на основе периодов оборота</v>
      </c>
      <c r="C765" s="5" t="str">
        <f ca="1">CHOOSE(B703,CUR_Main,CUR_Foreign)</f>
        <v>руб.</v>
      </c>
      <c r="D765" t="str">
        <f>TEXT(B703,"0")&amp;"_05"&amp;";int_end"</f>
        <v>1_05;int_end</v>
      </c>
      <c r="F765" s="84">
        <f>F760*$B759/PRJ_Step</f>
        <v>0</v>
      </c>
      <c r="G765" s="84">
        <f>G760*$B759/PRJ_Step</f>
        <v>0</v>
      </c>
      <c r="H765" s="84">
        <f>H760*$B759/PRJ_Step</f>
        <v>0</v>
      </c>
      <c r="I765" s="84">
        <f>I760*$B759/PRJ_Step</f>
        <v>0</v>
      </c>
      <c r="J765" s="84">
        <f>J760*$B759/PRJ_Step</f>
        <v>0</v>
      </c>
      <c r="K765" s="84">
        <f>K760*$B759/PRJ_Step</f>
        <v>0</v>
      </c>
      <c r="L765" s="84">
        <f>L760*$B759/PRJ_Step</f>
        <v>0</v>
      </c>
      <c r="M765" s="84">
        <f>M760*$B759/PRJ_Step</f>
        <v>0</v>
      </c>
      <c r="N765" s="84">
        <f>N760*$B759/PRJ_Step</f>
        <v>0</v>
      </c>
      <c r="O765" s="84">
        <f>O760*$B759/PRJ_Step</f>
        <v>0</v>
      </c>
      <c r="P765" s="84">
        <f>P760*$B759/PRJ_Step</f>
        <v>0</v>
      </c>
      <c r="Q765" s="84">
        <f>Q760*$B759/PRJ_Step</f>
        <v>0</v>
      </c>
    </row>
    <row r="766" spans="1:19" hidden="1" outlineLevel="2" x14ac:dyDescent="0.2">
      <c r="A766" t="str">
        <f ca="1">Language!A$568</f>
        <v xml:space="preserve">    запасы на основе графика оплаты</v>
      </c>
      <c r="C766" s="5" t="str">
        <f ca="1">CHOOSE(B703,CUR_Main,CUR_Foreign)</f>
        <v>руб.</v>
      </c>
      <c r="D766" t="str">
        <f>TEXT(B703,"0")&amp;"_13"&amp;";int_end"</f>
        <v>1_13;int_end</v>
      </c>
      <c r="F766" s="84">
        <f>E766+F762-F760</f>
        <v>0</v>
      </c>
      <c r="G766" s="84">
        <f>F766+G762-G760</f>
        <v>0</v>
      </c>
      <c r="H766" s="84">
        <f>G766+H762-H760</f>
        <v>0</v>
      </c>
      <c r="I766" s="84">
        <f>H766+I762-I760</f>
        <v>0</v>
      </c>
      <c r="J766" s="84">
        <f>I766+J762-J760</f>
        <v>0</v>
      </c>
      <c r="K766" s="84">
        <f>J766+K762-K760</f>
        <v>0</v>
      </c>
      <c r="L766" s="84">
        <f>K766+L762-L760</f>
        <v>0</v>
      </c>
      <c r="M766" s="84">
        <f>L766+M762-M760</f>
        <v>0</v>
      </c>
      <c r="N766" s="84">
        <f>M766+N762-N760</f>
        <v>0</v>
      </c>
      <c r="O766" s="84">
        <f>N766+O762-O760</f>
        <v>0</v>
      </c>
      <c r="P766" s="84">
        <f>O766+P762-P760</f>
        <v>0</v>
      </c>
      <c r="Q766" s="84">
        <f>P766+Q762-Q760</f>
        <v>0</v>
      </c>
    </row>
    <row r="767" spans="1:19" hidden="1" outlineLevel="2" x14ac:dyDescent="0.2">
      <c r="A767" t="str">
        <f ca="1">Language!A$570</f>
        <v xml:space="preserve">    выплаченный НДС</v>
      </c>
      <c r="C767" s="5" t="str">
        <f ca="1">CHOOSE(B703,CUR_Main,CUR_Foreign)</f>
        <v>руб.</v>
      </c>
      <c r="D767" t="str">
        <f>TEXT(B703,"0")&amp;"_07"</f>
        <v>1_07</v>
      </c>
      <c r="F767" s="53">
        <f>F763*$B708</f>
        <v>0</v>
      </c>
      <c r="G767" s="53">
        <f>G763*$B708</f>
        <v>0</v>
      </c>
      <c r="H767" s="53">
        <f>H763*$B708</f>
        <v>0</v>
      </c>
      <c r="I767" s="53">
        <f>I763*$B708</f>
        <v>0</v>
      </c>
      <c r="J767" s="53">
        <f>J763*$B708</f>
        <v>0</v>
      </c>
      <c r="K767" s="53">
        <f>K763*$B708</f>
        <v>0</v>
      </c>
      <c r="L767" s="53">
        <f>L763*$B708</f>
        <v>0</v>
      </c>
      <c r="M767" s="53">
        <f>M763*$B708</f>
        <v>0</v>
      </c>
      <c r="N767" s="53">
        <f>N763*$B708</f>
        <v>0</v>
      </c>
      <c r="O767" s="53">
        <f>O763*$B708</f>
        <v>0</v>
      </c>
      <c r="P767" s="53">
        <f>P763*$B708</f>
        <v>0</v>
      </c>
      <c r="Q767" s="53">
        <f>Q763*$B708</f>
        <v>0</v>
      </c>
      <c r="S767" s="54">
        <f>SUM(F767:Q767)</f>
        <v>0</v>
      </c>
    </row>
    <row r="768" spans="1:19" hidden="1" outlineLevel="2" x14ac:dyDescent="0.2">
      <c r="A768" t="str">
        <f ca="1">Language!A$571</f>
        <v xml:space="preserve">    кредиторская задолженность</v>
      </c>
      <c r="C768" s="5" t="str">
        <f ca="1">CHOOSE(B703,CUR_Main,CUR_Foreign)</f>
        <v>руб.</v>
      </c>
      <c r="D768" t="str">
        <f>TEXT(B703,"0")&amp;"_08"&amp;";int_end"</f>
        <v>1_08;int_end</v>
      </c>
      <c r="F768" s="53">
        <f>IF(SUM($F762:F762)&gt;=0,MAX(SUM($F762:F762)+SUM($F764:F764)-SUM($F763:F763)-SUM($F767:F767),0),MIN(SUM($F762:F762)+SUM($F764:F764)-SUM($F763:F763)-SUM($F767:F767),0))</f>
        <v>0</v>
      </c>
      <c r="G768" s="53">
        <f>IF(SUM($F762:G762)&gt;=0,MAX(SUM($F762:G762)+SUM($F764:G764)-SUM($F763:G763)-SUM($F767:G767),0),MIN(SUM($F762:G762)+SUM($F764:G764)-SUM($F763:G763)-SUM($F767:G767),0))</f>
        <v>0</v>
      </c>
      <c r="H768" s="53">
        <f>IF(SUM($F762:H762)&gt;=0,MAX(SUM($F762:H762)+SUM($F764:H764)-SUM($F763:H763)-SUM($F767:H767),0),MIN(SUM($F762:H762)+SUM($F764:H764)-SUM($F763:H763)-SUM($F767:H767),0))</f>
        <v>0</v>
      </c>
      <c r="I768" s="53">
        <f>IF(SUM($F762:I762)&gt;=0,MAX(SUM($F762:I762)+SUM($F764:I764)-SUM($F763:I763)-SUM($F767:I767),0),MIN(SUM($F762:I762)+SUM($F764:I764)-SUM($F763:I763)-SUM($F767:I767),0))</f>
        <v>0</v>
      </c>
      <c r="J768" s="53">
        <f>IF(SUM($F762:J762)&gt;=0,MAX(SUM($F762:J762)+SUM($F764:J764)-SUM($F763:J763)-SUM($F767:J767),0),MIN(SUM($F762:J762)+SUM($F764:J764)-SUM($F763:J763)-SUM($F767:J767),0))</f>
        <v>0</v>
      </c>
      <c r="K768" s="53">
        <f>IF(SUM($F762:K762)&gt;=0,MAX(SUM($F762:K762)+SUM($F764:K764)-SUM($F763:K763)-SUM($F767:K767),0),MIN(SUM($F762:K762)+SUM($F764:K764)-SUM($F763:K763)-SUM($F767:K767),0))</f>
        <v>0</v>
      </c>
      <c r="L768" s="53">
        <f>IF(SUM($F762:L762)&gt;=0,MAX(SUM($F762:L762)+SUM($F764:L764)-SUM($F763:L763)-SUM($F767:L767),0),MIN(SUM($F762:L762)+SUM($F764:L764)-SUM($F763:L763)-SUM($F767:L767),0))</f>
        <v>0</v>
      </c>
      <c r="M768" s="53">
        <f>IF(SUM($F762:M762)&gt;=0,MAX(SUM($F762:M762)+SUM($F764:M764)-SUM($F763:M763)-SUM($F767:M767),0),MIN(SUM($F762:M762)+SUM($F764:M764)-SUM($F763:M763)-SUM($F767:M767),0))</f>
        <v>0</v>
      </c>
      <c r="N768" s="53">
        <f>IF(SUM($F762:N762)&gt;=0,MAX(SUM($F762:N762)+SUM($F764:N764)-SUM($F763:N763)-SUM($F767:N767),0),MIN(SUM($F762:N762)+SUM($F764:N764)-SUM($F763:N763)-SUM($F767:N767),0))</f>
        <v>0</v>
      </c>
      <c r="O768" s="53">
        <f>IF(SUM($F762:O762)&gt;=0,MAX(SUM($F762:O762)+SUM($F764:O764)-SUM($F763:O763)-SUM($F767:O767),0),MIN(SUM($F762:O762)+SUM($F764:O764)-SUM($F763:O763)-SUM($F767:O767),0))</f>
        <v>0</v>
      </c>
      <c r="P768" s="53">
        <f>IF(SUM($F762:P762)&gt;=0,MAX(SUM($F762:P762)+SUM($F764:P764)-SUM($F763:P763)-SUM($F767:P767),0),MIN(SUM($F762:P762)+SUM($F764:P764)-SUM($F763:P763)-SUM($F767:P767),0))</f>
        <v>0</v>
      </c>
      <c r="Q768" s="53">
        <f>IF(SUM($F762:Q762)&gt;=0,MAX(SUM($F762:Q762)+SUM($F764:Q764)-SUM($F763:Q763)-SUM($F767:Q767),0),MIN(SUM($F762:Q762)+SUM($F764:Q764)-SUM($F763:Q763)-SUM($F767:Q767),0))</f>
        <v>0</v>
      </c>
    </row>
    <row r="769" spans="1:19" hidden="1" outlineLevel="2" x14ac:dyDescent="0.2">
      <c r="A769" t="str">
        <f ca="1">Language!A$572</f>
        <v xml:space="preserve">    выплаченные авансы</v>
      </c>
      <c r="C769" s="5" t="str">
        <f ca="1">CHOOSE(B703,CUR_Main,CUR_Foreign)</f>
        <v>руб.</v>
      </c>
      <c r="D769" t="str">
        <f>TEXT(B703,"0")&amp;"_09"&amp;";int_end"</f>
        <v>1_09;int_end</v>
      </c>
      <c r="F769" s="53">
        <f>IF(SUM($F762:F762)&gt;=0,MAX(SUM($F763:F763)+SUM($F767:F767)-SUM($F762:F762)-SUM($F764:F764),0),MIN(SUM($F763:F763)+SUM($F767:F767)-SUM($F762:F762)-SUM($F764:F764),0))</f>
        <v>0</v>
      </c>
      <c r="G769" s="53">
        <f>IF(SUM($F762:G762)&gt;=0,MAX(SUM($F763:G763)+SUM($F767:G767)-SUM($F762:G762)-SUM($F764:G764),0),MIN(SUM($F763:G763)+SUM($F767:G767)-SUM($F762:G762)-SUM($F764:G764),0))</f>
        <v>0</v>
      </c>
      <c r="H769" s="53">
        <f>IF(SUM($F762:H762)&gt;=0,MAX(SUM($F763:H763)+SUM($F767:H767)-SUM($F762:H762)-SUM($F764:H764),0),MIN(SUM($F763:H763)+SUM($F767:H767)-SUM($F762:H762)-SUM($F764:H764),0))</f>
        <v>0</v>
      </c>
      <c r="I769" s="53">
        <f>IF(SUM($F762:I762)&gt;=0,MAX(SUM($F763:I763)+SUM($F767:I767)-SUM($F762:I762)-SUM($F764:I764),0),MIN(SUM($F763:I763)+SUM($F767:I767)-SUM($F762:I762)-SUM($F764:I764),0))</f>
        <v>0</v>
      </c>
      <c r="J769" s="53">
        <f>IF(SUM($F762:J762)&gt;=0,MAX(SUM($F763:J763)+SUM($F767:J767)-SUM($F762:J762)-SUM($F764:J764),0),MIN(SUM($F763:J763)+SUM($F767:J767)-SUM($F762:J762)-SUM($F764:J764),0))</f>
        <v>0</v>
      </c>
      <c r="K769" s="53">
        <f>IF(SUM($F762:K762)&gt;=0,MAX(SUM($F763:K763)+SUM($F767:K767)-SUM($F762:K762)-SUM($F764:K764),0),MIN(SUM($F763:K763)+SUM($F767:K767)-SUM($F762:K762)-SUM($F764:K764),0))</f>
        <v>0</v>
      </c>
      <c r="L769" s="53">
        <f>IF(SUM($F762:L762)&gt;=0,MAX(SUM($F763:L763)+SUM($F767:L767)-SUM($F762:L762)-SUM($F764:L764),0),MIN(SUM($F763:L763)+SUM($F767:L767)-SUM($F762:L762)-SUM($F764:L764),0))</f>
        <v>0</v>
      </c>
      <c r="M769" s="53">
        <f>IF(SUM($F762:M762)&gt;=0,MAX(SUM($F763:M763)+SUM($F767:M767)-SUM($F762:M762)-SUM($F764:M764),0),MIN(SUM($F763:M763)+SUM($F767:M767)-SUM($F762:M762)-SUM($F764:M764),0))</f>
        <v>0</v>
      </c>
      <c r="N769" s="53">
        <f>IF(SUM($F762:N762)&gt;=0,MAX(SUM($F763:N763)+SUM($F767:N767)-SUM($F762:N762)-SUM($F764:N764),0),MIN(SUM($F763:N763)+SUM($F767:N767)-SUM($F762:N762)-SUM($F764:N764),0))</f>
        <v>0</v>
      </c>
      <c r="O769" s="53">
        <f>IF(SUM($F762:O762)&gt;=0,MAX(SUM($F763:O763)+SUM($F767:O767)-SUM($F762:O762)-SUM($F764:O764),0),MIN(SUM($F763:O763)+SUM($F767:O767)-SUM($F762:O762)-SUM($F764:O764),0))</f>
        <v>0</v>
      </c>
      <c r="P769" s="53">
        <f>IF(SUM($F762:P762)&gt;=0,MAX(SUM($F763:P763)+SUM($F767:P767)-SUM($F762:P762)-SUM($F764:P764),0),MIN(SUM($F763:P763)+SUM($F767:P767)-SUM($F762:P762)-SUM($F764:P764),0))</f>
        <v>0</v>
      </c>
      <c r="Q769" s="53">
        <f>IF(SUM($F762:Q762)&gt;=0,MAX(SUM($F763:Q763)+SUM($F767:Q767)-SUM($F762:Q762)-SUM($F764:Q764),0),MIN(SUM($F763:Q763)+SUM($F767:Q767)-SUM($F762:Q762)-SUM($F764:Q764),0))</f>
        <v>0</v>
      </c>
    </row>
    <row r="770" spans="1:19" hidden="1" outlineLevel="2" x14ac:dyDescent="0.2">
      <c r="A770" t="str">
        <f ca="1">Language!A$573</f>
        <v xml:space="preserve">    списано затрат на реализованную продукцию</v>
      </c>
      <c r="C770" s="5" t="str">
        <f ca="1">CHOOSE(B703,CUR_Main,CUR_Foreign)</f>
        <v>руб.</v>
      </c>
      <c r="D770" t="str">
        <f>TEXT(B703,"0")&amp;"_10"</f>
        <v>1_10</v>
      </c>
      <c r="F770" s="53">
        <f>IF((E661+F659)&gt;0,F660*(E771+F760)/(E661+F659),0)</f>
        <v>0</v>
      </c>
      <c r="G770" s="53">
        <f>IF((F661+G659)&gt;0,G660*(F771+G760)/(F661+G659),0)</f>
        <v>0</v>
      </c>
      <c r="H770" s="53">
        <f>IF((G661+H659)&gt;0,H660*(G771+H760)/(G661+H659),0)</f>
        <v>0</v>
      </c>
      <c r="I770" s="53">
        <f>IF((H661+I659)&gt;0,I660*(H771+I760)/(H661+I659),0)</f>
        <v>0</v>
      </c>
      <c r="J770" s="53">
        <f>IF((I661+J659)&gt;0,J660*(I771+J760)/(I661+J659),0)</f>
        <v>0</v>
      </c>
      <c r="K770" s="53">
        <f>IF((J661+K659)&gt;0,K660*(J771+K760)/(J661+K659),0)</f>
        <v>0</v>
      </c>
      <c r="L770" s="53">
        <f>IF((K661+L659)&gt;0,L660*(K771+L760)/(K661+L659),0)</f>
        <v>0</v>
      </c>
      <c r="M770" s="53">
        <f>IF((L661+M659)&gt;0,M660*(L771+M760)/(L661+M659),0)</f>
        <v>0</v>
      </c>
      <c r="N770" s="53">
        <f>IF((M661+N659)&gt;0,N660*(M771+N760)/(M661+N659),0)</f>
        <v>0</v>
      </c>
      <c r="O770" s="53">
        <f>IF((N661+O659)&gt;0,O660*(N771+O760)/(N661+O659),0)</f>
        <v>0</v>
      </c>
      <c r="P770" s="53">
        <f>IF((O661+P659)&gt;0,P660*(O771+P760)/(O661+P659),0)</f>
        <v>0</v>
      </c>
      <c r="Q770" s="53">
        <f>IF((P661+Q659)&gt;0,Q660*(P771+Q760)/(P661+Q659),0)</f>
        <v>0</v>
      </c>
      <c r="S770" s="54">
        <f>SUM(F770:Q770)</f>
        <v>0</v>
      </c>
    </row>
    <row r="771" spans="1:19" hidden="1" outlineLevel="2" x14ac:dyDescent="0.2">
      <c r="A771" s="48" t="str">
        <f ca="1">Language!A$574</f>
        <v xml:space="preserve">    остаток затрат на складе готовой продукции</v>
      </c>
      <c r="C771" s="5" t="str">
        <f ca="1">CHOOSE(B703,CUR_Main,CUR_Foreign)</f>
        <v>руб.</v>
      </c>
      <c r="D771" t="str">
        <f>TEXT(B703,"0")&amp;"_11"&amp;";int_end"</f>
        <v>1_11;int_end</v>
      </c>
      <c r="F771" s="84">
        <f>IF((F659+E661)&gt;0,F661*(E771+F760)/(E661+F659),0)</f>
        <v>0</v>
      </c>
      <c r="G771" s="84">
        <f>IF((G659+F661)&gt;0,G661*(F771+G760)/(F661+G659),0)</f>
        <v>0</v>
      </c>
      <c r="H771" s="84">
        <f>IF((H659+G661)&gt;0,H661*(G771+H760)/(G661+H659),0)</f>
        <v>0</v>
      </c>
      <c r="I771" s="84">
        <f>IF((I659+H661)&gt;0,I661*(H771+I760)/(H661+I659),0)</f>
        <v>0</v>
      </c>
      <c r="J771" s="84">
        <f>IF((J659+I661)&gt;0,J661*(I771+J760)/(I661+J659),0)</f>
        <v>0</v>
      </c>
      <c r="K771" s="84">
        <f>IF((K659+J661)&gt;0,K661*(J771+K760)/(J661+K659),0)</f>
        <v>0</v>
      </c>
      <c r="L771" s="84">
        <f>IF((L659+K661)&gt;0,L661*(K771+L760)/(K661+L659),0)</f>
        <v>0</v>
      </c>
      <c r="M771" s="84">
        <f>IF((M659+L661)&gt;0,M661*(L771+M760)/(L661+M659),0)</f>
        <v>0</v>
      </c>
      <c r="N771" s="84">
        <f>IF((N659+M661)&gt;0,N661*(M771+N760)/(M661+N659),0)</f>
        <v>0</v>
      </c>
      <c r="O771" s="84">
        <f>IF((O659+N661)&gt;0,O661*(N771+O760)/(N661+O659),0)</f>
        <v>0</v>
      </c>
      <c r="P771" s="84">
        <f>IF((P659+O661)&gt;0,P661*(O771+P760)/(O661+P659),0)</f>
        <v>0</v>
      </c>
      <c r="Q771" s="84">
        <f>IF((Q659+P661)&gt;0,Q661*(P771+Q760)/(P661+Q659),0)</f>
        <v>0</v>
      </c>
    </row>
    <row r="772" spans="1:19" hidden="1" outlineLevel="2" x14ac:dyDescent="0.2">
      <c r="A772" s="48" t="str">
        <f ca="1">Language!A$575</f>
        <v xml:space="preserve">    остаток затрат в незавершенном производстве</v>
      </c>
      <c r="B772" s="255">
        <f>NWC_T_Cycle</f>
        <v>60</v>
      </c>
      <c r="C772" s="5" t="str">
        <f ca="1">Language!A$38</f>
        <v>дн.</v>
      </c>
      <c r="D772" t="str">
        <f>TEXT(B703,"0")&amp;"_12"&amp;";int_end"</f>
        <v>1_12;int_end</v>
      </c>
      <c r="F772" s="84">
        <f>F760*$B772/PRJ_Step</f>
        <v>0</v>
      </c>
      <c r="G772" s="84">
        <f>G760*$B772/PRJ_Step</f>
        <v>0</v>
      </c>
      <c r="H772" s="84">
        <f>H760*$B772/PRJ_Step</f>
        <v>0</v>
      </c>
      <c r="I772" s="84">
        <f>I760*$B772/PRJ_Step</f>
        <v>0</v>
      </c>
      <c r="J772" s="84">
        <f>J760*$B772/PRJ_Step</f>
        <v>0</v>
      </c>
      <c r="K772" s="84">
        <f>K760*$B772/PRJ_Step</f>
        <v>0</v>
      </c>
      <c r="L772" s="84">
        <f>L760*$B772/PRJ_Step</f>
        <v>0</v>
      </c>
      <c r="M772" s="84">
        <f>M760*$B772/PRJ_Step</f>
        <v>0</v>
      </c>
      <c r="N772" s="84">
        <f>N760*$B772/PRJ_Step</f>
        <v>0</v>
      </c>
      <c r="O772" s="84">
        <f>O760*$B772/PRJ_Step</f>
        <v>0</v>
      </c>
      <c r="P772" s="84">
        <f>P760*$B772/PRJ_Step</f>
        <v>0</v>
      </c>
      <c r="Q772" s="84">
        <f>Q760*$B772/PRJ_Step</f>
        <v>0</v>
      </c>
    </row>
    <row r="773" spans="1:19" outlineLevel="1" x14ac:dyDescent="0.2">
      <c r="A773" s="48" t="str">
        <f>A543</f>
        <v>Исключительные права</v>
      </c>
      <c r="E773">
        <v>15</v>
      </c>
    </row>
    <row r="774" spans="1:19" outlineLevel="1" collapsed="1" x14ac:dyDescent="0.2">
      <c r="A774" s="11" t="str">
        <f>A684</f>
        <v xml:space="preserve">Наименование сырья </v>
      </c>
      <c r="C774" s="5" t="str">
        <f ca="1">CHOOSE(B710,CUR_Main,CUR_Foreign)</f>
        <v>руб.</v>
      </c>
      <c r="D774" s="16" t="str">
        <f>TEXT(B710,"0")&amp;"_00"</f>
        <v>1_00</v>
      </c>
      <c r="F774" s="53">
        <f>F684*F710</f>
        <v>0</v>
      </c>
      <c r="G774" s="53">
        <f>G684*G710</f>
        <v>0</v>
      </c>
      <c r="H774" s="53">
        <f>H684*H710</f>
        <v>0</v>
      </c>
      <c r="I774" s="53">
        <f>I684*I710</f>
        <v>0</v>
      </c>
      <c r="J774" s="53">
        <f>J684*J710</f>
        <v>0</v>
      </c>
      <c r="K774" s="53">
        <f>K684*K710</f>
        <v>0</v>
      </c>
      <c r="L774" s="53">
        <f>L684*L710</f>
        <v>0</v>
      </c>
      <c r="M774" s="53">
        <f>M684*M710</f>
        <v>0</v>
      </c>
      <c r="N774" s="53">
        <f>N684*N710</f>
        <v>0</v>
      </c>
      <c r="O774" s="53">
        <f>O684*O710</f>
        <v>0</v>
      </c>
      <c r="P774" s="53">
        <f>P684*P710</f>
        <v>0</v>
      </c>
      <c r="Q774" s="53">
        <f>Q684*Q710</f>
        <v>0</v>
      </c>
      <c r="S774" s="54">
        <f>SUM(F774:Q774)</f>
        <v>0</v>
      </c>
    </row>
    <row r="775" spans="1:19" hidden="1" outlineLevel="2" x14ac:dyDescent="0.2">
      <c r="A775" t="str">
        <f ca="1">Language!A$562</f>
        <v xml:space="preserve">    среднее время хранения</v>
      </c>
      <c r="B775" s="255">
        <f>NWC_T_Mat</f>
        <v>0</v>
      </c>
      <c r="C775" s="5" t="str">
        <f ca="1">Language!A$38</f>
        <v>дн.</v>
      </c>
      <c r="D775" s="16"/>
      <c r="F775" s="53"/>
      <c r="G775" s="53"/>
      <c r="H775" s="53"/>
      <c r="I775" s="53"/>
      <c r="J775" s="53"/>
      <c r="K775" s="53"/>
      <c r="L775" s="53"/>
      <c r="M775" s="53"/>
      <c r="N775" s="53"/>
      <c r="O775" s="53"/>
      <c r="P775" s="53"/>
      <c r="Q775" s="53"/>
      <c r="S775" s="57"/>
    </row>
    <row r="776" spans="1:19" hidden="1" outlineLevel="2" x14ac:dyDescent="0.2">
      <c r="A776" t="str">
        <f ca="1">Language!A$563</f>
        <v xml:space="preserve">    затраты на сырье и материалы без НДС</v>
      </c>
      <c r="C776" s="5" t="str">
        <f ca="1">CHOOSE(B710,CUR_Main,CUR_Foreign)</f>
        <v>руб.</v>
      </c>
      <c r="D776" t="str">
        <f>TEXT(B710,"0")&amp;"_01"</f>
        <v>1_01</v>
      </c>
      <c r="F776" s="53">
        <f>F774/(1+$B715)</f>
        <v>0</v>
      </c>
      <c r="G776" s="53">
        <f>G774/(1+$B715)</f>
        <v>0</v>
      </c>
      <c r="H776" s="53">
        <f>H774/(1+$B715)</f>
        <v>0</v>
      </c>
      <c r="I776" s="53">
        <f>I774/(1+$B715)</f>
        <v>0</v>
      </c>
      <c r="J776" s="53">
        <f>J774/(1+$B715)</f>
        <v>0</v>
      </c>
      <c r="K776" s="53">
        <f>K774/(1+$B715)</f>
        <v>0</v>
      </c>
      <c r="L776" s="53">
        <f>L774/(1+$B715)</f>
        <v>0</v>
      </c>
      <c r="M776" s="53">
        <f>M774/(1+$B715)</f>
        <v>0</v>
      </c>
      <c r="N776" s="53">
        <f>N774/(1+$B715)</f>
        <v>0</v>
      </c>
      <c r="O776" s="53">
        <f>O774/(1+$B715)</f>
        <v>0</v>
      </c>
      <c r="P776" s="53">
        <f>P774/(1+$B715)</f>
        <v>0</v>
      </c>
      <c r="Q776" s="53">
        <f>Q774/(1+$B715)</f>
        <v>0</v>
      </c>
      <c r="S776" s="54">
        <f>SUM(F776:Q776)</f>
        <v>0</v>
      </c>
    </row>
    <row r="777" spans="1:19" hidden="1" outlineLevel="2" x14ac:dyDescent="0.2">
      <c r="A777" t="str">
        <f ca="1">Language!A$564</f>
        <v xml:space="preserve">    в том числе импортная пошлина</v>
      </c>
      <c r="C777" s="5" t="str">
        <f ca="1">CHOOSE(B710,CUR_Main,CUR_Foreign)</f>
        <v>руб.</v>
      </c>
      <c r="D777" t="str">
        <f>TEXT(B710,"0")&amp;"_02"</f>
        <v>1_02</v>
      </c>
      <c r="F777" s="53">
        <f>F776/(1+$B714)*$B714</f>
        <v>0</v>
      </c>
      <c r="G777" s="53">
        <f>G776/(1+$B714)*$B714</f>
        <v>0</v>
      </c>
      <c r="H777" s="53">
        <f>H776/(1+$B714)*$B714</f>
        <v>0</v>
      </c>
      <c r="I777" s="53">
        <f>I776/(1+$B714)*$B714</f>
        <v>0</v>
      </c>
      <c r="J777" s="53">
        <f>J776/(1+$B714)*$B714</f>
        <v>0</v>
      </c>
      <c r="K777" s="53">
        <f>K776/(1+$B714)*$B714</f>
        <v>0</v>
      </c>
      <c r="L777" s="53">
        <f>L776/(1+$B714)*$B714</f>
        <v>0</v>
      </c>
      <c r="M777" s="53">
        <f>M776/(1+$B714)*$B714</f>
        <v>0</v>
      </c>
      <c r="N777" s="53">
        <f>N776/(1+$B714)*$B714</f>
        <v>0</v>
      </c>
      <c r="O777" s="53">
        <f>O776/(1+$B714)*$B714</f>
        <v>0</v>
      </c>
      <c r="P777" s="53">
        <f>P776/(1+$B714)*$B714</f>
        <v>0</v>
      </c>
      <c r="Q777" s="53">
        <f>Q776/(1+$B714)*$B714</f>
        <v>0</v>
      </c>
      <c r="S777" s="54">
        <f>SUM(F777:Q777)</f>
        <v>0</v>
      </c>
    </row>
    <row r="778" spans="1:19" hidden="1" outlineLevel="2" x14ac:dyDescent="0.2">
      <c r="A778" t="str">
        <f ca="1">Language!A$565</f>
        <v xml:space="preserve">    закуплено сырья и материалов на сумму (без НДС)</v>
      </c>
      <c r="C778" s="5" t="str">
        <f ca="1">CHOOSE(B710,CUR_Main,CUR_Foreign)</f>
        <v>руб.</v>
      </c>
      <c r="D778" t="str">
        <f>TEXT(B710,"0")&amp;"_03"</f>
        <v>1_03</v>
      </c>
      <c r="F778" s="270">
        <f>F776</f>
        <v>0</v>
      </c>
      <c r="G778" s="270">
        <f>G776</f>
        <v>0</v>
      </c>
      <c r="H778" s="270">
        <f>H776</f>
        <v>0</v>
      </c>
      <c r="I778" s="270">
        <f>I776</f>
        <v>0</v>
      </c>
      <c r="J778" s="270">
        <f>J776</f>
        <v>0</v>
      </c>
      <c r="K778" s="270">
        <f>K776</f>
        <v>0</v>
      </c>
      <c r="L778" s="270">
        <f>L776</f>
        <v>0</v>
      </c>
      <c r="M778" s="270">
        <f>M776</f>
        <v>0</v>
      </c>
      <c r="N778" s="270">
        <f>N776</f>
        <v>0</v>
      </c>
      <c r="O778" s="270">
        <f>O776</f>
        <v>0</v>
      </c>
      <c r="P778" s="270">
        <f>P776</f>
        <v>0</v>
      </c>
      <c r="Q778" s="270">
        <f>Q776</f>
        <v>0</v>
      </c>
      <c r="S778" s="54">
        <f>SUM(F778:Q778)</f>
        <v>0</v>
      </c>
    </row>
    <row r="779" spans="1:19" hidden="1" outlineLevel="2" x14ac:dyDescent="0.2">
      <c r="A779" t="str">
        <f ca="1">Language!A$569</f>
        <v xml:space="preserve">    оплачено сырья и материалов (без НДС)</v>
      </c>
      <c r="C779" s="5" t="str">
        <f ca="1">CHOOSE(B710,CUR_Main,CUR_Foreign)</f>
        <v>руб.</v>
      </c>
      <c r="D779" t="str">
        <f>TEXT(B710,"0")&amp;"_06"</f>
        <v>1_06</v>
      </c>
      <c r="F779" s="270">
        <f>F778</f>
        <v>0</v>
      </c>
      <c r="G779" s="270">
        <f>G778</f>
        <v>0</v>
      </c>
      <c r="H779" s="270">
        <f>H778</f>
        <v>0</v>
      </c>
      <c r="I779" s="270">
        <f>I778</f>
        <v>0</v>
      </c>
      <c r="J779" s="270">
        <f>J778</f>
        <v>0</v>
      </c>
      <c r="K779" s="270">
        <f>K778</f>
        <v>0</v>
      </c>
      <c r="L779" s="270">
        <f>L778</f>
        <v>0</v>
      </c>
      <c r="M779" s="270">
        <f>M778</f>
        <v>0</v>
      </c>
      <c r="N779" s="270">
        <f>N778</f>
        <v>0</v>
      </c>
      <c r="O779" s="270">
        <f>O778</f>
        <v>0</v>
      </c>
      <c r="P779" s="270">
        <f>P778</f>
        <v>0</v>
      </c>
      <c r="Q779" s="270">
        <f>Q778</f>
        <v>0</v>
      </c>
      <c r="S779" s="54">
        <f>SUM(F779:Q779)</f>
        <v>0</v>
      </c>
    </row>
    <row r="780" spans="1:19" hidden="1" outlineLevel="2" x14ac:dyDescent="0.2">
      <c r="A780" t="str">
        <f ca="1">Language!A$566</f>
        <v xml:space="preserve">    зачет НДС</v>
      </c>
      <c r="C780" s="5" t="str">
        <f ca="1">CHOOSE(B710,CUR_Main,CUR_Foreign)</f>
        <v>руб.</v>
      </c>
      <c r="D780" t="str">
        <f>TEXT(B710,"0")&amp;"_04"</f>
        <v>1_04</v>
      </c>
      <c r="F780" s="53">
        <f>F778*$B715</f>
        <v>0</v>
      </c>
      <c r="G780" s="53">
        <f>G778*$B715</f>
        <v>0</v>
      </c>
      <c r="H780" s="53">
        <f>H778*$B715</f>
        <v>0</v>
      </c>
      <c r="I780" s="53">
        <f>I778*$B715</f>
        <v>0</v>
      </c>
      <c r="J780" s="53">
        <f>J778*$B715</f>
        <v>0</v>
      </c>
      <c r="K780" s="53">
        <f>K778*$B715</f>
        <v>0</v>
      </c>
      <c r="L780" s="53">
        <f>L778*$B715</f>
        <v>0</v>
      </c>
      <c r="M780" s="53">
        <f>M778*$B715</f>
        <v>0</v>
      </c>
      <c r="N780" s="53">
        <f>N778*$B715</f>
        <v>0</v>
      </c>
      <c r="O780" s="53">
        <f>O778*$B715</f>
        <v>0</v>
      </c>
      <c r="P780" s="53">
        <f>P778*$B715</f>
        <v>0</v>
      </c>
      <c r="Q780" s="53">
        <f>Q778*$B715</f>
        <v>0</v>
      </c>
      <c r="S780" s="54">
        <f>SUM(F780:Q780)</f>
        <v>0</v>
      </c>
    </row>
    <row r="781" spans="1:19" hidden="1" outlineLevel="2" x14ac:dyDescent="0.2">
      <c r="A781" t="str">
        <f ca="1">Language!A$567</f>
        <v xml:space="preserve">    запасы на основе периодов оборота</v>
      </c>
      <c r="C781" s="5" t="str">
        <f ca="1">CHOOSE(B710,CUR_Main,CUR_Foreign)</f>
        <v>руб.</v>
      </c>
      <c r="D781" t="str">
        <f>TEXT(B710,"0")&amp;"_05"&amp;";int_end"</f>
        <v>1_05;int_end</v>
      </c>
      <c r="F781" s="84">
        <f>F776*$B775/PRJ_Step</f>
        <v>0</v>
      </c>
      <c r="G781" s="84">
        <f>G776*$B775/PRJ_Step</f>
        <v>0</v>
      </c>
      <c r="H781" s="84">
        <f>H776*$B775/PRJ_Step</f>
        <v>0</v>
      </c>
      <c r="I781" s="84">
        <f>I776*$B775/PRJ_Step</f>
        <v>0</v>
      </c>
      <c r="J781" s="84">
        <f>J776*$B775/PRJ_Step</f>
        <v>0</v>
      </c>
      <c r="K781" s="84">
        <f>K776*$B775/PRJ_Step</f>
        <v>0</v>
      </c>
      <c r="L781" s="84">
        <f>L776*$B775/PRJ_Step</f>
        <v>0</v>
      </c>
      <c r="M781" s="84">
        <f>M776*$B775/PRJ_Step</f>
        <v>0</v>
      </c>
      <c r="N781" s="84">
        <f>N776*$B775/PRJ_Step</f>
        <v>0</v>
      </c>
      <c r="O781" s="84">
        <f>O776*$B775/PRJ_Step</f>
        <v>0</v>
      </c>
      <c r="P781" s="84">
        <f>P776*$B775/PRJ_Step</f>
        <v>0</v>
      </c>
      <c r="Q781" s="84">
        <f>Q776*$B775/PRJ_Step</f>
        <v>0</v>
      </c>
    </row>
    <row r="782" spans="1:19" hidden="1" outlineLevel="2" x14ac:dyDescent="0.2">
      <c r="A782" t="str">
        <f ca="1">Language!A$568</f>
        <v xml:space="preserve">    запасы на основе графика оплаты</v>
      </c>
      <c r="C782" s="5" t="str">
        <f ca="1">CHOOSE(B710,CUR_Main,CUR_Foreign)</f>
        <v>руб.</v>
      </c>
      <c r="D782" t="str">
        <f>TEXT(B710,"0")&amp;"_13"&amp;";int_end"</f>
        <v>1_13;int_end</v>
      </c>
      <c r="F782" s="84">
        <f>E782+F778-F776</f>
        <v>0</v>
      </c>
      <c r="G782" s="84">
        <f>F782+G778-G776</f>
        <v>0</v>
      </c>
      <c r="H782" s="84">
        <f>G782+H778-H776</f>
        <v>0</v>
      </c>
      <c r="I782" s="84">
        <f>H782+I778-I776</f>
        <v>0</v>
      </c>
      <c r="J782" s="84">
        <f>I782+J778-J776</f>
        <v>0</v>
      </c>
      <c r="K782" s="84">
        <f>J782+K778-K776</f>
        <v>0</v>
      </c>
      <c r="L782" s="84">
        <f>K782+L778-L776</f>
        <v>0</v>
      </c>
      <c r="M782" s="84">
        <f>L782+M778-M776</f>
        <v>0</v>
      </c>
      <c r="N782" s="84">
        <f>M782+N778-N776</f>
        <v>0</v>
      </c>
      <c r="O782" s="84">
        <f>N782+O778-O776</f>
        <v>0</v>
      </c>
      <c r="P782" s="84">
        <f>O782+P778-P776</f>
        <v>0</v>
      </c>
      <c r="Q782" s="84">
        <f>P782+Q778-Q776</f>
        <v>0</v>
      </c>
    </row>
    <row r="783" spans="1:19" hidden="1" outlineLevel="2" x14ac:dyDescent="0.2">
      <c r="A783" t="str">
        <f ca="1">Language!A$570</f>
        <v xml:space="preserve">    выплаченный НДС</v>
      </c>
      <c r="C783" s="5" t="str">
        <f ca="1">CHOOSE(B710,CUR_Main,CUR_Foreign)</f>
        <v>руб.</v>
      </c>
      <c r="D783" t="str">
        <f>TEXT(B710,"0")&amp;"_07"</f>
        <v>1_07</v>
      </c>
      <c r="F783" s="53">
        <f>F779*$B715</f>
        <v>0</v>
      </c>
      <c r="G783" s="53">
        <f>G779*$B715</f>
        <v>0</v>
      </c>
      <c r="H783" s="53">
        <f>H779*$B715</f>
        <v>0</v>
      </c>
      <c r="I783" s="53">
        <f>I779*$B715</f>
        <v>0</v>
      </c>
      <c r="J783" s="53">
        <f>J779*$B715</f>
        <v>0</v>
      </c>
      <c r="K783" s="53">
        <f>K779*$B715</f>
        <v>0</v>
      </c>
      <c r="L783" s="53">
        <f>L779*$B715</f>
        <v>0</v>
      </c>
      <c r="M783" s="53">
        <f>M779*$B715</f>
        <v>0</v>
      </c>
      <c r="N783" s="53">
        <f>N779*$B715</f>
        <v>0</v>
      </c>
      <c r="O783" s="53">
        <f>O779*$B715</f>
        <v>0</v>
      </c>
      <c r="P783" s="53">
        <f>P779*$B715</f>
        <v>0</v>
      </c>
      <c r="Q783" s="53">
        <f>Q779*$B715</f>
        <v>0</v>
      </c>
      <c r="S783" s="54">
        <f>SUM(F783:Q783)</f>
        <v>0</v>
      </c>
    </row>
    <row r="784" spans="1:19" hidden="1" outlineLevel="2" x14ac:dyDescent="0.2">
      <c r="A784" t="str">
        <f ca="1">Language!A$571</f>
        <v xml:space="preserve">    кредиторская задолженность</v>
      </c>
      <c r="C784" s="5" t="str">
        <f ca="1">CHOOSE(B710,CUR_Main,CUR_Foreign)</f>
        <v>руб.</v>
      </c>
      <c r="D784" t="str">
        <f>TEXT(B710,"0")&amp;"_08"&amp;";int_end"</f>
        <v>1_08;int_end</v>
      </c>
      <c r="F784" s="53">
        <f>IF(SUM($F778:F778)&gt;=0,MAX(SUM($F778:F778)+SUM($F780:F780)-SUM($F779:F779)-SUM($F783:F783),0),MIN(SUM($F778:F778)+SUM($F780:F780)-SUM($F779:F779)-SUM($F783:F783),0))</f>
        <v>0</v>
      </c>
      <c r="G784" s="53">
        <f>IF(SUM($F778:G778)&gt;=0,MAX(SUM($F778:G778)+SUM($F780:G780)-SUM($F779:G779)-SUM($F783:G783),0),MIN(SUM($F778:G778)+SUM($F780:G780)-SUM($F779:G779)-SUM($F783:G783),0))</f>
        <v>0</v>
      </c>
      <c r="H784" s="53">
        <f>IF(SUM($F778:H778)&gt;=0,MAX(SUM($F778:H778)+SUM($F780:H780)-SUM($F779:H779)-SUM($F783:H783),0),MIN(SUM($F778:H778)+SUM($F780:H780)-SUM($F779:H779)-SUM($F783:H783),0))</f>
        <v>0</v>
      </c>
      <c r="I784" s="53">
        <f>IF(SUM($F778:I778)&gt;=0,MAX(SUM($F778:I778)+SUM($F780:I780)-SUM($F779:I779)-SUM($F783:I783),0),MIN(SUM($F778:I778)+SUM($F780:I780)-SUM($F779:I779)-SUM($F783:I783),0))</f>
        <v>0</v>
      </c>
      <c r="J784" s="53">
        <f>IF(SUM($F778:J778)&gt;=0,MAX(SUM($F778:J778)+SUM($F780:J780)-SUM($F779:J779)-SUM($F783:J783),0),MIN(SUM($F778:J778)+SUM($F780:J780)-SUM($F779:J779)-SUM($F783:J783),0))</f>
        <v>0</v>
      </c>
      <c r="K784" s="53">
        <f>IF(SUM($F778:K778)&gt;=0,MAX(SUM($F778:K778)+SUM($F780:K780)-SUM($F779:K779)-SUM($F783:K783),0),MIN(SUM($F778:K778)+SUM($F780:K780)-SUM($F779:K779)-SUM($F783:K783),0))</f>
        <v>0</v>
      </c>
      <c r="L784" s="53">
        <f>IF(SUM($F778:L778)&gt;=0,MAX(SUM($F778:L778)+SUM($F780:L780)-SUM($F779:L779)-SUM($F783:L783),0),MIN(SUM($F778:L778)+SUM($F780:L780)-SUM($F779:L779)-SUM($F783:L783),0))</f>
        <v>0</v>
      </c>
      <c r="M784" s="53">
        <f>IF(SUM($F778:M778)&gt;=0,MAX(SUM($F778:M778)+SUM($F780:M780)-SUM($F779:M779)-SUM($F783:M783),0),MIN(SUM($F778:M778)+SUM($F780:M780)-SUM($F779:M779)-SUM($F783:M783),0))</f>
        <v>0</v>
      </c>
      <c r="N784" s="53">
        <f>IF(SUM($F778:N778)&gt;=0,MAX(SUM($F778:N778)+SUM($F780:N780)-SUM($F779:N779)-SUM($F783:N783),0),MIN(SUM($F778:N778)+SUM($F780:N780)-SUM($F779:N779)-SUM($F783:N783),0))</f>
        <v>0</v>
      </c>
      <c r="O784" s="53">
        <f>IF(SUM($F778:O778)&gt;=0,MAX(SUM($F778:O778)+SUM($F780:O780)-SUM($F779:O779)-SUM($F783:O783),0),MIN(SUM($F778:O778)+SUM($F780:O780)-SUM($F779:O779)-SUM($F783:O783),0))</f>
        <v>0</v>
      </c>
      <c r="P784" s="53">
        <f>IF(SUM($F778:P778)&gt;=0,MAX(SUM($F778:P778)+SUM($F780:P780)-SUM($F779:P779)-SUM($F783:P783),0),MIN(SUM($F778:P778)+SUM($F780:P780)-SUM($F779:P779)-SUM($F783:P783),0))</f>
        <v>0</v>
      </c>
      <c r="Q784" s="53">
        <f>IF(SUM($F778:Q778)&gt;=0,MAX(SUM($F778:Q778)+SUM($F780:Q780)-SUM($F779:Q779)-SUM($F783:Q783),0),MIN(SUM($F778:Q778)+SUM($F780:Q780)-SUM($F779:Q779)-SUM($F783:Q783),0))</f>
        <v>0</v>
      </c>
    </row>
    <row r="785" spans="1:19" hidden="1" outlineLevel="2" x14ac:dyDescent="0.2">
      <c r="A785" t="str">
        <f ca="1">Language!A$572</f>
        <v xml:space="preserve">    выплаченные авансы</v>
      </c>
      <c r="C785" s="5" t="str">
        <f ca="1">CHOOSE(B710,CUR_Main,CUR_Foreign)</f>
        <v>руб.</v>
      </c>
      <c r="D785" t="str">
        <f>TEXT(B710,"0")&amp;"_09"&amp;";int_end"</f>
        <v>1_09;int_end</v>
      </c>
      <c r="F785" s="53">
        <f>IF(SUM($F778:F778)&gt;=0,MAX(SUM($F779:F779)+SUM($F783:F783)-SUM($F778:F778)-SUM($F780:F780),0),MIN(SUM($F779:F779)+SUM($F783:F783)-SUM($F778:F778)-SUM($F780:F780),0))</f>
        <v>0</v>
      </c>
      <c r="G785" s="53">
        <f>IF(SUM($F778:G778)&gt;=0,MAX(SUM($F779:G779)+SUM($F783:G783)-SUM($F778:G778)-SUM($F780:G780),0),MIN(SUM($F779:G779)+SUM($F783:G783)-SUM($F778:G778)-SUM($F780:G780),0))</f>
        <v>0</v>
      </c>
      <c r="H785" s="53">
        <f>IF(SUM($F778:H778)&gt;=0,MAX(SUM($F779:H779)+SUM($F783:H783)-SUM($F778:H778)-SUM($F780:H780),0),MIN(SUM($F779:H779)+SUM($F783:H783)-SUM($F778:H778)-SUM($F780:H780),0))</f>
        <v>0</v>
      </c>
      <c r="I785" s="53">
        <f>IF(SUM($F778:I778)&gt;=0,MAX(SUM($F779:I779)+SUM($F783:I783)-SUM($F778:I778)-SUM($F780:I780),0),MIN(SUM($F779:I779)+SUM($F783:I783)-SUM($F778:I778)-SUM($F780:I780),0))</f>
        <v>0</v>
      </c>
      <c r="J785" s="53">
        <f>IF(SUM($F778:J778)&gt;=0,MAX(SUM($F779:J779)+SUM($F783:J783)-SUM($F778:J778)-SUM($F780:J780),0),MIN(SUM($F779:J779)+SUM($F783:J783)-SUM($F778:J778)-SUM($F780:J780),0))</f>
        <v>0</v>
      </c>
      <c r="K785" s="53">
        <f>IF(SUM($F778:K778)&gt;=0,MAX(SUM($F779:K779)+SUM($F783:K783)-SUM($F778:K778)-SUM($F780:K780),0),MIN(SUM($F779:K779)+SUM($F783:K783)-SUM($F778:K778)-SUM($F780:K780),0))</f>
        <v>0</v>
      </c>
      <c r="L785" s="53">
        <f>IF(SUM($F778:L778)&gt;=0,MAX(SUM($F779:L779)+SUM($F783:L783)-SUM($F778:L778)-SUM($F780:L780),0),MIN(SUM($F779:L779)+SUM($F783:L783)-SUM($F778:L778)-SUM($F780:L780),0))</f>
        <v>0</v>
      </c>
      <c r="M785" s="53">
        <f>IF(SUM($F778:M778)&gt;=0,MAX(SUM($F779:M779)+SUM($F783:M783)-SUM($F778:M778)-SUM($F780:M780),0),MIN(SUM($F779:M779)+SUM($F783:M783)-SUM($F778:M778)-SUM($F780:M780),0))</f>
        <v>0</v>
      </c>
      <c r="N785" s="53">
        <f>IF(SUM($F778:N778)&gt;=0,MAX(SUM($F779:N779)+SUM($F783:N783)-SUM($F778:N778)-SUM($F780:N780),0),MIN(SUM($F779:N779)+SUM($F783:N783)-SUM($F778:N778)-SUM($F780:N780),0))</f>
        <v>0</v>
      </c>
      <c r="O785" s="53">
        <f>IF(SUM($F778:O778)&gt;=0,MAX(SUM($F779:O779)+SUM($F783:O783)-SUM($F778:O778)-SUM($F780:O780),0),MIN(SUM($F779:O779)+SUM($F783:O783)-SUM($F778:O778)-SUM($F780:O780),0))</f>
        <v>0</v>
      </c>
      <c r="P785" s="53">
        <f>IF(SUM($F778:P778)&gt;=0,MAX(SUM($F779:P779)+SUM($F783:P783)-SUM($F778:P778)-SUM($F780:P780),0),MIN(SUM($F779:P779)+SUM($F783:P783)-SUM($F778:P778)-SUM($F780:P780),0))</f>
        <v>0</v>
      </c>
      <c r="Q785" s="53">
        <f>IF(SUM($F778:Q778)&gt;=0,MAX(SUM($F779:Q779)+SUM($F783:Q783)-SUM($F778:Q778)-SUM($F780:Q780),0),MIN(SUM($F779:Q779)+SUM($F783:Q783)-SUM($F778:Q778)-SUM($F780:Q780),0))</f>
        <v>0</v>
      </c>
    </row>
    <row r="786" spans="1:19" hidden="1" outlineLevel="2" x14ac:dyDescent="0.2">
      <c r="A786" t="str">
        <f ca="1">Language!A$573</f>
        <v xml:space="preserve">    списано затрат на реализованную продукцию</v>
      </c>
      <c r="C786" s="5" t="str">
        <f ca="1">CHOOSE(B710,CUR_Main,CUR_Foreign)</f>
        <v>руб.</v>
      </c>
      <c r="D786" t="str">
        <f>TEXT(B710,"0")&amp;"_10"</f>
        <v>1_10</v>
      </c>
      <c r="F786" s="53">
        <f>IF((E665+F663)&gt;0,F664*(E787+F776)/(E665+F663),0)</f>
        <v>0</v>
      </c>
      <c r="G786" s="53">
        <f>IF((F665+G663)&gt;0,G664*(F787+G776)/(F665+G663),0)</f>
        <v>0</v>
      </c>
      <c r="H786" s="53">
        <f>IF((G665+H663)&gt;0,H664*(G787+H776)/(G665+H663),0)</f>
        <v>0</v>
      </c>
      <c r="I786" s="53">
        <f>IF((H665+I663)&gt;0,I664*(H787+I776)/(H665+I663),0)</f>
        <v>0</v>
      </c>
      <c r="J786" s="53">
        <f>IF((I665+J663)&gt;0,J664*(I787+J776)/(I665+J663),0)</f>
        <v>0</v>
      </c>
      <c r="K786" s="53">
        <f>IF((J665+K663)&gt;0,K664*(J787+K776)/(J665+K663),0)</f>
        <v>0</v>
      </c>
      <c r="L786" s="53">
        <f>IF((K665+L663)&gt;0,L664*(K787+L776)/(K665+L663),0)</f>
        <v>0</v>
      </c>
      <c r="M786" s="53">
        <f>IF((L665+M663)&gt;0,M664*(L787+M776)/(L665+M663),0)</f>
        <v>0</v>
      </c>
      <c r="N786" s="53">
        <f>IF((M665+N663)&gt;0,N664*(M787+N776)/(M665+N663),0)</f>
        <v>0</v>
      </c>
      <c r="O786" s="53">
        <f>IF((N665+O663)&gt;0,O664*(N787+O776)/(N665+O663),0)</f>
        <v>0</v>
      </c>
      <c r="P786" s="53">
        <f>IF((O665+P663)&gt;0,P664*(O787+P776)/(O665+P663),0)</f>
        <v>0</v>
      </c>
      <c r="Q786" s="53">
        <f>IF((P665+Q663)&gt;0,Q664*(P787+Q776)/(P665+Q663),0)</f>
        <v>0</v>
      </c>
      <c r="S786" s="54">
        <f>SUM(F786:Q786)</f>
        <v>0</v>
      </c>
    </row>
    <row r="787" spans="1:19" hidden="1" outlineLevel="2" x14ac:dyDescent="0.2">
      <c r="A787" s="48" t="str">
        <f ca="1">Language!A$574</f>
        <v xml:space="preserve">    остаток затрат на складе готовой продукции</v>
      </c>
      <c r="C787" s="5" t="str">
        <f ca="1">CHOOSE(B710,CUR_Main,CUR_Foreign)</f>
        <v>руб.</v>
      </c>
      <c r="D787" t="str">
        <f>TEXT(B710,"0")&amp;"_11"&amp;";int_end"</f>
        <v>1_11;int_end</v>
      </c>
      <c r="F787" s="84">
        <f>IF((F663+E665)&gt;0,F665*(E787+F776)/(E665+F663),0)</f>
        <v>0</v>
      </c>
      <c r="G787" s="84">
        <f>IF((G663+F665)&gt;0,G665*(F787+G776)/(F665+G663),0)</f>
        <v>0</v>
      </c>
      <c r="H787" s="84">
        <f>IF((H663+G665)&gt;0,H665*(G787+H776)/(G665+H663),0)</f>
        <v>0</v>
      </c>
      <c r="I787" s="84">
        <f>IF((I663+H665)&gt;0,I665*(H787+I776)/(H665+I663),0)</f>
        <v>0</v>
      </c>
      <c r="J787" s="84">
        <f>IF((J663+I665)&gt;0,J665*(I787+J776)/(I665+J663),0)</f>
        <v>0</v>
      </c>
      <c r="K787" s="84">
        <f>IF((K663+J665)&gt;0,K665*(J787+K776)/(J665+K663),0)</f>
        <v>0</v>
      </c>
      <c r="L787" s="84">
        <f>IF((L663+K665)&gt;0,L665*(K787+L776)/(K665+L663),0)</f>
        <v>0</v>
      </c>
      <c r="M787" s="84">
        <f>IF((M663+L665)&gt;0,M665*(L787+M776)/(L665+M663),0)</f>
        <v>0</v>
      </c>
      <c r="N787" s="84">
        <f>IF((N663+M665)&gt;0,N665*(M787+N776)/(M665+N663),0)</f>
        <v>0</v>
      </c>
      <c r="O787" s="84">
        <f>IF((O663+N665)&gt;0,O665*(N787+O776)/(N665+O663),0)</f>
        <v>0</v>
      </c>
      <c r="P787" s="84">
        <f>IF((P663+O665)&gt;0,P665*(O787+P776)/(O665+P663),0)</f>
        <v>0</v>
      </c>
      <c r="Q787" s="84">
        <f>IF((Q663+P665)&gt;0,Q665*(P787+Q776)/(P665+Q663),0)</f>
        <v>0</v>
      </c>
    </row>
    <row r="788" spans="1:19" hidden="1" outlineLevel="2" x14ac:dyDescent="0.2">
      <c r="A788" s="48" t="str">
        <f ca="1">Language!A$575</f>
        <v xml:space="preserve">    остаток затрат в незавершенном производстве</v>
      </c>
      <c r="B788" s="255">
        <f>NWC_T_Cycle</f>
        <v>60</v>
      </c>
      <c r="C788" s="5" t="str">
        <f ca="1">Language!A$38</f>
        <v>дн.</v>
      </c>
      <c r="D788" t="str">
        <f>TEXT(B710,"0")&amp;"_12"&amp;";int_end"</f>
        <v>1_12;int_end</v>
      </c>
      <c r="F788" s="84">
        <f>F776*$B788/PRJ_Step</f>
        <v>0</v>
      </c>
      <c r="G788" s="84">
        <f>G776*$B788/PRJ_Step</f>
        <v>0</v>
      </c>
      <c r="H788" s="84">
        <f>H776*$B788/PRJ_Step</f>
        <v>0</v>
      </c>
      <c r="I788" s="84">
        <f>I776*$B788/PRJ_Step</f>
        <v>0</v>
      </c>
      <c r="J788" s="84">
        <f>J776*$B788/PRJ_Step</f>
        <v>0</v>
      </c>
      <c r="K788" s="84">
        <f>K776*$B788/PRJ_Step</f>
        <v>0</v>
      </c>
      <c r="L788" s="84">
        <f>L776*$B788/PRJ_Step</f>
        <v>0</v>
      </c>
      <c r="M788" s="84">
        <f>M776*$B788/PRJ_Step</f>
        <v>0</v>
      </c>
      <c r="N788" s="84">
        <f>N776*$B788/PRJ_Step</f>
        <v>0</v>
      </c>
      <c r="O788" s="84">
        <f>O776*$B788/PRJ_Step</f>
        <v>0</v>
      </c>
      <c r="P788" s="84">
        <f>P776*$B788/PRJ_Step</f>
        <v>0</v>
      </c>
      <c r="Q788" s="84">
        <f>Q776*$B788/PRJ_Step</f>
        <v>0</v>
      </c>
    </row>
    <row r="789" spans="1:19" outlineLevel="1" x14ac:dyDescent="0.2">
      <c r="A789" s="48" t="str">
        <f>A544</f>
        <v>Проект</v>
      </c>
      <c r="E789">
        <v>15</v>
      </c>
    </row>
    <row r="790" spans="1:19" outlineLevel="1" collapsed="1" x14ac:dyDescent="0.2">
      <c r="A790" s="11" t="str">
        <f>A686</f>
        <v xml:space="preserve">Наименование сырья </v>
      </c>
      <c r="C790" s="5" t="str">
        <f ca="1">CHOOSE(B717,CUR_Main,CUR_Foreign)</f>
        <v>руб.</v>
      </c>
      <c r="D790" s="16" t="str">
        <f>TEXT(B717,"0")&amp;"_00"</f>
        <v>1_00</v>
      </c>
      <c r="F790" s="53">
        <f>F686*F717</f>
        <v>0</v>
      </c>
      <c r="G790" s="53">
        <f>G686*G717</f>
        <v>0</v>
      </c>
      <c r="H790" s="53">
        <f>H686*H717</f>
        <v>0</v>
      </c>
      <c r="I790" s="53">
        <f>I686*I717</f>
        <v>0</v>
      </c>
      <c r="J790" s="53">
        <f>J686*J717</f>
        <v>0</v>
      </c>
      <c r="K790" s="53">
        <f>K686*K717</f>
        <v>0</v>
      </c>
      <c r="L790" s="53">
        <f>L686*L717</f>
        <v>0</v>
      </c>
      <c r="M790" s="53">
        <f>M686*M717</f>
        <v>0</v>
      </c>
      <c r="N790" s="53">
        <f>N686*N717</f>
        <v>0</v>
      </c>
      <c r="O790" s="53">
        <f>O686*O717</f>
        <v>0</v>
      </c>
      <c r="P790" s="53">
        <f>P686*P717</f>
        <v>0</v>
      </c>
      <c r="Q790" s="53">
        <f>Q686*Q717</f>
        <v>0</v>
      </c>
      <c r="S790" s="54">
        <f>SUM(F790:Q790)</f>
        <v>0</v>
      </c>
    </row>
    <row r="791" spans="1:19" hidden="1" outlineLevel="2" x14ac:dyDescent="0.2">
      <c r="A791" t="str">
        <f ca="1">Language!A$562</f>
        <v xml:space="preserve">    среднее время хранения</v>
      </c>
      <c r="B791" s="255">
        <f>NWC_T_Mat</f>
        <v>0</v>
      </c>
      <c r="C791" s="5" t="str">
        <f ca="1">Language!A$38</f>
        <v>дн.</v>
      </c>
      <c r="D791" s="16"/>
      <c r="F791" s="53"/>
      <c r="G791" s="53"/>
      <c r="H791" s="53"/>
      <c r="I791" s="53"/>
      <c r="J791" s="53"/>
      <c r="K791" s="53"/>
      <c r="L791" s="53"/>
      <c r="M791" s="53"/>
      <c r="N791" s="53"/>
      <c r="O791" s="53"/>
      <c r="P791" s="53"/>
      <c r="Q791" s="53"/>
      <c r="S791" s="57"/>
    </row>
    <row r="792" spans="1:19" hidden="1" outlineLevel="2" x14ac:dyDescent="0.2">
      <c r="A792" t="str">
        <f ca="1">Language!A$563</f>
        <v xml:space="preserve">    затраты на сырье и материалы без НДС</v>
      </c>
      <c r="C792" s="5" t="str">
        <f ca="1">CHOOSE(B717,CUR_Main,CUR_Foreign)</f>
        <v>руб.</v>
      </c>
      <c r="D792" t="str">
        <f>TEXT(B717,"0")&amp;"_01"</f>
        <v>1_01</v>
      </c>
      <c r="F792" s="53">
        <f>F790/(1+$B722)</f>
        <v>0</v>
      </c>
      <c r="G792" s="53">
        <f>G790/(1+$B722)</f>
        <v>0</v>
      </c>
      <c r="H792" s="53">
        <f>H790/(1+$B722)</f>
        <v>0</v>
      </c>
      <c r="I792" s="53">
        <f>I790/(1+$B722)</f>
        <v>0</v>
      </c>
      <c r="J792" s="53">
        <f>J790/(1+$B722)</f>
        <v>0</v>
      </c>
      <c r="K792" s="53">
        <f>K790/(1+$B722)</f>
        <v>0</v>
      </c>
      <c r="L792" s="53">
        <f>L790/(1+$B722)</f>
        <v>0</v>
      </c>
      <c r="M792" s="53">
        <f>M790/(1+$B722)</f>
        <v>0</v>
      </c>
      <c r="N792" s="53">
        <f>N790/(1+$B722)</f>
        <v>0</v>
      </c>
      <c r="O792" s="53">
        <f>O790/(1+$B722)</f>
        <v>0</v>
      </c>
      <c r="P792" s="53">
        <f>P790/(1+$B722)</f>
        <v>0</v>
      </c>
      <c r="Q792" s="53">
        <f>Q790/(1+$B722)</f>
        <v>0</v>
      </c>
      <c r="S792" s="54">
        <f>SUM(F792:Q792)</f>
        <v>0</v>
      </c>
    </row>
    <row r="793" spans="1:19" hidden="1" outlineLevel="2" x14ac:dyDescent="0.2">
      <c r="A793" t="str">
        <f ca="1">Language!A$564</f>
        <v xml:space="preserve">    в том числе импортная пошлина</v>
      </c>
      <c r="C793" s="5" t="str">
        <f ca="1">CHOOSE(B717,CUR_Main,CUR_Foreign)</f>
        <v>руб.</v>
      </c>
      <c r="D793" t="str">
        <f>TEXT(B717,"0")&amp;"_02"</f>
        <v>1_02</v>
      </c>
      <c r="F793" s="53">
        <f>F792/(1+$B721)*$B721</f>
        <v>0</v>
      </c>
      <c r="G793" s="53">
        <f>G792/(1+$B721)*$B721</f>
        <v>0</v>
      </c>
      <c r="H793" s="53">
        <f>H792/(1+$B721)*$B721</f>
        <v>0</v>
      </c>
      <c r="I793" s="53">
        <f>I792/(1+$B721)*$B721</f>
        <v>0</v>
      </c>
      <c r="J793" s="53">
        <f>J792/(1+$B721)*$B721</f>
        <v>0</v>
      </c>
      <c r="K793" s="53">
        <f>K792/(1+$B721)*$B721</f>
        <v>0</v>
      </c>
      <c r="L793" s="53">
        <f>L792/(1+$B721)*$B721</f>
        <v>0</v>
      </c>
      <c r="M793" s="53">
        <f>M792/(1+$B721)*$B721</f>
        <v>0</v>
      </c>
      <c r="N793" s="53">
        <f>N792/(1+$B721)*$B721</f>
        <v>0</v>
      </c>
      <c r="O793" s="53">
        <f>O792/(1+$B721)*$B721</f>
        <v>0</v>
      </c>
      <c r="P793" s="53">
        <f>P792/(1+$B721)*$B721</f>
        <v>0</v>
      </c>
      <c r="Q793" s="53">
        <f>Q792/(1+$B721)*$B721</f>
        <v>0</v>
      </c>
      <c r="S793" s="54">
        <f>SUM(F793:Q793)</f>
        <v>0</v>
      </c>
    </row>
    <row r="794" spans="1:19" hidden="1" outlineLevel="2" x14ac:dyDescent="0.2">
      <c r="A794" t="str">
        <f ca="1">Language!A$565</f>
        <v xml:space="preserve">    закуплено сырья и материалов на сумму (без НДС)</v>
      </c>
      <c r="C794" s="5" t="str">
        <f ca="1">CHOOSE(B717,CUR_Main,CUR_Foreign)</f>
        <v>руб.</v>
      </c>
      <c r="D794" t="str">
        <f>TEXT(B717,"0")&amp;"_03"</f>
        <v>1_03</v>
      </c>
      <c r="F794" s="270">
        <f>F792</f>
        <v>0</v>
      </c>
      <c r="G794" s="270">
        <f>G792</f>
        <v>0</v>
      </c>
      <c r="H794" s="270">
        <f>H792</f>
        <v>0</v>
      </c>
      <c r="I794" s="270">
        <f>I792</f>
        <v>0</v>
      </c>
      <c r="J794" s="270">
        <f>J792</f>
        <v>0</v>
      </c>
      <c r="K794" s="270">
        <f>K792</f>
        <v>0</v>
      </c>
      <c r="L794" s="270">
        <f>L792</f>
        <v>0</v>
      </c>
      <c r="M794" s="270">
        <f>M792</f>
        <v>0</v>
      </c>
      <c r="N794" s="270">
        <f>N792</f>
        <v>0</v>
      </c>
      <c r="O794" s="270">
        <f>O792</f>
        <v>0</v>
      </c>
      <c r="P794" s="270">
        <f>P792</f>
        <v>0</v>
      </c>
      <c r="Q794" s="270">
        <f>Q792</f>
        <v>0</v>
      </c>
      <c r="S794" s="54">
        <f>SUM(F794:Q794)</f>
        <v>0</v>
      </c>
    </row>
    <row r="795" spans="1:19" hidden="1" outlineLevel="2" x14ac:dyDescent="0.2">
      <c r="A795" t="str">
        <f ca="1">Language!A$569</f>
        <v xml:space="preserve">    оплачено сырья и материалов (без НДС)</v>
      </c>
      <c r="C795" s="5" t="str">
        <f ca="1">CHOOSE(B717,CUR_Main,CUR_Foreign)</f>
        <v>руб.</v>
      </c>
      <c r="D795" t="str">
        <f>TEXT(B717,"0")&amp;"_06"</f>
        <v>1_06</v>
      </c>
      <c r="F795" s="270">
        <f>F794</f>
        <v>0</v>
      </c>
      <c r="G795" s="270">
        <f>G794</f>
        <v>0</v>
      </c>
      <c r="H795" s="270">
        <f>H794</f>
        <v>0</v>
      </c>
      <c r="I795" s="270">
        <f>I794</f>
        <v>0</v>
      </c>
      <c r="J795" s="270">
        <f>J794</f>
        <v>0</v>
      </c>
      <c r="K795" s="270">
        <f>K794</f>
        <v>0</v>
      </c>
      <c r="L795" s="270">
        <f>L794</f>
        <v>0</v>
      </c>
      <c r="M795" s="270">
        <f>M794</f>
        <v>0</v>
      </c>
      <c r="N795" s="270">
        <f>N794</f>
        <v>0</v>
      </c>
      <c r="O795" s="270">
        <f>O794</f>
        <v>0</v>
      </c>
      <c r="P795" s="270">
        <f>P794</f>
        <v>0</v>
      </c>
      <c r="Q795" s="270">
        <f>Q794</f>
        <v>0</v>
      </c>
      <c r="S795" s="54">
        <f>SUM(F795:Q795)</f>
        <v>0</v>
      </c>
    </row>
    <row r="796" spans="1:19" hidden="1" outlineLevel="2" x14ac:dyDescent="0.2">
      <c r="A796" t="str">
        <f ca="1">Language!A$566</f>
        <v xml:space="preserve">    зачет НДС</v>
      </c>
      <c r="C796" s="5" t="str">
        <f ca="1">CHOOSE(B717,CUR_Main,CUR_Foreign)</f>
        <v>руб.</v>
      </c>
      <c r="D796" t="str">
        <f>TEXT(B717,"0")&amp;"_04"</f>
        <v>1_04</v>
      </c>
      <c r="F796" s="53">
        <f>F794*$B722</f>
        <v>0</v>
      </c>
      <c r="G796" s="53">
        <f>G794*$B722</f>
        <v>0</v>
      </c>
      <c r="H796" s="53">
        <f>H794*$B722</f>
        <v>0</v>
      </c>
      <c r="I796" s="53">
        <f>I794*$B722</f>
        <v>0</v>
      </c>
      <c r="J796" s="53">
        <f>J794*$B722</f>
        <v>0</v>
      </c>
      <c r="K796" s="53">
        <f>K794*$B722</f>
        <v>0</v>
      </c>
      <c r="L796" s="53">
        <f>L794*$B722</f>
        <v>0</v>
      </c>
      <c r="M796" s="53">
        <f>M794*$B722</f>
        <v>0</v>
      </c>
      <c r="N796" s="53">
        <f>N794*$B722</f>
        <v>0</v>
      </c>
      <c r="O796" s="53">
        <f>O794*$B722</f>
        <v>0</v>
      </c>
      <c r="P796" s="53">
        <f>P794*$B722</f>
        <v>0</v>
      </c>
      <c r="Q796" s="53">
        <f>Q794*$B722</f>
        <v>0</v>
      </c>
      <c r="S796" s="54">
        <f>SUM(F796:Q796)</f>
        <v>0</v>
      </c>
    </row>
    <row r="797" spans="1:19" hidden="1" outlineLevel="2" x14ac:dyDescent="0.2">
      <c r="A797" t="str">
        <f ca="1">Language!A$567</f>
        <v xml:space="preserve">    запасы на основе периодов оборота</v>
      </c>
      <c r="C797" s="5" t="str">
        <f ca="1">CHOOSE(B717,CUR_Main,CUR_Foreign)</f>
        <v>руб.</v>
      </c>
      <c r="D797" t="str">
        <f>TEXT(B717,"0")&amp;"_05"&amp;";int_end"</f>
        <v>1_05;int_end</v>
      </c>
      <c r="F797" s="84">
        <f>F792*$B791/PRJ_Step</f>
        <v>0</v>
      </c>
      <c r="G797" s="84">
        <f>G792*$B791/PRJ_Step</f>
        <v>0</v>
      </c>
      <c r="H797" s="84">
        <f>H792*$B791/PRJ_Step</f>
        <v>0</v>
      </c>
      <c r="I797" s="84">
        <f>I792*$B791/PRJ_Step</f>
        <v>0</v>
      </c>
      <c r="J797" s="84">
        <f>J792*$B791/PRJ_Step</f>
        <v>0</v>
      </c>
      <c r="K797" s="84">
        <f>K792*$B791/PRJ_Step</f>
        <v>0</v>
      </c>
      <c r="L797" s="84">
        <f>L792*$B791/PRJ_Step</f>
        <v>0</v>
      </c>
      <c r="M797" s="84">
        <f>M792*$B791/PRJ_Step</f>
        <v>0</v>
      </c>
      <c r="N797" s="84">
        <f>N792*$B791/PRJ_Step</f>
        <v>0</v>
      </c>
      <c r="O797" s="84">
        <f>O792*$B791/PRJ_Step</f>
        <v>0</v>
      </c>
      <c r="P797" s="84">
        <f>P792*$B791/PRJ_Step</f>
        <v>0</v>
      </c>
      <c r="Q797" s="84">
        <f>Q792*$B791/PRJ_Step</f>
        <v>0</v>
      </c>
    </row>
    <row r="798" spans="1:19" hidden="1" outlineLevel="2" x14ac:dyDescent="0.2">
      <c r="A798" t="str">
        <f ca="1">Language!A$568</f>
        <v xml:space="preserve">    запасы на основе графика оплаты</v>
      </c>
      <c r="C798" s="5" t="str">
        <f ca="1">CHOOSE(B717,CUR_Main,CUR_Foreign)</f>
        <v>руб.</v>
      </c>
      <c r="D798" t="str">
        <f>TEXT(B717,"0")&amp;"_13"&amp;";int_end"</f>
        <v>1_13;int_end</v>
      </c>
      <c r="F798" s="84">
        <f>E798+F794-F792</f>
        <v>0</v>
      </c>
      <c r="G798" s="84">
        <f>F798+G794-G792</f>
        <v>0</v>
      </c>
      <c r="H798" s="84">
        <f>G798+H794-H792</f>
        <v>0</v>
      </c>
      <c r="I798" s="84">
        <f>H798+I794-I792</f>
        <v>0</v>
      </c>
      <c r="J798" s="84">
        <f>I798+J794-J792</f>
        <v>0</v>
      </c>
      <c r="K798" s="84">
        <f>J798+K794-K792</f>
        <v>0</v>
      </c>
      <c r="L798" s="84">
        <f>K798+L794-L792</f>
        <v>0</v>
      </c>
      <c r="M798" s="84">
        <f>L798+M794-M792</f>
        <v>0</v>
      </c>
      <c r="N798" s="84">
        <f>M798+N794-N792</f>
        <v>0</v>
      </c>
      <c r="O798" s="84">
        <f>N798+O794-O792</f>
        <v>0</v>
      </c>
      <c r="P798" s="84">
        <f>O798+P794-P792</f>
        <v>0</v>
      </c>
      <c r="Q798" s="84">
        <f>P798+Q794-Q792</f>
        <v>0</v>
      </c>
    </row>
    <row r="799" spans="1:19" hidden="1" outlineLevel="2" x14ac:dyDescent="0.2">
      <c r="A799" t="str">
        <f ca="1">Language!A$570</f>
        <v xml:space="preserve">    выплаченный НДС</v>
      </c>
      <c r="C799" s="5" t="str">
        <f ca="1">CHOOSE(B717,CUR_Main,CUR_Foreign)</f>
        <v>руб.</v>
      </c>
      <c r="D799" t="str">
        <f>TEXT(B717,"0")&amp;"_07"</f>
        <v>1_07</v>
      </c>
      <c r="F799" s="53">
        <f>F795*$B722</f>
        <v>0</v>
      </c>
      <c r="G799" s="53">
        <f>G795*$B722</f>
        <v>0</v>
      </c>
      <c r="H799" s="53">
        <f>H795*$B722</f>
        <v>0</v>
      </c>
      <c r="I799" s="53">
        <f>I795*$B722</f>
        <v>0</v>
      </c>
      <c r="J799" s="53">
        <f>J795*$B722</f>
        <v>0</v>
      </c>
      <c r="K799" s="53">
        <f>K795*$B722</f>
        <v>0</v>
      </c>
      <c r="L799" s="53">
        <f>L795*$B722</f>
        <v>0</v>
      </c>
      <c r="M799" s="53">
        <f>M795*$B722</f>
        <v>0</v>
      </c>
      <c r="N799" s="53">
        <f>N795*$B722</f>
        <v>0</v>
      </c>
      <c r="O799" s="53">
        <f>O795*$B722</f>
        <v>0</v>
      </c>
      <c r="P799" s="53">
        <f>P795*$B722</f>
        <v>0</v>
      </c>
      <c r="Q799" s="53">
        <f>Q795*$B722</f>
        <v>0</v>
      </c>
      <c r="S799" s="54">
        <f>SUM(F799:Q799)</f>
        <v>0</v>
      </c>
    </row>
    <row r="800" spans="1:19" hidden="1" outlineLevel="2" x14ac:dyDescent="0.2">
      <c r="A800" t="str">
        <f ca="1">Language!A$571</f>
        <v xml:space="preserve">    кредиторская задолженность</v>
      </c>
      <c r="C800" s="5" t="str">
        <f ca="1">CHOOSE(B717,CUR_Main,CUR_Foreign)</f>
        <v>руб.</v>
      </c>
      <c r="D800" t="str">
        <f>TEXT(B717,"0")&amp;"_08"&amp;";int_end"</f>
        <v>1_08;int_end</v>
      </c>
      <c r="F800" s="53">
        <f>IF(SUM($F794:F794)&gt;=0,MAX(SUM($F794:F794)+SUM($F796:F796)-SUM($F795:F795)-SUM($F799:F799),0),MIN(SUM($F794:F794)+SUM($F796:F796)-SUM($F795:F795)-SUM($F799:F799),0))</f>
        <v>0</v>
      </c>
      <c r="G800" s="53">
        <f>IF(SUM($F794:G794)&gt;=0,MAX(SUM($F794:G794)+SUM($F796:G796)-SUM($F795:G795)-SUM($F799:G799),0),MIN(SUM($F794:G794)+SUM($F796:G796)-SUM($F795:G795)-SUM($F799:G799),0))</f>
        <v>0</v>
      </c>
      <c r="H800" s="53">
        <f>IF(SUM($F794:H794)&gt;=0,MAX(SUM($F794:H794)+SUM($F796:H796)-SUM($F795:H795)-SUM($F799:H799),0),MIN(SUM($F794:H794)+SUM($F796:H796)-SUM($F795:H795)-SUM($F799:H799),0))</f>
        <v>0</v>
      </c>
      <c r="I800" s="53">
        <f>IF(SUM($F794:I794)&gt;=0,MAX(SUM($F794:I794)+SUM($F796:I796)-SUM($F795:I795)-SUM($F799:I799),0),MIN(SUM($F794:I794)+SUM($F796:I796)-SUM($F795:I795)-SUM($F799:I799),0))</f>
        <v>0</v>
      </c>
      <c r="J800" s="53">
        <f>IF(SUM($F794:J794)&gt;=0,MAX(SUM($F794:J794)+SUM($F796:J796)-SUM($F795:J795)-SUM($F799:J799),0),MIN(SUM($F794:J794)+SUM($F796:J796)-SUM($F795:J795)-SUM($F799:J799),0))</f>
        <v>0</v>
      </c>
      <c r="K800" s="53">
        <f>IF(SUM($F794:K794)&gt;=0,MAX(SUM($F794:K794)+SUM($F796:K796)-SUM($F795:K795)-SUM($F799:K799),0),MIN(SUM($F794:K794)+SUM($F796:K796)-SUM($F795:K795)-SUM($F799:K799),0))</f>
        <v>0</v>
      </c>
      <c r="L800" s="53">
        <f>IF(SUM($F794:L794)&gt;=0,MAX(SUM($F794:L794)+SUM($F796:L796)-SUM($F795:L795)-SUM($F799:L799),0),MIN(SUM($F794:L794)+SUM($F796:L796)-SUM($F795:L795)-SUM($F799:L799),0))</f>
        <v>0</v>
      </c>
      <c r="M800" s="53">
        <f>IF(SUM($F794:M794)&gt;=0,MAX(SUM($F794:M794)+SUM($F796:M796)-SUM($F795:M795)-SUM($F799:M799),0),MIN(SUM($F794:M794)+SUM($F796:M796)-SUM($F795:M795)-SUM($F799:M799),0))</f>
        <v>0</v>
      </c>
      <c r="N800" s="53">
        <f>IF(SUM($F794:N794)&gt;=0,MAX(SUM($F794:N794)+SUM($F796:N796)-SUM($F795:N795)-SUM($F799:N799),0),MIN(SUM($F794:N794)+SUM($F796:N796)-SUM($F795:N795)-SUM($F799:N799),0))</f>
        <v>0</v>
      </c>
      <c r="O800" s="53">
        <f>IF(SUM($F794:O794)&gt;=0,MAX(SUM($F794:O794)+SUM($F796:O796)-SUM($F795:O795)-SUM($F799:O799),0),MIN(SUM($F794:O794)+SUM($F796:O796)-SUM($F795:O795)-SUM($F799:O799),0))</f>
        <v>0</v>
      </c>
      <c r="P800" s="53">
        <f>IF(SUM($F794:P794)&gt;=0,MAX(SUM($F794:P794)+SUM($F796:P796)-SUM($F795:P795)-SUM($F799:P799),0),MIN(SUM($F794:P794)+SUM($F796:P796)-SUM($F795:P795)-SUM($F799:P799),0))</f>
        <v>0</v>
      </c>
      <c r="Q800" s="53">
        <f>IF(SUM($F794:Q794)&gt;=0,MAX(SUM($F794:Q794)+SUM($F796:Q796)-SUM($F795:Q795)-SUM($F799:Q799),0),MIN(SUM($F794:Q794)+SUM($F796:Q796)-SUM($F795:Q795)-SUM($F799:Q799),0))</f>
        <v>0</v>
      </c>
    </row>
    <row r="801" spans="1:19" hidden="1" outlineLevel="2" x14ac:dyDescent="0.2">
      <c r="A801" t="str">
        <f ca="1">Language!A$572</f>
        <v xml:space="preserve">    выплаченные авансы</v>
      </c>
      <c r="C801" s="5" t="str">
        <f ca="1">CHOOSE(B717,CUR_Main,CUR_Foreign)</f>
        <v>руб.</v>
      </c>
      <c r="D801" t="str">
        <f>TEXT(B717,"0")&amp;"_09"&amp;";int_end"</f>
        <v>1_09;int_end</v>
      </c>
      <c r="F801" s="53">
        <f>IF(SUM($F794:F794)&gt;=0,MAX(SUM($F795:F795)+SUM($F799:F799)-SUM($F794:F794)-SUM($F796:F796),0),MIN(SUM($F795:F795)+SUM($F799:F799)-SUM($F794:F794)-SUM($F796:F796),0))</f>
        <v>0</v>
      </c>
      <c r="G801" s="53">
        <f>IF(SUM($F794:G794)&gt;=0,MAX(SUM($F795:G795)+SUM($F799:G799)-SUM($F794:G794)-SUM($F796:G796),0),MIN(SUM($F795:G795)+SUM($F799:G799)-SUM($F794:G794)-SUM($F796:G796),0))</f>
        <v>0</v>
      </c>
      <c r="H801" s="53">
        <f>IF(SUM($F794:H794)&gt;=0,MAX(SUM($F795:H795)+SUM($F799:H799)-SUM($F794:H794)-SUM($F796:H796),0),MIN(SUM($F795:H795)+SUM($F799:H799)-SUM($F794:H794)-SUM($F796:H796),0))</f>
        <v>0</v>
      </c>
      <c r="I801" s="53">
        <f>IF(SUM($F794:I794)&gt;=0,MAX(SUM($F795:I795)+SUM($F799:I799)-SUM($F794:I794)-SUM($F796:I796),0),MIN(SUM($F795:I795)+SUM($F799:I799)-SUM($F794:I794)-SUM($F796:I796),0))</f>
        <v>0</v>
      </c>
      <c r="J801" s="53">
        <f>IF(SUM($F794:J794)&gt;=0,MAX(SUM($F795:J795)+SUM($F799:J799)-SUM($F794:J794)-SUM($F796:J796),0),MIN(SUM($F795:J795)+SUM($F799:J799)-SUM($F794:J794)-SUM($F796:J796),0))</f>
        <v>0</v>
      </c>
      <c r="K801" s="53">
        <f>IF(SUM($F794:K794)&gt;=0,MAX(SUM($F795:K795)+SUM($F799:K799)-SUM($F794:K794)-SUM($F796:K796),0),MIN(SUM($F795:K795)+SUM($F799:K799)-SUM($F794:K794)-SUM($F796:K796),0))</f>
        <v>0</v>
      </c>
      <c r="L801" s="53">
        <f>IF(SUM($F794:L794)&gt;=0,MAX(SUM($F795:L795)+SUM($F799:L799)-SUM($F794:L794)-SUM($F796:L796),0),MIN(SUM($F795:L795)+SUM($F799:L799)-SUM($F794:L794)-SUM($F796:L796),0))</f>
        <v>0</v>
      </c>
      <c r="M801" s="53">
        <f>IF(SUM($F794:M794)&gt;=0,MAX(SUM($F795:M795)+SUM($F799:M799)-SUM($F794:M794)-SUM($F796:M796),0),MIN(SUM($F795:M795)+SUM($F799:M799)-SUM($F794:M794)-SUM($F796:M796),0))</f>
        <v>0</v>
      </c>
      <c r="N801" s="53">
        <f>IF(SUM($F794:N794)&gt;=0,MAX(SUM($F795:N795)+SUM($F799:N799)-SUM($F794:N794)-SUM($F796:N796),0),MIN(SUM($F795:N795)+SUM($F799:N799)-SUM($F794:N794)-SUM($F796:N796),0))</f>
        <v>0</v>
      </c>
      <c r="O801" s="53">
        <f>IF(SUM($F794:O794)&gt;=0,MAX(SUM($F795:O795)+SUM($F799:O799)-SUM($F794:O794)-SUM($F796:O796),0),MIN(SUM($F795:O795)+SUM($F799:O799)-SUM($F794:O794)-SUM($F796:O796),0))</f>
        <v>0</v>
      </c>
      <c r="P801" s="53">
        <f>IF(SUM($F794:P794)&gt;=0,MAX(SUM($F795:P795)+SUM($F799:P799)-SUM($F794:P794)-SUM($F796:P796),0),MIN(SUM($F795:P795)+SUM($F799:P799)-SUM($F794:P794)-SUM($F796:P796),0))</f>
        <v>0</v>
      </c>
      <c r="Q801" s="53">
        <f>IF(SUM($F794:Q794)&gt;=0,MAX(SUM($F795:Q795)+SUM($F799:Q799)-SUM($F794:Q794)-SUM($F796:Q796),0),MIN(SUM($F795:Q795)+SUM($F799:Q799)-SUM($F794:Q794)-SUM($F796:Q796),0))</f>
        <v>0</v>
      </c>
    </row>
    <row r="802" spans="1:19" hidden="1" outlineLevel="2" x14ac:dyDescent="0.2">
      <c r="A802" t="str">
        <f ca="1">Language!A$573</f>
        <v xml:space="preserve">    списано затрат на реализованную продукцию</v>
      </c>
      <c r="C802" s="5" t="str">
        <f ca="1">CHOOSE(B717,CUR_Main,CUR_Foreign)</f>
        <v>руб.</v>
      </c>
      <c r="D802" t="str">
        <f>TEXT(B717,"0")&amp;"_10"</f>
        <v>1_10</v>
      </c>
      <c r="F802" s="53">
        <f>IF((E669+F667)&gt;0,F668*(E803+F792)/(E669+F667),0)</f>
        <v>0</v>
      </c>
      <c r="G802" s="53">
        <f>IF((F669+G667)&gt;0,G668*(F803+G792)/(F669+G667),0)</f>
        <v>0</v>
      </c>
      <c r="H802" s="53">
        <f>IF((G669+H667)&gt;0,H668*(G803+H792)/(G669+H667),0)</f>
        <v>0</v>
      </c>
      <c r="I802" s="53">
        <f>IF((H669+I667)&gt;0,I668*(H803+I792)/(H669+I667),0)</f>
        <v>0</v>
      </c>
      <c r="J802" s="53">
        <f>IF((I669+J667)&gt;0,J668*(I803+J792)/(I669+J667),0)</f>
        <v>0</v>
      </c>
      <c r="K802" s="53">
        <f>IF((J669+K667)&gt;0,K668*(J803+K792)/(J669+K667),0)</f>
        <v>0</v>
      </c>
      <c r="L802" s="53">
        <f>IF((K669+L667)&gt;0,L668*(K803+L792)/(K669+L667),0)</f>
        <v>0</v>
      </c>
      <c r="M802" s="53">
        <f>IF((L669+M667)&gt;0,M668*(L803+M792)/(L669+M667),0)</f>
        <v>0</v>
      </c>
      <c r="N802" s="53">
        <f>IF((M669+N667)&gt;0,N668*(M803+N792)/(M669+N667),0)</f>
        <v>0</v>
      </c>
      <c r="O802" s="53">
        <f>IF((N669+O667)&gt;0,O668*(N803+O792)/(N669+O667),0)</f>
        <v>0</v>
      </c>
      <c r="P802" s="53">
        <f>IF((O669+P667)&gt;0,P668*(O803+P792)/(O669+P667),0)</f>
        <v>0</v>
      </c>
      <c r="Q802" s="53">
        <f>IF((P669+Q667)&gt;0,Q668*(P803+Q792)/(P669+Q667),0)</f>
        <v>0</v>
      </c>
      <c r="S802" s="54">
        <f>SUM(F802:Q802)</f>
        <v>0</v>
      </c>
    </row>
    <row r="803" spans="1:19" hidden="1" outlineLevel="2" x14ac:dyDescent="0.2">
      <c r="A803" s="48" t="str">
        <f ca="1">Language!A$574</f>
        <v xml:space="preserve">    остаток затрат на складе готовой продукции</v>
      </c>
      <c r="C803" s="5" t="str">
        <f ca="1">CHOOSE(B717,CUR_Main,CUR_Foreign)</f>
        <v>руб.</v>
      </c>
      <c r="D803" t="str">
        <f>TEXT(B717,"0")&amp;"_11"&amp;";int_end"</f>
        <v>1_11;int_end</v>
      </c>
      <c r="F803" s="84">
        <f>IF((F667+E669)&gt;0,F669*(E803+F792)/(E669+F667),0)</f>
        <v>0</v>
      </c>
      <c r="G803" s="84">
        <f>IF((G667+F669)&gt;0,G669*(F803+G792)/(F669+G667),0)</f>
        <v>0</v>
      </c>
      <c r="H803" s="84">
        <f>IF((H667+G669)&gt;0,H669*(G803+H792)/(G669+H667),0)</f>
        <v>0</v>
      </c>
      <c r="I803" s="84">
        <f>IF((I667+H669)&gt;0,I669*(H803+I792)/(H669+I667),0)</f>
        <v>0</v>
      </c>
      <c r="J803" s="84">
        <f>IF((J667+I669)&gt;0,J669*(I803+J792)/(I669+J667),0)</f>
        <v>0</v>
      </c>
      <c r="K803" s="84">
        <f>IF((K667+J669)&gt;0,K669*(J803+K792)/(J669+K667),0)</f>
        <v>0</v>
      </c>
      <c r="L803" s="84">
        <f>IF((L667+K669)&gt;0,L669*(K803+L792)/(K669+L667),0)</f>
        <v>0</v>
      </c>
      <c r="M803" s="84">
        <f>IF((M667+L669)&gt;0,M669*(L803+M792)/(L669+M667),0)</f>
        <v>0</v>
      </c>
      <c r="N803" s="84">
        <f>IF((N667+M669)&gt;0,N669*(M803+N792)/(M669+N667),0)</f>
        <v>0</v>
      </c>
      <c r="O803" s="84">
        <f>IF((O667+N669)&gt;0,O669*(N803+O792)/(N669+O667),0)</f>
        <v>0</v>
      </c>
      <c r="P803" s="84">
        <f>IF((P667+O669)&gt;0,P669*(O803+P792)/(O669+P667),0)</f>
        <v>0</v>
      </c>
      <c r="Q803" s="84">
        <f>IF((Q667+P669)&gt;0,Q669*(P803+Q792)/(P669+Q667),0)</f>
        <v>0</v>
      </c>
    </row>
    <row r="804" spans="1:19" hidden="1" outlineLevel="2" x14ac:dyDescent="0.2">
      <c r="A804" s="48" t="str">
        <f ca="1">Language!A$575</f>
        <v xml:space="preserve">    остаток затрат в незавершенном производстве</v>
      </c>
      <c r="B804" s="255">
        <f>NWC_T_Cycle</f>
        <v>60</v>
      </c>
      <c r="C804" s="5" t="str">
        <f ca="1">Language!A$38</f>
        <v>дн.</v>
      </c>
      <c r="D804" t="str">
        <f>TEXT(B717,"0")&amp;"_12"&amp;";int_end"</f>
        <v>1_12;int_end</v>
      </c>
      <c r="F804" s="84">
        <f>F792*$B804/PRJ_Step</f>
        <v>0</v>
      </c>
      <c r="G804" s="84">
        <f>G792*$B804/PRJ_Step</f>
        <v>0</v>
      </c>
      <c r="H804" s="84">
        <f>H792*$B804/PRJ_Step</f>
        <v>0</v>
      </c>
      <c r="I804" s="84">
        <f>I792*$B804/PRJ_Step</f>
        <v>0</v>
      </c>
      <c r="J804" s="84">
        <f>J792*$B804/PRJ_Step</f>
        <v>0</v>
      </c>
      <c r="K804" s="84">
        <f>K792*$B804/PRJ_Step</f>
        <v>0</v>
      </c>
      <c r="L804" s="84">
        <f>L792*$B804/PRJ_Step</f>
        <v>0</v>
      </c>
      <c r="M804" s="84">
        <f>M792*$B804/PRJ_Step</f>
        <v>0</v>
      </c>
      <c r="N804" s="84">
        <f>N792*$B804/PRJ_Step</f>
        <v>0</v>
      </c>
      <c r="O804" s="84">
        <f>O792*$B804/PRJ_Step</f>
        <v>0</v>
      </c>
      <c r="P804" s="84">
        <f>P792*$B804/PRJ_Step</f>
        <v>0</v>
      </c>
      <c r="Q804" s="84">
        <f>Q792*$B804/PRJ_Step</f>
        <v>0</v>
      </c>
    </row>
    <row r="805" spans="1:19" outlineLevel="1" x14ac:dyDescent="0.2">
      <c r="A805" s="48" t="str">
        <f>A545</f>
        <v>Облачная версия продукта</v>
      </c>
      <c r="E805">
        <v>15</v>
      </c>
    </row>
    <row r="806" spans="1:19" outlineLevel="1" collapsed="1" x14ac:dyDescent="0.2">
      <c r="A806" s="11" t="str">
        <f>A688</f>
        <v xml:space="preserve">Наименование сырья </v>
      </c>
      <c r="C806" s="5" t="str">
        <f ca="1">CHOOSE(B724,CUR_Main,CUR_Foreign)</f>
        <v>руб.</v>
      </c>
      <c r="D806" s="16" t="str">
        <f>TEXT(B724,"0")&amp;"_00"</f>
        <v>1_00</v>
      </c>
      <c r="F806" s="53">
        <f t="shared" ref="F806:Q806" si="956">F688*F724</f>
        <v>0</v>
      </c>
      <c r="G806" s="53">
        <f t="shared" si="956"/>
        <v>0</v>
      </c>
      <c r="H806" s="53">
        <f t="shared" si="956"/>
        <v>0</v>
      </c>
      <c r="I806" s="53">
        <f t="shared" si="956"/>
        <v>0</v>
      </c>
      <c r="J806" s="53">
        <f t="shared" si="956"/>
        <v>0</v>
      </c>
      <c r="K806" s="53">
        <f t="shared" si="956"/>
        <v>0</v>
      </c>
      <c r="L806" s="53">
        <f t="shared" si="956"/>
        <v>0</v>
      </c>
      <c r="M806" s="53">
        <f t="shared" si="956"/>
        <v>0</v>
      </c>
      <c r="N806" s="53">
        <f t="shared" ref="N806:Q806" si="957">N688*N724</f>
        <v>0</v>
      </c>
      <c r="O806" s="53">
        <f t="shared" ref="O806:Q806" si="958">O688*O724</f>
        <v>0</v>
      </c>
      <c r="P806" s="53">
        <f t="shared" ref="P806:Q806" si="959">P688*P724</f>
        <v>0</v>
      </c>
      <c r="Q806" s="53">
        <f t="shared" si="959"/>
        <v>0</v>
      </c>
      <c r="S806" s="54">
        <f>SUM(F806:Q806)</f>
        <v>0</v>
      </c>
    </row>
    <row r="807" spans="1:19" hidden="1" outlineLevel="2" x14ac:dyDescent="0.2">
      <c r="A807" t="str">
        <f ca="1">Language!A$562</f>
        <v xml:space="preserve">    среднее время хранения</v>
      </c>
      <c r="B807" s="255">
        <f>NWC_T_Mat</f>
        <v>0</v>
      </c>
      <c r="C807" s="5" t="str">
        <f ca="1">Language!A$38</f>
        <v>дн.</v>
      </c>
      <c r="D807" s="16"/>
      <c r="F807" s="53"/>
      <c r="G807" s="53"/>
      <c r="H807" s="53"/>
      <c r="I807" s="53"/>
      <c r="J807" s="53"/>
      <c r="K807" s="53"/>
      <c r="L807" s="53"/>
      <c r="M807" s="53"/>
      <c r="N807" s="53"/>
      <c r="O807" s="53"/>
      <c r="P807" s="53"/>
      <c r="Q807" s="53"/>
      <c r="S807" s="57"/>
    </row>
    <row r="808" spans="1:19" hidden="1" outlineLevel="2" x14ac:dyDescent="0.2">
      <c r="A808" t="str">
        <f ca="1">Language!A$563</f>
        <v xml:space="preserve">    затраты на сырье и материалы без НДС</v>
      </c>
      <c r="C808" s="5" t="str">
        <f ca="1">CHOOSE(B724,CUR_Main,CUR_Foreign)</f>
        <v>руб.</v>
      </c>
      <c r="D808" t="str">
        <f>TEXT(B724,"0")&amp;"_01"</f>
        <v>1_01</v>
      </c>
      <c r="F808" s="53">
        <f t="shared" ref="F808:M808" si="960">F806/(1+$B729)</f>
        <v>0</v>
      </c>
      <c r="G808" s="53">
        <f t="shared" si="960"/>
        <v>0</v>
      </c>
      <c r="H808" s="53">
        <f t="shared" si="960"/>
        <v>0</v>
      </c>
      <c r="I808" s="53">
        <f t="shared" si="960"/>
        <v>0</v>
      </c>
      <c r="J808" s="53">
        <f t="shared" si="960"/>
        <v>0</v>
      </c>
      <c r="K808" s="53">
        <f t="shared" si="960"/>
        <v>0</v>
      </c>
      <c r="L808" s="53">
        <f t="shared" si="960"/>
        <v>0</v>
      </c>
      <c r="M808" s="53">
        <f t="shared" si="960"/>
        <v>0</v>
      </c>
      <c r="N808" s="53">
        <f t="shared" ref="N808" si="961">N806/(1+$B729)</f>
        <v>0</v>
      </c>
      <c r="O808" s="53">
        <f t="shared" ref="O808" si="962">O806/(1+$B729)</f>
        <v>0</v>
      </c>
      <c r="P808" s="53">
        <f t="shared" ref="P808:Q808" si="963">P806/(1+$B729)</f>
        <v>0</v>
      </c>
      <c r="Q808" s="53">
        <f t="shared" si="963"/>
        <v>0</v>
      </c>
      <c r="S808" s="54">
        <f>SUM(F808:Q808)</f>
        <v>0</v>
      </c>
    </row>
    <row r="809" spans="1:19" hidden="1" outlineLevel="2" x14ac:dyDescent="0.2">
      <c r="A809" t="str">
        <f ca="1">Language!A$564</f>
        <v xml:space="preserve">    в том числе импортная пошлина</v>
      </c>
      <c r="C809" s="5" t="str">
        <f ca="1">CHOOSE(B724,CUR_Main,CUR_Foreign)</f>
        <v>руб.</v>
      </c>
      <c r="D809" t="str">
        <f>TEXT(B724,"0")&amp;"_02"</f>
        <v>1_02</v>
      </c>
      <c r="F809" s="53">
        <f t="shared" ref="F809:Q809" si="964">F808/(1+$B728)*$B728</f>
        <v>0</v>
      </c>
      <c r="G809" s="53">
        <f t="shared" si="964"/>
        <v>0</v>
      </c>
      <c r="H809" s="53">
        <f t="shared" si="964"/>
        <v>0</v>
      </c>
      <c r="I809" s="53">
        <f t="shared" si="964"/>
        <v>0</v>
      </c>
      <c r="J809" s="53">
        <f t="shared" si="964"/>
        <v>0</v>
      </c>
      <c r="K809" s="53">
        <f t="shared" si="964"/>
        <v>0</v>
      </c>
      <c r="L809" s="53">
        <f t="shared" si="964"/>
        <v>0</v>
      </c>
      <c r="M809" s="53">
        <f t="shared" si="964"/>
        <v>0</v>
      </c>
      <c r="N809" s="53">
        <f t="shared" si="964"/>
        <v>0</v>
      </c>
      <c r="O809" s="53">
        <f t="shared" si="964"/>
        <v>0</v>
      </c>
      <c r="P809" s="53">
        <f t="shared" si="964"/>
        <v>0</v>
      </c>
      <c r="Q809" s="53">
        <f t="shared" si="964"/>
        <v>0</v>
      </c>
      <c r="S809" s="54">
        <f>SUM(F809:Q809)</f>
        <v>0</v>
      </c>
    </row>
    <row r="810" spans="1:19" hidden="1" outlineLevel="2" x14ac:dyDescent="0.2">
      <c r="A810" t="str">
        <f ca="1">Language!A$565</f>
        <v xml:space="preserve">    закуплено сырья и материалов на сумму (без НДС)</v>
      </c>
      <c r="C810" s="5" t="str">
        <f ca="1">CHOOSE(B724,CUR_Main,CUR_Foreign)</f>
        <v>руб.</v>
      </c>
      <c r="D810" t="str">
        <f>TEXT(B724,"0")&amp;"_03"</f>
        <v>1_03</v>
      </c>
      <c r="F810" s="270">
        <f t="shared" ref="F810:Q810" si="965">F808</f>
        <v>0</v>
      </c>
      <c r="G810" s="270">
        <f t="shared" si="965"/>
        <v>0</v>
      </c>
      <c r="H810" s="270">
        <f t="shared" si="965"/>
        <v>0</v>
      </c>
      <c r="I810" s="270">
        <f t="shared" si="965"/>
        <v>0</v>
      </c>
      <c r="J810" s="270">
        <f t="shared" si="965"/>
        <v>0</v>
      </c>
      <c r="K810" s="270">
        <f t="shared" si="965"/>
        <v>0</v>
      </c>
      <c r="L810" s="270">
        <f t="shared" si="965"/>
        <v>0</v>
      </c>
      <c r="M810" s="270">
        <f t="shared" si="965"/>
        <v>0</v>
      </c>
      <c r="N810" s="270">
        <f t="shared" ref="N810:Q810" si="966">N808</f>
        <v>0</v>
      </c>
      <c r="O810" s="270">
        <f t="shared" ref="O810:Q810" si="967">O808</f>
        <v>0</v>
      </c>
      <c r="P810" s="270">
        <f t="shared" ref="P810:Q810" si="968">P808</f>
        <v>0</v>
      </c>
      <c r="Q810" s="270">
        <f t="shared" si="968"/>
        <v>0</v>
      </c>
      <c r="S810" s="54">
        <f>SUM(F810:Q810)</f>
        <v>0</v>
      </c>
    </row>
    <row r="811" spans="1:19" hidden="1" outlineLevel="2" x14ac:dyDescent="0.2">
      <c r="A811" t="str">
        <f ca="1">Language!A$569</f>
        <v xml:space="preserve">    оплачено сырья и материалов (без НДС)</v>
      </c>
      <c r="C811" s="5" t="str">
        <f ca="1">CHOOSE(B724,CUR_Main,CUR_Foreign)</f>
        <v>руб.</v>
      </c>
      <c r="D811" t="str">
        <f>TEXT(B724,"0")&amp;"_06"</f>
        <v>1_06</v>
      </c>
      <c r="F811" s="270">
        <f t="shared" ref="F811:Q811" si="969">F810</f>
        <v>0</v>
      </c>
      <c r="G811" s="270">
        <f t="shared" si="969"/>
        <v>0</v>
      </c>
      <c r="H811" s="270">
        <f t="shared" si="969"/>
        <v>0</v>
      </c>
      <c r="I811" s="270">
        <f t="shared" si="969"/>
        <v>0</v>
      </c>
      <c r="J811" s="270">
        <f t="shared" si="969"/>
        <v>0</v>
      </c>
      <c r="K811" s="270">
        <f t="shared" si="969"/>
        <v>0</v>
      </c>
      <c r="L811" s="270">
        <f t="shared" si="969"/>
        <v>0</v>
      </c>
      <c r="M811" s="270">
        <f t="shared" si="969"/>
        <v>0</v>
      </c>
      <c r="N811" s="270">
        <f t="shared" si="969"/>
        <v>0</v>
      </c>
      <c r="O811" s="270">
        <f t="shared" si="969"/>
        <v>0</v>
      </c>
      <c r="P811" s="270">
        <f t="shared" si="969"/>
        <v>0</v>
      </c>
      <c r="Q811" s="270">
        <f t="shared" si="969"/>
        <v>0</v>
      </c>
      <c r="S811" s="54">
        <f>SUM(F811:Q811)</f>
        <v>0</v>
      </c>
    </row>
    <row r="812" spans="1:19" hidden="1" outlineLevel="2" x14ac:dyDescent="0.2">
      <c r="A812" t="str">
        <f ca="1">Language!A$566</f>
        <v xml:space="preserve">    зачет НДС</v>
      </c>
      <c r="C812" s="5" t="str">
        <f ca="1">CHOOSE(B724,CUR_Main,CUR_Foreign)</f>
        <v>руб.</v>
      </c>
      <c r="D812" t="str">
        <f>TEXT(B724,"0")&amp;"_04"</f>
        <v>1_04</v>
      </c>
      <c r="F812" s="53">
        <f t="shared" ref="F812:Q812" si="970">F810*$B729</f>
        <v>0</v>
      </c>
      <c r="G812" s="53">
        <f t="shared" si="970"/>
        <v>0</v>
      </c>
      <c r="H812" s="53">
        <f t="shared" si="970"/>
        <v>0</v>
      </c>
      <c r="I812" s="53">
        <f t="shared" si="970"/>
        <v>0</v>
      </c>
      <c r="J812" s="53">
        <f t="shared" si="970"/>
        <v>0</v>
      </c>
      <c r="K812" s="53">
        <f t="shared" si="970"/>
        <v>0</v>
      </c>
      <c r="L812" s="53">
        <f t="shared" si="970"/>
        <v>0</v>
      </c>
      <c r="M812" s="53">
        <f t="shared" si="970"/>
        <v>0</v>
      </c>
      <c r="N812" s="53">
        <f t="shared" ref="N812:Q812" si="971">N810*$B729</f>
        <v>0</v>
      </c>
      <c r="O812" s="53">
        <f t="shared" ref="O812:Q812" si="972">O810*$B729</f>
        <v>0</v>
      </c>
      <c r="P812" s="53">
        <f t="shared" ref="P812:Q812" si="973">P810*$B729</f>
        <v>0</v>
      </c>
      <c r="Q812" s="53">
        <f t="shared" si="973"/>
        <v>0</v>
      </c>
      <c r="S812" s="54">
        <f>SUM(F812:Q812)</f>
        <v>0</v>
      </c>
    </row>
    <row r="813" spans="1:19" hidden="1" outlineLevel="2" x14ac:dyDescent="0.2">
      <c r="A813" t="str">
        <f ca="1">Language!A$567</f>
        <v xml:space="preserve">    запасы на основе периодов оборота</v>
      </c>
      <c r="C813" s="5" t="str">
        <f ca="1">CHOOSE(B724,CUR_Main,CUR_Foreign)</f>
        <v>руб.</v>
      </c>
      <c r="D813" t="str">
        <f>TEXT(B724,"0")&amp;"_05"&amp;";int_end"</f>
        <v>1_05;int_end</v>
      </c>
      <c r="F813" s="84">
        <f t="shared" ref="F813:M813" si="974">F808*$B807/PRJ_Step</f>
        <v>0</v>
      </c>
      <c r="G813" s="84">
        <f t="shared" si="974"/>
        <v>0</v>
      </c>
      <c r="H813" s="84">
        <f t="shared" si="974"/>
        <v>0</v>
      </c>
      <c r="I813" s="84">
        <f t="shared" si="974"/>
        <v>0</v>
      </c>
      <c r="J813" s="84">
        <f t="shared" si="974"/>
        <v>0</v>
      </c>
      <c r="K813" s="84">
        <f t="shared" si="974"/>
        <v>0</v>
      </c>
      <c r="L813" s="84">
        <f t="shared" si="974"/>
        <v>0</v>
      </c>
      <c r="M813" s="84">
        <f t="shared" si="974"/>
        <v>0</v>
      </c>
      <c r="N813" s="84">
        <f t="shared" ref="N813" si="975">N808*$B807/PRJ_Step</f>
        <v>0</v>
      </c>
      <c r="O813" s="84">
        <f t="shared" ref="O813" si="976">O808*$B807/PRJ_Step</f>
        <v>0</v>
      </c>
      <c r="P813" s="84">
        <f t="shared" ref="P813:Q813" si="977">P808*$B807/PRJ_Step</f>
        <v>0</v>
      </c>
      <c r="Q813" s="84">
        <f t="shared" si="977"/>
        <v>0</v>
      </c>
    </row>
    <row r="814" spans="1:19" hidden="1" outlineLevel="2" x14ac:dyDescent="0.2">
      <c r="A814" t="str">
        <f ca="1">Language!A$568</f>
        <v xml:space="preserve">    запасы на основе графика оплаты</v>
      </c>
      <c r="C814" s="5" t="str">
        <f ca="1">CHOOSE(B724,CUR_Main,CUR_Foreign)</f>
        <v>руб.</v>
      </c>
      <c r="D814" t="str">
        <f>TEXT(B724,"0")&amp;"_13"&amp;";int_end"</f>
        <v>1_13;int_end</v>
      </c>
      <c r="F814" s="84">
        <f t="shared" ref="F814:M814" si="978">E814+F810-F808</f>
        <v>0</v>
      </c>
      <c r="G814" s="84">
        <f t="shared" si="978"/>
        <v>0</v>
      </c>
      <c r="H814" s="84">
        <f t="shared" si="978"/>
        <v>0</v>
      </c>
      <c r="I814" s="84">
        <f t="shared" si="978"/>
        <v>0</v>
      </c>
      <c r="J814" s="84">
        <f t="shared" si="978"/>
        <v>0</v>
      </c>
      <c r="K814" s="84">
        <f t="shared" si="978"/>
        <v>0</v>
      </c>
      <c r="L814" s="84">
        <f t="shared" si="978"/>
        <v>0</v>
      </c>
      <c r="M814" s="84">
        <f t="shared" si="978"/>
        <v>0</v>
      </c>
      <c r="N814" s="84">
        <f t="shared" ref="N814:O814" si="979">M814+N810-N808</f>
        <v>0</v>
      </c>
      <c r="O814" s="84">
        <f t="shared" si="979"/>
        <v>0</v>
      </c>
      <c r="P814" s="84">
        <f t="shared" ref="P814:Q814" si="980">O814+P810-P808</f>
        <v>0</v>
      </c>
      <c r="Q814" s="84">
        <f t="shared" si="980"/>
        <v>0</v>
      </c>
    </row>
    <row r="815" spans="1:19" hidden="1" outlineLevel="2" x14ac:dyDescent="0.2">
      <c r="A815" t="str">
        <f ca="1">Language!A$570</f>
        <v xml:space="preserve">    выплаченный НДС</v>
      </c>
      <c r="C815" s="5" t="str">
        <f ca="1">CHOOSE(B724,CUR_Main,CUR_Foreign)</f>
        <v>руб.</v>
      </c>
      <c r="D815" t="str">
        <f>TEXT(B724,"0")&amp;"_07"</f>
        <v>1_07</v>
      </c>
      <c r="F815" s="53">
        <f t="shared" ref="F815:Q815" si="981">F811*$B729</f>
        <v>0</v>
      </c>
      <c r="G815" s="53">
        <f t="shared" si="981"/>
        <v>0</v>
      </c>
      <c r="H815" s="53">
        <f t="shared" si="981"/>
        <v>0</v>
      </c>
      <c r="I815" s="53">
        <f t="shared" si="981"/>
        <v>0</v>
      </c>
      <c r="J815" s="53">
        <f t="shared" si="981"/>
        <v>0</v>
      </c>
      <c r="K815" s="53">
        <f t="shared" si="981"/>
        <v>0</v>
      </c>
      <c r="L815" s="53">
        <f t="shared" si="981"/>
        <v>0</v>
      </c>
      <c r="M815" s="53">
        <f t="shared" si="981"/>
        <v>0</v>
      </c>
      <c r="N815" s="53">
        <f t="shared" ref="N815:Q815" si="982">N811*$B729</f>
        <v>0</v>
      </c>
      <c r="O815" s="53">
        <f t="shared" ref="O815:Q815" si="983">O811*$B729</f>
        <v>0</v>
      </c>
      <c r="P815" s="53">
        <f t="shared" ref="P815:Q815" si="984">P811*$B729</f>
        <v>0</v>
      </c>
      <c r="Q815" s="53">
        <f t="shared" si="984"/>
        <v>0</v>
      </c>
      <c r="S815" s="54">
        <f>SUM(F815:Q815)</f>
        <v>0</v>
      </c>
    </row>
    <row r="816" spans="1:19" hidden="1" outlineLevel="2" x14ac:dyDescent="0.2">
      <c r="A816" t="str">
        <f ca="1">Language!A$571</f>
        <v xml:space="preserve">    кредиторская задолженность</v>
      </c>
      <c r="C816" s="5" t="str">
        <f ca="1">CHOOSE(B724,CUR_Main,CUR_Foreign)</f>
        <v>руб.</v>
      </c>
      <c r="D816" t="str">
        <f>TEXT(B724,"0")&amp;"_08"&amp;";int_end"</f>
        <v>1_08;int_end</v>
      </c>
      <c r="F816" s="53">
        <f>IF(SUM($F810:F810)&gt;=0,MAX(SUM($F810:F810)+SUM($F812:F812)-SUM($F811:F811)-SUM($F815:F815),0),MIN(SUM($F810:F810)+SUM($F812:F812)-SUM($F811:F811)-SUM($F815:F815),0))</f>
        <v>0</v>
      </c>
      <c r="G816" s="53">
        <f>IF(SUM($F810:G810)&gt;=0,MAX(SUM($F810:G810)+SUM($F812:G812)-SUM($F811:G811)-SUM($F815:G815),0),MIN(SUM($F810:G810)+SUM($F812:G812)-SUM($F811:G811)-SUM($F815:G815),0))</f>
        <v>0</v>
      </c>
      <c r="H816" s="53">
        <f>IF(SUM($F810:H810)&gt;=0,MAX(SUM($F810:H810)+SUM($F812:H812)-SUM($F811:H811)-SUM($F815:H815),0),MIN(SUM($F810:H810)+SUM($F812:H812)-SUM($F811:H811)-SUM($F815:H815),0))</f>
        <v>0</v>
      </c>
      <c r="I816" s="53">
        <f>IF(SUM($F810:I810)&gt;=0,MAX(SUM($F810:I810)+SUM($F812:I812)-SUM($F811:I811)-SUM($F815:I815),0),MIN(SUM($F810:I810)+SUM($F812:I812)-SUM($F811:I811)-SUM($F815:I815),0))</f>
        <v>0</v>
      </c>
      <c r="J816" s="53">
        <f>IF(SUM($F810:J810)&gt;=0,MAX(SUM($F810:J810)+SUM($F812:J812)-SUM($F811:J811)-SUM($F815:J815),0),MIN(SUM($F810:J810)+SUM($F812:J812)-SUM($F811:J811)-SUM($F815:J815),0))</f>
        <v>0</v>
      </c>
      <c r="K816" s="53">
        <f>IF(SUM($F810:K810)&gt;=0,MAX(SUM($F810:K810)+SUM($F812:K812)-SUM($F811:K811)-SUM($F815:K815),0),MIN(SUM($F810:K810)+SUM($F812:K812)-SUM($F811:K811)-SUM($F815:K815),0))</f>
        <v>0</v>
      </c>
      <c r="L816" s="53">
        <f>IF(SUM($F810:L810)&gt;=0,MAX(SUM($F810:L810)+SUM($F812:L812)-SUM($F811:L811)-SUM($F815:L815),0),MIN(SUM($F810:L810)+SUM($F812:L812)-SUM($F811:L811)-SUM($F815:L815),0))</f>
        <v>0</v>
      </c>
      <c r="M816" s="53">
        <f>IF(SUM($F810:M810)&gt;=0,MAX(SUM($F810:M810)+SUM($F812:M812)-SUM($F811:M811)-SUM($F815:M815),0),MIN(SUM($F810:M810)+SUM($F812:M812)-SUM($F811:M811)-SUM($F815:M815),0))</f>
        <v>0</v>
      </c>
      <c r="N816" s="53">
        <f>IF(SUM($F810:N810)&gt;=0,MAX(SUM($F810:N810)+SUM($F812:N812)-SUM($F811:N811)-SUM($F815:N815),0),MIN(SUM($F810:N810)+SUM($F812:N812)-SUM($F811:N811)-SUM($F815:N815),0))</f>
        <v>0</v>
      </c>
      <c r="O816" s="53">
        <f>IF(SUM($F810:O810)&gt;=0,MAX(SUM($F810:O810)+SUM($F812:O812)-SUM($F811:O811)-SUM($F815:O815),0),MIN(SUM($F810:O810)+SUM($F812:O812)-SUM($F811:O811)-SUM($F815:O815),0))</f>
        <v>0</v>
      </c>
      <c r="P816" s="53">
        <f>IF(SUM($F810:P810)&gt;=0,MAX(SUM($F810:P810)+SUM($F812:P812)-SUM($F811:P811)-SUM($F815:P815),0),MIN(SUM($F810:P810)+SUM($F812:P812)-SUM($F811:P811)-SUM($F815:P815),0))</f>
        <v>0</v>
      </c>
      <c r="Q816" s="53">
        <f>IF(SUM($F810:Q810)&gt;=0,MAX(SUM($F810:Q810)+SUM($F812:Q812)-SUM($F811:Q811)-SUM($F815:Q815),0),MIN(SUM($F810:Q810)+SUM($F812:Q812)-SUM($F811:Q811)-SUM($F815:Q815),0))</f>
        <v>0</v>
      </c>
    </row>
    <row r="817" spans="1:19" hidden="1" outlineLevel="2" x14ac:dyDescent="0.2">
      <c r="A817" t="str">
        <f ca="1">Language!A$572</f>
        <v xml:space="preserve">    выплаченные авансы</v>
      </c>
      <c r="C817" s="5" t="str">
        <f ca="1">CHOOSE(B724,CUR_Main,CUR_Foreign)</f>
        <v>руб.</v>
      </c>
      <c r="D817" t="str">
        <f>TEXT(B724,"0")&amp;"_09"&amp;";int_end"</f>
        <v>1_09;int_end</v>
      </c>
      <c r="F817" s="53">
        <f>IF(SUM($F810:F810)&gt;=0,MAX(SUM($F811:F811)+SUM($F815:F815)-SUM($F810:F810)-SUM($F812:F812),0),MIN(SUM($F811:F811)+SUM($F815:F815)-SUM($F810:F810)-SUM($F812:F812),0))</f>
        <v>0</v>
      </c>
      <c r="G817" s="53">
        <f>IF(SUM($F810:G810)&gt;=0,MAX(SUM($F811:G811)+SUM($F815:G815)-SUM($F810:G810)-SUM($F812:G812),0),MIN(SUM($F811:G811)+SUM($F815:G815)-SUM($F810:G810)-SUM($F812:G812),0))</f>
        <v>0</v>
      </c>
      <c r="H817" s="53">
        <f>IF(SUM($F810:H810)&gt;=0,MAX(SUM($F811:H811)+SUM($F815:H815)-SUM($F810:H810)-SUM($F812:H812),0),MIN(SUM($F811:H811)+SUM($F815:H815)-SUM($F810:H810)-SUM($F812:H812),0))</f>
        <v>0</v>
      </c>
      <c r="I817" s="53">
        <f>IF(SUM($F810:I810)&gt;=0,MAX(SUM($F811:I811)+SUM($F815:I815)-SUM($F810:I810)-SUM($F812:I812),0),MIN(SUM($F811:I811)+SUM($F815:I815)-SUM($F810:I810)-SUM($F812:I812),0))</f>
        <v>0</v>
      </c>
      <c r="J817" s="53">
        <f>IF(SUM($F810:J810)&gt;=0,MAX(SUM($F811:J811)+SUM($F815:J815)-SUM($F810:J810)-SUM($F812:J812),0),MIN(SUM($F811:J811)+SUM($F815:J815)-SUM($F810:J810)-SUM($F812:J812),0))</f>
        <v>0</v>
      </c>
      <c r="K817" s="53">
        <f>IF(SUM($F810:K810)&gt;=0,MAX(SUM($F811:K811)+SUM($F815:K815)-SUM($F810:K810)-SUM($F812:K812),0),MIN(SUM($F811:K811)+SUM($F815:K815)-SUM($F810:K810)-SUM($F812:K812),0))</f>
        <v>0</v>
      </c>
      <c r="L817" s="53">
        <f>IF(SUM($F810:L810)&gt;=0,MAX(SUM($F811:L811)+SUM($F815:L815)-SUM($F810:L810)-SUM($F812:L812),0),MIN(SUM($F811:L811)+SUM($F815:L815)-SUM($F810:L810)-SUM($F812:L812),0))</f>
        <v>0</v>
      </c>
      <c r="M817" s="53">
        <f>IF(SUM($F810:M810)&gt;=0,MAX(SUM($F811:M811)+SUM($F815:M815)-SUM($F810:M810)-SUM($F812:M812),0),MIN(SUM($F811:M811)+SUM($F815:M815)-SUM($F810:M810)-SUM($F812:M812),0))</f>
        <v>0</v>
      </c>
      <c r="N817" s="53">
        <f>IF(SUM($F810:N810)&gt;=0,MAX(SUM($F811:N811)+SUM($F815:N815)-SUM($F810:N810)-SUM($F812:N812),0),MIN(SUM($F811:N811)+SUM($F815:N815)-SUM($F810:N810)-SUM($F812:N812),0))</f>
        <v>0</v>
      </c>
      <c r="O817" s="53">
        <f>IF(SUM($F810:O810)&gt;=0,MAX(SUM($F811:O811)+SUM($F815:O815)-SUM($F810:O810)-SUM($F812:O812),0),MIN(SUM($F811:O811)+SUM($F815:O815)-SUM($F810:O810)-SUM($F812:O812),0))</f>
        <v>0</v>
      </c>
      <c r="P817" s="53">
        <f>IF(SUM($F810:P810)&gt;=0,MAX(SUM($F811:P811)+SUM($F815:P815)-SUM($F810:P810)-SUM($F812:P812),0),MIN(SUM($F811:P811)+SUM($F815:P815)-SUM($F810:P810)-SUM($F812:P812),0))</f>
        <v>0</v>
      </c>
      <c r="Q817" s="53">
        <f>IF(SUM($F810:Q810)&gt;=0,MAX(SUM($F811:Q811)+SUM($F815:Q815)-SUM($F810:Q810)-SUM($F812:Q812),0),MIN(SUM($F811:Q811)+SUM($F815:Q815)-SUM($F810:Q810)-SUM($F812:Q812),0))</f>
        <v>0</v>
      </c>
    </row>
    <row r="818" spans="1:19" hidden="1" outlineLevel="2" x14ac:dyDescent="0.2">
      <c r="A818" t="str">
        <f ca="1">Language!A$573</f>
        <v xml:space="preserve">    списано затрат на реализованную продукцию</v>
      </c>
      <c r="C818" s="5" t="str">
        <f ca="1">CHOOSE(B724,CUR_Main,CUR_Foreign)</f>
        <v>руб.</v>
      </c>
      <c r="D818" t="str">
        <f>TEXT(B724,"0")&amp;"_10"</f>
        <v>1_10</v>
      </c>
      <c r="F818" s="53">
        <f t="shared" ref="F818:M818" si="985">IF((E673+F671)&gt;0,F672*(E819+F808)/(E673+F671),0)</f>
        <v>0</v>
      </c>
      <c r="G818" s="53">
        <f t="shared" si="985"/>
        <v>0</v>
      </c>
      <c r="H818" s="53">
        <f t="shared" si="985"/>
        <v>0</v>
      </c>
      <c r="I818" s="53">
        <f t="shared" si="985"/>
        <v>0</v>
      </c>
      <c r="J818" s="53">
        <f t="shared" si="985"/>
        <v>0</v>
      </c>
      <c r="K818" s="53">
        <f t="shared" si="985"/>
        <v>0</v>
      </c>
      <c r="L818" s="53">
        <f t="shared" si="985"/>
        <v>0</v>
      </c>
      <c r="M818" s="53">
        <f t="shared" si="985"/>
        <v>0</v>
      </c>
      <c r="N818" s="53">
        <f t="shared" ref="N818:O818" si="986">IF((M673+N671)&gt;0,N672*(M819+N808)/(M673+N671),0)</f>
        <v>0</v>
      </c>
      <c r="O818" s="53">
        <f t="shared" si="986"/>
        <v>0</v>
      </c>
      <c r="P818" s="53">
        <f t="shared" ref="P818:Q818" si="987">IF((O673+P671)&gt;0,P672*(O819+P808)/(O673+P671),0)</f>
        <v>0</v>
      </c>
      <c r="Q818" s="53">
        <f t="shared" si="987"/>
        <v>0</v>
      </c>
      <c r="S818" s="54">
        <f>SUM(F818:Q818)</f>
        <v>0</v>
      </c>
    </row>
    <row r="819" spans="1:19" hidden="1" outlineLevel="2" x14ac:dyDescent="0.2">
      <c r="A819" s="48" t="str">
        <f ca="1">Language!A$574</f>
        <v xml:space="preserve">    остаток затрат на складе готовой продукции</v>
      </c>
      <c r="C819" s="5" t="str">
        <f ca="1">CHOOSE(B724,CUR_Main,CUR_Foreign)</f>
        <v>руб.</v>
      </c>
      <c r="D819" t="str">
        <f>TEXT(B724,"0")&amp;"_11"&amp;";int_end"</f>
        <v>1_11;int_end</v>
      </c>
      <c r="F819" s="84">
        <f t="shared" ref="F819:M819" si="988">IF((F671+E673)&gt;0,F673*(E819+F808)/(E673+F671),0)</f>
        <v>0</v>
      </c>
      <c r="G819" s="84">
        <f t="shared" si="988"/>
        <v>0</v>
      </c>
      <c r="H819" s="84">
        <f t="shared" si="988"/>
        <v>0</v>
      </c>
      <c r="I819" s="84">
        <f t="shared" si="988"/>
        <v>0</v>
      </c>
      <c r="J819" s="84">
        <f t="shared" si="988"/>
        <v>0</v>
      </c>
      <c r="K819" s="84">
        <f t="shared" si="988"/>
        <v>0</v>
      </c>
      <c r="L819" s="84">
        <f t="shared" si="988"/>
        <v>0</v>
      </c>
      <c r="M819" s="84">
        <f t="shared" si="988"/>
        <v>0</v>
      </c>
      <c r="N819" s="84">
        <f t="shared" ref="N819:O819" si="989">IF((N671+M673)&gt;0,N673*(M819+N808)/(M673+N671),0)</f>
        <v>0</v>
      </c>
      <c r="O819" s="84">
        <f t="shared" si="989"/>
        <v>0</v>
      </c>
      <c r="P819" s="84">
        <f t="shared" ref="P819:Q819" si="990">IF((P671+O673)&gt;0,P673*(O819+P808)/(O673+P671),0)</f>
        <v>0</v>
      </c>
      <c r="Q819" s="84">
        <f t="shared" si="990"/>
        <v>0</v>
      </c>
    </row>
    <row r="820" spans="1:19" hidden="1" outlineLevel="2" x14ac:dyDescent="0.2">
      <c r="A820" s="48" t="str">
        <f ca="1">Language!A$575</f>
        <v xml:space="preserve">    остаток затрат в незавершенном производстве</v>
      </c>
      <c r="B820" s="255">
        <f>NWC_T_Cycle</f>
        <v>60</v>
      </c>
      <c r="C820" s="5" t="str">
        <f ca="1">Language!A$38</f>
        <v>дн.</v>
      </c>
      <c r="D820" t="str">
        <f>TEXT(B724,"0")&amp;"_12"&amp;";int_end"</f>
        <v>1_12;int_end</v>
      </c>
      <c r="F820" s="84">
        <f t="shared" ref="F820:M820" si="991">F808*$B820/PRJ_Step</f>
        <v>0</v>
      </c>
      <c r="G820" s="84">
        <f t="shared" si="991"/>
        <v>0</v>
      </c>
      <c r="H820" s="84">
        <f t="shared" si="991"/>
        <v>0</v>
      </c>
      <c r="I820" s="84">
        <f t="shared" si="991"/>
        <v>0</v>
      </c>
      <c r="J820" s="84">
        <f t="shared" si="991"/>
        <v>0</v>
      </c>
      <c r="K820" s="84">
        <f t="shared" si="991"/>
        <v>0</v>
      </c>
      <c r="L820" s="84">
        <f t="shared" si="991"/>
        <v>0</v>
      </c>
      <c r="M820" s="84">
        <f t="shared" si="991"/>
        <v>0</v>
      </c>
      <c r="N820" s="84">
        <f t="shared" ref="N820" si="992">N808*$B820/PRJ_Step</f>
        <v>0</v>
      </c>
      <c r="O820" s="84">
        <f t="shared" ref="O820" si="993">O808*$B820/PRJ_Step</f>
        <v>0</v>
      </c>
      <c r="P820" s="84">
        <f t="shared" ref="P820:Q820" si="994">P808*$B820/PRJ_Step</f>
        <v>0</v>
      </c>
      <c r="Q820" s="84">
        <f t="shared" si="994"/>
        <v>0</v>
      </c>
    </row>
    <row r="821" spans="1:19" outlineLevel="1" collapsed="1" x14ac:dyDescent="0.2">
      <c r="A821" s="11" t="str">
        <f>A689</f>
        <v>Электричество</v>
      </c>
      <c r="C821" s="5" t="str">
        <f ca="1">CHOOSE(B730,CUR_Main,CUR_Foreign)</f>
        <v>руб.</v>
      </c>
      <c r="D821" s="16" t="str">
        <f>TEXT(B730,"0")&amp;"_00"</f>
        <v>1_00</v>
      </c>
      <c r="F821" s="53">
        <f t="shared" ref="F821:Q821" si="995">F689*F730</f>
        <v>0</v>
      </c>
      <c r="G821" s="53">
        <f t="shared" si="995"/>
        <v>0</v>
      </c>
      <c r="H821" s="53">
        <f t="shared" si="995"/>
        <v>13.30875</v>
      </c>
      <c r="I821" s="53">
        <f t="shared" si="995"/>
        <v>66.543750000000003</v>
      </c>
      <c r="J821" s="53">
        <f t="shared" si="995"/>
        <v>133.08750000000001</v>
      </c>
      <c r="K821" s="53">
        <f t="shared" si="995"/>
        <v>266.17500000000001</v>
      </c>
      <c r="L821" s="53">
        <f t="shared" si="995"/>
        <v>399.26249999999999</v>
      </c>
      <c r="M821" s="53">
        <f t="shared" si="995"/>
        <v>532.35</v>
      </c>
      <c r="N821" s="53">
        <f t="shared" ref="N821:Q821" si="996">N689*N730</f>
        <v>731.98125000000005</v>
      </c>
      <c r="O821" s="53">
        <f t="shared" ref="O821:Q821" si="997">O689*O730</f>
        <v>998.15625</v>
      </c>
      <c r="P821" s="53">
        <f t="shared" ref="P821:Q821" si="998">P689*P730</f>
        <v>1197.7875000000001</v>
      </c>
      <c r="Q821" s="53">
        <f t="shared" si="998"/>
        <v>1330.8750000000002</v>
      </c>
      <c r="S821" s="54">
        <f>SUM(F821:Q821)</f>
        <v>5669.5275000000001</v>
      </c>
    </row>
    <row r="822" spans="1:19" hidden="1" outlineLevel="2" x14ac:dyDescent="0.2">
      <c r="A822" t="str">
        <f ca="1">Language!A$562</f>
        <v xml:space="preserve">    среднее время хранения</v>
      </c>
      <c r="B822" s="255">
        <f>NWC_T_Mat</f>
        <v>0</v>
      </c>
      <c r="C822" s="5" t="str">
        <f ca="1">Language!A$38</f>
        <v>дн.</v>
      </c>
      <c r="D822" s="16"/>
      <c r="F822" s="53"/>
      <c r="G822" s="53"/>
      <c r="H822" s="53"/>
      <c r="I822" s="53"/>
      <c r="J822" s="53"/>
      <c r="K822" s="53"/>
      <c r="L822" s="53"/>
      <c r="M822" s="53"/>
      <c r="N822" s="53"/>
      <c r="O822" s="53"/>
      <c r="P822" s="53"/>
      <c r="Q822" s="53"/>
      <c r="S822" s="57"/>
    </row>
    <row r="823" spans="1:19" hidden="1" outlineLevel="2" x14ac:dyDescent="0.2">
      <c r="A823" t="str">
        <f ca="1">Language!A$563</f>
        <v xml:space="preserve">    затраты на сырье и материалы без НДС</v>
      </c>
      <c r="C823" s="5" t="str">
        <f ca="1">CHOOSE(B730,CUR_Main,CUR_Foreign)</f>
        <v>руб.</v>
      </c>
      <c r="D823" t="str">
        <f>TEXT(B730,"0")&amp;"_01"</f>
        <v>1_01</v>
      </c>
      <c r="F823" s="53">
        <f t="shared" ref="F823:M823" si="999">F821/(1+$B735)</f>
        <v>0</v>
      </c>
      <c r="G823" s="53">
        <f t="shared" si="999"/>
        <v>0</v>
      </c>
      <c r="H823" s="53">
        <f t="shared" si="999"/>
        <v>13.30875</v>
      </c>
      <c r="I823" s="53">
        <f t="shared" si="999"/>
        <v>66.543750000000003</v>
      </c>
      <c r="J823" s="53">
        <f t="shared" si="999"/>
        <v>133.08750000000001</v>
      </c>
      <c r="K823" s="53">
        <f t="shared" si="999"/>
        <v>266.17500000000001</v>
      </c>
      <c r="L823" s="53">
        <f t="shared" si="999"/>
        <v>399.26249999999999</v>
      </c>
      <c r="M823" s="53">
        <f t="shared" si="999"/>
        <v>532.35</v>
      </c>
      <c r="N823" s="53">
        <f t="shared" ref="N823" si="1000">N821/(1+$B735)</f>
        <v>731.98125000000005</v>
      </c>
      <c r="O823" s="53">
        <f t="shared" ref="O823" si="1001">O821/(1+$B735)</f>
        <v>998.15625</v>
      </c>
      <c r="P823" s="53">
        <f t="shared" ref="P823:Q823" si="1002">P821/(1+$B735)</f>
        <v>1197.7875000000001</v>
      </c>
      <c r="Q823" s="53">
        <f t="shared" si="1002"/>
        <v>1330.8750000000002</v>
      </c>
      <c r="S823" s="54">
        <f>SUM(F823:Q823)</f>
        <v>5669.5275000000001</v>
      </c>
    </row>
    <row r="824" spans="1:19" hidden="1" outlineLevel="2" x14ac:dyDescent="0.2">
      <c r="A824" t="str">
        <f ca="1">Language!A$564</f>
        <v xml:space="preserve">    в том числе импортная пошлина</v>
      </c>
      <c r="C824" s="5" t="str">
        <f ca="1">CHOOSE(B730,CUR_Main,CUR_Foreign)</f>
        <v>руб.</v>
      </c>
      <c r="D824" t="str">
        <f>TEXT(B730,"0")&amp;"_02"</f>
        <v>1_02</v>
      </c>
      <c r="F824" s="53">
        <f t="shared" ref="F824:Q824" si="1003">F823/(1+$B734)*$B734</f>
        <v>0</v>
      </c>
      <c r="G824" s="53">
        <f t="shared" si="1003"/>
        <v>0</v>
      </c>
      <c r="H824" s="53">
        <f t="shared" si="1003"/>
        <v>0</v>
      </c>
      <c r="I824" s="53">
        <f t="shared" si="1003"/>
        <v>0</v>
      </c>
      <c r="J824" s="53">
        <f t="shared" si="1003"/>
        <v>0</v>
      </c>
      <c r="K824" s="53">
        <f t="shared" si="1003"/>
        <v>0</v>
      </c>
      <c r="L824" s="53">
        <f t="shared" si="1003"/>
        <v>0</v>
      </c>
      <c r="M824" s="53">
        <f t="shared" si="1003"/>
        <v>0</v>
      </c>
      <c r="N824" s="53">
        <f t="shared" si="1003"/>
        <v>0</v>
      </c>
      <c r="O824" s="53">
        <f t="shared" si="1003"/>
        <v>0</v>
      </c>
      <c r="P824" s="53">
        <f t="shared" si="1003"/>
        <v>0</v>
      </c>
      <c r="Q824" s="53">
        <f t="shared" si="1003"/>
        <v>0</v>
      </c>
      <c r="S824" s="54">
        <f>SUM(F824:Q824)</f>
        <v>0</v>
      </c>
    </row>
    <row r="825" spans="1:19" hidden="1" outlineLevel="2" x14ac:dyDescent="0.2">
      <c r="A825" t="str">
        <f ca="1">Language!A$565</f>
        <v xml:space="preserve">    закуплено сырья и материалов на сумму (без НДС)</v>
      </c>
      <c r="C825" s="5" t="str">
        <f ca="1">CHOOSE(B730,CUR_Main,CUR_Foreign)</f>
        <v>руб.</v>
      </c>
      <c r="D825" t="str">
        <f>TEXT(B730,"0")&amp;"_03"</f>
        <v>1_03</v>
      </c>
      <c r="F825" s="270">
        <f t="shared" ref="F825:Q825" si="1004">F823</f>
        <v>0</v>
      </c>
      <c r="G825" s="270">
        <f t="shared" si="1004"/>
        <v>0</v>
      </c>
      <c r="H825" s="270">
        <f t="shared" si="1004"/>
        <v>13.30875</v>
      </c>
      <c r="I825" s="270">
        <f t="shared" si="1004"/>
        <v>66.543750000000003</v>
      </c>
      <c r="J825" s="270">
        <f t="shared" si="1004"/>
        <v>133.08750000000001</v>
      </c>
      <c r="K825" s="270">
        <f t="shared" si="1004"/>
        <v>266.17500000000001</v>
      </c>
      <c r="L825" s="270">
        <f t="shared" si="1004"/>
        <v>399.26249999999999</v>
      </c>
      <c r="M825" s="270">
        <f t="shared" si="1004"/>
        <v>532.35</v>
      </c>
      <c r="N825" s="270">
        <f t="shared" ref="N825:Q825" si="1005">N823</f>
        <v>731.98125000000005</v>
      </c>
      <c r="O825" s="270">
        <f t="shared" ref="O825:Q825" si="1006">O823</f>
        <v>998.15625</v>
      </c>
      <c r="P825" s="270">
        <f t="shared" ref="P825:Q825" si="1007">P823</f>
        <v>1197.7875000000001</v>
      </c>
      <c r="Q825" s="270">
        <f t="shared" si="1007"/>
        <v>1330.8750000000002</v>
      </c>
      <c r="S825" s="54">
        <f>SUM(F825:Q825)</f>
        <v>5669.5275000000001</v>
      </c>
    </row>
    <row r="826" spans="1:19" hidden="1" outlineLevel="2" x14ac:dyDescent="0.2">
      <c r="A826" t="str">
        <f ca="1">Language!A$569</f>
        <v xml:space="preserve">    оплачено сырья и материалов (без НДС)</v>
      </c>
      <c r="C826" s="5" t="str">
        <f ca="1">CHOOSE(B730,CUR_Main,CUR_Foreign)</f>
        <v>руб.</v>
      </c>
      <c r="D826" t="str">
        <f>TEXT(B730,"0")&amp;"_06"</f>
        <v>1_06</v>
      </c>
      <c r="F826" s="270">
        <f t="shared" ref="F826:Q826" si="1008">F825</f>
        <v>0</v>
      </c>
      <c r="G826" s="270">
        <f t="shared" si="1008"/>
        <v>0</v>
      </c>
      <c r="H826" s="270">
        <f t="shared" si="1008"/>
        <v>13.30875</v>
      </c>
      <c r="I826" s="270">
        <f t="shared" si="1008"/>
        <v>66.543750000000003</v>
      </c>
      <c r="J826" s="270">
        <f t="shared" si="1008"/>
        <v>133.08750000000001</v>
      </c>
      <c r="K826" s="270">
        <f t="shared" si="1008"/>
        <v>266.17500000000001</v>
      </c>
      <c r="L826" s="270">
        <f t="shared" si="1008"/>
        <v>399.26249999999999</v>
      </c>
      <c r="M826" s="270">
        <f t="shared" si="1008"/>
        <v>532.35</v>
      </c>
      <c r="N826" s="270">
        <f t="shared" si="1008"/>
        <v>731.98125000000005</v>
      </c>
      <c r="O826" s="270">
        <f t="shared" si="1008"/>
        <v>998.15625</v>
      </c>
      <c r="P826" s="270">
        <f t="shared" si="1008"/>
        <v>1197.7875000000001</v>
      </c>
      <c r="Q826" s="270">
        <f t="shared" si="1008"/>
        <v>1330.8750000000002</v>
      </c>
      <c r="S826" s="54">
        <f>SUM(F826:Q826)</f>
        <v>5669.5275000000001</v>
      </c>
    </row>
    <row r="827" spans="1:19" hidden="1" outlineLevel="2" x14ac:dyDescent="0.2">
      <c r="A827" t="str">
        <f ca="1">Language!A$566</f>
        <v xml:space="preserve">    зачет НДС</v>
      </c>
      <c r="C827" s="5" t="str">
        <f ca="1">CHOOSE(B730,CUR_Main,CUR_Foreign)</f>
        <v>руб.</v>
      </c>
      <c r="D827" t="str">
        <f>TEXT(B730,"0")&amp;"_04"</f>
        <v>1_04</v>
      </c>
      <c r="F827" s="53">
        <f t="shared" ref="F827:Q827" si="1009">F825*$B735</f>
        <v>0</v>
      </c>
      <c r="G827" s="53">
        <f t="shared" si="1009"/>
        <v>0</v>
      </c>
      <c r="H827" s="53">
        <f t="shared" si="1009"/>
        <v>0</v>
      </c>
      <c r="I827" s="53">
        <f t="shared" si="1009"/>
        <v>0</v>
      </c>
      <c r="J827" s="53">
        <f t="shared" si="1009"/>
        <v>0</v>
      </c>
      <c r="K827" s="53">
        <f t="shared" si="1009"/>
        <v>0</v>
      </c>
      <c r="L827" s="53">
        <f t="shared" si="1009"/>
        <v>0</v>
      </c>
      <c r="M827" s="53">
        <f t="shared" si="1009"/>
        <v>0</v>
      </c>
      <c r="N827" s="53">
        <f t="shared" ref="N827:Q827" si="1010">N825*$B735</f>
        <v>0</v>
      </c>
      <c r="O827" s="53">
        <f t="shared" ref="O827:Q827" si="1011">O825*$B735</f>
        <v>0</v>
      </c>
      <c r="P827" s="53">
        <f t="shared" ref="P827:Q827" si="1012">P825*$B735</f>
        <v>0</v>
      </c>
      <c r="Q827" s="53">
        <f t="shared" si="1012"/>
        <v>0</v>
      </c>
      <c r="S827" s="54">
        <f>SUM(F827:Q827)</f>
        <v>0</v>
      </c>
    </row>
    <row r="828" spans="1:19" hidden="1" outlineLevel="2" x14ac:dyDescent="0.2">
      <c r="A828" t="str">
        <f ca="1">Language!A$567</f>
        <v xml:space="preserve">    запасы на основе периодов оборота</v>
      </c>
      <c r="C828" s="5" t="str">
        <f ca="1">CHOOSE(B730,CUR_Main,CUR_Foreign)</f>
        <v>руб.</v>
      </c>
      <c r="D828" t="str">
        <f>TEXT(B730,"0")&amp;"_05"&amp;";int_end"</f>
        <v>1_05;int_end</v>
      </c>
      <c r="F828" s="84">
        <f t="shared" ref="F828:M828" si="1013">F823*$B822/PRJ_Step</f>
        <v>0</v>
      </c>
      <c r="G828" s="84">
        <f t="shared" si="1013"/>
        <v>0</v>
      </c>
      <c r="H828" s="84">
        <f t="shared" si="1013"/>
        <v>0</v>
      </c>
      <c r="I828" s="84">
        <f t="shared" si="1013"/>
        <v>0</v>
      </c>
      <c r="J828" s="84">
        <f t="shared" si="1013"/>
        <v>0</v>
      </c>
      <c r="K828" s="84">
        <f t="shared" si="1013"/>
        <v>0</v>
      </c>
      <c r="L828" s="84">
        <f t="shared" si="1013"/>
        <v>0</v>
      </c>
      <c r="M828" s="84">
        <f t="shared" si="1013"/>
        <v>0</v>
      </c>
      <c r="N828" s="84">
        <f t="shared" ref="N828" si="1014">N823*$B822/PRJ_Step</f>
        <v>0</v>
      </c>
      <c r="O828" s="84">
        <f t="shared" ref="O828" si="1015">O823*$B822/PRJ_Step</f>
        <v>0</v>
      </c>
      <c r="P828" s="84">
        <f t="shared" ref="P828:Q828" si="1016">P823*$B822/PRJ_Step</f>
        <v>0</v>
      </c>
      <c r="Q828" s="84">
        <f t="shared" si="1016"/>
        <v>0</v>
      </c>
    </row>
    <row r="829" spans="1:19" hidden="1" outlineLevel="2" x14ac:dyDescent="0.2">
      <c r="A829" t="str">
        <f ca="1">Language!A$568</f>
        <v xml:space="preserve">    запасы на основе графика оплаты</v>
      </c>
      <c r="C829" s="5" t="str">
        <f ca="1">CHOOSE(B730,CUR_Main,CUR_Foreign)</f>
        <v>руб.</v>
      </c>
      <c r="D829" t="str">
        <f>TEXT(B730,"0")&amp;"_13"&amp;";int_end"</f>
        <v>1_13;int_end</v>
      </c>
      <c r="F829" s="84">
        <f t="shared" ref="F829:M829" si="1017">E829+F825-F823</f>
        <v>0</v>
      </c>
      <c r="G829" s="84">
        <f t="shared" si="1017"/>
        <v>0</v>
      </c>
      <c r="H829" s="84">
        <f t="shared" si="1017"/>
        <v>0</v>
      </c>
      <c r="I829" s="84">
        <f t="shared" si="1017"/>
        <v>0</v>
      </c>
      <c r="J829" s="84">
        <f t="shared" si="1017"/>
        <v>0</v>
      </c>
      <c r="K829" s="84">
        <f t="shared" si="1017"/>
        <v>0</v>
      </c>
      <c r="L829" s="84">
        <f t="shared" si="1017"/>
        <v>0</v>
      </c>
      <c r="M829" s="84">
        <f t="shared" si="1017"/>
        <v>0</v>
      </c>
      <c r="N829" s="84">
        <f t="shared" ref="N829:O829" si="1018">M829+N825-N823</f>
        <v>0</v>
      </c>
      <c r="O829" s="84">
        <f t="shared" si="1018"/>
        <v>0</v>
      </c>
      <c r="P829" s="84">
        <f t="shared" ref="P829:Q829" si="1019">O829+P825-P823</f>
        <v>0</v>
      </c>
      <c r="Q829" s="84">
        <f t="shared" si="1019"/>
        <v>0</v>
      </c>
    </row>
    <row r="830" spans="1:19" hidden="1" outlineLevel="2" x14ac:dyDescent="0.2">
      <c r="A830" t="str">
        <f ca="1">Language!A$570</f>
        <v xml:space="preserve">    выплаченный НДС</v>
      </c>
      <c r="C830" s="5" t="str">
        <f ca="1">CHOOSE(B730,CUR_Main,CUR_Foreign)</f>
        <v>руб.</v>
      </c>
      <c r="D830" t="str">
        <f>TEXT(B730,"0")&amp;"_07"</f>
        <v>1_07</v>
      </c>
      <c r="F830" s="53">
        <f t="shared" ref="F830:Q830" si="1020">F826*$B735</f>
        <v>0</v>
      </c>
      <c r="G830" s="53">
        <f t="shared" si="1020"/>
        <v>0</v>
      </c>
      <c r="H830" s="53">
        <f t="shared" si="1020"/>
        <v>0</v>
      </c>
      <c r="I830" s="53">
        <f t="shared" si="1020"/>
        <v>0</v>
      </c>
      <c r="J830" s="53">
        <f t="shared" si="1020"/>
        <v>0</v>
      </c>
      <c r="K830" s="53">
        <f t="shared" si="1020"/>
        <v>0</v>
      </c>
      <c r="L830" s="53">
        <f t="shared" si="1020"/>
        <v>0</v>
      </c>
      <c r="M830" s="53">
        <f t="shared" si="1020"/>
        <v>0</v>
      </c>
      <c r="N830" s="53">
        <f t="shared" ref="N830:Q830" si="1021">N826*$B735</f>
        <v>0</v>
      </c>
      <c r="O830" s="53">
        <f t="shared" ref="O830:Q830" si="1022">O826*$B735</f>
        <v>0</v>
      </c>
      <c r="P830" s="53">
        <f t="shared" ref="P830:Q830" si="1023">P826*$B735</f>
        <v>0</v>
      </c>
      <c r="Q830" s="53">
        <f t="shared" si="1023"/>
        <v>0</v>
      </c>
      <c r="S830" s="54">
        <f>SUM(F830:Q830)</f>
        <v>0</v>
      </c>
    </row>
    <row r="831" spans="1:19" hidden="1" outlineLevel="2" x14ac:dyDescent="0.2">
      <c r="A831" t="str">
        <f ca="1">Language!A$571</f>
        <v xml:space="preserve">    кредиторская задолженность</v>
      </c>
      <c r="C831" s="5" t="str">
        <f ca="1">CHOOSE(B730,CUR_Main,CUR_Foreign)</f>
        <v>руб.</v>
      </c>
      <c r="D831" t="str">
        <f>TEXT(B730,"0")&amp;"_08"&amp;";int_end"</f>
        <v>1_08;int_end</v>
      </c>
      <c r="F831" s="53">
        <f>IF(SUM($F825:F825)&gt;=0,MAX(SUM($F825:F825)+SUM($F827:F827)-SUM($F826:F826)-SUM($F830:F830),0),MIN(SUM($F825:F825)+SUM($F827:F827)-SUM($F826:F826)-SUM($F830:F830),0))</f>
        <v>0</v>
      </c>
      <c r="G831" s="53">
        <f>IF(SUM($F825:G825)&gt;=0,MAX(SUM($F825:G825)+SUM($F827:G827)-SUM($F826:G826)-SUM($F830:G830),0),MIN(SUM($F825:G825)+SUM($F827:G827)-SUM($F826:G826)-SUM($F830:G830),0))</f>
        <v>0</v>
      </c>
      <c r="H831" s="53">
        <f>IF(SUM($F825:H825)&gt;=0,MAX(SUM($F825:H825)+SUM($F827:H827)-SUM($F826:H826)-SUM($F830:H830),0),MIN(SUM($F825:H825)+SUM($F827:H827)-SUM($F826:H826)-SUM($F830:H830),0))</f>
        <v>0</v>
      </c>
      <c r="I831" s="53">
        <f>IF(SUM($F825:I825)&gt;=0,MAX(SUM($F825:I825)+SUM($F827:I827)-SUM($F826:I826)-SUM($F830:I830),0),MIN(SUM($F825:I825)+SUM($F827:I827)-SUM($F826:I826)-SUM($F830:I830),0))</f>
        <v>0</v>
      </c>
      <c r="J831" s="53">
        <f>IF(SUM($F825:J825)&gt;=0,MAX(SUM($F825:J825)+SUM($F827:J827)-SUM($F826:J826)-SUM($F830:J830),0),MIN(SUM($F825:J825)+SUM($F827:J827)-SUM($F826:J826)-SUM($F830:J830),0))</f>
        <v>0</v>
      </c>
      <c r="K831" s="53">
        <f>IF(SUM($F825:K825)&gt;=0,MAX(SUM($F825:K825)+SUM($F827:K827)-SUM($F826:K826)-SUM($F830:K830),0),MIN(SUM($F825:K825)+SUM($F827:K827)-SUM($F826:K826)-SUM($F830:K830),0))</f>
        <v>0</v>
      </c>
      <c r="L831" s="53">
        <f>IF(SUM($F825:L825)&gt;=0,MAX(SUM($F825:L825)+SUM($F827:L827)-SUM($F826:L826)-SUM($F830:L830),0),MIN(SUM($F825:L825)+SUM($F827:L827)-SUM($F826:L826)-SUM($F830:L830),0))</f>
        <v>0</v>
      </c>
      <c r="M831" s="53">
        <f>IF(SUM($F825:M825)&gt;=0,MAX(SUM($F825:M825)+SUM($F827:M827)-SUM($F826:M826)-SUM($F830:M830),0),MIN(SUM($F825:M825)+SUM($F827:M827)-SUM($F826:M826)-SUM($F830:M830),0))</f>
        <v>0</v>
      </c>
      <c r="N831" s="53">
        <f>IF(SUM($F825:N825)&gt;=0,MAX(SUM($F825:N825)+SUM($F827:N827)-SUM($F826:N826)-SUM($F830:N830),0),MIN(SUM($F825:N825)+SUM($F827:N827)-SUM($F826:N826)-SUM($F830:N830),0))</f>
        <v>0</v>
      </c>
      <c r="O831" s="53">
        <f>IF(SUM($F825:O825)&gt;=0,MAX(SUM($F825:O825)+SUM($F827:O827)-SUM($F826:O826)-SUM($F830:O830),0),MIN(SUM($F825:O825)+SUM($F827:O827)-SUM($F826:O826)-SUM($F830:O830),0))</f>
        <v>0</v>
      </c>
      <c r="P831" s="53">
        <f>IF(SUM($F825:P825)&gt;=0,MAX(SUM($F825:P825)+SUM($F827:P827)-SUM($F826:P826)-SUM($F830:P830),0),MIN(SUM($F825:P825)+SUM($F827:P827)-SUM($F826:P826)-SUM($F830:P830),0))</f>
        <v>0</v>
      </c>
      <c r="Q831" s="53">
        <f>IF(SUM($F825:Q825)&gt;=0,MAX(SUM($F825:Q825)+SUM($F827:Q827)-SUM($F826:Q826)-SUM($F830:Q830),0),MIN(SUM($F825:Q825)+SUM($F827:Q827)-SUM($F826:Q826)-SUM($F830:Q830),0))</f>
        <v>0</v>
      </c>
    </row>
    <row r="832" spans="1:19" hidden="1" outlineLevel="2" x14ac:dyDescent="0.2">
      <c r="A832" t="str">
        <f ca="1">Language!A$572</f>
        <v xml:space="preserve">    выплаченные авансы</v>
      </c>
      <c r="C832" s="5" t="str">
        <f ca="1">CHOOSE(B730,CUR_Main,CUR_Foreign)</f>
        <v>руб.</v>
      </c>
      <c r="D832" t="str">
        <f>TEXT(B730,"0")&amp;"_09"&amp;";int_end"</f>
        <v>1_09;int_end</v>
      </c>
      <c r="F832" s="53">
        <f>IF(SUM($F825:F825)&gt;=0,MAX(SUM($F826:F826)+SUM($F830:F830)-SUM($F825:F825)-SUM($F827:F827),0),MIN(SUM($F826:F826)+SUM($F830:F830)-SUM($F825:F825)-SUM($F827:F827),0))</f>
        <v>0</v>
      </c>
      <c r="G832" s="53">
        <f>IF(SUM($F825:G825)&gt;=0,MAX(SUM($F826:G826)+SUM($F830:G830)-SUM($F825:G825)-SUM($F827:G827),0),MIN(SUM($F826:G826)+SUM($F830:G830)-SUM($F825:G825)-SUM($F827:G827),0))</f>
        <v>0</v>
      </c>
      <c r="H832" s="53">
        <f>IF(SUM($F825:H825)&gt;=0,MAX(SUM($F826:H826)+SUM($F830:H830)-SUM($F825:H825)-SUM($F827:H827),0),MIN(SUM($F826:H826)+SUM($F830:H830)-SUM($F825:H825)-SUM($F827:H827),0))</f>
        <v>0</v>
      </c>
      <c r="I832" s="53">
        <f>IF(SUM($F825:I825)&gt;=0,MAX(SUM($F826:I826)+SUM($F830:I830)-SUM($F825:I825)-SUM($F827:I827),0),MIN(SUM($F826:I826)+SUM($F830:I830)-SUM($F825:I825)-SUM($F827:I827),0))</f>
        <v>0</v>
      </c>
      <c r="J832" s="53">
        <f>IF(SUM($F825:J825)&gt;=0,MAX(SUM($F826:J826)+SUM($F830:J830)-SUM($F825:J825)-SUM($F827:J827),0),MIN(SUM($F826:J826)+SUM($F830:J830)-SUM($F825:J825)-SUM($F827:J827),0))</f>
        <v>0</v>
      </c>
      <c r="K832" s="53">
        <f>IF(SUM($F825:K825)&gt;=0,MAX(SUM($F826:K826)+SUM($F830:K830)-SUM($F825:K825)-SUM($F827:K827),0),MIN(SUM($F826:K826)+SUM($F830:K830)-SUM($F825:K825)-SUM($F827:K827),0))</f>
        <v>0</v>
      </c>
      <c r="L832" s="53">
        <f>IF(SUM($F825:L825)&gt;=0,MAX(SUM($F826:L826)+SUM($F830:L830)-SUM($F825:L825)-SUM($F827:L827),0),MIN(SUM($F826:L826)+SUM($F830:L830)-SUM($F825:L825)-SUM($F827:L827),0))</f>
        <v>0</v>
      </c>
      <c r="M832" s="53">
        <f>IF(SUM($F825:M825)&gt;=0,MAX(SUM($F826:M826)+SUM($F830:M830)-SUM($F825:M825)-SUM($F827:M827),0),MIN(SUM($F826:M826)+SUM($F830:M830)-SUM($F825:M825)-SUM($F827:M827),0))</f>
        <v>0</v>
      </c>
      <c r="N832" s="53">
        <f>IF(SUM($F825:N825)&gt;=0,MAX(SUM($F826:N826)+SUM($F830:N830)-SUM($F825:N825)-SUM($F827:N827),0),MIN(SUM($F826:N826)+SUM($F830:N830)-SUM($F825:N825)-SUM($F827:N827),0))</f>
        <v>0</v>
      </c>
      <c r="O832" s="53">
        <f>IF(SUM($F825:O825)&gt;=0,MAX(SUM($F826:O826)+SUM($F830:O830)-SUM($F825:O825)-SUM($F827:O827),0),MIN(SUM($F826:O826)+SUM($F830:O830)-SUM($F825:O825)-SUM($F827:O827),0))</f>
        <v>0</v>
      </c>
      <c r="P832" s="53">
        <f>IF(SUM($F825:P825)&gt;=0,MAX(SUM($F826:P826)+SUM($F830:P830)-SUM($F825:P825)-SUM($F827:P827),0),MIN(SUM($F826:P826)+SUM($F830:P830)-SUM($F825:P825)-SUM($F827:P827),0))</f>
        <v>0</v>
      </c>
      <c r="Q832" s="53">
        <f>IF(SUM($F825:Q825)&gt;=0,MAX(SUM($F826:Q826)+SUM($F830:Q830)-SUM($F825:Q825)-SUM($F827:Q827),0),MIN(SUM($F826:Q826)+SUM($F830:Q830)-SUM($F825:Q825)-SUM($F827:Q827),0))</f>
        <v>0</v>
      </c>
    </row>
    <row r="833" spans="1:19" hidden="1" outlineLevel="2" x14ac:dyDescent="0.2">
      <c r="A833" t="str">
        <f ca="1">Language!A$573</f>
        <v xml:space="preserve">    списано затрат на реализованную продукцию</v>
      </c>
      <c r="C833" s="5" t="str">
        <f ca="1">CHOOSE(B730,CUR_Main,CUR_Foreign)</f>
        <v>руб.</v>
      </c>
      <c r="D833" t="str">
        <f>TEXT(B730,"0")&amp;"_10"</f>
        <v>1_10</v>
      </c>
      <c r="F833" s="53">
        <f t="shared" ref="F833:M833" si="1024">IF((E673+F671)&gt;0,F672*(E834+F823)/(E673+F671),0)</f>
        <v>0</v>
      </c>
      <c r="G833" s="53">
        <f t="shared" si="1024"/>
        <v>0</v>
      </c>
      <c r="H833" s="53">
        <f t="shared" si="1024"/>
        <v>13.30875</v>
      </c>
      <c r="I833" s="53">
        <f t="shared" si="1024"/>
        <v>66.543750000000003</v>
      </c>
      <c r="J833" s="53">
        <f t="shared" si="1024"/>
        <v>133.08750000000001</v>
      </c>
      <c r="K833" s="53">
        <f t="shared" si="1024"/>
        <v>266.17500000000001</v>
      </c>
      <c r="L833" s="53">
        <f t="shared" si="1024"/>
        <v>399.26249999999999</v>
      </c>
      <c r="M833" s="53">
        <f t="shared" si="1024"/>
        <v>532.35</v>
      </c>
      <c r="N833" s="53">
        <f t="shared" ref="N833:O833" si="1025">IF((M673+N671)&gt;0,N672*(M834+N823)/(M673+N671),0)</f>
        <v>731.98125000000005</v>
      </c>
      <c r="O833" s="53">
        <f t="shared" si="1025"/>
        <v>998.15625</v>
      </c>
      <c r="P833" s="53">
        <f t="shared" ref="P833:Q833" si="1026">IF((O673+P671)&gt;0,P672*(O834+P823)/(O673+P671),0)</f>
        <v>1197.7875000000001</v>
      </c>
      <c r="Q833" s="53">
        <f t="shared" si="1026"/>
        <v>1330.8750000000002</v>
      </c>
      <c r="S833" s="54">
        <f>SUM(F833:Q833)</f>
        <v>5669.5275000000001</v>
      </c>
    </row>
    <row r="834" spans="1:19" hidden="1" outlineLevel="2" x14ac:dyDescent="0.2">
      <c r="A834" s="48" t="str">
        <f ca="1">Language!A$574</f>
        <v xml:space="preserve">    остаток затрат на складе готовой продукции</v>
      </c>
      <c r="C834" s="5" t="str">
        <f ca="1">CHOOSE(B730,CUR_Main,CUR_Foreign)</f>
        <v>руб.</v>
      </c>
      <c r="D834" t="str">
        <f>TEXT(B730,"0")&amp;"_11"&amp;";int_end"</f>
        <v>1_11;int_end</v>
      </c>
      <c r="F834" s="84">
        <f t="shared" ref="F834:M834" si="1027">IF((F671+E673)&gt;0,F673*(E834+F823)/(E673+F671),0)</f>
        <v>0</v>
      </c>
      <c r="G834" s="84">
        <f t="shared" si="1027"/>
        <v>0</v>
      </c>
      <c r="H834" s="84">
        <f t="shared" si="1027"/>
        <v>0</v>
      </c>
      <c r="I834" s="84">
        <f t="shared" si="1027"/>
        <v>0</v>
      </c>
      <c r="J834" s="84">
        <f t="shared" si="1027"/>
        <v>0</v>
      </c>
      <c r="K834" s="84">
        <f t="shared" si="1027"/>
        <v>0</v>
      </c>
      <c r="L834" s="84">
        <f t="shared" si="1027"/>
        <v>0</v>
      </c>
      <c r="M834" s="84">
        <f t="shared" si="1027"/>
        <v>0</v>
      </c>
      <c r="N834" s="84">
        <f t="shared" ref="N834:O834" si="1028">IF((N671+M673)&gt;0,N673*(M834+N823)/(M673+N671),0)</f>
        <v>0</v>
      </c>
      <c r="O834" s="84">
        <f t="shared" si="1028"/>
        <v>0</v>
      </c>
      <c r="P834" s="84">
        <f t="shared" ref="P834:Q834" si="1029">IF((P671+O673)&gt;0,P673*(O834+P823)/(O673+P671),0)</f>
        <v>0</v>
      </c>
      <c r="Q834" s="84">
        <f t="shared" si="1029"/>
        <v>0</v>
      </c>
    </row>
    <row r="835" spans="1:19" hidden="1" outlineLevel="2" x14ac:dyDescent="0.2">
      <c r="A835" s="48" t="str">
        <f ca="1">Language!A$575</f>
        <v xml:space="preserve">    остаток затрат в незавершенном производстве</v>
      </c>
      <c r="B835" s="255">
        <f>NWC_T_Cycle</f>
        <v>60</v>
      </c>
      <c r="C835" s="5" t="str">
        <f ca="1">Language!A$38</f>
        <v>дн.</v>
      </c>
      <c r="D835" t="str">
        <f>TEXT(B730,"0")&amp;"_12"&amp;";int_end"</f>
        <v>1_12;int_end</v>
      </c>
      <c r="F835" s="84">
        <f t="shared" ref="F835:M835" si="1030">F823*$B835/PRJ_Step</f>
        <v>0</v>
      </c>
      <c r="G835" s="84">
        <f t="shared" si="1030"/>
        <v>0</v>
      </c>
      <c r="H835" s="84">
        <f t="shared" si="1030"/>
        <v>26.6175</v>
      </c>
      <c r="I835" s="84">
        <f t="shared" si="1030"/>
        <v>133.08750000000001</v>
      </c>
      <c r="J835" s="84">
        <f t="shared" si="1030"/>
        <v>266.17500000000001</v>
      </c>
      <c r="K835" s="84">
        <f t="shared" si="1030"/>
        <v>532.35</v>
      </c>
      <c r="L835" s="84">
        <f t="shared" si="1030"/>
        <v>798.52499999999998</v>
      </c>
      <c r="M835" s="84">
        <f t="shared" si="1030"/>
        <v>1064.7</v>
      </c>
      <c r="N835" s="84">
        <f t="shared" ref="N835" si="1031">N823*$B835/PRJ_Step</f>
        <v>1463.9625000000001</v>
      </c>
      <c r="O835" s="84">
        <f t="shared" ref="O835" si="1032">O823*$B835/PRJ_Step</f>
        <v>1996.3125</v>
      </c>
      <c r="P835" s="84">
        <f t="shared" ref="P835:Q835" si="1033">P823*$B835/PRJ_Step</f>
        <v>2395.5750000000003</v>
      </c>
      <c r="Q835" s="84">
        <f t="shared" si="1033"/>
        <v>2661.7500000000005</v>
      </c>
    </row>
    <row r="836" spans="1:19" outlineLevel="1" x14ac:dyDescent="0.2"/>
    <row r="837" spans="1:19" ht="10.5" outlineLevel="1" collapsed="1" x14ac:dyDescent="0.25">
      <c r="A837" s="35" t="str">
        <f ca="1">Language!A547</f>
        <v xml:space="preserve"> = Итого</v>
      </c>
      <c r="C837" s="5" t="str">
        <f t="shared" ref="C837:C850" ca="1" si="1034">CUR_Main</f>
        <v>руб.</v>
      </c>
      <c r="F837" s="56">
        <f t="shared" ref="F837:M837" si="1035">SUMIF($D740:$D836,"*1_00*",F740:F836)+SUMIF($D740:$D836,"*2_00*",F740:F836)*F$88</f>
        <v>0</v>
      </c>
      <c r="G837" s="56">
        <f t="shared" si="1035"/>
        <v>0</v>
      </c>
      <c r="H837" s="56">
        <f t="shared" si="1035"/>
        <v>13.30875</v>
      </c>
      <c r="I837" s="56">
        <f t="shared" si="1035"/>
        <v>66.543750000000003</v>
      </c>
      <c r="J837" s="56">
        <f t="shared" si="1035"/>
        <v>133.08750000000001</v>
      </c>
      <c r="K837" s="56">
        <f t="shared" si="1035"/>
        <v>266.17500000000001</v>
      </c>
      <c r="L837" s="56">
        <f t="shared" si="1035"/>
        <v>399.26249999999999</v>
      </c>
      <c r="M837" s="56">
        <f t="shared" si="1035"/>
        <v>532.35</v>
      </c>
      <c r="N837" s="56">
        <f t="shared" ref="N837" si="1036">SUMIF($D740:$D836,"*1_00*",N740:N836)+SUMIF($D740:$D836,"*2_00*",N740:N836)*N$88</f>
        <v>731.98125000000005</v>
      </c>
      <c r="O837" s="56">
        <f t="shared" ref="O837" si="1037">SUMIF($D740:$D836,"*1_00*",O740:O836)+SUMIF($D740:$D836,"*2_00*",O740:O836)*O$88</f>
        <v>998.15625</v>
      </c>
      <c r="P837" s="56">
        <f t="shared" ref="P837:Q837" si="1038">SUMIF($D740:$D836,"*1_00*",P740:P836)+SUMIF($D740:$D836,"*2_00*",P740:P836)*P$88</f>
        <v>1197.7875000000001</v>
      </c>
      <c r="Q837" s="56">
        <f t="shared" si="1038"/>
        <v>1330.8750000000002</v>
      </c>
      <c r="S837" s="57">
        <f>SUM(F837:Q837)</f>
        <v>5669.5275000000001</v>
      </c>
    </row>
    <row r="838" spans="1:19" hidden="1" outlineLevel="2" x14ac:dyDescent="0.2">
      <c r="A838" t="str">
        <f ca="1">Language!A563</f>
        <v xml:space="preserve">    затраты на сырье и материалы без НДС</v>
      </c>
      <c r="C838" s="5" t="str">
        <f t="shared" ca="1" si="1034"/>
        <v>руб.</v>
      </c>
      <c r="F838" s="53">
        <f t="shared" ref="F838:M838" si="1039">SUMIF($D740:$D836,"*1_01*",F740:F836)+SUMIF($D740:$D836,"*2_01*",F740:F836)*F$88</f>
        <v>0</v>
      </c>
      <c r="G838" s="53">
        <f t="shared" si="1039"/>
        <v>0</v>
      </c>
      <c r="H838" s="53">
        <f t="shared" si="1039"/>
        <v>13.30875</v>
      </c>
      <c r="I838" s="53">
        <f t="shared" si="1039"/>
        <v>66.543750000000003</v>
      </c>
      <c r="J838" s="53">
        <f t="shared" si="1039"/>
        <v>133.08750000000001</v>
      </c>
      <c r="K838" s="53">
        <f t="shared" si="1039"/>
        <v>266.17500000000001</v>
      </c>
      <c r="L838" s="53">
        <f t="shared" si="1039"/>
        <v>399.26249999999999</v>
      </c>
      <c r="M838" s="53">
        <f t="shared" si="1039"/>
        <v>532.35</v>
      </c>
      <c r="N838" s="53">
        <f t="shared" ref="N838" si="1040">SUMIF($D740:$D836,"*1_01*",N740:N836)+SUMIF($D740:$D836,"*2_01*",N740:N836)*N$88</f>
        <v>731.98125000000005</v>
      </c>
      <c r="O838" s="53">
        <f t="shared" ref="O838" si="1041">SUMIF($D740:$D836,"*1_01*",O740:O836)+SUMIF($D740:$D836,"*2_01*",O740:O836)*O$88</f>
        <v>998.15625</v>
      </c>
      <c r="P838" s="53">
        <f t="shared" ref="P838:Q838" si="1042">SUMIF($D740:$D836,"*1_01*",P740:P836)+SUMIF($D740:$D836,"*2_01*",P740:P836)*P$88</f>
        <v>1197.7875000000001</v>
      </c>
      <c r="Q838" s="53">
        <f t="shared" si="1042"/>
        <v>1330.8750000000002</v>
      </c>
      <c r="S838" s="54">
        <f>SUM(F838:Q838)</f>
        <v>5669.5275000000001</v>
      </c>
    </row>
    <row r="839" spans="1:19" hidden="1" outlineLevel="2" x14ac:dyDescent="0.2">
      <c r="A839" t="str">
        <f ca="1">Language!A564</f>
        <v xml:space="preserve">    в том числе импортная пошлина</v>
      </c>
      <c r="C839" s="5" t="str">
        <f t="shared" ca="1" si="1034"/>
        <v>руб.</v>
      </c>
      <c r="F839" s="53">
        <f t="shared" ref="F839:M839" si="1043">SUMIF($D740:$D836,"*1_02*",F740:F836)+SUMIF($D740:$D836,"*2_02*",F740:F836)*F$88</f>
        <v>0</v>
      </c>
      <c r="G839" s="53">
        <f t="shared" si="1043"/>
        <v>0</v>
      </c>
      <c r="H839" s="53">
        <f t="shared" si="1043"/>
        <v>0</v>
      </c>
      <c r="I839" s="53">
        <f t="shared" si="1043"/>
        <v>0</v>
      </c>
      <c r="J839" s="53">
        <f t="shared" si="1043"/>
        <v>0</v>
      </c>
      <c r="K839" s="53">
        <f t="shared" si="1043"/>
        <v>0</v>
      </c>
      <c r="L839" s="53">
        <f t="shared" si="1043"/>
        <v>0</v>
      </c>
      <c r="M839" s="53">
        <f t="shared" si="1043"/>
        <v>0</v>
      </c>
      <c r="N839" s="53">
        <f t="shared" ref="N839" si="1044">SUMIF($D740:$D836,"*1_02*",N740:N836)+SUMIF($D740:$D836,"*2_02*",N740:N836)*N$88</f>
        <v>0</v>
      </c>
      <c r="O839" s="53">
        <f t="shared" ref="O839" si="1045">SUMIF($D740:$D836,"*1_02*",O740:O836)+SUMIF($D740:$D836,"*2_02*",O740:O836)*O$88</f>
        <v>0</v>
      </c>
      <c r="P839" s="53">
        <f t="shared" ref="P839:Q839" si="1046">SUMIF($D740:$D836,"*1_02*",P740:P836)+SUMIF($D740:$D836,"*2_02*",P740:P836)*P$88</f>
        <v>0</v>
      </c>
      <c r="Q839" s="53">
        <f t="shared" si="1046"/>
        <v>0</v>
      </c>
      <c r="S839" s="54">
        <f>SUM(F839:Q839)</f>
        <v>0</v>
      </c>
    </row>
    <row r="840" spans="1:19" hidden="1" outlineLevel="2" x14ac:dyDescent="0.2">
      <c r="A840" t="str">
        <f ca="1">Language!A565</f>
        <v xml:space="preserve">    закуплено сырья и материалов на сумму (без НДС)</v>
      </c>
      <c r="C840" s="5" t="str">
        <f t="shared" ca="1" si="1034"/>
        <v>руб.</v>
      </c>
      <c r="F840" s="53">
        <f t="shared" ref="F840:M840" si="1047">SUMIF($D740:$D836,"*1_03*",F740:F836)+SUMIF($D740:$D836,"*2_03*",F740:F836)*F$88</f>
        <v>0</v>
      </c>
      <c r="G840" s="53">
        <f t="shared" si="1047"/>
        <v>0</v>
      </c>
      <c r="H840" s="53">
        <f t="shared" si="1047"/>
        <v>13.30875</v>
      </c>
      <c r="I840" s="53">
        <f t="shared" si="1047"/>
        <v>66.543750000000003</v>
      </c>
      <c r="J840" s="53">
        <f t="shared" si="1047"/>
        <v>133.08750000000001</v>
      </c>
      <c r="K840" s="53">
        <f t="shared" si="1047"/>
        <v>266.17500000000001</v>
      </c>
      <c r="L840" s="53">
        <f t="shared" si="1047"/>
        <v>399.26249999999999</v>
      </c>
      <c r="M840" s="53">
        <f t="shared" si="1047"/>
        <v>532.35</v>
      </c>
      <c r="N840" s="53">
        <f t="shared" ref="N840" si="1048">SUMIF($D740:$D836,"*1_03*",N740:N836)+SUMIF($D740:$D836,"*2_03*",N740:N836)*N$88</f>
        <v>731.98125000000005</v>
      </c>
      <c r="O840" s="53">
        <f t="shared" ref="O840" si="1049">SUMIF($D740:$D836,"*1_03*",O740:O836)+SUMIF($D740:$D836,"*2_03*",O740:O836)*O$88</f>
        <v>998.15625</v>
      </c>
      <c r="P840" s="53">
        <f t="shared" ref="P840:Q840" si="1050">SUMIF($D740:$D836,"*1_03*",P740:P836)+SUMIF($D740:$D836,"*2_03*",P740:P836)*P$88</f>
        <v>1197.7875000000001</v>
      </c>
      <c r="Q840" s="53">
        <f t="shared" si="1050"/>
        <v>1330.8750000000002</v>
      </c>
      <c r="S840" s="54">
        <f>SUM(F840:Q840)</f>
        <v>5669.5275000000001</v>
      </c>
    </row>
    <row r="841" spans="1:19" hidden="1" outlineLevel="2" x14ac:dyDescent="0.2">
      <c r="A841" t="str">
        <f ca="1">Language!A566</f>
        <v xml:space="preserve">    зачет НДС</v>
      </c>
      <c r="C841" s="5" t="str">
        <f t="shared" ca="1" si="1034"/>
        <v>руб.</v>
      </c>
      <c r="F841" s="53">
        <f t="shared" ref="F841:M841" si="1051">SUMIF($D740:$D836,"*1_04*",F740:F836)+SUMIF($D740:$D836,"*2_04*",F740:F836)*F$88</f>
        <v>0</v>
      </c>
      <c r="G841" s="53">
        <f t="shared" si="1051"/>
        <v>0</v>
      </c>
      <c r="H841" s="53">
        <f t="shared" si="1051"/>
        <v>0</v>
      </c>
      <c r="I841" s="53">
        <f t="shared" si="1051"/>
        <v>0</v>
      </c>
      <c r="J841" s="53">
        <f t="shared" si="1051"/>
        <v>0</v>
      </c>
      <c r="K841" s="53">
        <f t="shared" si="1051"/>
        <v>0</v>
      </c>
      <c r="L841" s="53">
        <f t="shared" si="1051"/>
        <v>0</v>
      </c>
      <c r="M841" s="53">
        <f t="shared" si="1051"/>
        <v>0</v>
      </c>
      <c r="N841" s="53">
        <f t="shared" ref="N841" si="1052">SUMIF($D740:$D836,"*1_04*",N740:N836)+SUMIF($D740:$D836,"*2_04*",N740:N836)*N$88</f>
        <v>0</v>
      </c>
      <c r="O841" s="53">
        <f t="shared" ref="O841" si="1053">SUMIF($D740:$D836,"*1_04*",O740:O836)+SUMIF($D740:$D836,"*2_04*",O740:O836)*O$88</f>
        <v>0</v>
      </c>
      <c r="P841" s="53">
        <f t="shared" ref="P841:Q841" si="1054">SUMIF($D740:$D836,"*1_04*",P740:P836)+SUMIF($D740:$D836,"*2_04*",P740:P836)*P$88</f>
        <v>0</v>
      </c>
      <c r="Q841" s="53">
        <f t="shared" si="1054"/>
        <v>0</v>
      </c>
      <c r="S841" s="54">
        <f>SUM(F841:Q841)</f>
        <v>0</v>
      </c>
    </row>
    <row r="842" spans="1:19" hidden="1" outlineLevel="2" x14ac:dyDescent="0.2">
      <c r="A842" t="str">
        <f ca="1">Language!A567</f>
        <v xml:space="preserve">    запасы на основе периодов оборота</v>
      </c>
      <c r="C842" s="5" t="str">
        <f t="shared" ca="1" si="1034"/>
        <v>руб.</v>
      </c>
      <c r="D842" s="16" t="s">
        <v>384</v>
      </c>
      <c r="F842" s="53">
        <f t="shared" ref="F842:M842" si="1055">SUMIF($D740:$D836,"*1_05*",F740:F836)+SUMIF($D740:$D836,"*2_05*",F740:F836)*F$88</f>
        <v>0</v>
      </c>
      <c r="G842" s="53">
        <f t="shared" si="1055"/>
        <v>0</v>
      </c>
      <c r="H842" s="53">
        <f t="shared" si="1055"/>
        <v>0</v>
      </c>
      <c r="I842" s="53">
        <f t="shared" si="1055"/>
        <v>0</v>
      </c>
      <c r="J842" s="53">
        <f t="shared" si="1055"/>
        <v>0</v>
      </c>
      <c r="K842" s="53">
        <f t="shared" si="1055"/>
        <v>0</v>
      </c>
      <c r="L842" s="53">
        <f t="shared" si="1055"/>
        <v>0</v>
      </c>
      <c r="M842" s="53">
        <f t="shared" si="1055"/>
        <v>0</v>
      </c>
      <c r="N842" s="53">
        <f t="shared" ref="N842" si="1056">SUMIF($D740:$D836,"*1_05*",N740:N836)+SUMIF($D740:$D836,"*2_05*",N740:N836)*N$88</f>
        <v>0</v>
      </c>
      <c r="O842" s="53">
        <f t="shared" ref="O842" si="1057">SUMIF($D740:$D836,"*1_05*",O740:O836)+SUMIF($D740:$D836,"*2_05*",O740:O836)*O$88</f>
        <v>0</v>
      </c>
      <c r="P842" s="53">
        <f t="shared" ref="P842:Q842" si="1058">SUMIF($D740:$D836,"*1_05*",P740:P836)+SUMIF($D740:$D836,"*2_05*",P740:P836)*P$88</f>
        <v>0</v>
      </c>
      <c r="Q842" s="53">
        <f t="shared" si="1058"/>
        <v>0</v>
      </c>
    </row>
    <row r="843" spans="1:19" hidden="1" outlineLevel="2" x14ac:dyDescent="0.2">
      <c r="A843" t="str">
        <f ca="1">Language!A568</f>
        <v xml:space="preserve">    запасы на основе графика оплаты</v>
      </c>
      <c r="C843" s="5" t="str">
        <f t="shared" ca="1" si="1034"/>
        <v>руб.</v>
      </c>
      <c r="D843" s="16" t="s">
        <v>384</v>
      </c>
      <c r="F843" s="53">
        <f t="shared" ref="F843:M843" si="1059">SUMIF($D740:$D836,"*1_13*",F740:F836)+SUMIF($D740:$D836,"*2_13*",F740:F836)*F$88</f>
        <v>0</v>
      </c>
      <c r="G843" s="53">
        <f t="shared" si="1059"/>
        <v>0</v>
      </c>
      <c r="H843" s="53">
        <f t="shared" si="1059"/>
        <v>0</v>
      </c>
      <c r="I843" s="53">
        <f t="shared" si="1059"/>
        <v>0</v>
      </c>
      <c r="J843" s="53">
        <f t="shared" si="1059"/>
        <v>0</v>
      </c>
      <c r="K843" s="53">
        <f t="shared" si="1059"/>
        <v>0</v>
      </c>
      <c r="L843" s="53">
        <f t="shared" si="1059"/>
        <v>0</v>
      </c>
      <c r="M843" s="53">
        <f t="shared" si="1059"/>
        <v>0</v>
      </c>
      <c r="N843" s="53">
        <f t="shared" ref="N843" si="1060">SUMIF($D740:$D836,"*1_13*",N740:N836)+SUMIF($D740:$D836,"*2_13*",N740:N836)*N$88</f>
        <v>0</v>
      </c>
      <c r="O843" s="53">
        <f t="shared" ref="O843" si="1061">SUMIF($D740:$D836,"*1_13*",O740:O836)+SUMIF($D740:$D836,"*2_13*",O740:O836)*O$88</f>
        <v>0</v>
      </c>
      <c r="P843" s="53">
        <f t="shared" ref="P843:Q843" si="1062">SUMIF($D740:$D836,"*1_13*",P740:P836)+SUMIF($D740:$D836,"*2_13*",P740:P836)*P$88</f>
        <v>0</v>
      </c>
      <c r="Q843" s="53">
        <f t="shared" si="1062"/>
        <v>0</v>
      </c>
    </row>
    <row r="844" spans="1:19" hidden="1" outlineLevel="2" x14ac:dyDescent="0.2">
      <c r="A844" t="str">
        <f ca="1">Language!A569</f>
        <v xml:space="preserve">    оплачено сырья и материалов (без НДС)</v>
      </c>
      <c r="C844" s="5" t="str">
        <f t="shared" ca="1" si="1034"/>
        <v>руб.</v>
      </c>
      <c r="D844" s="16"/>
      <c r="F844" s="53">
        <f t="shared" ref="F844:M844" si="1063">SUMIF($D740:$D836,"*1_06*",F740:F836)+SUMIF($D740:$D836,"*2_06*",F740:F836)*F$88</f>
        <v>0</v>
      </c>
      <c r="G844" s="53">
        <f t="shared" si="1063"/>
        <v>0</v>
      </c>
      <c r="H844" s="53">
        <f t="shared" si="1063"/>
        <v>13.30875</v>
      </c>
      <c r="I844" s="53">
        <f t="shared" si="1063"/>
        <v>66.543750000000003</v>
      </c>
      <c r="J844" s="53">
        <f t="shared" si="1063"/>
        <v>133.08750000000001</v>
      </c>
      <c r="K844" s="53">
        <f t="shared" si="1063"/>
        <v>266.17500000000001</v>
      </c>
      <c r="L844" s="53">
        <f t="shared" si="1063"/>
        <v>399.26249999999999</v>
      </c>
      <c r="M844" s="53">
        <f t="shared" si="1063"/>
        <v>532.35</v>
      </c>
      <c r="N844" s="53">
        <f t="shared" ref="N844" si="1064">SUMIF($D740:$D836,"*1_06*",N740:N836)+SUMIF($D740:$D836,"*2_06*",N740:N836)*N$88</f>
        <v>731.98125000000005</v>
      </c>
      <c r="O844" s="53">
        <f t="shared" ref="O844" si="1065">SUMIF($D740:$D836,"*1_06*",O740:O836)+SUMIF($D740:$D836,"*2_06*",O740:O836)*O$88</f>
        <v>998.15625</v>
      </c>
      <c r="P844" s="53">
        <f t="shared" ref="P844:Q844" si="1066">SUMIF($D740:$D836,"*1_06*",P740:P836)+SUMIF($D740:$D836,"*2_06*",P740:P836)*P$88</f>
        <v>1197.7875000000001</v>
      </c>
      <c r="Q844" s="53">
        <f t="shared" si="1066"/>
        <v>1330.8750000000002</v>
      </c>
      <c r="S844" s="54">
        <f>SUM(F844:Q844)</f>
        <v>5669.5275000000001</v>
      </c>
    </row>
    <row r="845" spans="1:19" hidden="1" outlineLevel="2" x14ac:dyDescent="0.2">
      <c r="A845" t="str">
        <f ca="1">Language!A570</f>
        <v xml:space="preserve">    выплаченный НДС</v>
      </c>
      <c r="C845" s="5" t="str">
        <f t="shared" ca="1" si="1034"/>
        <v>руб.</v>
      </c>
      <c r="D845" s="16"/>
      <c r="F845" s="53">
        <f t="shared" ref="F845:M845" si="1067">SUMIF($D740:$D836,"*1_07*",F740:F836)+SUMIF($D740:$D836,"*2_07*",F740:F836)*F$88</f>
        <v>0</v>
      </c>
      <c r="G845" s="53">
        <f t="shared" si="1067"/>
        <v>0</v>
      </c>
      <c r="H845" s="53">
        <f t="shared" si="1067"/>
        <v>0</v>
      </c>
      <c r="I845" s="53">
        <f t="shared" si="1067"/>
        <v>0</v>
      </c>
      <c r="J845" s="53">
        <f t="shared" si="1067"/>
        <v>0</v>
      </c>
      <c r="K845" s="53">
        <f t="shared" si="1067"/>
        <v>0</v>
      </c>
      <c r="L845" s="53">
        <f t="shared" si="1067"/>
        <v>0</v>
      </c>
      <c r="M845" s="53">
        <f t="shared" si="1067"/>
        <v>0</v>
      </c>
      <c r="N845" s="53">
        <f t="shared" ref="N845" si="1068">SUMIF($D740:$D836,"*1_07*",N740:N836)+SUMIF($D740:$D836,"*2_07*",N740:N836)*N$88</f>
        <v>0</v>
      </c>
      <c r="O845" s="53">
        <f t="shared" ref="O845" si="1069">SUMIF($D740:$D836,"*1_07*",O740:O836)+SUMIF($D740:$D836,"*2_07*",O740:O836)*O$88</f>
        <v>0</v>
      </c>
      <c r="P845" s="53">
        <f t="shared" ref="P845:Q845" si="1070">SUMIF($D740:$D836,"*1_07*",P740:P836)+SUMIF($D740:$D836,"*2_07*",P740:P836)*P$88</f>
        <v>0</v>
      </c>
      <c r="Q845" s="53">
        <f t="shared" si="1070"/>
        <v>0</v>
      </c>
      <c r="S845" s="54">
        <f>SUM(F845:Q845)</f>
        <v>0</v>
      </c>
    </row>
    <row r="846" spans="1:19" hidden="1" outlineLevel="2" x14ac:dyDescent="0.2">
      <c r="A846" t="str">
        <f ca="1">Language!A571</f>
        <v xml:space="preserve">    кредиторская задолженность</v>
      </c>
      <c r="C846" s="5" t="str">
        <f t="shared" ca="1" si="1034"/>
        <v>руб.</v>
      </c>
      <c r="D846" s="16" t="s">
        <v>384</v>
      </c>
      <c r="F846" s="53">
        <f>MAX(SUM($F840:F840)+SUM($F841:F841)-SUM($F844:F844)-SUM($F845:F845),0)</f>
        <v>0</v>
      </c>
      <c r="G846" s="53">
        <f>MAX(SUM($F840:G840)+SUM($F841:G841)-SUM($F844:G844)-SUM($F845:G845),0)</f>
        <v>0</v>
      </c>
      <c r="H846" s="53">
        <f>MAX(SUM($F840:H840)+SUM($F841:H841)-SUM($F844:H844)-SUM($F845:H845),0)</f>
        <v>0</v>
      </c>
      <c r="I846" s="53">
        <f>MAX(SUM($F840:I840)+SUM($F841:I841)-SUM($F844:I844)-SUM($F845:I845),0)</f>
        <v>0</v>
      </c>
      <c r="J846" s="53">
        <f>MAX(SUM($F840:J840)+SUM($F841:J841)-SUM($F844:J844)-SUM($F845:J845),0)</f>
        <v>0</v>
      </c>
      <c r="K846" s="53">
        <f>MAX(SUM($F840:K840)+SUM($F841:K841)-SUM($F844:K844)-SUM($F845:K845),0)</f>
        <v>0</v>
      </c>
      <c r="L846" s="53">
        <f>MAX(SUM($F840:L840)+SUM($F841:L841)-SUM($F844:L844)-SUM($F845:L845),0)</f>
        <v>0</v>
      </c>
      <c r="M846" s="53">
        <f>MAX(SUM($F840:M840)+SUM($F841:M841)-SUM($F844:M844)-SUM($F845:M845),0)</f>
        <v>0</v>
      </c>
      <c r="N846" s="53">
        <f>MAX(SUM($F840:N840)+SUM($F841:N841)-SUM($F844:N844)-SUM($F845:N845),0)</f>
        <v>0</v>
      </c>
      <c r="O846" s="53">
        <f>MAX(SUM($F840:O840)+SUM($F841:O841)-SUM($F844:O844)-SUM($F845:O845),0)</f>
        <v>0</v>
      </c>
      <c r="P846" s="53">
        <f>MAX(SUM($F840:P840)+SUM($F841:P841)-SUM($F844:P844)-SUM($F845:P845),0)</f>
        <v>0</v>
      </c>
      <c r="Q846" s="53">
        <f>MAX(SUM($F840:Q840)+SUM($F841:Q841)-SUM($F844:Q844)-SUM($F845:Q845),0)</f>
        <v>0</v>
      </c>
    </row>
    <row r="847" spans="1:19" hidden="1" outlineLevel="2" x14ac:dyDescent="0.2">
      <c r="A847" t="str">
        <f ca="1">Language!A572</f>
        <v xml:space="preserve">    выплаченные авансы</v>
      </c>
      <c r="C847" s="5" t="str">
        <f t="shared" ca="1" si="1034"/>
        <v>руб.</v>
      </c>
      <c r="D847" s="16" t="s">
        <v>384</v>
      </c>
      <c r="F847" s="53">
        <f>MAX(SUM($F844:F844)+SUM($F845:F845)-SUM($F840:F840)-SUM($F841:F841),0)</f>
        <v>0</v>
      </c>
      <c r="G847" s="53">
        <f>MAX(SUM($F844:G844)+SUM($F845:G845)-SUM($F840:G840)-SUM($F841:G841),0)</f>
        <v>0</v>
      </c>
      <c r="H847" s="53">
        <f>MAX(SUM($F844:H844)+SUM($F845:H845)-SUM($F840:H840)-SUM($F841:H841),0)</f>
        <v>0</v>
      </c>
      <c r="I847" s="53">
        <f>MAX(SUM($F844:I844)+SUM($F845:I845)-SUM($F840:I840)-SUM($F841:I841),0)</f>
        <v>0</v>
      </c>
      <c r="J847" s="53">
        <f>MAX(SUM($F844:J844)+SUM($F845:J845)-SUM($F840:J840)-SUM($F841:J841),0)</f>
        <v>0</v>
      </c>
      <c r="K847" s="53">
        <f>MAX(SUM($F844:K844)+SUM($F845:K845)-SUM($F840:K840)-SUM($F841:K841),0)</f>
        <v>0</v>
      </c>
      <c r="L847" s="53">
        <f>MAX(SUM($F844:L844)+SUM($F845:L845)-SUM($F840:L840)-SUM($F841:L841),0)</f>
        <v>0</v>
      </c>
      <c r="M847" s="53">
        <f>MAX(SUM($F844:M844)+SUM($F845:M845)-SUM($F840:M840)-SUM($F841:M841),0)</f>
        <v>0</v>
      </c>
      <c r="N847" s="53">
        <f>MAX(SUM($F844:N844)+SUM($F845:N845)-SUM($F840:N840)-SUM($F841:N841),0)</f>
        <v>0</v>
      </c>
      <c r="O847" s="53">
        <f>MAX(SUM($F844:O844)+SUM($F845:O845)-SUM($F840:O840)-SUM($F841:O841),0)</f>
        <v>0</v>
      </c>
      <c r="P847" s="53">
        <f>MAX(SUM($F844:P844)+SUM($F845:P845)-SUM($F840:P840)-SUM($F841:P841),0)</f>
        <v>0</v>
      </c>
      <c r="Q847" s="53">
        <f>MAX(SUM($F844:Q844)+SUM($F845:Q845)-SUM($F840:Q840)-SUM($F841:Q841),0)</f>
        <v>0</v>
      </c>
    </row>
    <row r="848" spans="1:19" hidden="1" outlineLevel="2" x14ac:dyDescent="0.2">
      <c r="A848" t="str">
        <f ca="1">Language!A$573</f>
        <v xml:space="preserve">    списано затрат на реализованную продукцию</v>
      </c>
      <c r="C848" s="5" t="str">
        <f t="shared" ca="1" si="1034"/>
        <v>руб.</v>
      </c>
      <c r="D848" s="16"/>
      <c r="F848" s="53">
        <f t="shared" ref="F848:M848" si="1071">SUMIF($D740:$D836,"*1_10*",F740:F836)+SUMIF($D740:$D836,"*2_10*",F740:F836)*F$88</f>
        <v>0</v>
      </c>
      <c r="G848" s="53">
        <f t="shared" si="1071"/>
        <v>0</v>
      </c>
      <c r="H848" s="53">
        <f t="shared" si="1071"/>
        <v>13.30875</v>
      </c>
      <c r="I848" s="53">
        <f t="shared" si="1071"/>
        <v>66.543750000000003</v>
      </c>
      <c r="J848" s="53">
        <f t="shared" si="1071"/>
        <v>133.08750000000001</v>
      </c>
      <c r="K848" s="53">
        <f t="shared" si="1071"/>
        <v>266.17500000000001</v>
      </c>
      <c r="L848" s="53">
        <f t="shared" si="1071"/>
        <v>399.26249999999999</v>
      </c>
      <c r="M848" s="53">
        <f t="shared" si="1071"/>
        <v>532.35</v>
      </c>
      <c r="N848" s="53">
        <f t="shared" ref="N848" si="1072">SUMIF($D740:$D836,"*1_10*",N740:N836)+SUMIF($D740:$D836,"*2_10*",N740:N836)*N$88</f>
        <v>731.98125000000005</v>
      </c>
      <c r="O848" s="53">
        <f t="shared" ref="O848" si="1073">SUMIF($D740:$D836,"*1_10*",O740:O836)+SUMIF($D740:$D836,"*2_10*",O740:O836)*O$88</f>
        <v>998.15625</v>
      </c>
      <c r="P848" s="53">
        <f t="shared" ref="P848:Q848" si="1074">SUMIF($D740:$D836,"*1_10*",P740:P836)+SUMIF($D740:$D836,"*2_10*",P740:P836)*P$88</f>
        <v>1197.7875000000001</v>
      </c>
      <c r="Q848" s="53">
        <f t="shared" si="1074"/>
        <v>1330.8750000000002</v>
      </c>
      <c r="S848" s="54">
        <f>SUM(F848:Q848)</f>
        <v>5669.5275000000001</v>
      </c>
    </row>
    <row r="849" spans="1:19" hidden="1" outlineLevel="2" x14ac:dyDescent="0.2">
      <c r="A849" s="48" t="str">
        <f ca="1">Language!A$574</f>
        <v xml:space="preserve">    остаток затрат на складе готовой продукции</v>
      </c>
      <c r="C849" s="5" t="str">
        <f t="shared" ca="1" si="1034"/>
        <v>руб.</v>
      </c>
      <c r="D849" s="16" t="s">
        <v>384</v>
      </c>
      <c r="F849" s="84">
        <f>SUM($F840:F840)-SUM($F848:F848)-F843</f>
        <v>0</v>
      </c>
      <c r="G849" s="84">
        <f>SUM($F840:G840)-SUM($F848:G848)-G843</f>
        <v>0</v>
      </c>
      <c r="H849" s="84">
        <f>SUM($F840:H840)-SUM($F848:H848)-H843</f>
        <v>0</v>
      </c>
      <c r="I849" s="84">
        <f>SUM($F840:I840)-SUM($F848:I848)-I843</f>
        <v>0</v>
      </c>
      <c r="J849" s="84">
        <f>SUM($F840:J840)-SUM($F848:J848)-J843</f>
        <v>0</v>
      </c>
      <c r="K849" s="84">
        <f>SUM($F840:K840)-SUM($F848:K848)-K843</f>
        <v>0</v>
      </c>
      <c r="L849" s="84">
        <f>SUM($F840:L840)-SUM($F848:L848)-L843</f>
        <v>0</v>
      </c>
      <c r="M849" s="84">
        <f>SUM($F840:M840)-SUM($F848:M848)-M843</f>
        <v>0</v>
      </c>
      <c r="N849" s="84">
        <f>SUM($F840:N840)-SUM($F848:N848)-N843</f>
        <v>0</v>
      </c>
      <c r="O849" s="84">
        <f>SUM($F840:O840)-SUM($F848:O848)-O843</f>
        <v>0</v>
      </c>
      <c r="P849" s="84">
        <f>SUM($F840:P840)-SUM($F848:P848)-P843</f>
        <v>0</v>
      </c>
      <c r="Q849" s="84">
        <f>SUM($F840:Q840)-SUM($F848:Q848)-Q843</f>
        <v>0</v>
      </c>
    </row>
    <row r="850" spans="1:19" hidden="1" outlineLevel="2" x14ac:dyDescent="0.2">
      <c r="A850" s="48" t="str">
        <f ca="1">Language!A$575</f>
        <v xml:space="preserve">    остаток затрат в незавершенном производстве</v>
      </c>
      <c r="C850" s="5" t="str">
        <f t="shared" ca="1" si="1034"/>
        <v>руб.</v>
      </c>
      <c r="D850" s="16" t="s">
        <v>384</v>
      </c>
      <c r="F850" s="53">
        <f t="shared" ref="F850:M850" si="1075">SUMIF($D740:$D836,"*1_12*",F740:F836)+SUMIF($D740:$D836,"*2_12*",F740:F836)*F$88</f>
        <v>0</v>
      </c>
      <c r="G850" s="53">
        <f t="shared" si="1075"/>
        <v>0</v>
      </c>
      <c r="H850" s="53">
        <f t="shared" si="1075"/>
        <v>26.6175</v>
      </c>
      <c r="I850" s="53">
        <f t="shared" si="1075"/>
        <v>133.08750000000001</v>
      </c>
      <c r="J850" s="53">
        <f t="shared" si="1075"/>
        <v>266.17500000000001</v>
      </c>
      <c r="K850" s="53">
        <f t="shared" si="1075"/>
        <v>532.35</v>
      </c>
      <c r="L850" s="53">
        <f t="shared" si="1075"/>
        <v>798.52499999999998</v>
      </c>
      <c r="M850" s="53">
        <f t="shared" si="1075"/>
        <v>1064.7</v>
      </c>
      <c r="N850" s="53">
        <f t="shared" ref="N850" si="1076">SUMIF($D740:$D836,"*1_12*",N740:N836)+SUMIF($D740:$D836,"*2_12*",N740:N836)*N$88</f>
        <v>1463.9625000000001</v>
      </c>
      <c r="O850" s="53">
        <f t="shared" ref="O850" si="1077">SUMIF($D740:$D836,"*1_12*",O740:O836)+SUMIF($D740:$D836,"*2_12*",O740:O836)*O$88</f>
        <v>1996.3125</v>
      </c>
      <c r="P850" s="53">
        <f t="shared" ref="P850:Q850" si="1078">SUMIF($D740:$D836,"*1_12*",P740:P836)+SUMIF($D740:$D836,"*2_12*",P740:P836)*P$88</f>
        <v>2395.5750000000003</v>
      </c>
      <c r="Q850" s="53">
        <f t="shared" si="1078"/>
        <v>2661.7500000000005</v>
      </c>
    </row>
    <row r="851" spans="1:19" outlineLevel="1" x14ac:dyDescent="0.2">
      <c r="A851" s="63"/>
      <c r="B851" s="63"/>
      <c r="C851" s="63"/>
      <c r="D851" s="63"/>
      <c r="E851" s="63"/>
      <c r="F851" s="63"/>
      <c r="G851" s="63"/>
      <c r="H851" s="63"/>
      <c r="I851" s="63"/>
      <c r="J851" s="63"/>
      <c r="K851" s="63"/>
      <c r="L851" s="63"/>
      <c r="M851" s="63"/>
      <c r="N851" s="63"/>
      <c r="O851" s="63"/>
      <c r="P851" s="63"/>
      <c r="Q851" s="63"/>
      <c r="R851" s="63"/>
      <c r="S851" s="64"/>
    </row>
    <row r="852" spans="1:19" outlineLevel="1" x14ac:dyDescent="0.2"/>
    <row r="853" spans="1:19" s="4" customFormat="1" ht="16" customHeight="1" thickBot="1" x14ac:dyDescent="0.25">
      <c r="A853" s="166" t="str">
        <f ca="1">Language!A576</f>
        <v xml:space="preserve">         ПРОЧИЕ ПЕРЕМЕННЫЕ ЗАТРАТЫ</v>
      </c>
      <c r="B853" s="166"/>
      <c r="C853" s="166"/>
      <c r="D853" s="166">
        <v>1</v>
      </c>
      <c r="E853" s="166"/>
      <c r="F853" s="178" t="str">
        <f t="shared" ref="F853:Q853" si="1079">PeriodTitle</f>
        <v>4/ 2024</v>
      </c>
      <c r="G853" s="178" t="str">
        <f t="shared" si="1079"/>
        <v>5/ 2024</v>
      </c>
      <c r="H853" s="178" t="str">
        <f t="shared" si="1079"/>
        <v>6/ 2024</v>
      </c>
      <c r="I853" s="178" t="str">
        <f t="shared" si="1079"/>
        <v>7/ 2024</v>
      </c>
      <c r="J853" s="178" t="str">
        <f t="shared" si="1079"/>
        <v>8/ 2024</v>
      </c>
      <c r="K853" s="178" t="str">
        <f t="shared" si="1079"/>
        <v>9/ 2024</v>
      </c>
      <c r="L853" s="178" t="str">
        <f t="shared" si="1079"/>
        <v>10/ 2024</v>
      </c>
      <c r="M853" s="178" t="str">
        <f t="shared" si="1079"/>
        <v>11/ 2024</v>
      </c>
      <c r="N853" s="178" t="str">
        <f t="shared" si="1079"/>
        <v>12/ 2024</v>
      </c>
      <c r="O853" s="178" t="str">
        <f t="shared" si="1079"/>
        <v>1/ 2025</v>
      </c>
      <c r="P853" s="178" t="str">
        <f t="shared" si="1079"/>
        <v>2/ 2025</v>
      </c>
      <c r="Q853" s="178" t="str">
        <f t="shared" si="1079"/>
        <v>3/ 2025</v>
      </c>
      <c r="R853" s="166"/>
      <c r="S853" s="195" t="str">
        <f ca="1">Language!$A$371</f>
        <v>ИТОГО</v>
      </c>
    </row>
    <row r="854" spans="1:19" ht="10.5" outlineLevel="1" thickTop="1" x14ac:dyDescent="0.2">
      <c r="D854">
        <v>0</v>
      </c>
      <c r="E854">
        <v>1</v>
      </c>
    </row>
    <row r="855" spans="1:19" outlineLevel="1" x14ac:dyDescent="0.2">
      <c r="A855" s="48" t="str">
        <f>A541</f>
        <v>Наименование товара</v>
      </c>
      <c r="B855" s="36" t="str">
        <f ca="1">Language!A$73</f>
        <v>Валюта</v>
      </c>
      <c r="C855" s="85"/>
      <c r="D855">
        <v>1</v>
      </c>
      <c r="E855">
        <v>14</v>
      </c>
    </row>
    <row r="856" spans="1:19" outlineLevel="1" x14ac:dyDescent="0.2">
      <c r="A856" s="274" t="s">
        <v>2684</v>
      </c>
      <c r="B856" s="255">
        <v>1</v>
      </c>
      <c r="C856" s="5" t="str">
        <f ca="1">CHOOSE(B856,CUR_Main,CUR_Foreign)</f>
        <v>руб.</v>
      </c>
      <c r="D856" s="16"/>
      <c r="F856" s="403"/>
      <c r="G856" s="83"/>
      <c r="H856" s="83"/>
      <c r="I856" s="83"/>
      <c r="J856" s="83"/>
      <c r="K856" s="83"/>
      <c r="L856" s="83"/>
      <c r="M856" s="83"/>
      <c r="N856" s="83"/>
      <c r="O856" s="83"/>
      <c r="P856" s="83"/>
      <c r="Q856" s="83"/>
      <c r="S856" s="54"/>
    </row>
    <row r="857" spans="1:19" ht="10.5" outlineLevel="1" collapsed="1" x14ac:dyDescent="0.25">
      <c r="A857" t="str">
        <f ca="1">Language!A$579</f>
        <v>Плановый расход на единицу продукции</v>
      </c>
      <c r="B857" s="287">
        <v>0</v>
      </c>
      <c r="C857" s="5" t="str">
        <f ca="1">CHOOSE(B856,CUR_Main,CUR_Foreign)</f>
        <v>руб.</v>
      </c>
      <c r="D857" s="16"/>
      <c r="F857" s="141">
        <v>0</v>
      </c>
      <c r="G857" s="141">
        <f t="shared" ref="G857:Q857" si="1080">F857*IF(CalcMethod=2,1+F860,1)</f>
        <v>0</v>
      </c>
      <c r="H857" s="141">
        <v>0</v>
      </c>
      <c r="I857" s="141">
        <f t="shared" si="1080"/>
        <v>0</v>
      </c>
      <c r="J857" s="141">
        <f t="shared" si="1080"/>
        <v>0</v>
      </c>
      <c r="K857" s="141">
        <f t="shared" si="1080"/>
        <v>0</v>
      </c>
      <c r="L857" s="141">
        <f t="shared" si="1080"/>
        <v>0</v>
      </c>
      <c r="M857" s="141">
        <f t="shared" si="1080"/>
        <v>0</v>
      </c>
      <c r="N857" s="141">
        <f t="shared" si="1080"/>
        <v>0</v>
      </c>
      <c r="O857" s="141">
        <f t="shared" si="1080"/>
        <v>0</v>
      </c>
      <c r="P857" s="141">
        <f t="shared" si="1080"/>
        <v>0</v>
      </c>
      <c r="Q857" s="141">
        <f t="shared" si="1080"/>
        <v>0</v>
      </c>
      <c r="S857" s="54"/>
    </row>
    <row r="858" spans="1:19" s="48" customFormat="1" ht="10.5" hidden="1" outlineLevel="2" x14ac:dyDescent="0.25">
      <c r="A858" t="str">
        <f ca="1">Language!A$580</f>
        <v>Расход за период</v>
      </c>
      <c r="B858" s="120"/>
      <c r="C858" s="93" t="str">
        <f ca="1">CHOOSE(B856,CUR_Main,CUR_Foreign)</f>
        <v>руб.</v>
      </c>
      <c r="D858" s="48" t="str">
        <f>TEXT(B856,"0")&amp;"_00"</f>
        <v>1_00</v>
      </c>
      <c r="F858" s="83">
        <f t="shared" ref="F858:M858" si="1081">F857*F655</f>
        <v>0</v>
      </c>
      <c r="G858" s="83">
        <f t="shared" si="1081"/>
        <v>0</v>
      </c>
      <c r="H858" s="83">
        <f t="shared" si="1081"/>
        <v>0</v>
      </c>
      <c r="I858" s="83">
        <f t="shared" si="1081"/>
        <v>0</v>
      </c>
      <c r="J858" s="83">
        <f t="shared" si="1081"/>
        <v>0</v>
      </c>
      <c r="K858" s="83">
        <f t="shared" si="1081"/>
        <v>0</v>
      </c>
      <c r="L858" s="83">
        <f t="shared" si="1081"/>
        <v>0</v>
      </c>
      <c r="M858" s="83">
        <f t="shared" si="1081"/>
        <v>0</v>
      </c>
      <c r="N858" s="83">
        <f t="shared" ref="N858" si="1082">N857*N655</f>
        <v>0</v>
      </c>
      <c r="O858" s="83">
        <f t="shared" ref="O858" si="1083">O857*O655</f>
        <v>0</v>
      </c>
      <c r="P858" s="83">
        <f t="shared" ref="P858:Q858" si="1084">P857*P655</f>
        <v>0</v>
      </c>
      <c r="Q858" s="83">
        <f t="shared" si="1084"/>
        <v>0</v>
      </c>
      <c r="S858" s="54">
        <f>SUM(F858:Q858)</f>
        <v>0</v>
      </c>
    </row>
    <row r="859" spans="1:19" s="48" customFormat="1" hidden="1" outlineLevel="2" x14ac:dyDescent="0.2">
      <c r="A859" t="str">
        <f ca="1">Language!A$104</f>
        <v>Предполагаемый темп годового роста цен</v>
      </c>
      <c r="B859"/>
      <c r="C859" s="5" t="s">
        <v>177</v>
      </c>
      <c r="D859" s="16" t="s">
        <v>176</v>
      </c>
      <c r="F859" s="269">
        <f t="shared" ref="F859:M859" si="1085">CHOOSE($B856,F$80,F$91)</f>
        <v>8.0000000000000002E-3</v>
      </c>
      <c r="G859" s="269">
        <f t="shared" si="1085"/>
        <v>8.0000000000000002E-3</v>
      </c>
      <c r="H859" s="269">
        <f t="shared" si="1085"/>
        <v>8.0000000000000002E-3</v>
      </c>
      <c r="I859" s="269">
        <f t="shared" si="1085"/>
        <v>8.0000000000000002E-3</v>
      </c>
      <c r="J859" s="269">
        <f t="shared" si="1085"/>
        <v>8.0000000000000002E-3</v>
      </c>
      <c r="K859" s="269">
        <f t="shared" si="1085"/>
        <v>8.0000000000000002E-3</v>
      </c>
      <c r="L859" s="269">
        <f t="shared" si="1085"/>
        <v>8.0000000000000002E-3</v>
      </c>
      <c r="M859" s="269">
        <f t="shared" si="1085"/>
        <v>8.0000000000000002E-3</v>
      </c>
      <c r="N859" s="269">
        <f t="shared" ref="N859" si="1086">CHOOSE($B856,N$80,N$91)</f>
        <v>8.0000000000000002E-3</v>
      </c>
      <c r="O859" s="269">
        <f t="shared" ref="O859" si="1087">CHOOSE($B856,O$80,O$91)</f>
        <v>8.0000000000000002E-3</v>
      </c>
      <c r="P859" s="269">
        <f t="shared" ref="P859:Q859" si="1088">CHOOSE($B856,P$80,P$91)</f>
        <v>8.0000000000000002E-3</v>
      </c>
      <c r="Q859" s="269">
        <f t="shared" si="1088"/>
        <v>8.0000000000000002E-3</v>
      </c>
      <c r="S859" s="92"/>
    </row>
    <row r="860" spans="1:19" s="48" customFormat="1" hidden="1" outlineLevel="2" x14ac:dyDescent="0.2">
      <c r="A860" t="str">
        <f ca="1">Language!A$106</f>
        <v>То же, в пересчете на период, равный шагу проекта</v>
      </c>
      <c r="B860"/>
      <c r="C860" s="5" t="s">
        <v>177</v>
      </c>
      <c r="D860" s="16" t="s">
        <v>176</v>
      </c>
      <c r="F860" s="30">
        <f t="shared" ref="F860:M860" si="1089">POWER(1+F859,PRJ_Step/360)-1</f>
        <v>6.6423464362252993E-4</v>
      </c>
      <c r="G860" s="30">
        <f t="shared" si="1089"/>
        <v>6.6423464362252993E-4</v>
      </c>
      <c r="H860" s="30">
        <f t="shared" si="1089"/>
        <v>6.6423464362252993E-4</v>
      </c>
      <c r="I860" s="30">
        <f t="shared" si="1089"/>
        <v>6.6423464362252993E-4</v>
      </c>
      <c r="J860" s="30">
        <f t="shared" si="1089"/>
        <v>6.6423464362252993E-4</v>
      </c>
      <c r="K860" s="30">
        <f t="shared" si="1089"/>
        <v>6.6423464362252993E-4</v>
      </c>
      <c r="L860" s="30">
        <f t="shared" si="1089"/>
        <v>6.6423464362252993E-4</v>
      </c>
      <c r="M860" s="30">
        <f t="shared" si="1089"/>
        <v>6.6423464362252993E-4</v>
      </c>
      <c r="N860" s="30">
        <f t="shared" ref="N860" si="1090">POWER(1+N859,PRJ_Step/360)-1</f>
        <v>6.6423464362252993E-4</v>
      </c>
      <c r="O860" s="30">
        <f t="shared" ref="O860" si="1091">POWER(1+O859,PRJ_Step/360)-1</f>
        <v>6.6423464362252993E-4</v>
      </c>
      <c r="P860" s="30">
        <f t="shared" ref="P860:Q860" si="1092">POWER(1+P859,PRJ_Step/360)-1</f>
        <v>6.6423464362252993E-4</v>
      </c>
      <c r="Q860" s="30">
        <f t="shared" si="1092"/>
        <v>6.6423464362252993E-4</v>
      </c>
      <c r="S860" s="92"/>
    </row>
    <row r="861" spans="1:19" s="48" customFormat="1" hidden="1" outlineLevel="2" x14ac:dyDescent="0.2">
      <c r="A861" t="str">
        <f ca="1">Language!A$578</f>
        <v xml:space="preserve">    затраты без НДС</v>
      </c>
      <c r="B861"/>
      <c r="C861" s="5" t="str">
        <f ca="1">CHOOSE(B856,CUR_Main,CUR_Foreign)</f>
        <v>руб.</v>
      </c>
      <c r="D861" t="str">
        <f>TEXT(B856,"0")&amp;"_01"</f>
        <v>1_01</v>
      </c>
      <c r="F861" s="53">
        <f t="shared" ref="F861:M861" si="1093">F858/(1+$B862)</f>
        <v>0</v>
      </c>
      <c r="G861" s="53">
        <f t="shared" si="1093"/>
        <v>0</v>
      </c>
      <c r="H861" s="53">
        <f t="shared" si="1093"/>
        <v>0</v>
      </c>
      <c r="I861" s="53">
        <f t="shared" si="1093"/>
        <v>0</v>
      </c>
      <c r="J861" s="53">
        <f t="shared" si="1093"/>
        <v>0</v>
      </c>
      <c r="K861" s="53">
        <f t="shared" si="1093"/>
        <v>0</v>
      </c>
      <c r="L861" s="53">
        <f t="shared" si="1093"/>
        <v>0</v>
      </c>
      <c r="M861" s="53">
        <f t="shared" si="1093"/>
        <v>0</v>
      </c>
      <c r="N861" s="53">
        <f t="shared" ref="N861" si="1094">N858/(1+$B862)</f>
        <v>0</v>
      </c>
      <c r="O861" s="53">
        <f t="shared" ref="O861" si="1095">O858/(1+$B862)</f>
        <v>0</v>
      </c>
      <c r="P861" s="53">
        <f t="shared" ref="P861:Q861" si="1096">P858/(1+$B862)</f>
        <v>0</v>
      </c>
      <c r="Q861" s="53">
        <f t="shared" si="1096"/>
        <v>0</v>
      </c>
      <c r="S861" s="54">
        <f>SUM(F861:Q861)</f>
        <v>0</v>
      </c>
    </row>
    <row r="862" spans="1:19" s="48" customFormat="1" hidden="1" outlineLevel="2" x14ac:dyDescent="0.2">
      <c r="A862" t="str">
        <f ca="1">Language!A$560</f>
        <v xml:space="preserve">    НДС</v>
      </c>
      <c r="B862" s="283">
        <f>VAT</f>
        <v>0</v>
      </c>
      <c r="C862" s="5" t="str">
        <f ca="1">CHOOSE(B856,CUR_Main,CUR_Foreign)</f>
        <v>руб.</v>
      </c>
      <c r="D862" t="str">
        <f>TEXT(B856,"0")&amp;"_02"</f>
        <v>1_02</v>
      </c>
      <c r="F862" s="53">
        <f t="shared" ref="F862:M862" si="1097">F858-F861</f>
        <v>0</v>
      </c>
      <c r="G862" s="53">
        <f t="shared" si="1097"/>
        <v>0</v>
      </c>
      <c r="H862" s="53">
        <f t="shared" si="1097"/>
        <v>0</v>
      </c>
      <c r="I862" s="53">
        <f t="shared" si="1097"/>
        <v>0</v>
      </c>
      <c r="J862" s="53">
        <f t="shared" si="1097"/>
        <v>0</v>
      </c>
      <c r="K862" s="53">
        <f t="shared" si="1097"/>
        <v>0</v>
      </c>
      <c r="L862" s="53">
        <f t="shared" si="1097"/>
        <v>0</v>
      </c>
      <c r="M862" s="53">
        <f t="shared" si="1097"/>
        <v>0</v>
      </c>
      <c r="N862" s="53">
        <f t="shared" ref="N862" si="1098">N858-N861</f>
        <v>0</v>
      </c>
      <c r="O862" s="53">
        <f t="shared" ref="O862" si="1099">O858-O861</f>
        <v>0</v>
      </c>
      <c r="P862" s="53">
        <f t="shared" ref="P862:Q862" si="1100">P858-P861</f>
        <v>0</v>
      </c>
      <c r="Q862" s="53">
        <f t="shared" si="1100"/>
        <v>0</v>
      </c>
      <c r="S862" s="54">
        <f>SUM(F862:Q862)</f>
        <v>0</v>
      </c>
    </row>
    <row r="863" spans="1:19" s="48" customFormat="1" hidden="1" outlineLevel="2" x14ac:dyDescent="0.2">
      <c r="A863" t="str">
        <f ca="1">Language!A$581</f>
        <v xml:space="preserve">    оплачено расходов (без НДС)</v>
      </c>
      <c r="B863" s="81"/>
      <c r="C863" s="5" t="str">
        <f ca="1">CHOOSE(B856,CUR_Main,CUR_Foreign)</f>
        <v>руб.</v>
      </c>
      <c r="D863" t="str">
        <f>TEXT(B856,"0")&amp;"_06"</f>
        <v>1_06</v>
      </c>
      <c r="F863" s="270">
        <f t="shared" ref="F863:M863" si="1101">F861</f>
        <v>0</v>
      </c>
      <c r="G863" s="270">
        <f t="shared" si="1101"/>
        <v>0</v>
      </c>
      <c r="H863" s="270">
        <f t="shared" si="1101"/>
        <v>0</v>
      </c>
      <c r="I863" s="270">
        <f t="shared" si="1101"/>
        <v>0</v>
      </c>
      <c r="J863" s="270">
        <f t="shared" si="1101"/>
        <v>0</v>
      </c>
      <c r="K863" s="270">
        <f t="shared" si="1101"/>
        <v>0</v>
      </c>
      <c r="L863" s="270">
        <f t="shared" si="1101"/>
        <v>0</v>
      </c>
      <c r="M863" s="270">
        <f t="shared" si="1101"/>
        <v>0</v>
      </c>
      <c r="N863" s="270">
        <f t="shared" ref="N863" si="1102">N861</f>
        <v>0</v>
      </c>
      <c r="O863" s="270">
        <f t="shared" ref="O863" si="1103">O861</f>
        <v>0</v>
      </c>
      <c r="P863" s="270">
        <f t="shared" ref="P863:Q863" si="1104">P861</f>
        <v>0</v>
      </c>
      <c r="Q863" s="270">
        <f t="shared" si="1104"/>
        <v>0</v>
      </c>
      <c r="S863" s="54">
        <f>SUM(F863:Q863)</f>
        <v>0</v>
      </c>
    </row>
    <row r="864" spans="1:19" s="48" customFormat="1" hidden="1" outlineLevel="2" x14ac:dyDescent="0.2">
      <c r="A864" t="str">
        <f ca="1">Language!A$570</f>
        <v xml:space="preserve">    выплаченный НДС</v>
      </c>
      <c r="B864" s="81"/>
      <c r="C864" s="5" t="str">
        <f ca="1">CHOOSE(B856,CUR_Main,CUR_Foreign)</f>
        <v>руб.</v>
      </c>
      <c r="D864" t="str">
        <f>TEXT(B856,"0")&amp;"_07"</f>
        <v>1_07</v>
      </c>
      <c r="F864" s="53">
        <f t="shared" ref="F864:M864" si="1105">F863*$B862</f>
        <v>0</v>
      </c>
      <c r="G864" s="53">
        <f t="shared" si="1105"/>
        <v>0</v>
      </c>
      <c r="H864" s="53">
        <f t="shared" si="1105"/>
        <v>0</v>
      </c>
      <c r="I864" s="53">
        <f t="shared" si="1105"/>
        <v>0</v>
      </c>
      <c r="J864" s="53">
        <f t="shared" si="1105"/>
        <v>0</v>
      </c>
      <c r="K864" s="53">
        <f t="shared" si="1105"/>
        <v>0</v>
      </c>
      <c r="L864" s="53">
        <f t="shared" si="1105"/>
        <v>0</v>
      </c>
      <c r="M864" s="53">
        <f t="shared" si="1105"/>
        <v>0</v>
      </c>
      <c r="N864" s="53">
        <f t="shared" ref="N864" si="1106">N863*$B862</f>
        <v>0</v>
      </c>
      <c r="O864" s="53">
        <f t="shared" ref="O864" si="1107">O863*$B862</f>
        <v>0</v>
      </c>
      <c r="P864" s="53">
        <f t="shared" ref="P864:Q864" si="1108">P863*$B862</f>
        <v>0</v>
      </c>
      <c r="Q864" s="53">
        <f t="shared" si="1108"/>
        <v>0</v>
      </c>
      <c r="S864" s="54">
        <f>SUM(F864:Q864)</f>
        <v>0</v>
      </c>
    </row>
    <row r="865" spans="1:19" hidden="1" outlineLevel="2" x14ac:dyDescent="0.2">
      <c r="A865" t="str">
        <f ca="1">Language!A$571</f>
        <v xml:space="preserve">    кредиторская задолженность</v>
      </c>
      <c r="C865" s="5" t="str">
        <f ca="1">CHOOSE(B856,CUR_Main,CUR_Foreign)</f>
        <v>руб.</v>
      </c>
      <c r="D865" t="str">
        <f>TEXT(B856,"0")&amp;"_08"&amp;";int_end"</f>
        <v>1_08;int_end</v>
      </c>
      <c r="F865" s="53">
        <f>IF(SUM(E861:F861)&gt;=0,MAX(SUM($F861:F861)+SUM($F862:F862)-SUM($F863:F863)-SUM($F864:F864),0),MIN(SUM($F861:F861)+SUM($F862:F862)-SUM($F863:F863)-SUM($F864:F864),0))</f>
        <v>0</v>
      </c>
      <c r="G865" s="53">
        <f>IF(SUM(F861:G861)&gt;=0,MAX(SUM($F861:G861)+SUM($F862:G862)-SUM($F863:G863)-SUM($F864:G864),0),MIN(SUM($F861:G861)+SUM($F862:G862)-SUM($F863:G863)-SUM($F864:G864),0))</f>
        <v>0</v>
      </c>
      <c r="H865" s="53">
        <f>IF(SUM(G861:H861)&gt;=0,MAX(SUM($F861:H861)+SUM($F862:H862)-SUM($F863:H863)-SUM($F864:H864),0),MIN(SUM($F861:H861)+SUM($F862:H862)-SUM($F863:H863)-SUM($F864:H864),0))</f>
        <v>0</v>
      </c>
      <c r="I865" s="53">
        <f>IF(SUM(H861:I861)&gt;=0,MAX(SUM($F861:I861)+SUM($F862:I862)-SUM($F863:I863)-SUM($F864:I864),0),MIN(SUM($F861:I861)+SUM($F862:I862)-SUM($F863:I863)-SUM($F864:I864),0))</f>
        <v>0</v>
      </c>
      <c r="J865" s="53">
        <f>IF(SUM(I861:J861)&gt;=0,MAX(SUM($F861:J861)+SUM($F862:J862)-SUM($F863:J863)-SUM($F864:J864),0),MIN(SUM($F861:J861)+SUM($F862:J862)-SUM($F863:J863)-SUM($F864:J864),0))</f>
        <v>0</v>
      </c>
      <c r="K865" s="53">
        <f>IF(SUM(J861:K861)&gt;=0,MAX(SUM($F861:K861)+SUM($F862:K862)-SUM($F863:K863)-SUM($F864:K864),0),MIN(SUM($F861:K861)+SUM($F862:K862)-SUM($F863:K863)-SUM($F864:K864),0))</f>
        <v>0</v>
      </c>
      <c r="L865" s="53">
        <f>IF(SUM(K861:L861)&gt;=0,MAX(SUM($F861:L861)+SUM($F862:L862)-SUM($F863:L863)-SUM($F864:L864),0),MIN(SUM($F861:L861)+SUM($F862:L862)-SUM($F863:L863)-SUM($F864:L864),0))</f>
        <v>0</v>
      </c>
      <c r="M865" s="53">
        <f>IF(SUM(L861:M861)&gt;=0,MAX(SUM($F861:M861)+SUM($F862:M862)-SUM($F863:M863)-SUM($F864:M864),0),MIN(SUM($F861:M861)+SUM($F862:M862)-SUM($F863:M863)-SUM($F864:M864),0))</f>
        <v>0</v>
      </c>
      <c r="N865" s="53">
        <f>IF(SUM(M861:N861)&gt;=0,MAX(SUM($F861:N861)+SUM($F862:N862)-SUM($F863:N863)-SUM($F864:N864),0),MIN(SUM($F861:N861)+SUM($F862:N862)-SUM($F863:N863)-SUM($F864:N864),0))</f>
        <v>0</v>
      </c>
      <c r="O865" s="53">
        <f>IF(SUM(N861:O861)&gt;=0,MAX(SUM($F861:O861)+SUM($F862:O862)-SUM($F863:O863)-SUM($F864:O864),0),MIN(SUM($F861:O861)+SUM($F862:O862)-SUM($F863:O863)-SUM($F864:O864),0))</f>
        <v>0</v>
      </c>
      <c r="P865" s="53">
        <f>IF(SUM(O861:P861)&gt;=0,MAX(SUM($F861:P861)+SUM($F862:P862)-SUM($F863:P863)-SUM($F864:P864),0),MIN(SUM($F861:P861)+SUM($F862:P862)-SUM($F863:P863)-SUM($F864:P864),0))</f>
        <v>0</v>
      </c>
      <c r="Q865" s="53">
        <f>IF(SUM(P861:Q861)&gt;=0,MAX(SUM($F861:Q861)+SUM($F862:Q862)-SUM($F863:Q863)-SUM($F864:Q864),0),MIN(SUM($F861:Q861)+SUM($F862:Q862)-SUM($F863:Q863)-SUM($F864:Q864),0))</f>
        <v>0</v>
      </c>
    </row>
    <row r="866" spans="1:19" hidden="1" outlineLevel="2" x14ac:dyDescent="0.2">
      <c r="A866" t="str">
        <f ca="1">Language!A$572</f>
        <v xml:space="preserve">    выплаченные авансы</v>
      </c>
      <c r="C866" s="5" t="str">
        <f ca="1">CHOOSE(B856,CUR_Main,CUR_Foreign)</f>
        <v>руб.</v>
      </c>
      <c r="D866" t="str">
        <f>TEXT(B856,"0")&amp;"_09"&amp;";int_end"</f>
        <v>1_09;int_end</v>
      </c>
      <c r="F866" s="53">
        <f>IF(SUM(E861:F861)&gt;=0,MAX(SUM($F863:F863)+SUM($F864:F864)-SUM($F861:F861)-SUM($F862:F862),0),MIN(SUM($F863:F863)+SUM($F864:F864)-SUM($F861:F861)-SUM($F862:F862),0))</f>
        <v>0</v>
      </c>
      <c r="G866" s="53">
        <f>IF(SUM(F861:G861)&gt;=0,MAX(SUM($F863:G863)+SUM($F864:G864)-SUM($F861:G861)-SUM($F862:G862),0),MIN(SUM($F863:G863)+SUM($F864:G864)-SUM($F861:G861)-SUM($F862:G862),0))</f>
        <v>0</v>
      </c>
      <c r="H866" s="53">
        <f>IF(SUM(G861:H861)&gt;=0,MAX(SUM($F863:H863)+SUM($F864:H864)-SUM($F861:H861)-SUM($F862:H862),0),MIN(SUM($F863:H863)+SUM($F864:H864)-SUM($F861:H861)-SUM($F862:H862),0))</f>
        <v>0</v>
      </c>
      <c r="I866" s="53">
        <f>IF(SUM(H861:I861)&gt;=0,MAX(SUM($F863:I863)+SUM($F864:I864)-SUM($F861:I861)-SUM($F862:I862),0),MIN(SUM($F863:I863)+SUM($F864:I864)-SUM($F861:I861)-SUM($F862:I862),0))</f>
        <v>0</v>
      </c>
      <c r="J866" s="53">
        <f>IF(SUM(I861:J861)&gt;=0,MAX(SUM($F863:J863)+SUM($F864:J864)-SUM($F861:J861)-SUM($F862:J862),0),MIN(SUM($F863:J863)+SUM($F864:J864)-SUM($F861:J861)-SUM($F862:J862),0))</f>
        <v>0</v>
      </c>
      <c r="K866" s="53">
        <f>IF(SUM(J861:K861)&gt;=0,MAX(SUM($F863:K863)+SUM($F864:K864)-SUM($F861:K861)-SUM($F862:K862),0),MIN(SUM($F863:K863)+SUM($F864:K864)-SUM($F861:K861)-SUM($F862:K862),0))</f>
        <v>0</v>
      </c>
      <c r="L866" s="53">
        <f>IF(SUM(K861:L861)&gt;=0,MAX(SUM($F863:L863)+SUM($F864:L864)-SUM($F861:L861)-SUM($F862:L862),0),MIN(SUM($F863:L863)+SUM($F864:L864)-SUM($F861:L861)-SUM($F862:L862),0))</f>
        <v>0</v>
      </c>
      <c r="M866" s="53">
        <f>IF(SUM(L861:M861)&gt;=0,MAX(SUM($F863:M863)+SUM($F864:M864)-SUM($F861:M861)-SUM($F862:M862),0),MIN(SUM($F863:M863)+SUM($F864:M864)-SUM($F861:M861)-SUM($F862:M862),0))</f>
        <v>0</v>
      </c>
      <c r="N866" s="53">
        <f>IF(SUM(M861:N861)&gt;=0,MAX(SUM($F863:N863)+SUM($F864:N864)-SUM($F861:N861)-SUM($F862:N862),0),MIN(SUM($F863:N863)+SUM($F864:N864)-SUM($F861:N861)-SUM($F862:N862),0))</f>
        <v>0</v>
      </c>
      <c r="O866" s="53">
        <f>IF(SUM(N861:O861)&gt;=0,MAX(SUM($F863:O863)+SUM($F864:O864)-SUM($F861:O861)-SUM($F862:O862),0),MIN(SUM($F863:O863)+SUM($F864:O864)-SUM($F861:O861)-SUM($F862:O862),0))</f>
        <v>0</v>
      </c>
      <c r="P866" s="53">
        <f>IF(SUM(O861:P861)&gt;=0,MAX(SUM($F863:P863)+SUM($F864:P864)-SUM($F861:P861)-SUM($F862:P862),0),MIN(SUM($F863:P863)+SUM($F864:P864)-SUM($F861:P861)-SUM($F862:P862),0))</f>
        <v>0</v>
      </c>
      <c r="Q866" s="53">
        <f>IF(SUM(P861:Q861)&gt;=0,MAX(SUM($F863:Q863)+SUM($F864:Q864)-SUM($F861:Q861)-SUM($F862:Q862),0),MIN(SUM($F863:Q863)+SUM($F864:Q864)-SUM($F861:Q861)-SUM($F862:Q862),0))</f>
        <v>0</v>
      </c>
    </row>
    <row r="867" spans="1:19" hidden="1" outlineLevel="2" x14ac:dyDescent="0.2">
      <c r="A867" t="str">
        <f ca="1">Language!A$573</f>
        <v xml:space="preserve">    списано затрат на реализованную продукцию</v>
      </c>
      <c r="C867" s="5" t="str">
        <f ca="1">CHOOSE(B856,CUR_Main,CUR_Foreign)</f>
        <v>руб.</v>
      </c>
      <c r="D867" t="str">
        <f>TEXT(B856,"0")&amp;"_10"</f>
        <v>1_10</v>
      </c>
      <c r="F867" s="53">
        <f t="shared" ref="F867:Q867" si="1109">IF((E657+F655)&gt;0,F656*(E868+F861)/(E657+F655),0)</f>
        <v>0</v>
      </c>
      <c r="G867" s="53">
        <f t="shared" si="1109"/>
        <v>0</v>
      </c>
      <c r="H867" s="53">
        <f t="shared" si="1109"/>
        <v>0</v>
      </c>
      <c r="I867" s="53">
        <f t="shared" si="1109"/>
        <v>0</v>
      </c>
      <c r="J867" s="53">
        <f t="shared" si="1109"/>
        <v>0</v>
      </c>
      <c r="K867" s="53">
        <f t="shared" si="1109"/>
        <v>0</v>
      </c>
      <c r="L867" s="53">
        <f t="shared" si="1109"/>
        <v>0</v>
      </c>
      <c r="M867" s="53">
        <f t="shared" si="1109"/>
        <v>0</v>
      </c>
      <c r="N867" s="53">
        <f t="shared" si="1109"/>
        <v>0</v>
      </c>
      <c r="O867" s="53">
        <f t="shared" si="1109"/>
        <v>0</v>
      </c>
      <c r="P867" s="53">
        <f t="shared" si="1109"/>
        <v>0</v>
      </c>
      <c r="Q867" s="53">
        <f t="shared" si="1109"/>
        <v>0</v>
      </c>
      <c r="S867" s="54">
        <f>SUM(F867:Q867)</f>
        <v>0</v>
      </c>
    </row>
    <row r="868" spans="1:19" hidden="1" outlineLevel="2" x14ac:dyDescent="0.2">
      <c r="A868" s="48" t="str">
        <f ca="1">Language!A$574</f>
        <v xml:space="preserve">    остаток затрат на складе готовой продукции</v>
      </c>
      <c r="C868" s="5" t="str">
        <f ca="1">CHOOSE(B856,CUR_Main,CUR_Foreign)</f>
        <v>руб.</v>
      </c>
      <c r="D868" t="str">
        <f>TEXT(B856,"0")&amp;"_11"&amp;";int_end"</f>
        <v>1_11;int_end</v>
      </c>
      <c r="F868" s="84">
        <f>SUM($F861:F861)-SUM($F867:F867)</f>
        <v>0</v>
      </c>
      <c r="G868" s="84">
        <f>SUM($F861:G861)-SUM($F867:G867)</f>
        <v>0</v>
      </c>
      <c r="H868" s="84">
        <f>SUM($F861:H861)-SUM($F867:H867)</f>
        <v>0</v>
      </c>
      <c r="I868" s="84">
        <f>SUM($F861:I861)-SUM($F867:I867)</f>
        <v>0</v>
      </c>
      <c r="J868" s="84">
        <f>SUM($F861:J861)-SUM($F867:J867)</f>
        <v>0</v>
      </c>
      <c r="K868" s="84">
        <f>SUM($F861:K861)-SUM($F867:K867)</f>
        <v>0</v>
      </c>
      <c r="L868" s="84">
        <f>SUM($F861:L861)-SUM($F867:L867)</f>
        <v>0</v>
      </c>
      <c r="M868" s="84">
        <f>SUM($F861:M861)-SUM($F867:M867)</f>
        <v>0</v>
      </c>
      <c r="N868" s="84">
        <f>SUM($F861:N861)-SUM($F867:N867)</f>
        <v>0</v>
      </c>
      <c r="O868" s="84">
        <f>SUM($F861:O861)-SUM($F867:O867)</f>
        <v>0</v>
      </c>
      <c r="P868" s="84">
        <f>SUM($F861:P861)-SUM($F867:P867)</f>
        <v>0</v>
      </c>
      <c r="Q868" s="84">
        <f>SUM($F861:Q861)-SUM($F867:Q867)</f>
        <v>0</v>
      </c>
    </row>
    <row r="869" spans="1:19" hidden="1" outlineLevel="2" x14ac:dyDescent="0.2">
      <c r="A869" s="48" t="str">
        <f ca="1">Language!A$575</f>
        <v xml:space="preserve">    остаток затрат в незавершенном производстве</v>
      </c>
      <c r="B869" s="255">
        <f>NWC_T_Cycle</f>
        <v>60</v>
      </c>
      <c r="C869" s="5" t="str">
        <f ca="1">Language!A$38</f>
        <v>дн.</v>
      </c>
      <c r="D869" t="str">
        <f>TEXT(B856,"0")&amp;"_12"&amp;";int_end"</f>
        <v>1_12;int_end</v>
      </c>
      <c r="F869" s="84">
        <f t="shared" ref="F869:M869" si="1110">F861*$B869/PRJ_Step</f>
        <v>0</v>
      </c>
      <c r="G869" s="84">
        <f t="shared" si="1110"/>
        <v>0</v>
      </c>
      <c r="H869" s="84">
        <f t="shared" si="1110"/>
        <v>0</v>
      </c>
      <c r="I869" s="84">
        <f t="shared" si="1110"/>
        <v>0</v>
      </c>
      <c r="J869" s="84">
        <f t="shared" si="1110"/>
        <v>0</v>
      </c>
      <c r="K869" s="84">
        <f t="shared" si="1110"/>
        <v>0</v>
      </c>
      <c r="L869" s="84">
        <f t="shared" si="1110"/>
        <v>0</v>
      </c>
      <c r="M869" s="84">
        <f t="shared" si="1110"/>
        <v>0</v>
      </c>
      <c r="N869" s="84">
        <f t="shared" ref="N869" si="1111">N861*$B869/PRJ_Step</f>
        <v>0</v>
      </c>
      <c r="O869" s="84">
        <f t="shared" ref="O869" si="1112">O861*$B869/PRJ_Step</f>
        <v>0</v>
      </c>
      <c r="P869" s="84">
        <f t="shared" ref="P869:Q869" si="1113">P861*$B869/PRJ_Step</f>
        <v>0</v>
      </c>
      <c r="Q869" s="84">
        <f t="shared" si="1113"/>
        <v>0</v>
      </c>
    </row>
    <row r="870" spans="1:19" outlineLevel="1" x14ac:dyDescent="0.2">
      <c r="A870" s="48" t="str">
        <f>A542</f>
        <v>Коробочная версия продукта</v>
      </c>
      <c r="B870" s="36" t="str">
        <f ca="1">Language!A$73</f>
        <v>Валюта</v>
      </c>
      <c r="C870" s="85"/>
      <c r="D870">
        <v>1</v>
      </c>
      <c r="E870">
        <v>14</v>
      </c>
    </row>
    <row r="871" spans="1:19" outlineLevel="1" x14ac:dyDescent="0.2">
      <c r="A871" s="274" t="s">
        <v>2684</v>
      </c>
      <c r="B871" s="255">
        <v>1</v>
      </c>
      <c r="C871" s="5" t="str">
        <f ca="1">CHOOSE(B871,CUR_Main,CUR_Foreign)</f>
        <v>руб.</v>
      </c>
      <c r="D871" s="16"/>
      <c r="F871" s="403"/>
      <c r="G871" s="83"/>
      <c r="H871" s="83"/>
      <c r="I871" s="83"/>
      <c r="J871" s="83"/>
      <c r="K871" s="83"/>
      <c r="L871" s="83"/>
      <c r="M871" s="83"/>
      <c r="N871" s="83"/>
      <c r="O871" s="83"/>
      <c r="P871" s="83"/>
      <c r="Q871" s="83"/>
      <c r="S871" s="54"/>
    </row>
    <row r="872" spans="1:19" ht="10.5" outlineLevel="1" collapsed="1" x14ac:dyDescent="0.25">
      <c r="A872" t="str">
        <f ca="1">Language!A$579</f>
        <v>Плановый расход на единицу продукции</v>
      </c>
      <c r="B872" s="287">
        <v>0</v>
      </c>
      <c r="C872" s="5" t="str">
        <f ca="1">CHOOSE(B871,CUR_Main,CUR_Foreign)</f>
        <v>руб.</v>
      </c>
      <c r="D872" s="16"/>
      <c r="F872" s="141">
        <v>0</v>
      </c>
      <c r="G872" s="141">
        <f>F872*IF(CalcMethod=2,1+F875,1)</f>
        <v>0</v>
      </c>
      <c r="H872" s="141">
        <v>0</v>
      </c>
      <c r="I872" s="141">
        <f>H872*IF(CalcMethod=2,1+H875,1)</f>
        <v>0</v>
      </c>
      <c r="J872" s="141">
        <f>I872*IF(CalcMethod=2,1+I875,1)</f>
        <v>0</v>
      </c>
      <c r="K872" s="141">
        <f>J872*IF(CalcMethod=2,1+J875,1)</f>
        <v>0</v>
      </c>
      <c r="L872" s="141">
        <f>K872*IF(CalcMethod=2,1+K875,1)</f>
        <v>0</v>
      </c>
      <c r="M872" s="141">
        <f>L872*IF(CalcMethod=2,1+L875,1)</f>
        <v>0</v>
      </c>
      <c r="N872" s="141">
        <f>M872*IF(CalcMethod=2,1+M875,1)</f>
        <v>0</v>
      </c>
      <c r="O872" s="141">
        <f>N872*IF(CalcMethod=2,1+N875,1)</f>
        <v>0</v>
      </c>
      <c r="P872" s="141">
        <f>O872*IF(CalcMethod=2,1+O875,1)</f>
        <v>0</v>
      </c>
      <c r="Q872" s="141">
        <f>P872*IF(CalcMethod=2,1+P875,1)</f>
        <v>0</v>
      </c>
      <c r="S872" s="54"/>
    </row>
    <row r="873" spans="1:19" s="48" customFormat="1" ht="10.5" hidden="1" outlineLevel="2" x14ac:dyDescent="0.25">
      <c r="A873" t="str">
        <f ca="1">Language!A$580</f>
        <v>Расход за период</v>
      </c>
      <c r="B873" s="120"/>
      <c r="C873" s="93" t="str">
        <f ca="1">CHOOSE(B871,CUR_Main,CUR_Foreign)</f>
        <v>руб.</v>
      </c>
      <c r="D873" s="48" t="str">
        <f>TEXT(B871,"0")&amp;"_00"</f>
        <v>1_00</v>
      </c>
      <c r="F873" s="83">
        <f>F872*F659</f>
        <v>0</v>
      </c>
      <c r="G873" s="83">
        <f>G872*G659</f>
        <v>0</v>
      </c>
      <c r="H873" s="83">
        <f>H872*H659</f>
        <v>0</v>
      </c>
      <c r="I873" s="83">
        <f>I872*I659</f>
        <v>0</v>
      </c>
      <c r="J873" s="83">
        <f>J872*J659</f>
        <v>0</v>
      </c>
      <c r="K873" s="83">
        <f>K872*K659</f>
        <v>0</v>
      </c>
      <c r="L873" s="83">
        <f>L872*L659</f>
        <v>0</v>
      </c>
      <c r="M873" s="83">
        <f>M872*M659</f>
        <v>0</v>
      </c>
      <c r="N873" s="83">
        <f>N872*N659</f>
        <v>0</v>
      </c>
      <c r="O873" s="83">
        <f>O872*O659</f>
        <v>0</v>
      </c>
      <c r="P873" s="83">
        <f>P872*P659</f>
        <v>0</v>
      </c>
      <c r="Q873" s="83">
        <f>Q872*Q659</f>
        <v>0</v>
      </c>
      <c r="S873" s="54">
        <f>SUM(F873:Q873)</f>
        <v>0</v>
      </c>
    </row>
    <row r="874" spans="1:19" s="48" customFormat="1" hidden="1" outlineLevel="2" x14ac:dyDescent="0.2">
      <c r="A874" t="str">
        <f ca="1">Language!A$104</f>
        <v>Предполагаемый темп годового роста цен</v>
      </c>
      <c r="B874"/>
      <c r="C874" s="5" t="s">
        <v>177</v>
      </c>
      <c r="D874" s="16" t="s">
        <v>176</v>
      </c>
      <c r="F874" s="269">
        <f>CHOOSE($B871,F$80,F$91)</f>
        <v>8.0000000000000002E-3</v>
      </c>
      <c r="G874" s="269">
        <f>CHOOSE($B871,G$80,G$91)</f>
        <v>8.0000000000000002E-3</v>
      </c>
      <c r="H874" s="269">
        <f>CHOOSE($B871,H$80,H$91)</f>
        <v>8.0000000000000002E-3</v>
      </c>
      <c r="I874" s="269">
        <f>CHOOSE($B871,I$80,I$91)</f>
        <v>8.0000000000000002E-3</v>
      </c>
      <c r="J874" s="269">
        <f>CHOOSE($B871,J$80,J$91)</f>
        <v>8.0000000000000002E-3</v>
      </c>
      <c r="K874" s="269">
        <f>CHOOSE($B871,K$80,K$91)</f>
        <v>8.0000000000000002E-3</v>
      </c>
      <c r="L874" s="269">
        <f>CHOOSE($B871,L$80,L$91)</f>
        <v>8.0000000000000002E-3</v>
      </c>
      <c r="M874" s="269">
        <f>CHOOSE($B871,M$80,M$91)</f>
        <v>8.0000000000000002E-3</v>
      </c>
      <c r="N874" s="269">
        <f>CHOOSE($B871,N$80,N$91)</f>
        <v>8.0000000000000002E-3</v>
      </c>
      <c r="O874" s="269">
        <f>CHOOSE($B871,O$80,O$91)</f>
        <v>8.0000000000000002E-3</v>
      </c>
      <c r="P874" s="269">
        <f>CHOOSE($B871,P$80,P$91)</f>
        <v>8.0000000000000002E-3</v>
      </c>
      <c r="Q874" s="269">
        <f>CHOOSE($B871,Q$80,Q$91)</f>
        <v>8.0000000000000002E-3</v>
      </c>
      <c r="S874" s="92"/>
    </row>
    <row r="875" spans="1:19" s="48" customFormat="1" hidden="1" outlineLevel="2" x14ac:dyDescent="0.2">
      <c r="A875" t="str">
        <f ca="1">Language!A$106</f>
        <v>То же, в пересчете на период, равный шагу проекта</v>
      </c>
      <c r="B875"/>
      <c r="C875" s="5" t="s">
        <v>177</v>
      </c>
      <c r="D875" s="16" t="s">
        <v>176</v>
      </c>
      <c r="F875" s="30">
        <f>POWER(1+F874,PRJ_Step/360)-1</f>
        <v>6.6423464362252993E-4</v>
      </c>
      <c r="G875" s="30">
        <f>POWER(1+G874,PRJ_Step/360)-1</f>
        <v>6.6423464362252993E-4</v>
      </c>
      <c r="H875" s="30">
        <f>POWER(1+H874,PRJ_Step/360)-1</f>
        <v>6.6423464362252993E-4</v>
      </c>
      <c r="I875" s="30">
        <f>POWER(1+I874,PRJ_Step/360)-1</f>
        <v>6.6423464362252993E-4</v>
      </c>
      <c r="J875" s="30">
        <f>POWER(1+J874,PRJ_Step/360)-1</f>
        <v>6.6423464362252993E-4</v>
      </c>
      <c r="K875" s="30">
        <f>POWER(1+K874,PRJ_Step/360)-1</f>
        <v>6.6423464362252993E-4</v>
      </c>
      <c r="L875" s="30">
        <f>POWER(1+L874,PRJ_Step/360)-1</f>
        <v>6.6423464362252993E-4</v>
      </c>
      <c r="M875" s="30">
        <f>POWER(1+M874,PRJ_Step/360)-1</f>
        <v>6.6423464362252993E-4</v>
      </c>
      <c r="N875" s="30">
        <f>POWER(1+N874,PRJ_Step/360)-1</f>
        <v>6.6423464362252993E-4</v>
      </c>
      <c r="O875" s="30">
        <f>POWER(1+O874,PRJ_Step/360)-1</f>
        <v>6.6423464362252993E-4</v>
      </c>
      <c r="P875" s="30">
        <f>POWER(1+P874,PRJ_Step/360)-1</f>
        <v>6.6423464362252993E-4</v>
      </c>
      <c r="Q875" s="30">
        <f>POWER(1+Q874,PRJ_Step/360)-1</f>
        <v>6.6423464362252993E-4</v>
      </c>
      <c r="S875" s="92"/>
    </row>
    <row r="876" spans="1:19" s="48" customFormat="1" hidden="1" outlineLevel="2" x14ac:dyDescent="0.2">
      <c r="A876" t="str">
        <f ca="1">Language!A$578</f>
        <v xml:space="preserve">    затраты без НДС</v>
      </c>
      <c r="B876"/>
      <c r="C876" s="5" t="str">
        <f ca="1">CHOOSE(B871,CUR_Main,CUR_Foreign)</f>
        <v>руб.</v>
      </c>
      <c r="D876" t="str">
        <f>TEXT(B871,"0")&amp;"_01"</f>
        <v>1_01</v>
      </c>
      <c r="F876" s="53">
        <f>F873/(1+$B877)</f>
        <v>0</v>
      </c>
      <c r="G876" s="53">
        <f>G873/(1+$B877)</f>
        <v>0</v>
      </c>
      <c r="H876" s="53">
        <f>H873/(1+$B877)</f>
        <v>0</v>
      </c>
      <c r="I876" s="53">
        <f>I873/(1+$B877)</f>
        <v>0</v>
      </c>
      <c r="J876" s="53">
        <f>J873/(1+$B877)</f>
        <v>0</v>
      </c>
      <c r="K876" s="53">
        <f>K873/(1+$B877)</f>
        <v>0</v>
      </c>
      <c r="L876" s="53">
        <f>L873/(1+$B877)</f>
        <v>0</v>
      </c>
      <c r="M876" s="53">
        <f>M873/(1+$B877)</f>
        <v>0</v>
      </c>
      <c r="N876" s="53">
        <f>N873/(1+$B877)</f>
        <v>0</v>
      </c>
      <c r="O876" s="53">
        <f>O873/(1+$B877)</f>
        <v>0</v>
      </c>
      <c r="P876" s="53">
        <f>P873/(1+$B877)</f>
        <v>0</v>
      </c>
      <c r="Q876" s="53">
        <f>Q873/(1+$B877)</f>
        <v>0</v>
      </c>
      <c r="S876" s="54">
        <f>SUM(F876:Q876)</f>
        <v>0</v>
      </c>
    </row>
    <row r="877" spans="1:19" s="48" customFormat="1" hidden="1" outlineLevel="2" x14ac:dyDescent="0.2">
      <c r="A877" t="str">
        <f ca="1">Language!A$560</f>
        <v xml:space="preserve">    НДС</v>
      </c>
      <c r="B877" s="283">
        <f>VAT</f>
        <v>0</v>
      </c>
      <c r="C877" s="5" t="str">
        <f ca="1">CHOOSE(B871,CUR_Main,CUR_Foreign)</f>
        <v>руб.</v>
      </c>
      <c r="D877" t="str">
        <f>TEXT(B871,"0")&amp;"_02"</f>
        <v>1_02</v>
      </c>
      <c r="F877" s="53">
        <f>F873-F876</f>
        <v>0</v>
      </c>
      <c r="G877" s="53">
        <f>G873-G876</f>
        <v>0</v>
      </c>
      <c r="H877" s="53">
        <f>H873-H876</f>
        <v>0</v>
      </c>
      <c r="I877" s="53">
        <f>I873-I876</f>
        <v>0</v>
      </c>
      <c r="J877" s="53">
        <f>J873-J876</f>
        <v>0</v>
      </c>
      <c r="K877" s="53">
        <f>K873-K876</f>
        <v>0</v>
      </c>
      <c r="L877" s="53">
        <f>L873-L876</f>
        <v>0</v>
      </c>
      <c r="M877" s="53">
        <f>M873-M876</f>
        <v>0</v>
      </c>
      <c r="N877" s="53">
        <f>N873-N876</f>
        <v>0</v>
      </c>
      <c r="O877" s="53">
        <f>O873-O876</f>
        <v>0</v>
      </c>
      <c r="P877" s="53">
        <f>P873-P876</f>
        <v>0</v>
      </c>
      <c r="Q877" s="53">
        <f>Q873-Q876</f>
        <v>0</v>
      </c>
      <c r="S877" s="54">
        <f>SUM(F877:Q877)</f>
        <v>0</v>
      </c>
    </row>
    <row r="878" spans="1:19" s="48" customFormat="1" hidden="1" outlineLevel="2" x14ac:dyDescent="0.2">
      <c r="A878" t="str">
        <f ca="1">Language!A$581</f>
        <v xml:space="preserve">    оплачено расходов (без НДС)</v>
      </c>
      <c r="B878" s="81"/>
      <c r="C878" s="5" t="str">
        <f ca="1">CHOOSE(B871,CUR_Main,CUR_Foreign)</f>
        <v>руб.</v>
      </c>
      <c r="D878" t="str">
        <f>TEXT(B871,"0")&amp;"_06"</f>
        <v>1_06</v>
      </c>
      <c r="F878" s="270">
        <f>F876</f>
        <v>0</v>
      </c>
      <c r="G878" s="270">
        <f>G876</f>
        <v>0</v>
      </c>
      <c r="H878" s="270">
        <f>H876</f>
        <v>0</v>
      </c>
      <c r="I878" s="270">
        <f>I876</f>
        <v>0</v>
      </c>
      <c r="J878" s="270">
        <f>J876</f>
        <v>0</v>
      </c>
      <c r="K878" s="270">
        <f>K876</f>
        <v>0</v>
      </c>
      <c r="L878" s="270">
        <f>L876</f>
        <v>0</v>
      </c>
      <c r="M878" s="270">
        <f>M876</f>
        <v>0</v>
      </c>
      <c r="N878" s="270">
        <f>N876</f>
        <v>0</v>
      </c>
      <c r="O878" s="270">
        <f>O876</f>
        <v>0</v>
      </c>
      <c r="P878" s="270">
        <f>P876</f>
        <v>0</v>
      </c>
      <c r="Q878" s="270">
        <f>Q876</f>
        <v>0</v>
      </c>
      <c r="S878" s="54">
        <f>SUM(F878:Q878)</f>
        <v>0</v>
      </c>
    </row>
    <row r="879" spans="1:19" s="48" customFormat="1" hidden="1" outlineLevel="2" x14ac:dyDescent="0.2">
      <c r="A879" t="str">
        <f ca="1">Language!A$570</f>
        <v xml:space="preserve">    выплаченный НДС</v>
      </c>
      <c r="B879" s="81"/>
      <c r="C879" s="5" t="str">
        <f ca="1">CHOOSE(B871,CUR_Main,CUR_Foreign)</f>
        <v>руб.</v>
      </c>
      <c r="D879" t="str">
        <f>TEXT(B871,"0")&amp;"_07"</f>
        <v>1_07</v>
      </c>
      <c r="F879" s="53">
        <f>F878*$B877</f>
        <v>0</v>
      </c>
      <c r="G879" s="53">
        <f>G878*$B877</f>
        <v>0</v>
      </c>
      <c r="H879" s="53">
        <f>H878*$B877</f>
        <v>0</v>
      </c>
      <c r="I879" s="53">
        <f>I878*$B877</f>
        <v>0</v>
      </c>
      <c r="J879" s="53">
        <f>J878*$B877</f>
        <v>0</v>
      </c>
      <c r="K879" s="53">
        <f>K878*$B877</f>
        <v>0</v>
      </c>
      <c r="L879" s="53">
        <f>L878*$B877</f>
        <v>0</v>
      </c>
      <c r="M879" s="53">
        <f>M878*$B877</f>
        <v>0</v>
      </c>
      <c r="N879" s="53">
        <f>N878*$B877</f>
        <v>0</v>
      </c>
      <c r="O879" s="53">
        <f>O878*$B877</f>
        <v>0</v>
      </c>
      <c r="P879" s="53">
        <f>P878*$B877</f>
        <v>0</v>
      </c>
      <c r="Q879" s="53">
        <f>Q878*$B877</f>
        <v>0</v>
      </c>
      <c r="S879" s="54">
        <f>SUM(F879:Q879)</f>
        <v>0</v>
      </c>
    </row>
    <row r="880" spans="1:19" hidden="1" outlineLevel="2" x14ac:dyDescent="0.2">
      <c r="A880" t="str">
        <f ca="1">Language!A$571</f>
        <v xml:space="preserve">    кредиторская задолженность</v>
      </c>
      <c r="C880" s="5" t="str">
        <f ca="1">CHOOSE(B871,CUR_Main,CUR_Foreign)</f>
        <v>руб.</v>
      </c>
      <c r="D880" t="str">
        <f>TEXT(B871,"0")&amp;"_08"&amp;";int_end"</f>
        <v>1_08;int_end</v>
      </c>
      <c r="F880" s="53">
        <f>IF(SUM(E876:F876)&gt;=0,MAX(SUM($F876:F876)+SUM($F877:F877)-SUM($F878:F878)-SUM($F879:F879),0),MIN(SUM($F876:F876)+SUM($F877:F877)-SUM($F878:F878)-SUM($F879:F879),0))</f>
        <v>0</v>
      </c>
      <c r="G880" s="53">
        <f>IF(SUM(F876:G876)&gt;=0,MAX(SUM($F876:G876)+SUM($F877:G877)-SUM($F878:G878)-SUM($F879:G879),0),MIN(SUM($F876:G876)+SUM($F877:G877)-SUM($F878:G878)-SUM($F879:G879),0))</f>
        <v>0</v>
      </c>
      <c r="H880" s="53">
        <f>IF(SUM(G876:H876)&gt;=0,MAX(SUM($F876:H876)+SUM($F877:H877)-SUM($F878:H878)-SUM($F879:H879),0),MIN(SUM($F876:H876)+SUM($F877:H877)-SUM($F878:H878)-SUM($F879:H879),0))</f>
        <v>0</v>
      </c>
      <c r="I880" s="53">
        <f>IF(SUM(H876:I876)&gt;=0,MAX(SUM($F876:I876)+SUM($F877:I877)-SUM($F878:I878)-SUM($F879:I879),0),MIN(SUM($F876:I876)+SUM($F877:I877)-SUM($F878:I878)-SUM($F879:I879),0))</f>
        <v>0</v>
      </c>
      <c r="J880" s="53">
        <f>IF(SUM(I876:J876)&gt;=0,MAX(SUM($F876:J876)+SUM($F877:J877)-SUM($F878:J878)-SUM($F879:J879),0),MIN(SUM($F876:J876)+SUM($F877:J877)-SUM($F878:J878)-SUM($F879:J879),0))</f>
        <v>0</v>
      </c>
      <c r="K880" s="53">
        <f>IF(SUM(J876:K876)&gt;=0,MAX(SUM($F876:K876)+SUM($F877:K877)-SUM($F878:K878)-SUM($F879:K879),0),MIN(SUM($F876:K876)+SUM($F877:K877)-SUM($F878:K878)-SUM($F879:K879),0))</f>
        <v>0</v>
      </c>
      <c r="L880" s="53">
        <f>IF(SUM(K876:L876)&gt;=0,MAX(SUM($F876:L876)+SUM($F877:L877)-SUM($F878:L878)-SUM($F879:L879),0),MIN(SUM($F876:L876)+SUM($F877:L877)-SUM($F878:L878)-SUM($F879:L879),0))</f>
        <v>0</v>
      </c>
      <c r="M880" s="53">
        <f>IF(SUM(L876:M876)&gt;=0,MAX(SUM($F876:M876)+SUM($F877:M877)-SUM($F878:M878)-SUM($F879:M879),0),MIN(SUM($F876:M876)+SUM($F877:M877)-SUM($F878:M878)-SUM($F879:M879),0))</f>
        <v>0</v>
      </c>
      <c r="N880" s="53">
        <f>IF(SUM(M876:N876)&gt;=0,MAX(SUM($F876:N876)+SUM($F877:N877)-SUM($F878:N878)-SUM($F879:N879),0),MIN(SUM($F876:N876)+SUM($F877:N877)-SUM($F878:N878)-SUM($F879:N879),0))</f>
        <v>0</v>
      </c>
      <c r="O880" s="53">
        <f>IF(SUM(N876:O876)&gt;=0,MAX(SUM($F876:O876)+SUM($F877:O877)-SUM($F878:O878)-SUM($F879:O879),0),MIN(SUM($F876:O876)+SUM($F877:O877)-SUM($F878:O878)-SUM($F879:O879),0))</f>
        <v>0</v>
      </c>
      <c r="P880" s="53">
        <f>IF(SUM(O876:P876)&gt;=0,MAX(SUM($F876:P876)+SUM($F877:P877)-SUM($F878:P878)-SUM($F879:P879),0),MIN(SUM($F876:P876)+SUM($F877:P877)-SUM($F878:P878)-SUM($F879:P879),0))</f>
        <v>0</v>
      </c>
      <c r="Q880" s="53">
        <f>IF(SUM(P876:Q876)&gt;=0,MAX(SUM($F876:Q876)+SUM($F877:Q877)-SUM($F878:Q878)-SUM($F879:Q879),0),MIN(SUM($F876:Q876)+SUM($F877:Q877)-SUM($F878:Q878)-SUM($F879:Q879),0))</f>
        <v>0</v>
      </c>
    </row>
    <row r="881" spans="1:19" hidden="1" outlineLevel="2" x14ac:dyDescent="0.2">
      <c r="A881" t="str">
        <f ca="1">Language!A$572</f>
        <v xml:space="preserve">    выплаченные авансы</v>
      </c>
      <c r="C881" s="5" t="str">
        <f ca="1">CHOOSE(B871,CUR_Main,CUR_Foreign)</f>
        <v>руб.</v>
      </c>
      <c r="D881" t="str">
        <f>TEXT(B871,"0")&amp;"_09"&amp;";int_end"</f>
        <v>1_09;int_end</v>
      </c>
      <c r="F881" s="53">
        <f>IF(SUM(E876:F876)&gt;=0,MAX(SUM($F878:F878)+SUM($F879:F879)-SUM($F876:F876)-SUM($F877:F877),0),MIN(SUM($F878:F878)+SUM($F879:F879)-SUM($F876:F876)-SUM($F877:F877),0))</f>
        <v>0</v>
      </c>
      <c r="G881" s="53">
        <f>IF(SUM(F876:G876)&gt;=0,MAX(SUM($F878:G878)+SUM($F879:G879)-SUM($F876:G876)-SUM($F877:G877),0),MIN(SUM($F878:G878)+SUM($F879:G879)-SUM($F876:G876)-SUM($F877:G877),0))</f>
        <v>0</v>
      </c>
      <c r="H881" s="53">
        <f>IF(SUM(G876:H876)&gt;=0,MAX(SUM($F878:H878)+SUM($F879:H879)-SUM($F876:H876)-SUM($F877:H877),0),MIN(SUM($F878:H878)+SUM($F879:H879)-SUM($F876:H876)-SUM($F877:H877),0))</f>
        <v>0</v>
      </c>
      <c r="I881" s="53">
        <f>IF(SUM(H876:I876)&gt;=0,MAX(SUM($F878:I878)+SUM($F879:I879)-SUM($F876:I876)-SUM($F877:I877),0),MIN(SUM($F878:I878)+SUM($F879:I879)-SUM($F876:I876)-SUM($F877:I877),0))</f>
        <v>0</v>
      </c>
      <c r="J881" s="53">
        <f>IF(SUM(I876:J876)&gt;=0,MAX(SUM($F878:J878)+SUM($F879:J879)-SUM($F876:J876)-SUM($F877:J877),0),MIN(SUM($F878:J878)+SUM($F879:J879)-SUM($F876:J876)-SUM($F877:J877),0))</f>
        <v>0</v>
      </c>
      <c r="K881" s="53">
        <f>IF(SUM(J876:K876)&gt;=0,MAX(SUM($F878:K878)+SUM($F879:K879)-SUM($F876:K876)-SUM($F877:K877),0),MIN(SUM($F878:K878)+SUM($F879:K879)-SUM($F876:K876)-SUM($F877:K877),0))</f>
        <v>0</v>
      </c>
      <c r="L881" s="53">
        <f>IF(SUM(K876:L876)&gt;=0,MAX(SUM($F878:L878)+SUM($F879:L879)-SUM($F876:L876)-SUM($F877:L877),0),MIN(SUM($F878:L878)+SUM($F879:L879)-SUM($F876:L876)-SUM($F877:L877),0))</f>
        <v>0</v>
      </c>
      <c r="M881" s="53">
        <f>IF(SUM(L876:M876)&gt;=0,MAX(SUM($F878:M878)+SUM($F879:M879)-SUM($F876:M876)-SUM($F877:M877),0),MIN(SUM($F878:M878)+SUM($F879:M879)-SUM($F876:M876)-SUM($F877:M877),0))</f>
        <v>0</v>
      </c>
      <c r="N881" s="53">
        <f>IF(SUM(M876:N876)&gt;=0,MAX(SUM($F878:N878)+SUM($F879:N879)-SUM($F876:N876)-SUM($F877:N877),0),MIN(SUM($F878:N878)+SUM($F879:N879)-SUM($F876:N876)-SUM($F877:N877),0))</f>
        <v>0</v>
      </c>
      <c r="O881" s="53">
        <f>IF(SUM(N876:O876)&gt;=0,MAX(SUM($F878:O878)+SUM($F879:O879)-SUM($F876:O876)-SUM($F877:O877),0),MIN(SUM($F878:O878)+SUM($F879:O879)-SUM($F876:O876)-SUM($F877:O877),0))</f>
        <v>0</v>
      </c>
      <c r="P881" s="53">
        <f>IF(SUM(O876:P876)&gt;=0,MAX(SUM($F878:P878)+SUM($F879:P879)-SUM($F876:P876)-SUM($F877:P877),0),MIN(SUM($F878:P878)+SUM($F879:P879)-SUM($F876:P876)-SUM($F877:P877),0))</f>
        <v>0</v>
      </c>
      <c r="Q881" s="53">
        <f>IF(SUM(P876:Q876)&gt;=0,MAX(SUM($F878:Q878)+SUM($F879:Q879)-SUM($F876:Q876)-SUM($F877:Q877),0),MIN(SUM($F878:Q878)+SUM($F879:Q879)-SUM($F876:Q876)-SUM($F877:Q877),0))</f>
        <v>0</v>
      </c>
    </row>
    <row r="882" spans="1:19" hidden="1" outlineLevel="2" x14ac:dyDescent="0.2">
      <c r="A882" t="str">
        <f ca="1">Language!A$573</f>
        <v xml:space="preserve">    списано затрат на реализованную продукцию</v>
      </c>
      <c r="C882" s="5" t="str">
        <f ca="1">CHOOSE(B871,CUR_Main,CUR_Foreign)</f>
        <v>руб.</v>
      </c>
      <c r="D882" t="str">
        <f>TEXT(B871,"0")&amp;"_10"</f>
        <v>1_10</v>
      </c>
      <c r="F882" s="53">
        <f>IF((E661+F659)&gt;0,F660*(E883+F876)/(E661+F659),0)</f>
        <v>0</v>
      </c>
      <c r="G882" s="53">
        <f>IF((F661+G659)&gt;0,G660*(F883+G876)/(F661+G659),0)</f>
        <v>0</v>
      </c>
      <c r="H882" s="53">
        <f>IF((G661+H659)&gt;0,H660*(G883+H876)/(G661+H659),0)</f>
        <v>0</v>
      </c>
      <c r="I882" s="53">
        <f>IF((H661+I659)&gt;0,I660*(H883+I876)/(H661+I659),0)</f>
        <v>0</v>
      </c>
      <c r="J882" s="53">
        <f>IF((I661+J659)&gt;0,J660*(I883+J876)/(I661+J659),0)</f>
        <v>0</v>
      </c>
      <c r="K882" s="53">
        <f>IF((J661+K659)&gt;0,K660*(J883+K876)/(J661+K659),0)</f>
        <v>0</v>
      </c>
      <c r="L882" s="53">
        <f>IF((K661+L659)&gt;0,L660*(K883+L876)/(K661+L659),0)</f>
        <v>0</v>
      </c>
      <c r="M882" s="53">
        <f>IF((L661+M659)&gt;0,M660*(L883+M876)/(L661+M659),0)</f>
        <v>0</v>
      </c>
      <c r="N882" s="53">
        <f>IF((M661+N659)&gt;0,N660*(M883+N876)/(M661+N659),0)</f>
        <v>0</v>
      </c>
      <c r="O882" s="53">
        <f>IF((N661+O659)&gt;0,O660*(N883+O876)/(N661+O659),0)</f>
        <v>0</v>
      </c>
      <c r="P882" s="53">
        <f>IF((O661+P659)&gt;0,P660*(O883+P876)/(O661+P659),0)</f>
        <v>0</v>
      </c>
      <c r="Q882" s="53">
        <f>IF((P661+Q659)&gt;0,Q660*(P883+Q876)/(P661+Q659),0)</f>
        <v>0</v>
      </c>
      <c r="S882" s="54">
        <f>SUM(F882:Q882)</f>
        <v>0</v>
      </c>
    </row>
    <row r="883" spans="1:19" hidden="1" outlineLevel="2" x14ac:dyDescent="0.2">
      <c r="A883" s="48" t="str">
        <f ca="1">Language!A$574</f>
        <v xml:space="preserve">    остаток затрат на складе готовой продукции</v>
      </c>
      <c r="C883" s="5" t="str">
        <f ca="1">CHOOSE(B871,CUR_Main,CUR_Foreign)</f>
        <v>руб.</v>
      </c>
      <c r="D883" t="str">
        <f>TEXT(B871,"0")&amp;"_11"&amp;";int_end"</f>
        <v>1_11;int_end</v>
      </c>
      <c r="F883" s="84">
        <f>SUM($F876:F876)-SUM($F882:F882)</f>
        <v>0</v>
      </c>
      <c r="G883" s="84">
        <f>SUM($F876:G876)-SUM($F882:G882)</f>
        <v>0</v>
      </c>
      <c r="H883" s="84">
        <f>SUM($F876:H876)-SUM($F882:H882)</f>
        <v>0</v>
      </c>
      <c r="I883" s="84">
        <f>SUM($F876:I876)-SUM($F882:I882)</f>
        <v>0</v>
      </c>
      <c r="J883" s="84">
        <f>SUM($F876:J876)-SUM($F882:J882)</f>
        <v>0</v>
      </c>
      <c r="K883" s="84">
        <f>SUM($F876:K876)-SUM($F882:K882)</f>
        <v>0</v>
      </c>
      <c r="L883" s="84">
        <f>SUM($F876:L876)-SUM($F882:L882)</f>
        <v>0</v>
      </c>
      <c r="M883" s="84">
        <f>SUM($F876:M876)-SUM($F882:M882)</f>
        <v>0</v>
      </c>
      <c r="N883" s="84">
        <f>SUM($F876:N876)-SUM($F882:N882)</f>
        <v>0</v>
      </c>
      <c r="O883" s="84">
        <f>SUM($F876:O876)-SUM($F882:O882)</f>
        <v>0</v>
      </c>
      <c r="P883" s="84">
        <f>SUM($F876:P876)-SUM($F882:P882)</f>
        <v>0</v>
      </c>
      <c r="Q883" s="84">
        <f>SUM($F876:Q876)-SUM($F882:Q882)</f>
        <v>0</v>
      </c>
    </row>
    <row r="884" spans="1:19" hidden="1" outlineLevel="2" x14ac:dyDescent="0.2">
      <c r="A884" s="48" t="str">
        <f ca="1">Language!A$575</f>
        <v xml:space="preserve">    остаток затрат в незавершенном производстве</v>
      </c>
      <c r="B884" s="255">
        <f>NWC_T_Cycle</f>
        <v>60</v>
      </c>
      <c r="C884" s="5" t="str">
        <f ca="1">Language!A$38</f>
        <v>дн.</v>
      </c>
      <c r="D884" t="str">
        <f>TEXT(B871,"0")&amp;"_12"&amp;";int_end"</f>
        <v>1_12;int_end</v>
      </c>
      <c r="F884" s="84">
        <f>F876*$B884/PRJ_Step</f>
        <v>0</v>
      </c>
      <c r="G884" s="84">
        <f>G876*$B884/PRJ_Step</f>
        <v>0</v>
      </c>
      <c r="H884" s="84">
        <f>H876*$B884/PRJ_Step</f>
        <v>0</v>
      </c>
      <c r="I884" s="84">
        <f>I876*$B884/PRJ_Step</f>
        <v>0</v>
      </c>
      <c r="J884" s="84">
        <f>J876*$B884/PRJ_Step</f>
        <v>0</v>
      </c>
      <c r="K884" s="84">
        <f>K876*$B884/PRJ_Step</f>
        <v>0</v>
      </c>
      <c r="L884" s="84">
        <f>L876*$B884/PRJ_Step</f>
        <v>0</v>
      </c>
      <c r="M884" s="84">
        <f>M876*$B884/PRJ_Step</f>
        <v>0</v>
      </c>
      <c r="N884" s="84">
        <f>N876*$B884/PRJ_Step</f>
        <v>0</v>
      </c>
      <c r="O884" s="84">
        <f>O876*$B884/PRJ_Step</f>
        <v>0</v>
      </c>
      <c r="P884" s="84">
        <f>P876*$B884/PRJ_Step</f>
        <v>0</v>
      </c>
      <c r="Q884" s="84">
        <f>Q876*$B884/PRJ_Step</f>
        <v>0</v>
      </c>
    </row>
    <row r="885" spans="1:19" outlineLevel="1" x14ac:dyDescent="0.2">
      <c r="A885" s="48" t="str">
        <f>A543</f>
        <v>Исключительные права</v>
      </c>
      <c r="B885" s="36" t="str">
        <f ca="1">Language!A$73</f>
        <v>Валюта</v>
      </c>
      <c r="C885" s="85"/>
      <c r="D885">
        <v>1</v>
      </c>
      <c r="E885">
        <v>14</v>
      </c>
    </row>
    <row r="886" spans="1:19" outlineLevel="1" x14ac:dyDescent="0.2">
      <c r="A886" s="274" t="s">
        <v>2684</v>
      </c>
      <c r="B886" s="255">
        <v>1</v>
      </c>
      <c r="C886" s="5" t="str">
        <f ca="1">CHOOSE(B886,CUR_Main,CUR_Foreign)</f>
        <v>руб.</v>
      </c>
      <c r="D886" s="16"/>
      <c r="F886" s="403"/>
      <c r="G886" s="83"/>
      <c r="H886" s="83"/>
      <c r="I886" s="83"/>
      <c r="J886" s="83"/>
      <c r="K886" s="83"/>
      <c r="L886" s="83"/>
      <c r="M886" s="83"/>
      <c r="N886" s="83"/>
      <c r="O886" s="83"/>
      <c r="P886" s="83"/>
      <c r="Q886" s="83"/>
      <c r="S886" s="54"/>
    </row>
    <row r="887" spans="1:19" ht="10.5" outlineLevel="1" collapsed="1" x14ac:dyDescent="0.25">
      <c r="A887" t="str">
        <f ca="1">Language!A$579</f>
        <v>Плановый расход на единицу продукции</v>
      </c>
      <c r="B887" s="287">
        <v>0</v>
      </c>
      <c r="C887" s="5" t="str">
        <f ca="1">CHOOSE(B886,CUR_Main,CUR_Foreign)</f>
        <v>руб.</v>
      </c>
      <c r="D887" s="16"/>
      <c r="F887" s="141">
        <v>0</v>
      </c>
      <c r="G887" s="141">
        <f>F887*IF(CalcMethod=2,1+F890,1)</f>
        <v>0</v>
      </c>
      <c r="H887" s="141">
        <v>0</v>
      </c>
      <c r="I887" s="141">
        <f>H887*IF(CalcMethod=2,1+H890,1)</f>
        <v>0</v>
      </c>
      <c r="J887" s="141">
        <f>I887*IF(CalcMethod=2,1+I890,1)</f>
        <v>0</v>
      </c>
      <c r="K887" s="141">
        <f>J887*IF(CalcMethod=2,1+J890,1)</f>
        <v>0</v>
      </c>
      <c r="L887" s="141">
        <f>K887*IF(CalcMethod=2,1+K890,1)</f>
        <v>0</v>
      </c>
      <c r="M887" s="141">
        <f>L887*IF(CalcMethod=2,1+L890,1)</f>
        <v>0</v>
      </c>
      <c r="N887" s="141">
        <f>M887*IF(CalcMethod=2,1+M890,1)</f>
        <v>0</v>
      </c>
      <c r="O887" s="141">
        <f>N887*IF(CalcMethod=2,1+N890,1)</f>
        <v>0</v>
      </c>
      <c r="P887" s="141">
        <f>O887*IF(CalcMethod=2,1+O890,1)</f>
        <v>0</v>
      </c>
      <c r="Q887" s="141">
        <f>P887*IF(CalcMethod=2,1+P890,1)</f>
        <v>0</v>
      </c>
      <c r="S887" s="54"/>
    </row>
    <row r="888" spans="1:19" s="48" customFormat="1" ht="10.5" hidden="1" outlineLevel="2" x14ac:dyDescent="0.25">
      <c r="A888" t="str">
        <f ca="1">Language!A$580</f>
        <v>Расход за период</v>
      </c>
      <c r="B888" s="120"/>
      <c r="C888" s="93" t="str">
        <f ca="1">CHOOSE(B886,CUR_Main,CUR_Foreign)</f>
        <v>руб.</v>
      </c>
      <c r="D888" s="48" t="str">
        <f>TEXT(B886,"0")&amp;"_00"</f>
        <v>1_00</v>
      </c>
      <c r="F888" s="83">
        <f>F887*F663</f>
        <v>0</v>
      </c>
      <c r="G888" s="83">
        <f>G887*G663</f>
        <v>0</v>
      </c>
      <c r="H888" s="83">
        <f>H887*H663</f>
        <v>0</v>
      </c>
      <c r="I888" s="83">
        <f>I887*I663</f>
        <v>0</v>
      </c>
      <c r="J888" s="83">
        <f>J887*J663</f>
        <v>0</v>
      </c>
      <c r="K888" s="83">
        <f>K887*K663</f>
        <v>0</v>
      </c>
      <c r="L888" s="83">
        <f>L887*L663</f>
        <v>0</v>
      </c>
      <c r="M888" s="83">
        <f>M887*M663</f>
        <v>0</v>
      </c>
      <c r="N888" s="83">
        <f>N887*N663</f>
        <v>0</v>
      </c>
      <c r="O888" s="83">
        <f>O887*O663</f>
        <v>0</v>
      </c>
      <c r="P888" s="83">
        <f>P887*P663</f>
        <v>0</v>
      </c>
      <c r="Q888" s="83">
        <f>Q887*Q663</f>
        <v>0</v>
      </c>
      <c r="S888" s="54">
        <f>SUM(F888:Q888)</f>
        <v>0</v>
      </c>
    </row>
    <row r="889" spans="1:19" s="48" customFormat="1" hidden="1" outlineLevel="2" x14ac:dyDescent="0.2">
      <c r="A889" t="str">
        <f ca="1">Language!A$104</f>
        <v>Предполагаемый темп годового роста цен</v>
      </c>
      <c r="B889"/>
      <c r="C889" s="5" t="s">
        <v>177</v>
      </c>
      <c r="D889" s="16" t="s">
        <v>176</v>
      </c>
      <c r="F889" s="269">
        <f>CHOOSE($B886,F$80,F$91)</f>
        <v>8.0000000000000002E-3</v>
      </c>
      <c r="G889" s="269">
        <f>CHOOSE($B886,G$80,G$91)</f>
        <v>8.0000000000000002E-3</v>
      </c>
      <c r="H889" s="269">
        <f>CHOOSE($B886,H$80,H$91)</f>
        <v>8.0000000000000002E-3</v>
      </c>
      <c r="I889" s="269">
        <f>CHOOSE($B886,I$80,I$91)</f>
        <v>8.0000000000000002E-3</v>
      </c>
      <c r="J889" s="269">
        <f>CHOOSE($B886,J$80,J$91)</f>
        <v>8.0000000000000002E-3</v>
      </c>
      <c r="K889" s="269">
        <f>CHOOSE($B886,K$80,K$91)</f>
        <v>8.0000000000000002E-3</v>
      </c>
      <c r="L889" s="269">
        <f>CHOOSE($B886,L$80,L$91)</f>
        <v>8.0000000000000002E-3</v>
      </c>
      <c r="M889" s="269">
        <f>CHOOSE($B886,M$80,M$91)</f>
        <v>8.0000000000000002E-3</v>
      </c>
      <c r="N889" s="269">
        <f>CHOOSE($B886,N$80,N$91)</f>
        <v>8.0000000000000002E-3</v>
      </c>
      <c r="O889" s="269">
        <f>CHOOSE($B886,O$80,O$91)</f>
        <v>8.0000000000000002E-3</v>
      </c>
      <c r="P889" s="269">
        <f>CHOOSE($B886,P$80,P$91)</f>
        <v>8.0000000000000002E-3</v>
      </c>
      <c r="Q889" s="269">
        <f>CHOOSE($B886,Q$80,Q$91)</f>
        <v>8.0000000000000002E-3</v>
      </c>
      <c r="S889" s="92"/>
    </row>
    <row r="890" spans="1:19" s="48" customFormat="1" hidden="1" outlineLevel="2" x14ac:dyDescent="0.2">
      <c r="A890" t="str">
        <f ca="1">Language!A$106</f>
        <v>То же, в пересчете на период, равный шагу проекта</v>
      </c>
      <c r="B890"/>
      <c r="C890" s="5" t="s">
        <v>177</v>
      </c>
      <c r="D890" s="16" t="s">
        <v>176</v>
      </c>
      <c r="F890" s="30">
        <f>POWER(1+F889,PRJ_Step/360)-1</f>
        <v>6.6423464362252993E-4</v>
      </c>
      <c r="G890" s="30">
        <f>POWER(1+G889,PRJ_Step/360)-1</f>
        <v>6.6423464362252993E-4</v>
      </c>
      <c r="H890" s="30">
        <f>POWER(1+H889,PRJ_Step/360)-1</f>
        <v>6.6423464362252993E-4</v>
      </c>
      <c r="I890" s="30">
        <f>POWER(1+I889,PRJ_Step/360)-1</f>
        <v>6.6423464362252993E-4</v>
      </c>
      <c r="J890" s="30">
        <f>POWER(1+J889,PRJ_Step/360)-1</f>
        <v>6.6423464362252993E-4</v>
      </c>
      <c r="K890" s="30">
        <f>POWER(1+K889,PRJ_Step/360)-1</f>
        <v>6.6423464362252993E-4</v>
      </c>
      <c r="L890" s="30">
        <f>POWER(1+L889,PRJ_Step/360)-1</f>
        <v>6.6423464362252993E-4</v>
      </c>
      <c r="M890" s="30">
        <f>POWER(1+M889,PRJ_Step/360)-1</f>
        <v>6.6423464362252993E-4</v>
      </c>
      <c r="N890" s="30">
        <f>POWER(1+N889,PRJ_Step/360)-1</f>
        <v>6.6423464362252993E-4</v>
      </c>
      <c r="O890" s="30">
        <f>POWER(1+O889,PRJ_Step/360)-1</f>
        <v>6.6423464362252993E-4</v>
      </c>
      <c r="P890" s="30">
        <f>POWER(1+P889,PRJ_Step/360)-1</f>
        <v>6.6423464362252993E-4</v>
      </c>
      <c r="Q890" s="30">
        <f>POWER(1+Q889,PRJ_Step/360)-1</f>
        <v>6.6423464362252993E-4</v>
      </c>
      <c r="S890" s="92"/>
    </row>
    <row r="891" spans="1:19" s="48" customFormat="1" hidden="1" outlineLevel="2" x14ac:dyDescent="0.2">
      <c r="A891" t="str">
        <f ca="1">Language!A$578</f>
        <v xml:space="preserve">    затраты без НДС</v>
      </c>
      <c r="B891"/>
      <c r="C891" s="5" t="str">
        <f ca="1">CHOOSE(B886,CUR_Main,CUR_Foreign)</f>
        <v>руб.</v>
      </c>
      <c r="D891" t="str">
        <f>TEXT(B886,"0")&amp;"_01"</f>
        <v>1_01</v>
      </c>
      <c r="F891" s="53">
        <f>F888/(1+$B892)</f>
        <v>0</v>
      </c>
      <c r="G891" s="53">
        <f>G888/(1+$B892)</f>
        <v>0</v>
      </c>
      <c r="H891" s="53">
        <f>H888/(1+$B892)</f>
        <v>0</v>
      </c>
      <c r="I891" s="53">
        <f>I888/(1+$B892)</f>
        <v>0</v>
      </c>
      <c r="J891" s="53">
        <f>J888/(1+$B892)</f>
        <v>0</v>
      </c>
      <c r="K891" s="53">
        <f>K888/(1+$B892)</f>
        <v>0</v>
      </c>
      <c r="L891" s="53">
        <f>L888/(1+$B892)</f>
        <v>0</v>
      </c>
      <c r="M891" s="53">
        <f>M888/(1+$B892)</f>
        <v>0</v>
      </c>
      <c r="N891" s="53">
        <f>N888/(1+$B892)</f>
        <v>0</v>
      </c>
      <c r="O891" s="53">
        <f>O888/(1+$B892)</f>
        <v>0</v>
      </c>
      <c r="P891" s="53">
        <f>P888/(1+$B892)</f>
        <v>0</v>
      </c>
      <c r="Q891" s="53">
        <f>Q888/(1+$B892)</f>
        <v>0</v>
      </c>
      <c r="S891" s="54">
        <f>SUM(F891:Q891)</f>
        <v>0</v>
      </c>
    </row>
    <row r="892" spans="1:19" s="48" customFormat="1" hidden="1" outlineLevel="2" x14ac:dyDescent="0.2">
      <c r="A892" t="str">
        <f ca="1">Language!A$560</f>
        <v xml:space="preserve">    НДС</v>
      </c>
      <c r="B892" s="283">
        <f>VAT</f>
        <v>0</v>
      </c>
      <c r="C892" s="5" t="str">
        <f ca="1">CHOOSE(B886,CUR_Main,CUR_Foreign)</f>
        <v>руб.</v>
      </c>
      <c r="D892" t="str">
        <f>TEXT(B886,"0")&amp;"_02"</f>
        <v>1_02</v>
      </c>
      <c r="F892" s="53">
        <f>F888-F891</f>
        <v>0</v>
      </c>
      <c r="G892" s="53">
        <f>G888-G891</f>
        <v>0</v>
      </c>
      <c r="H892" s="53">
        <f>H888-H891</f>
        <v>0</v>
      </c>
      <c r="I892" s="53">
        <f>I888-I891</f>
        <v>0</v>
      </c>
      <c r="J892" s="53">
        <f>J888-J891</f>
        <v>0</v>
      </c>
      <c r="K892" s="53">
        <f>K888-K891</f>
        <v>0</v>
      </c>
      <c r="L892" s="53">
        <f>L888-L891</f>
        <v>0</v>
      </c>
      <c r="M892" s="53">
        <f>M888-M891</f>
        <v>0</v>
      </c>
      <c r="N892" s="53">
        <f>N888-N891</f>
        <v>0</v>
      </c>
      <c r="O892" s="53">
        <f>O888-O891</f>
        <v>0</v>
      </c>
      <c r="P892" s="53">
        <f>P888-P891</f>
        <v>0</v>
      </c>
      <c r="Q892" s="53">
        <f>Q888-Q891</f>
        <v>0</v>
      </c>
      <c r="S892" s="54">
        <f>SUM(F892:Q892)</f>
        <v>0</v>
      </c>
    </row>
    <row r="893" spans="1:19" s="48" customFormat="1" hidden="1" outlineLevel="2" x14ac:dyDescent="0.2">
      <c r="A893" t="str">
        <f ca="1">Language!A$581</f>
        <v xml:space="preserve">    оплачено расходов (без НДС)</v>
      </c>
      <c r="B893" s="81"/>
      <c r="C893" s="5" t="str">
        <f ca="1">CHOOSE(B886,CUR_Main,CUR_Foreign)</f>
        <v>руб.</v>
      </c>
      <c r="D893" t="str">
        <f>TEXT(B886,"0")&amp;"_06"</f>
        <v>1_06</v>
      </c>
      <c r="F893" s="270">
        <f>F891</f>
        <v>0</v>
      </c>
      <c r="G893" s="270">
        <f>G891</f>
        <v>0</v>
      </c>
      <c r="H893" s="270">
        <f>H891</f>
        <v>0</v>
      </c>
      <c r="I893" s="270">
        <f>I891</f>
        <v>0</v>
      </c>
      <c r="J893" s="270">
        <f>J891</f>
        <v>0</v>
      </c>
      <c r="K893" s="270">
        <f>K891</f>
        <v>0</v>
      </c>
      <c r="L893" s="270">
        <f>L891</f>
        <v>0</v>
      </c>
      <c r="M893" s="270">
        <f>M891</f>
        <v>0</v>
      </c>
      <c r="N893" s="270">
        <f>N891</f>
        <v>0</v>
      </c>
      <c r="O893" s="270">
        <f>O891</f>
        <v>0</v>
      </c>
      <c r="P893" s="270">
        <f>P891</f>
        <v>0</v>
      </c>
      <c r="Q893" s="270">
        <f>Q891</f>
        <v>0</v>
      </c>
      <c r="S893" s="54">
        <f>SUM(F893:Q893)</f>
        <v>0</v>
      </c>
    </row>
    <row r="894" spans="1:19" s="48" customFormat="1" hidden="1" outlineLevel="2" x14ac:dyDescent="0.2">
      <c r="A894" t="str">
        <f ca="1">Language!A$570</f>
        <v xml:space="preserve">    выплаченный НДС</v>
      </c>
      <c r="B894" s="81"/>
      <c r="C894" s="5" t="str">
        <f ca="1">CHOOSE(B886,CUR_Main,CUR_Foreign)</f>
        <v>руб.</v>
      </c>
      <c r="D894" t="str">
        <f>TEXT(B886,"0")&amp;"_07"</f>
        <v>1_07</v>
      </c>
      <c r="F894" s="53">
        <f>F893*$B892</f>
        <v>0</v>
      </c>
      <c r="G894" s="53">
        <f>G893*$B892</f>
        <v>0</v>
      </c>
      <c r="H894" s="53">
        <f>H893*$B892</f>
        <v>0</v>
      </c>
      <c r="I894" s="53">
        <f>I893*$B892</f>
        <v>0</v>
      </c>
      <c r="J894" s="53">
        <f>J893*$B892</f>
        <v>0</v>
      </c>
      <c r="K894" s="53">
        <f>K893*$B892</f>
        <v>0</v>
      </c>
      <c r="L894" s="53">
        <f>L893*$B892</f>
        <v>0</v>
      </c>
      <c r="M894" s="53">
        <f>M893*$B892</f>
        <v>0</v>
      </c>
      <c r="N894" s="53">
        <f>N893*$B892</f>
        <v>0</v>
      </c>
      <c r="O894" s="53">
        <f>O893*$B892</f>
        <v>0</v>
      </c>
      <c r="P894" s="53">
        <f>P893*$B892</f>
        <v>0</v>
      </c>
      <c r="Q894" s="53">
        <f>Q893*$B892</f>
        <v>0</v>
      </c>
      <c r="S894" s="54">
        <f>SUM(F894:Q894)</f>
        <v>0</v>
      </c>
    </row>
    <row r="895" spans="1:19" hidden="1" outlineLevel="2" x14ac:dyDescent="0.2">
      <c r="A895" t="str">
        <f ca="1">Language!A$571</f>
        <v xml:space="preserve">    кредиторская задолженность</v>
      </c>
      <c r="C895" s="5" t="str">
        <f ca="1">CHOOSE(B886,CUR_Main,CUR_Foreign)</f>
        <v>руб.</v>
      </c>
      <c r="D895" t="str">
        <f>TEXT(B886,"0")&amp;"_08"&amp;";int_end"</f>
        <v>1_08;int_end</v>
      </c>
      <c r="F895" s="53">
        <f>IF(SUM(E891:F891)&gt;=0,MAX(SUM($F891:F891)+SUM($F892:F892)-SUM($F893:F893)-SUM($F894:F894),0),MIN(SUM($F891:F891)+SUM($F892:F892)-SUM($F893:F893)-SUM($F894:F894),0))</f>
        <v>0</v>
      </c>
      <c r="G895" s="53">
        <f>IF(SUM(F891:G891)&gt;=0,MAX(SUM($F891:G891)+SUM($F892:G892)-SUM($F893:G893)-SUM($F894:G894),0),MIN(SUM($F891:G891)+SUM($F892:G892)-SUM($F893:G893)-SUM($F894:G894),0))</f>
        <v>0</v>
      </c>
      <c r="H895" s="53">
        <f>IF(SUM(G891:H891)&gt;=0,MAX(SUM($F891:H891)+SUM($F892:H892)-SUM($F893:H893)-SUM($F894:H894),0),MIN(SUM($F891:H891)+SUM($F892:H892)-SUM($F893:H893)-SUM($F894:H894),0))</f>
        <v>0</v>
      </c>
      <c r="I895" s="53">
        <f>IF(SUM(H891:I891)&gt;=0,MAX(SUM($F891:I891)+SUM($F892:I892)-SUM($F893:I893)-SUM($F894:I894),0),MIN(SUM($F891:I891)+SUM($F892:I892)-SUM($F893:I893)-SUM($F894:I894),0))</f>
        <v>0</v>
      </c>
      <c r="J895" s="53">
        <f>IF(SUM(I891:J891)&gt;=0,MAX(SUM($F891:J891)+SUM($F892:J892)-SUM($F893:J893)-SUM($F894:J894),0),MIN(SUM($F891:J891)+SUM($F892:J892)-SUM($F893:J893)-SUM($F894:J894),0))</f>
        <v>0</v>
      </c>
      <c r="K895" s="53">
        <f>IF(SUM(J891:K891)&gt;=0,MAX(SUM($F891:K891)+SUM($F892:K892)-SUM($F893:K893)-SUM($F894:K894),0),MIN(SUM($F891:K891)+SUM($F892:K892)-SUM($F893:K893)-SUM($F894:K894),0))</f>
        <v>0</v>
      </c>
      <c r="L895" s="53">
        <f>IF(SUM(K891:L891)&gt;=0,MAX(SUM($F891:L891)+SUM($F892:L892)-SUM($F893:L893)-SUM($F894:L894),0),MIN(SUM($F891:L891)+SUM($F892:L892)-SUM($F893:L893)-SUM($F894:L894),0))</f>
        <v>0</v>
      </c>
      <c r="M895" s="53">
        <f>IF(SUM(L891:M891)&gt;=0,MAX(SUM($F891:M891)+SUM($F892:M892)-SUM($F893:M893)-SUM($F894:M894),0),MIN(SUM($F891:M891)+SUM($F892:M892)-SUM($F893:M893)-SUM($F894:M894),0))</f>
        <v>0</v>
      </c>
      <c r="N895" s="53">
        <f>IF(SUM(M891:N891)&gt;=0,MAX(SUM($F891:N891)+SUM($F892:N892)-SUM($F893:N893)-SUM($F894:N894),0),MIN(SUM($F891:N891)+SUM($F892:N892)-SUM($F893:N893)-SUM($F894:N894),0))</f>
        <v>0</v>
      </c>
      <c r="O895" s="53">
        <f>IF(SUM(N891:O891)&gt;=0,MAX(SUM($F891:O891)+SUM($F892:O892)-SUM($F893:O893)-SUM($F894:O894),0),MIN(SUM($F891:O891)+SUM($F892:O892)-SUM($F893:O893)-SUM($F894:O894),0))</f>
        <v>0</v>
      </c>
      <c r="P895" s="53">
        <f>IF(SUM(O891:P891)&gt;=0,MAX(SUM($F891:P891)+SUM($F892:P892)-SUM($F893:P893)-SUM($F894:P894),0),MIN(SUM($F891:P891)+SUM($F892:P892)-SUM($F893:P893)-SUM($F894:P894),0))</f>
        <v>0</v>
      </c>
      <c r="Q895" s="53">
        <f>IF(SUM(P891:Q891)&gt;=0,MAX(SUM($F891:Q891)+SUM($F892:Q892)-SUM($F893:Q893)-SUM($F894:Q894),0),MIN(SUM($F891:Q891)+SUM($F892:Q892)-SUM($F893:Q893)-SUM($F894:Q894),0))</f>
        <v>0</v>
      </c>
    </row>
    <row r="896" spans="1:19" hidden="1" outlineLevel="2" x14ac:dyDescent="0.2">
      <c r="A896" t="str">
        <f ca="1">Language!A$572</f>
        <v xml:space="preserve">    выплаченные авансы</v>
      </c>
      <c r="C896" s="5" t="str">
        <f ca="1">CHOOSE(B886,CUR_Main,CUR_Foreign)</f>
        <v>руб.</v>
      </c>
      <c r="D896" t="str">
        <f>TEXT(B886,"0")&amp;"_09"&amp;";int_end"</f>
        <v>1_09;int_end</v>
      </c>
      <c r="F896" s="53">
        <f>IF(SUM(E891:F891)&gt;=0,MAX(SUM($F893:F893)+SUM($F894:F894)-SUM($F891:F891)-SUM($F892:F892),0),MIN(SUM($F893:F893)+SUM($F894:F894)-SUM($F891:F891)-SUM($F892:F892),0))</f>
        <v>0</v>
      </c>
      <c r="G896" s="53">
        <f>IF(SUM(F891:G891)&gt;=0,MAX(SUM($F893:G893)+SUM($F894:G894)-SUM($F891:G891)-SUM($F892:G892),0),MIN(SUM($F893:G893)+SUM($F894:G894)-SUM($F891:G891)-SUM($F892:G892),0))</f>
        <v>0</v>
      </c>
      <c r="H896" s="53">
        <f>IF(SUM(G891:H891)&gt;=0,MAX(SUM($F893:H893)+SUM($F894:H894)-SUM($F891:H891)-SUM($F892:H892),0),MIN(SUM($F893:H893)+SUM($F894:H894)-SUM($F891:H891)-SUM($F892:H892),0))</f>
        <v>0</v>
      </c>
      <c r="I896" s="53">
        <f>IF(SUM(H891:I891)&gt;=0,MAX(SUM($F893:I893)+SUM($F894:I894)-SUM($F891:I891)-SUM($F892:I892),0),MIN(SUM($F893:I893)+SUM($F894:I894)-SUM($F891:I891)-SUM($F892:I892),0))</f>
        <v>0</v>
      </c>
      <c r="J896" s="53">
        <f>IF(SUM(I891:J891)&gt;=0,MAX(SUM($F893:J893)+SUM($F894:J894)-SUM($F891:J891)-SUM($F892:J892),0),MIN(SUM($F893:J893)+SUM($F894:J894)-SUM($F891:J891)-SUM($F892:J892),0))</f>
        <v>0</v>
      </c>
      <c r="K896" s="53">
        <f>IF(SUM(J891:K891)&gt;=0,MAX(SUM($F893:K893)+SUM($F894:K894)-SUM($F891:K891)-SUM($F892:K892),0),MIN(SUM($F893:K893)+SUM($F894:K894)-SUM($F891:K891)-SUM($F892:K892),0))</f>
        <v>0</v>
      </c>
      <c r="L896" s="53">
        <f>IF(SUM(K891:L891)&gt;=0,MAX(SUM($F893:L893)+SUM($F894:L894)-SUM($F891:L891)-SUM($F892:L892),0),MIN(SUM($F893:L893)+SUM($F894:L894)-SUM($F891:L891)-SUM($F892:L892),0))</f>
        <v>0</v>
      </c>
      <c r="M896" s="53">
        <f>IF(SUM(L891:M891)&gt;=0,MAX(SUM($F893:M893)+SUM($F894:M894)-SUM($F891:M891)-SUM($F892:M892),0),MIN(SUM($F893:M893)+SUM($F894:M894)-SUM($F891:M891)-SUM($F892:M892),0))</f>
        <v>0</v>
      </c>
      <c r="N896" s="53">
        <f>IF(SUM(M891:N891)&gt;=0,MAX(SUM($F893:N893)+SUM($F894:N894)-SUM($F891:N891)-SUM($F892:N892),0),MIN(SUM($F893:N893)+SUM($F894:N894)-SUM($F891:N891)-SUM($F892:N892),0))</f>
        <v>0</v>
      </c>
      <c r="O896" s="53">
        <f>IF(SUM(N891:O891)&gt;=0,MAX(SUM($F893:O893)+SUM($F894:O894)-SUM($F891:O891)-SUM($F892:O892),0),MIN(SUM($F893:O893)+SUM($F894:O894)-SUM($F891:O891)-SUM($F892:O892),0))</f>
        <v>0</v>
      </c>
      <c r="P896" s="53">
        <f>IF(SUM(O891:P891)&gt;=0,MAX(SUM($F893:P893)+SUM($F894:P894)-SUM($F891:P891)-SUM($F892:P892),0),MIN(SUM($F893:P893)+SUM($F894:P894)-SUM($F891:P891)-SUM($F892:P892),0))</f>
        <v>0</v>
      </c>
      <c r="Q896" s="53">
        <f>IF(SUM(P891:Q891)&gt;=0,MAX(SUM($F893:Q893)+SUM($F894:Q894)-SUM($F891:Q891)-SUM($F892:Q892),0),MIN(SUM($F893:Q893)+SUM($F894:Q894)-SUM($F891:Q891)-SUM($F892:Q892),0))</f>
        <v>0</v>
      </c>
    </row>
    <row r="897" spans="1:19" hidden="1" outlineLevel="2" x14ac:dyDescent="0.2">
      <c r="A897" t="str">
        <f ca="1">Language!A$573</f>
        <v xml:space="preserve">    списано затрат на реализованную продукцию</v>
      </c>
      <c r="C897" s="5" t="str">
        <f ca="1">CHOOSE(B886,CUR_Main,CUR_Foreign)</f>
        <v>руб.</v>
      </c>
      <c r="D897" t="str">
        <f>TEXT(B886,"0")&amp;"_10"</f>
        <v>1_10</v>
      </c>
      <c r="F897" s="53">
        <f>IF((E665+F663)&gt;0,F664*(E898+F891)/(E665+F663),0)</f>
        <v>0</v>
      </c>
      <c r="G897" s="53">
        <f>IF((F665+G663)&gt;0,G664*(F898+G891)/(F665+G663),0)</f>
        <v>0</v>
      </c>
      <c r="H897" s="53">
        <f>IF((G665+H663)&gt;0,H664*(G898+H891)/(G665+H663),0)</f>
        <v>0</v>
      </c>
      <c r="I897" s="53">
        <f>IF((H665+I663)&gt;0,I664*(H898+I891)/(H665+I663),0)</f>
        <v>0</v>
      </c>
      <c r="J897" s="53">
        <f>IF((I665+J663)&gt;0,J664*(I898+J891)/(I665+J663),0)</f>
        <v>0</v>
      </c>
      <c r="K897" s="53">
        <f>IF((J665+K663)&gt;0,K664*(J898+K891)/(J665+K663),0)</f>
        <v>0</v>
      </c>
      <c r="L897" s="53">
        <f>IF((K665+L663)&gt;0,L664*(K898+L891)/(K665+L663),0)</f>
        <v>0</v>
      </c>
      <c r="M897" s="53">
        <f>IF((L665+M663)&gt;0,M664*(L898+M891)/(L665+M663),0)</f>
        <v>0</v>
      </c>
      <c r="N897" s="53">
        <f>IF((M665+N663)&gt;0,N664*(M898+N891)/(M665+N663),0)</f>
        <v>0</v>
      </c>
      <c r="O897" s="53">
        <f>IF((N665+O663)&gt;0,O664*(N898+O891)/(N665+O663),0)</f>
        <v>0</v>
      </c>
      <c r="P897" s="53">
        <f>IF((O665+P663)&gt;0,P664*(O898+P891)/(O665+P663),0)</f>
        <v>0</v>
      </c>
      <c r="Q897" s="53">
        <f>IF((P665+Q663)&gt;0,Q664*(P898+Q891)/(P665+Q663),0)</f>
        <v>0</v>
      </c>
      <c r="S897" s="54">
        <f>SUM(F897:Q897)</f>
        <v>0</v>
      </c>
    </row>
    <row r="898" spans="1:19" hidden="1" outlineLevel="2" x14ac:dyDescent="0.2">
      <c r="A898" s="48" t="str">
        <f ca="1">Language!A$574</f>
        <v xml:space="preserve">    остаток затрат на складе готовой продукции</v>
      </c>
      <c r="C898" s="5" t="str">
        <f ca="1">CHOOSE(B886,CUR_Main,CUR_Foreign)</f>
        <v>руб.</v>
      </c>
      <c r="D898" t="str">
        <f>TEXT(B886,"0")&amp;"_11"&amp;";int_end"</f>
        <v>1_11;int_end</v>
      </c>
      <c r="F898" s="84">
        <f>SUM($F891:F891)-SUM($F897:F897)</f>
        <v>0</v>
      </c>
      <c r="G898" s="84">
        <f>SUM($F891:G891)-SUM($F897:G897)</f>
        <v>0</v>
      </c>
      <c r="H898" s="84">
        <f>SUM($F891:H891)-SUM($F897:H897)</f>
        <v>0</v>
      </c>
      <c r="I898" s="84">
        <f>SUM($F891:I891)-SUM($F897:I897)</f>
        <v>0</v>
      </c>
      <c r="J898" s="84">
        <f>SUM($F891:J891)-SUM($F897:J897)</f>
        <v>0</v>
      </c>
      <c r="K898" s="84">
        <f>SUM($F891:K891)-SUM($F897:K897)</f>
        <v>0</v>
      </c>
      <c r="L898" s="84">
        <f>SUM($F891:L891)-SUM($F897:L897)</f>
        <v>0</v>
      </c>
      <c r="M898" s="84">
        <f>SUM($F891:M891)-SUM($F897:M897)</f>
        <v>0</v>
      </c>
      <c r="N898" s="84">
        <f>SUM($F891:N891)-SUM($F897:N897)</f>
        <v>0</v>
      </c>
      <c r="O898" s="84">
        <f>SUM($F891:O891)-SUM($F897:O897)</f>
        <v>0</v>
      </c>
      <c r="P898" s="84">
        <f>SUM($F891:P891)-SUM($F897:P897)</f>
        <v>0</v>
      </c>
      <c r="Q898" s="84">
        <f>SUM($F891:Q891)-SUM($F897:Q897)</f>
        <v>0</v>
      </c>
    </row>
    <row r="899" spans="1:19" hidden="1" outlineLevel="2" x14ac:dyDescent="0.2">
      <c r="A899" s="48" t="str">
        <f ca="1">Language!A$575</f>
        <v xml:space="preserve">    остаток затрат в незавершенном производстве</v>
      </c>
      <c r="B899" s="255">
        <f>NWC_T_Cycle</f>
        <v>60</v>
      </c>
      <c r="C899" s="5" t="str">
        <f ca="1">Language!A$38</f>
        <v>дн.</v>
      </c>
      <c r="D899" t="str">
        <f>TEXT(B886,"0")&amp;"_12"&amp;";int_end"</f>
        <v>1_12;int_end</v>
      </c>
      <c r="F899" s="84">
        <f>F891*$B899/PRJ_Step</f>
        <v>0</v>
      </c>
      <c r="G899" s="84">
        <f>G891*$B899/PRJ_Step</f>
        <v>0</v>
      </c>
      <c r="H899" s="84">
        <f>H891*$B899/PRJ_Step</f>
        <v>0</v>
      </c>
      <c r="I899" s="84">
        <f>I891*$B899/PRJ_Step</f>
        <v>0</v>
      </c>
      <c r="J899" s="84">
        <f>J891*$B899/PRJ_Step</f>
        <v>0</v>
      </c>
      <c r="K899" s="84">
        <f>K891*$B899/PRJ_Step</f>
        <v>0</v>
      </c>
      <c r="L899" s="84">
        <f>L891*$B899/PRJ_Step</f>
        <v>0</v>
      </c>
      <c r="M899" s="84">
        <f>M891*$B899/PRJ_Step</f>
        <v>0</v>
      </c>
      <c r="N899" s="84">
        <f>N891*$B899/PRJ_Step</f>
        <v>0</v>
      </c>
      <c r="O899" s="84">
        <f>O891*$B899/PRJ_Step</f>
        <v>0</v>
      </c>
      <c r="P899" s="84">
        <f>P891*$B899/PRJ_Step</f>
        <v>0</v>
      </c>
      <c r="Q899" s="84">
        <f>Q891*$B899/PRJ_Step</f>
        <v>0</v>
      </c>
    </row>
    <row r="900" spans="1:19" outlineLevel="1" x14ac:dyDescent="0.2">
      <c r="A900" s="48" t="str">
        <f>A544</f>
        <v>Проект</v>
      </c>
      <c r="B900" s="36" t="str">
        <f ca="1">Language!A$73</f>
        <v>Валюта</v>
      </c>
      <c r="C900" s="85"/>
      <c r="D900">
        <v>1</v>
      </c>
      <c r="E900">
        <v>14</v>
      </c>
    </row>
    <row r="901" spans="1:19" outlineLevel="1" x14ac:dyDescent="0.2">
      <c r="A901" s="274" t="s">
        <v>2684</v>
      </c>
      <c r="B901" s="255">
        <v>1</v>
      </c>
      <c r="C901" s="5" t="str">
        <f ca="1">CHOOSE(B901,CUR_Main,CUR_Foreign)</f>
        <v>руб.</v>
      </c>
      <c r="D901" s="16"/>
      <c r="F901" s="403"/>
      <c r="G901" s="83"/>
      <c r="H901" s="83"/>
      <c r="I901" s="83"/>
      <c r="J901" s="83"/>
      <c r="K901" s="83"/>
      <c r="L901" s="83"/>
      <c r="M901" s="83"/>
      <c r="N901" s="83"/>
      <c r="O901" s="83"/>
      <c r="P901" s="83"/>
      <c r="Q901" s="83"/>
      <c r="S901" s="54"/>
    </row>
    <row r="902" spans="1:19" ht="10.5" outlineLevel="1" collapsed="1" x14ac:dyDescent="0.25">
      <c r="A902" t="str">
        <f ca="1">Language!A$579</f>
        <v>Плановый расход на единицу продукции</v>
      </c>
      <c r="B902" s="287">
        <v>0</v>
      </c>
      <c r="C902" s="5" t="str">
        <f ca="1">CHOOSE(B901,CUR_Main,CUR_Foreign)</f>
        <v>руб.</v>
      </c>
      <c r="D902" s="16"/>
      <c r="F902" s="141">
        <v>0</v>
      </c>
      <c r="G902" s="141">
        <f>F902*IF(CalcMethod=2,1+F905,1)</f>
        <v>0</v>
      </c>
      <c r="H902" s="141">
        <v>0</v>
      </c>
      <c r="I902" s="141">
        <f>H902*IF(CalcMethod=2,1+H905,1)</f>
        <v>0</v>
      </c>
      <c r="J902" s="141">
        <f>I902*IF(CalcMethod=2,1+I905,1)</f>
        <v>0</v>
      </c>
      <c r="K902" s="141">
        <f>J902*IF(CalcMethod=2,1+J905,1)</f>
        <v>0</v>
      </c>
      <c r="L902" s="141">
        <f>K902*IF(CalcMethod=2,1+K905,1)</f>
        <v>0</v>
      </c>
      <c r="M902" s="141">
        <f>L902*IF(CalcMethod=2,1+L905,1)</f>
        <v>0</v>
      </c>
      <c r="N902" s="141">
        <f>M902*IF(CalcMethod=2,1+M905,1)</f>
        <v>0</v>
      </c>
      <c r="O902" s="141">
        <f>N902*IF(CalcMethod=2,1+N905,1)</f>
        <v>0</v>
      </c>
      <c r="P902" s="141">
        <f>O902*IF(CalcMethod=2,1+O905,1)</f>
        <v>0</v>
      </c>
      <c r="Q902" s="141">
        <f>P902*IF(CalcMethod=2,1+P905,1)</f>
        <v>0</v>
      </c>
      <c r="S902" s="54"/>
    </row>
    <row r="903" spans="1:19" s="48" customFormat="1" ht="10.5" hidden="1" outlineLevel="2" x14ac:dyDescent="0.25">
      <c r="A903" t="str">
        <f ca="1">Language!A$580</f>
        <v>Расход за период</v>
      </c>
      <c r="B903" s="120"/>
      <c r="C903" s="93" t="str">
        <f ca="1">CHOOSE(B901,CUR_Main,CUR_Foreign)</f>
        <v>руб.</v>
      </c>
      <c r="D903" s="48" t="str">
        <f>TEXT(B901,"0")&amp;"_00"</f>
        <v>1_00</v>
      </c>
      <c r="F903" s="83">
        <f>F902*F667</f>
        <v>0</v>
      </c>
      <c r="G903" s="83">
        <f>G902*G667</f>
        <v>0</v>
      </c>
      <c r="H903" s="83">
        <f>H902*H667</f>
        <v>0</v>
      </c>
      <c r="I903" s="83">
        <f>I902*I667</f>
        <v>0</v>
      </c>
      <c r="J903" s="83">
        <f>J902*J667</f>
        <v>0</v>
      </c>
      <c r="K903" s="83">
        <f>K902*K667</f>
        <v>0</v>
      </c>
      <c r="L903" s="83">
        <f>L902*L667</f>
        <v>0</v>
      </c>
      <c r="M903" s="83">
        <f>M902*M667</f>
        <v>0</v>
      </c>
      <c r="N903" s="83">
        <f>N902*N667</f>
        <v>0</v>
      </c>
      <c r="O903" s="83">
        <f>O902*O667</f>
        <v>0</v>
      </c>
      <c r="P903" s="83">
        <f>P902*P667</f>
        <v>0</v>
      </c>
      <c r="Q903" s="83">
        <f>Q902*Q667</f>
        <v>0</v>
      </c>
      <c r="S903" s="54">
        <f>SUM(F903:Q903)</f>
        <v>0</v>
      </c>
    </row>
    <row r="904" spans="1:19" s="48" customFormat="1" hidden="1" outlineLevel="2" x14ac:dyDescent="0.2">
      <c r="A904" t="str">
        <f ca="1">Language!A$104</f>
        <v>Предполагаемый темп годового роста цен</v>
      </c>
      <c r="B904"/>
      <c r="C904" s="5" t="s">
        <v>177</v>
      </c>
      <c r="D904" s="16" t="s">
        <v>176</v>
      </c>
      <c r="F904" s="269">
        <f>CHOOSE($B901,F$80,F$91)</f>
        <v>8.0000000000000002E-3</v>
      </c>
      <c r="G904" s="269">
        <f>CHOOSE($B901,G$80,G$91)</f>
        <v>8.0000000000000002E-3</v>
      </c>
      <c r="H904" s="269">
        <f>CHOOSE($B901,H$80,H$91)</f>
        <v>8.0000000000000002E-3</v>
      </c>
      <c r="I904" s="269">
        <f>CHOOSE($B901,I$80,I$91)</f>
        <v>8.0000000000000002E-3</v>
      </c>
      <c r="J904" s="269">
        <f>CHOOSE($B901,J$80,J$91)</f>
        <v>8.0000000000000002E-3</v>
      </c>
      <c r="K904" s="269">
        <f>CHOOSE($B901,K$80,K$91)</f>
        <v>8.0000000000000002E-3</v>
      </c>
      <c r="L904" s="269">
        <f>CHOOSE($B901,L$80,L$91)</f>
        <v>8.0000000000000002E-3</v>
      </c>
      <c r="M904" s="269">
        <f>CHOOSE($B901,M$80,M$91)</f>
        <v>8.0000000000000002E-3</v>
      </c>
      <c r="N904" s="269">
        <f>CHOOSE($B901,N$80,N$91)</f>
        <v>8.0000000000000002E-3</v>
      </c>
      <c r="O904" s="269">
        <f>CHOOSE($B901,O$80,O$91)</f>
        <v>8.0000000000000002E-3</v>
      </c>
      <c r="P904" s="269">
        <f>CHOOSE($B901,P$80,P$91)</f>
        <v>8.0000000000000002E-3</v>
      </c>
      <c r="Q904" s="269">
        <f>CHOOSE($B901,Q$80,Q$91)</f>
        <v>8.0000000000000002E-3</v>
      </c>
      <c r="S904" s="92"/>
    </row>
    <row r="905" spans="1:19" s="48" customFormat="1" hidden="1" outlineLevel="2" x14ac:dyDescent="0.2">
      <c r="A905" t="str">
        <f ca="1">Language!A$106</f>
        <v>То же, в пересчете на период, равный шагу проекта</v>
      </c>
      <c r="B905"/>
      <c r="C905" s="5" t="s">
        <v>177</v>
      </c>
      <c r="D905" s="16" t="s">
        <v>176</v>
      </c>
      <c r="F905" s="30">
        <f>POWER(1+F904,PRJ_Step/360)-1</f>
        <v>6.6423464362252993E-4</v>
      </c>
      <c r="G905" s="30">
        <f>POWER(1+G904,PRJ_Step/360)-1</f>
        <v>6.6423464362252993E-4</v>
      </c>
      <c r="H905" s="30">
        <f>POWER(1+H904,PRJ_Step/360)-1</f>
        <v>6.6423464362252993E-4</v>
      </c>
      <c r="I905" s="30">
        <f>POWER(1+I904,PRJ_Step/360)-1</f>
        <v>6.6423464362252993E-4</v>
      </c>
      <c r="J905" s="30">
        <f>POWER(1+J904,PRJ_Step/360)-1</f>
        <v>6.6423464362252993E-4</v>
      </c>
      <c r="K905" s="30">
        <f>POWER(1+K904,PRJ_Step/360)-1</f>
        <v>6.6423464362252993E-4</v>
      </c>
      <c r="L905" s="30">
        <f>POWER(1+L904,PRJ_Step/360)-1</f>
        <v>6.6423464362252993E-4</v>
      </c>
      <c r="M905" s="30">
        <f>POWER(1+M904,PRJ_Step/360)-1</f>
        <v>6.6423464362252993E-4</v>
      </c>
      <c r="N905" s="30">
        <f>POWER(1+N904,PRJ_Step/360)-1</f>
        <v>6.6423464362252993E-4</v>
      </c>
      <c r="O905" s="30">
        <f>POWER(1+O904,PRJ_Step/360)-1</f>
        <v>6.6423464362252993E-4</v>
      </c>
      <c r="P905" s="30">
        <f>POWER(1+P904,PRJ_Step/360)-1</f>
        <v>6.6423464362252993E-4</v>
      </c>
      <c r="Q905" s="30">
        <f>POWER(1+Q904,PRJ_Step/360)-1</f>
        <v>6.6423464362252993E-4</v>
      </c>
      <c r="S905" s="92"/>
    </row>
    <row r="906" spans="1:19" s="48" customFormat="1" hidden="1" outlineLevel="2" x14ac:dyDescent="0.2">
      <c r="A906" t="str">
        <f ca="1">Language!A$578</f>
        <v xml:space="preserve">    затраты без НДС</v>
      </c>
      <c r="B906"/>
      <c r="C906" s="5" t="str">
        <f ca="1">CHOOSE(B901,CUR_Main,CUR_Foreign)</f>
        <v>руб.</v>
      </c>
      <c r="D906" t="str">
        <f>TEXT(B901,"0")&amp;"_01"</f>
        <v>1_01</v>
      </c>
      <c r="F906" s="53">
        <f>F903/(1+$B907)</f>
        <v>0</v>
      </c>
      <c r="G906" s="53">
        <f>G903/(1+$B907)</f>
        <v>0</v>
      </c>
      <c r="H906" s="53">
        <f>H903/(1+$B907)</f>
        <v>0</v>
      </c>
      <c r="I906" s="53">
        <f>I903/(1+$B907)</f>
        <v>0</v>
      </c>
      <c r="J906" s="53">
        <f>J903/(1+$B907)</f>
        <v>0</v>
      </c>
      <c r="K906" s="53">
        <f>K903/(1+$B907)</f>
        <v>0</v>
      </c>
      <c r="L906" s="53">
        <f>L903/(1+$B907)</f>
        <v>0</v>
      </c>
      <c r="M906" s="53">
        <f>M903/(1+$B907)</f>
        <v>0</v>
      </c>
      <c r="N906" s="53">
        <f>N903/(1+$B907)</f>
        <v>0</v>
      </c>
      <c r="O906" s="53">
        <f>O903/(1+$B907)</f>
        <v>0</v>
      </c>
      <c r="P906" s="53">
        <f>P903/(1+$B907)</f>
        <v>0</v>
      </c>
      <c r="Q906" s="53">
        <f>Q903/(1+$B907)</f>
        <v>0</v>
      </c>
      <c r="S906" s="54">
        <f>SUM(F906:Q906)</f>
        <v>0</v>
      </c>
    </row>
    <row r="907" spans="1:19" s="48" customFormat="1" hidden="1" outlineLevel="2" x14ac:dyDescent="0.2">
      <c r="A907" t="str">
        <f ca="1">Language!A$560</f>
        <v xml:space="preserve">    НДС</v>
      </c>
      <c r="B907" s="283">
        <f>VAT</f>
        <v>0</v>
      </c>
      <c r="C907" s="5" t="str">
        <f ca="1">CHOOSE(B901,CUR_Main,CUR_Foreign)</f>
        <v>руб.</v>
      </c>
      <c r="D907" t="str">
        <f>TEXT(B901,"0")&amp;"_02"</f>
        <v>1_02</v>
      </c>
      <c r="F907" s="53">
        <f>F903-F906</f>
        <v>0</v>
      </c>
      <c r="G907" s="53">
        <f>G903-G906</f>
        <v>0</v>
      </c>
      <c r="H907" s="53">
        <f>H903-H906</f>
        <v>0</v>
      </c>
      <c r="I907" s="53">
        <f>I903-I906</f>
        <v>0</v>
      </c>
      <c r="J907" s="53">
        <f>J903-J906</f>
        <v>0</v>
      </c>
      <c r="K907" s="53">
        <f>K903-K906</f>
        <v>0</v>
      </c>
      <c r="L907" s="53">
        <f>L903-L906</f>
        <v>0</v>
      </c>
      <c r="M907" s="53">
        <f>M903-M906</f>
        <v>0</v>
      </c>
      <c r="N907" s="53">
        <f>N903-N906</f>
        <v>0</v>
      </c>
      <c r="O907" s="53">
        <f>O903-O906</f>
        <v>0</v>
      </c>
      <c r="P907" s="53">
        <f>P903-P906</f>
        <v>0</v>
      </c>
      <c r="Q907" s="53">
        <f>Q903-Q906</f>
        <v>0</v>
      </c>
      <c r="S907" s="54">
        <f>SUM(F907:Q907)</f>
        <v>0</v>
      </c>
    </row>
    <row r="908" spans="1:19" s="48" customFormat="1" hidden="1" outlineLevel="2" x14ac:dyDescent="0.2">
      <c r="A908" t="str">
        <f ca="1">Language!A$581</f>
        <v xml:space="preserve">    оплачено расходов (без НДС)</v>
      </c>
      <c r="B908" s="81"/>
      <c r="C908" s="5" t="str">
        <f ca="1">CHOOSE(B901,CUR_Main,CUR_Foreign)</f>
        <v>руб.</v>
      </c>
      <c r="D908" t="str">
        <f>TEXT(B901,"0")&amp;"_06"</f>
        <v>1_06</v>
      </c>
      <c r="F908" s="270">
        <f>F906</f>
        <v>0</v>
      </c>
      <c r="G908" s="270">
        <f>G906</f>
        <v>0</v>
      </c>
      <c r="H908" s="270">
        <f>H906</f>
        <v>0</v>
      </c>
      <c r="I908" s="270">
        <f>I906</f>
        <v>0</v>
      </c>
      <c r="J908" s="270">
        <f>J906</f>
        <v>0</v>
      </c>
      <c r="K908" s="270">
        <f>K906</f>
        <v>0</v>
      </c>
      <c r="L908" s="270">
        <f>L906</f>
        <v>0</v>
      </c>
      <c r="M908" s="270">
        <f>M906</f>
        <v>0</v>
      </c>
      <c r="N908" s="270">
        <f>N906</f>
        <v>0</v>
      </c>
      <c r="O908" s="270">
        <f>O906</f>
        <v>0</v>
      </c>
      <c r="P908" s="270">
        <f>P906</f>
        <v>0</v>
      </c>
      <c r="Q908" s="270">
        <f>Q906</f>
        <v>0</v>
      </c>
      <c r="S908" s="54">
        <f>SUM(F908:Q908)</f>
        <v>0</v>
      </c>
    </row>
    <row r="909" spans="1:19" s="48" customFormat="1" hidden="1" outlineLevel="2" x14ac:dyDescent="0.2">
      <c r="A909" t="str">
        <f ca="1">Language!A$570</f>
        <v xml:space="preserve">    выплаченный НДС</v>
      </c>
      <c r="B909" s="81"/>
      <c r="C909" s="5" t="str">
        <f ca="1">CHOOSE(B901,CUR_Main,CUR_Foreign)</f>
        <v>руб.</v>
      </c>
      <c r="D909" t="str">
        <f>TEXT(B901,"0")&amp;"_07"</f>
        <v>1_07</v>
      </c>
      <c r="F909" s="53">
        <f>F908*$B907</f>
        <v>0</v>
      </c>
      <c r="G909" s="53">
        <f>G908*$B907</f>
        <v>0</v>
      </c>
      <c r="H909" s="53">
        <f>H908*$B907</f>
        <v>0</v>
      </c>
      <c r="I909" s="53">
        <f>I908*$B907</f>
        <v>0</v>
      </c>
      <c r="J909" s="53">
        <f>J908*$B907</f>
        <v>0</v>
      </c>
      <c r="K909" s="53">
        <f>K908*$B907</f>
        <v>0</v>
      </c>
      <c r="L909" s="53">
        <f>L908*$B907</f>
        <v>0</v>
      </c>
      <c r="M909" s="53">
        <f>M908*$B907</f>
        <v>0</v>
      </c>
      <c r="N909" s="53">
        <f>N908*$B907</f>
        <v>0</v>
      </c>
      <c r="O909" s="53">
        <f>O908*$B907</f>
        <v>0</v>
      </c>
      <c r="P909" s="53">
        <f>P908*$B907</f>
        <v>0</v>
      </c>
      <c r="Q909" s="53">
        <f>Q908*$B907</f>
        <v>0</v>
      </c>
      <c r="S909" s="54">
        <f>SUM(F909:Q909)</f>
        <v>0</v>
      </c>
    </row>
    <row r="910" spans="1:19" hidden="1" outlineLevel="2" x14ac:dyDescent="0.2">
      <c r="A910" t="str">
        <f ca="1">Language!A$571</f>
        <v xml:space="preserve">    кредиторская задолженность</v>
      </c>
      <c r="C910" s="5" t="str">
        <f ca="1">CHOOSE(B901,CUR_Main,CUR_Foreign)</f>
        <v>руб.</v>
      </c>
      <c r="D910" t="str">
        <f>TEXT(B901,"0")&amp;"_08"&amp;";int_end"</f>
        <v>1_08;int_end</v>
      </c>
      <c r="F910" s="53">
        <f>IF(SUM(E906:F906)&gt;=0,MAX(SUM($F906:F906)+SUM($F907:F907)-SUM($F908:F908)-SUM($F909:F909),0),MIN(SUM($F906:F906)+SUM($F907:F907)-SUM($F908:F908)-SUM($F909:F909),0))</f>
        <v>0</v>
      </c>
      <c r="G910" s="53">
        <f>IF(SUM(F906:G906)&gt;=0,MAX(SUM($F906:G906)+SUM($F907:G907)-SUM($F908:G908)-SUM($F909:G909),0),MIN(SUM($F906:G906)+SUM($F907:G907)-SUM($F908:G908)-SUM($F909:G909),0))</f>
        <v>0</v>
      </c>
      <c r="H910" s="53">
        <f>IF(SUM(G906:H906)&gt;=0,MAX(SUM($F906:H906)+SUM($F907:H907)-SUM($F908:H908)-SUM($F909:H909),0),MIN(SUM($F906:H906)+SUM($F907:H907)-SUM($F908:H908)-SUM($F909:H909),0))</f>
        <v>0</v>
      </c>
      <c r="I910" s="53">
        <f>IF(SUM(H906:I906)&gt;=0,MAX(SUM($F906:I906)+SUM($F907:I907)-SUM($F908:I908)-SUM($F909:I909),0),MIN(SUM($F906:I906)+SUM($F907:I907)-SUM($F908:I908)-SUM($F909:I909),0))</f>
        <v>0</v>
      </c>
      <c r="J910" s="53">
        <f>IF(SUM(I906:J906)&gt;=0,MAX(SUM($F906:J906)+SUM($F907:J907)-SUM($F908:J908)-SUM($F909:J909),0),MIN(SUM($F906:J906)+SUM($F907:J907)-SUM($F908:J908)-SUM($F909:J909),0))</f>
        <v>0</v>
      </c>
      <c r="K910" s="53">
        <f>IF(SUM(J906:K906)&gt;=0,MAX(SUM($F906:K906)+SUM($F907:K907)-SUM($F908:K908)-SUM($F909:K909),0),MIN(SUM($F906:K906)+SUM($F907:K907)-SUM($F908:K908)-SUM($F909:K909),0))</f>
        <v>0</v>
      </c>
      <c r="L910" s="53">
        <f>IF(SUM(K906:L906)&gt;=0,MAX(SUM($F906:L906)+SUM($F907:L907)-SUM($F908:L908)-SUM($F909:L909),0),MIN(SUM($F906:L906)+SUM($F907:L907)-SUM($F908:L908)-SUM($F909:L909),0))</f>
        <v>0</v>
      </c>
      <c r="M910" s="53">
        <f>IF(SUM(L906:M906)&gt;=0,MAX(SUM($F906:M906)+SUM($F907:M907)-SUM($F908:M908)-SUM($F909:M909),0),MIN(SUM($F906:M906)+SUM($F907:M907)-SUM($F908:M908)-SUM($F909:M909),0))</f>
        <v>0</v>
      </c>
      <c r="N910" s="53">
        <f>IF(SUM(M906:N906)&gt;=0,MAX(SUM($F906:N906)+SUM($F907:N907)-SUM($F908:N908)-SUM($F909:N909),0),MIN(SUM($F906:N906)+SUM($F907:N907)-SUM($F908:N908)-SUM($F909:N909),0))</f>
        <v>0</v>
      </c>
      <c r="O910" s="53">
        <f>IF(SUM(N906:O906)&gt;=0,MAX(SUM($F906:O906)+SUM($F907:O907)-SUM($F908:O908)-SUM($F909:O909),0),MIN(SUM($F906:O906)+SUM($F907:O907)-SUM($F908:O908)-SUM($F909:O909),0))</f>
        <v>0</v>
      </c>
      <c r="P910" s="53">
        <f>IF(SUM(O906:P906)&gt;=0,MAX(SUM($F906:P906)+SUM($F907:P907)-SUM($F908:P908)-SUM($F909:P909),0),MIN(SUM($F906:P906)+SUM($F907:P907)-SUM($F908:P908)-SUM($F909:P909),0))</f>
        <v>0</v>
      </c>
      <c r="Q910" s="53">
        <f>IF(SUM(P906:Q906)&gt;=0,MAX(SUM($F906:Q906)+SUM($F907:Q907)-SUM($F908:Q908)-SUM($F909:Q909),0),MIN(SUM($F906:Q906)+SUM($F907:Q907)-SUM($F908:Q908)-SUM($F909:Q909),0))</f>
        <v>0</v>
      </c>
    </row>
    <row r="911" spans="1:19" hidden="1" outlineLevel="2" x14ac:dyDescent="0.2">
      <c r="A911" t="str">
        <f ca="1">Language!A$572</f>
        <v xml:space="preserve">    выплаченные авансы</v>
      </c>
      <c r="C911" s="5" t="str">
        <f ca="1">CHOOSE(B901,CUR_Main,CUR_Foreign)</f>
        <v>руб.</v>
      </c>
      <c r="D911" t="str">
        <f>TEXT(B901,"0")&amp;"_09"&amp;";int_end"</f>
        <v>1_09;int_end</v>
      </c>
      <c r="F911" s="53">
        <f>IF(SUM(E906:F906)&gt;=0,MAX(SUM($F908:F908)+SUM($F909:F909)-SUM($F906:F906)-SUM($F907:F907),0),MIN(SUM($F908:F908)+SUM($F909:F909)-SUM($F906:F906)-SUM($F907:F907),0))</f>
        <v>0</v>
      </c>
      <c r="G911" s="53">
        <f>IF(SUM(F906:G906)&gt;=0,MAX(SUM($F908:G908)+SUM($F909:G909)-SUM($F906:G906)-SUM($F907:G907),0),MIN(SUM($F908:G908)+SUM($F909:G909)-SUM($F906:G906)-SUM($F907:G907),0))</f>
        <v>0</v>
      </c>
      <c r="H911" s="53">
        <f>IF(SUM(G906:H906)&gt;=0,MAX(SUM($F908:H908)+SUM($F909:H909)-SUM($F906:H906)-SUM($F907:H907),0),MIN(SUM($F908:H908)+SUM($F909:H909)-SUM($F906:H906)-SUM($F907:H907),0))</f>
        <v>0</v>
      </c>
      <c r="I911" s="53">
        <f>IF(SUM(H906:I906)&gt;=0,MAX(SUM($F908:I908)+SUM($F909:I909)-SUM($F906:I906)-SUM($F907:I907),0),MIN(SUM($F908:I908)+SUM($F909:I909)-SUM($F906:I906)-SUM($F907:I907),0))</f>
        <v>0</v>
      </c>
      <c r="J911" s="53">
        <f>IF(SUM(I906:J906)&gt;=0,MAX(SUM($F908:J908)+SUM($F909:J909)-SUM($F906:J906)-SUM($F907:J907),0),MIN(SUM($F908:J908)+SUM($F909:J909)-SUM($F906:J906)-SUM($F907:J907),0))</f>
        <v>0</v>
      </c>
      <c r="K911" s="53">
        <f>IF(SUM(J906:K906)&gt;=0,MAX(SUM($F908:K908)+SUM($F909:K909)-SUM($F906:K906)-SUM($F907:K907),0),MIN(SUM($F908:K908)+SUM($F909:K909)-SUM($F906:K906)-SUM($F907:K907),0))</f>
        <v>0</v>
      </c>
      <c r="L911" s="53">
        <f>IF(SUM(K906:L906)&gt;=0,MAX(SUM($F908:L908)+SUM($F909:L909)-SUM($F906:L906)-SUM($F907:L907),0),MIN(SUM($F908:L908)+SUM($F909:L909)-SUM($F906:L906)-SUM($F907:L907),0))</f>
        <v>0</v>
      </c>
      <c r="M911" s="53">
        <f>IF(SUM(L906:M906)&gt;=0,MAX(SUM($F908:M908)+SUM($F909:M909)-SUM($F906:M906)-SUM($F907:M907),0),MIN(SUM($F908:M908)+SUM($F909:M909)-SUM($F906:M906)-SUM($F907:M907),0))</f>
        <v>0</v>
      </c>
      <c r="N911" s="53">
        <f>IF(SUM(M906:N906)&gt;=0,MAX(SUM($F908:N908)+SUM($F909:N909)-SUM($F906:N906)-SUM($F907:N907),0),MIN(SUM($F908:N908)+SUM($F909:N909)-SUM($F906:N906)-SUM($F907:N907),0))</f>
        <v>0</v>
      </c>
      <c r="O911" s="53">
        <f>IF(SUM(N906:O906)&gt;=0,MAX(SUM($F908:O908)+SUM($F909:O909)-SUM($F906:O906)-SUM($F907:O907),0),MIN(SUM($F908:O908)+SUM($F909:O909)-SUM($F906:O906)-SUM($F907:O907),0))</f>
        <v>0</v>
      </c>
      <c r="P911" s="53">
        <f>IF(SUM(O906:P906)&gt;=0,MAX(SUM($F908:P908)+SUM($F909:P909)-SUM($F906:P906)-SUM($F907:P907),0),MIN(SUM($F908:P908)+SUM($F909:P909)-SUM($F906:P906)-SUM($F907:P907),0))</f>
        <v>0</v>
      </c>
      <c r="Q911" s="53">
        <f>IF(SUM(P906:Q906)&gt;=0,MAX(SUM($F908:Q908)+SUM($F909:Q909)-SUM($F906:Q906)-SUM($F907:Q907),0),MIN(SUM($F908:Q908)+SUM($F909:Q909)-SUM($F906:Q906)-SUM($F907:Q907),0))</f>
        <v>0</v>
      </c>
    </row>
    <row r="912" spans="1:19" hidden="1" outlineLevel="2" x14ac:dyDescent="0.2">
      <c r="A912" t="str">
        <f ca="1">Language!A$573</f>
        <v xml:space="preserve">    списано затрат на реализованную продукцию</v>
      </c>
      <c r="C912" s="5" t="str">
        <f ca="1">CHOOSE(B901,CUR_Main,CUR_Foreign)</f>
        <v>руб.</v>
      </c>
      <c r="D912" t="str">
        <f>TEXT(B901,"0")&amp;"_10"</f>
        <v>1_10</v>
      </c>
      <c r="F912" s="53">
        <f>IF((E669+F667)&gt;0,F668*(E913+F906)/(E669+F667),0)</f>
        <v>0</v>
      </c>
      <c r="G912" s="53">
        <f>IF((F669+G667)&gt;0,G668*(F913+G906)/(F669+G667),0)</f>
        <v>0</v>
      </c>
      <c r="H912" s="53">
        <f>IF((G669+H667)&gt;0,H668*(G913+H906)/(G669+H667),0)</f>
        <v>0</v>
      </c>
      <c r="I912" s="53">
        <f>IF((H669+I667)&gt;0,I668*(H913+I906)/(H669+I667),0)</f>
        <v>0</v>
      </c>
      <c r="J912" s="53">
        <f>IF((I669+J667)&gt;0,J668*(I913+J906)/(I669+J667),0)</f>
        <v>0</v>
      </c>
      <c r="K912" s="53">
        <f>IF((J669+K667)&gt;0,K668*(J913+K906)/(J669+K667),0)</f>
        <v>0</v>
      </c>
      <c r="L912" s="53">
        <f>IF((K669+L667)&gt;0,L668*(K913+L906)/(K669+L667),0)</f>
        <v>0</v>
      </c>
      <c r="M912" s="53">
        <f>IF((L669+M667)&gt;0,M668*(L913+M906)/(L669+M667),0)</f>
        <v>0</v>
      </c>
      <c r="N912" s="53">
        <f>IF((M669+N667)&gt;0,N668*(M913+N906)/(M669+N667),0)</f>
        <v>0</v>
      </c>
      <c r="O912" s="53">
        <f>IF((N669+O667)&gt;0,O668*(N913+O906)/(N669+O667),0)</f>
        <v>0</v>
      </c>
      <c r="P912" s="53">
        <f>IF((O669+P667)&gt;0,P668*(O913+P906)/(O669+P667),0)</f>
        <v>0</v>
      </c>
      <c r="Q912" s="53">
        <f>IF((P669+Q667)&gt;0,Q668*(P913+Q906)/(P669+Q667),0)</f>
        <v>0</v>
      </c>
      <c r="S912" s="54">
        <f>SUM(F912:Q912)</f>
        <v>0</v>
      </c>
    </row>
    <row r="913" spans="1:19" hidden="1" outlineLevel="2" x14ac:dyDescent="0.2">
      <c r="A913" s="48" t="str">
        <f ca="1">Language!A$574</f>
        <v xml:space="preserve">    остаток затрат на складе готовой продукции</v>
      </c>
      <c r="C913" s="5" t="str">
        <f ca="1">CHOOSE(B901,CUR_Main,CUR_Foreign)</f>
        <v>руб.</v>
      </c>
      <c r="D913" t="str">
        <f>TEXT(B901,"0")&amp;"_11"&amp;";int_end"</f>
        <v>1_11;int_end</v>
      </c>
      <c r="F913" s="84">
        <f>SUM($F906:F906)-SUM($F912:F912)</f>
        <v>0</v>
      </c>
      <c r="G913" s="84">
        <f>SUM($F906:G906)-SUM($F912:G912)</f>
        <v>0</v>
      </c>
      <c r="H913" s="84">
        <f>SUM($F906:H906)-SUM($F912:H912)</f>
        <v>0</v>
      </c>
      <c r="I913" s="84">
        <f>SUM($F906:I906)-SUM($F912:I912)</f>
        <v>0</v>
      </c>
      <c r="J913" s="84">
        <f>SUM($F906:J906)-SUM($F912:J912)</f>
        <v>0</v>
      </c>
      <c r="K913" s="84">
        <f>SUM($F906:K906)-SUM($F912:K912)</f>
        <v>0</v>
      </c>
      <c r="L913" s="84">
        <f>SUM($F906:L906)-SUM($F912:L912)</f>
        <v>0</v>
      </c>
      <c r="M913" s="84">
        <f>SUM($F906:M906)-SUM($F912:M912)</f>
        <v>0</v>
      </c>
      <c r="N913" s="84">
        <f>SUM($F906:N906)-SUM($F912:N912)</f>
        <v>0</v>
      </c>
      <c r="O913" s="84">
        <f>SUM($F906:O906)-SUM($F912:O912)</f>
        <v>0</v>
      </c>
      <c r="P913" s="84">
        <f>SUM($F906:P906)-SUM($F912:P912)</f>
        <v>0</v>
      </c>
      <c r="Q913" s="84">
        <f>SUM($F906:Q906)-SUM($F912:Q912)</f>
        <v>0</v>
      </c>
    </row>
    <row r="914" spans="1:19" hidden="1" outlineLevel="2" x14ac:dyDescent="0.2">
      <c r="A914" s="48" t="str">
        <f ca="1">Language!A$575</f>
        <v xml:space="preserve">    остаток затрат в незавершенном производстве</v>
      </c>
      <c r="B914" s="255">
        <f>NWC_T_Cycle</f>
        <v>60</v>
      </c>
      <c r="C914" s="5" t="str">
        <f ca="1">Language!A$38</f>
        <v>дн.</v>
      </c>
      <c r="D914" t="str">
        <f>TEXT(B901,"0")&amp;"_12"&amp;";int_end"</f>
        <v>1_12;int_end</v>
      </c>
      <c r="F914" s="84">
        <f>F906*$B914/PRJ_Step</f>
        <v>0</v>
      </c>
      <c r="G914" s="84">
        <f>G906*$B914/PRJ_Step</f>
        <v>0</v>
      </c>
      <c r="H914" s="84">
        <f>H906*$B914/PRJ_Step</f>
        <v>0</v>
      </c>
      <c r="I914" s="84">
        <f>I906*$B914/PRJ_Step</f>
        <v>0</v>
      </c>
      <c r="J914" s="84">
        <f>J906*$B914/PRJ_Step</f>
        <v>0</v>
      </c>
      <c r="K914" s="84">
        <f>K906*$B914/PRJ_Step</f>
        <v>0</v>
      </c>
      <c r="L914" s="84">
        <f>L906*$B914/PRJ_Step</f>
        <v>0</v>
      </c>
      <c r="M914" s="84">
        <f>M906*$B914/PRJ_Step</f>
        <v>0</v>
      </c>
      <c r="N914" s="84">
        <f>N906*$B914/PRJ_Step</f>
        <v>0</v>
      </c>
      <c r="O914" s="84">
        <f>O906*$B914/PRJ_Step</f>
        <v>0</v>
      </c>
      <c r="P914" s="84">
        <f>P906*$B914/PRJ_Step</f>
        <v>0</v>
      </c>
      <c r="Q914" s="84">
        <f>Q906*$B914/PRJ_Step</f>
        <v>0</v>
      </c>
    </row>
    <row r="915" spans="1:19" outlineLevel="1" x14ac:dyDescent="0.2">
      <c r="A915" s="48" t="str">
        <f>A545</f>
        <v>Облачная версия продукта</v>
      </c>
      <c r="B915" s="36" t="str">
        <f ca="1">Language!A$73</f>
        <v>Валюта</v>
      </c>
      <c r="C915" s="85"/>
      <c r="D915">
        <v>1</v>
      </c>
      <c r="E915">
        <v>14</v>
      </c>
    </row>
    <row r="916" spans="1:19" outlineLevel="1" x14ac:dyDescent="0.2">
      <c r="A916" s="274" t="s">
        <v>2684</v>
      </c>
      <c r="B916" s="255">
        <v>1</v>
      </c>
      <c r="C916" s="5" t="str">
        <f ca="1">CHOOSE(B916,CUR_Main,CUR_Foreign)</f>
        <v>руб.</v>
      </c>
      <c r="D916" s="16"/>
      <c r="F916" s="403"/>
      <c r="G916" s="83"/>
      <c r="H916" s="83"/>
      <c r="I916" s="83"/>
      <c r="J916" s="83"/>
      <c r="K916" s="83"/>
      <c r="L916" s="83"/>
      <c r="M916" s="83"/>
      <c r="N916" s="83"/>
      <c r="O916" s="83"/>
      <c r="P916" s="83"/>
      <c r="Q916" s="83"/>
      <c r="S916" s="54"/>
    </row>
    <row r="917" spans="1:19" ht="10.5" outlineLevel="1" collapsed="1" x14ac:dyDescent="0.25">
      <c r="A917" t="str">
        <f ca="1">Language!A$579</f>
        <v>Плановый расход на единицу продукции</v>
      </c>
      <c r="B917" s="287">
        <v>0</v>
      </c>
      <c r="C917" s="5" t="str">
        <f ca="1">CHOOSE(B916,CUR_Main,CUR_Foreign)</f>
        <v>руб.</v>
      </c>
      <c r="D917" s="16"/>
      <c r="F917" s="141">
        <v>0</v>
      </c>
      <c r="G917" s="141">
        <f>F917*IF(CalcMethod=2,1+F920,1)</f>
        <v>0</v>
      </c>
      <c r="H917" s="141">
        <v>0</v>
      </c>
      <c r="I917" s="141">
        <f t="shared" ref="I917:M917" si="1114">H917*IF(CalcMethod=2,1+H920,1)</f>
        <v>0</v>
      </c>
      <c r="J917" s="141">
        <f t="shared" si="1114"/>
        <v>0</v>
      </c>
      <c r="K917" s="141">
        <f t="shared" si="1114"/>
        <v>0</v>
      </c>
      <c r="L917" s="141">
        <f t="shared" si="1114"/>
        <v>0</v>
      </c>
      <c r="M917" s="141">
        <f t="shared" si="1114"/>
        <v>0</v>
      </c>
      <c r="N917" s="141">
        <f t="shared" ref="N917:O917" si="1115">M917*IF(CalcMethod=2,1+M920,1)</f>
        <v>0</v>
      </c>
      <c r="O917" s="141">
        <f t="shared" si="1115"/>
        <v>0</v>
      </c>
      <c r="P917" s="141">
        <f t="shared" ref="P917:Q917" si="1116">O917*IF(CalcMethod=2,1+O920,1)</f>
        <v>0</v>
      </c>
      <c r="Q917" s="141">
        <f t="shared" si="1116"/>
        <v>0</v>
      </c>
      <c r="S917" s="54"/>
    </row>
    <row r="918" spans="1:19" s="48" customFormat="1" ht="10.5" hidden="1" outlineLevel="2" x14ac:dyDescent="0.25">
      <c r="A918" t="str">
        <f ca="1">Language!A$580</f>
        <v>Расход за период</v>
      </c>
      <c r="B918" s="120"/>
      <c r="C918" s="93" t="str">
        <f ca="1">CHOOSE(B916,CUR_Main,CUR_Foreign)</f>
        <v>руб.</v>
      </c>
      <c r="D918" s="48" t="str">
        <f>TEXT(B916,"0")&amp;"_00"</f>
        <v>1_00</v>
      </c>
      <c r="F918" s="83">
        <f t="shared" ref="F918:Q918" si="1117">F917*F671</f>
        <v>0</v>
      </c>
      <c r="G918" s="83">
        <f t="shared" si="1117"/>
        <v>0</v>
      </c>
      <c r="H918" s="83">
        <f t="shared" si="1117"/>
        <v>0</v>
      </c>
      <c r="I918" s="83">
        <f t="shared" si="1117"/>
        <v>0</v>
      </c>
      <c r="J918" s="83">
        <f t="shared" si="1117"/>
        <v>0</v>
      </c>
      <c r="K918" s="83">
        <f t="shared" si="1117"/>
        <v>0</v>
      </c>
      <c r="L918" s="83">
        <f t="shared" si="1117"/>
        <v>0</v>
      </c>
      <c r="M918" s="83">
        <f t="shared" si="1117"/>
        <v>0</v>
      </c>
      <c r="N918" s="83">
        <f t="shared" si="1117"/>
        <v>0</v>
      </c>
      <c r="O918" s="83">
        <f t="shared" si="1117"/>
        <v>0</v>
      </c>
      <c r="P918" s="83">
        <f t="shared" si="1117"/>
        <v>0</v>
      </c>
      <c r="Q918" s="83">
        <f t="shared" si="1117"/>
        <v>0</v>
      </c>
      <c r="S918" s="54">
        <f>SUM(F918:Q918)</f>
        <v>0</v>
      </c>
    </row>
    <row r="919" spans="1:19" s="48" customFormat="1" hidden="1" outlineLevel="2" x14ac:dyDescent="0.2">
      <c r="A919" t="str">
        <f ca="1">Language!A$104</f>
        <v>Предполагаемый темп годового роста цен</v>
      </c>
      <c r="B919"/>
      <c r="C919" s="5" t="s">
        <v>177</v>
      </c>
      <c r="D919" s="16" t="s">
        <v>176</v>
      </c>
      <c r="F919" s="269">
        <f t="shared" ref="F919:M919" si="1118">CHOOSE($B916,F$80,F$91)</f>
        <v>8.0000000000000002E-3</v>
      </c>
      <c r="G919" s="269">
        <f t="shared" si="1118"/>
        <v>8.0000000000000002E-3</v>
      </c>
      <c r="H919" s="269">
        <f t="shared" si="1118"/>
        <v>8.0000000000000002E-3</v>
      </c>
      <c r="I919" s="269">
        <f t="shared" si="1118"/>
        <v>8.0000000000000002E-3</v>
      </c>
      <c r="J919" s="269">
        <f t="shared" si="1118"/>
        <v>8.0000000000000002E-3</v>
      </c>
      <c r="K919" s="269">
        <f t="shared" si="1118"/>
        <v>8.0000000000000002E-3</v>
      </c>
      <c r="L919" s="269">
        <f t="shared" si="1118"/>
        <v>8.0000000000000002E-3</v>
      </c>
      <c r="M919" s="269">
        <f t="shared" si="1118"/>
        <v>8.0000000000000002E-3</v>
      </c>
      <c r="N919" s="269">
        <f t="shared" ref="N919" si="1119">CHOOSE($B916,N$80,N$91)</f>
        <v>8.0000000000000002E-3</v>
      </c>
      <c r="O919" s="269">
        <f t="shared" ref="O919" si="1120">CHOOSE($B916,O$80,O$91)</f>
        <v>8.0000000000000002E-3</v>
      </c>
      <c r="P919" s="269">
        <f t="shared" ref="P919:Q919" si="1121">CHOOSE($B916,P$80,P$91)</f>
        <v>8.0000000000000002E-3</v>
      </c>
      <c r="Q919" s="269">
        <f t="shared" si="1121"/>
        <v>8.0000000000000002E-3</v>
      </c>
      <c r="S919" s="92"/>
    </row>
    <row r="920" spans="1:19" s="48" customFormat="1" hidden="1" outlineLevel="2" x14ac:dyDescent="0.2">
      <c r="A920" t="str">
        <f ca="1">Language!A$106</f>
        <v>То же, в пересчете на период, равный шагу проекта</v>
      </c>
      <c r="B920"/>
      <c r="C920" s="5" t="s">
        <v>177</v>
      </c>
      <c r="D920" s="16" t="s">
        <v>176</v>
      </c>
      <c r="F920" s="30">
        <f t="shared" ref="F920:Q920" si="1122">POWER(1+F919,PRJ_Step/360)-1</f>
        <v>6.6423464362252993E-4</v>
      </c>
      <c r="G920" s="30">
        <f t="shared" si="1122"/>
        <v>6.6423464362252993E-4</v>
      </c>
      <c r="H920" s="30">
        <f t="shared" si="1122"/>
        <v>6.6423464362252993E-4</v>
      </c>
      <c r="I920" s="30">
        <f t="shared" si="1122"/>
        <v>6.6423464362252993E-4</v>
      </c>
      <c r="J920" s="30">
        <f t="shared" si="1122"/>
        <v>6.6423464362252993E-4</v>
      </c>
      <c r="K920" s="30">
        <f t="shared" si="1122"/>
        <v>6.6423464362252993E-4</v>
      </c>
      <c r="L920" s="30">
        <f t="shared" si="1122"/>
        <v>6.6423464362252993E-4</v>
      </c>
      <c r="M920" s="30">
        <f t="shared" si="1122"/>
        <v>6.6423464362252993E-4</v>
      </c>
      <c r="N920" s="30">
        <f t="shared" si="1122"/>
        <v>6.6423464362252993E-4</v>
      </c>
      <c r="O920" s="30">
        <f t="shared" si="1122"/>
        <v>6.6423464362252993E-4</v>
      </c>
      <c r="P920" s="30">
        <f t="shared" si="1122"/>
        <v>6.6423464362252993E-4</v>
      </c>
      <c r="Q920" s="30">
        <f t="shared" si="1122"/>
        <v>6.6423464362252993E-4</v>
      </c>
      <c r="S920" s="92"/>
    </row>
    <row r="921" spans="1:19" s="48" customFormat="1" hidden="1" outlineLevel="2" x14ac:dyDescent="0.2">
      <c r="A921" t="str">
        <f ca="1">Language!A$578</f>
        <v xml:space="preserve">    затраты без НДС</v>
      </c>
      <c r="B921"/>
      <c r="C921" s="5" t="str">
        <f ca="1">CHOOSE(B916,CUR_Main,CUR_Foreign)</f>
        <v>руб.</v>
      </c>
      <c r="D921" t="str">
        <f>TEXT(B916,"0")&amp;"_01"</f>
        <v>1_01</v>
      </c>
      <c r="F921" s="53">
        <f t="shared" ref="F921:Q921" si="1123">F918/(1+$B922)</f>
        <v>0</v>
      </c>
      <c r="G921" s="53">
        <f t="shared" si="1123"/>
        <v>0</v>
      </c>
      <c r="H921" s="53">
        <f t="shared" si="1123"/>
        <v>0</v>
      </c>
      <c r="I921" s="53">
        <f t="shared" si="1123"/>
        <v>0</v>
      </c>
      <c r="J921" s="53">
        <f t="shared" si="1123"/>
        <v>0</v>
      </c>
      <c r="K921" s="53">
        <f t="shared" si="1123"/>
        <v>0</v>
      </c>
      <c r="L921" s="53">
        <f t="shared" si="1123"/>
        <v>0</v>
      </c>
      <c r="M921" s="53">
        <f t="shared" si="1123"/>
        <v>0</v>
      </c>
      <c r="N921" s="53">
        <f t="shared" si="1123"/>
        <v>0</v>
      </c>
      <c r="O921" s="53">
        <f t="shared" si="1123"/>
        <v>0</v>
      </c>
      <c r="P921" s="53">
        <f t="shared" si="1123"/>
        <v>0</v>
      </c>
      <c r="Q921" s="53">
        <f t="shared" si="1123"/>
        <v>0</v>
      </c>
      <c r="S921" s="54">
        <f>SUM(F921:Q921)</f>
        <v>0</v>
      </c>
    </row>
    <row r="922" spans="1:19" s="48" customFormat="1" hidden="1" outlineLevel="2" x14ac:dyDescent="0.2">
      <c r="A922" t="str">
        <f ca="1">Language!A$560</f>
        <v xml:space="preserve">    НДС</v>
      </c>
      <c r="B922" s="283">
        <f>VAT</f>
        <v>0</v>
      </c>
      <c r="C922" s="5" t="str">
        <f ca="1">CHOOSE(B916,CUR_Main,CUR_Foreign)</f>
        <v>руб.</v>
      </c>
      <c r="D922" t="str">
        <f>TEXT(B916,"0")&amp;"_02"</f>
        <v>1_02</v>
      </c>
      <c r="F922" s="53">
        <f t="shared" ref="F922:Q922" si="1124">F918-F921</f>
        <v>0</v>
      </c>
      <c r="G922" s="53">
        <f t="shared" si="1124"/>
        <v>0</v>
      </c>
      <c r="H922" s="53">
        <f t="shared" si="1124"/>
        <v>0</v>
      </c>
      <c r="I922" s="53">
        <f t="shared" si="1124"/>
        <v>0</v>
      </c>
      <c r="J922" s="53">
        <f t="shared" si="1124"/>
        <v>0</v>
      </c>
      <c r="K922" s="53">
        <f t="shared" si="1124"/>
        <v>0</v>
      </c>
      <c r="L922" s="53">
        <f t="shared" si="1124"/>
        <v>0</v>
      </c>
      <c r="M922" s="53">
        <f t="shared" si="1124"/>
        <v>0</v>
      </c>
      <c r="N922" s="53">
        <f t="shared" si="1124"/>
        <v>0</v>
      </c>
      <c r="O922" s="53">
        <f t="shared" si="1124"/>
        <v>0</v>
      </c>
      <c r="P922" s="53">
        <f t="shared" si="1124"/>
        <v>0</v>
      </c>
      <c r="Q922" s="53">
        <f t="shared" si="1124"/>
        <v>0</v>
      </c>
      <c r="S922" s="54">
        <f>SUM(F922:Q922)</f>
        <v>0</v>
      </c>
    </row>
    <row r="923" spans="1:19" s="48" customFormat="1" hidden="1" outlineLevel="2" x14ac:dyDescent="0.2">
      <c r="A923" t="str">
        <f ca="1">Language!A$581</f>
        <v xml:space="preserve">    оплачено расходов (без НДС)</v>
      </c>
      <c r="B923" s="81"/>
      <c r="C923" s="5" t="str">
        <f ca="1">CHOOSE(B916,CUR_Main,CUR_Foreign)</f>
        <v>руб.</v>
      </c>
      <c r="D923" t="str">
        <f>TEXT(B916,"0")&amp;"_06"</f>
        <v>1_06</v>
      </c>
      <c r="F923" s="270">
        <f t="shared" ref="F923:Q923" si="1125">F921</f>
        <v>0</v>
      </c>
      <c r="G923" s="270">
        <f t="shared" si="1125"/>
        <v>0</v>
      </c>
      <c r="H923" s="270">
        <f t="shared" si="1125"/>
        <v>0</v>
      </c>
      <c r="I923" s="270">
        <f t="shared" si="1125"/>
        <v>0</v>
      </c>
      <c r="J923" s="270">
        <f t="shared" si="1125"/>
        <v>0</v>
      </c>
      <c r="K923" s="270">
        <f t="shared" si="1125"/>
        <v>0</v>
      </c>
      <c r="L923" s="270">
        <f t="shared" si="1125"/>
        <v>0</v>
      </c>
      <c r="M923" s="270">
        <f t="shared" si="1125"/>
        <v>0</v>
      </c>
      <c r="N923" s="270">
        <f t="shared" ref="N923:Q923" si="1126">N921</f>
        <v>0</v>
      </c>
      <c r="O923" s="270">
        <f t="shared" ref="O923:Q923" si="1127">O921</f>
        <v>0</v>
      </c>
      <c r="P923" s="270">
        <f t="shared" ref="P923:Q923" si="1128">P921</f>
        <v>0</v>
      </c>
      <c r="Q923" s="270">
        <f t="shared" si="1128"/>
        <v>0</v>
      </c>
      <c r="S923" s="54">
        <f>SUM(F923:Q923)</f>
        <v>0</v>
      </c>
    </row>
    <row r="924" spans="1:19" s="48" customFormat="1" hidden="1" outlineLevel="2" x14ac:dyDescent="0.2">
      <c r="A924" t="str">
        <f ca="1">Language!A$570</f>
        <v xml:space="preserve">    выплаченный НДС</v>
      </c>
      <c r="B924" s="81"/>
      <c r="C924" s="5" t="str">
        <f ca="1">CHOOSE(B916,CUR_Main,CUR_Foreign)</f>
        <v>руб.</v>
      </c>
      <c r="D924" t="str">
        <f>TEXT(B916,"0")&amp;"_07"</f>
        <v>1_07</v>
      </c>
      <c r="F924" s="53">
        <f t="shared" ref="F924:Q924" si="1129">F923*$B922</f>
        <v>0</v>
      </c>
      <c r="G924" s="53">
        <f t="shared" si="1129"/>
        <v>0</v>
      </c>
      <c r="H924" s="53">
        <f t="shared" si="1129"/>
        <v>0</v>
      </c>
      <c r="I924" s="53">
        <f t="shared" si="1129"/>
        <v>0</v>
      </c>
      <c r="J924" s="53">
        <f t="shared" si="1129"/>
        <v>0</v>
      </c>
      <c r="K924" s="53">
        <f t="shared" si="1129"/>
        <v>0</v>
      </c>
      <c r="L924" s="53">
        <f t="shared" si="1129"/>
        <v>0</v>
      </c>
      <c r="M924" s="53">
        <f t="shared" si="1129"/>
        <v>0</v>
      </c>
      <c r="N924" s="53">
        <f t="shared" si="1129"/>
        <v>0</v>
      </c>
      <c r="O924" s="53">
        <f t="shared" si="1129"/>
        <v>0</v>
      </c>
      <c r="P924" s="53">
        <f t="shared" si="1129"/>
        <v>0</v>
      </c>
      <c r="Q924" s="53">
        <f t="shared" si="1129"/>
        <v>0</v>
      </c>
      <c r="S924" s="54">
        <f>SUM(F924:Q924)</f>
        <v>0</v>
      </c>
    </row>
    <row r="925" spans="1:19" hidden="1" outlineLevel="2" x14ac:dyDescent="0.2">
      <c r="A925" t="str">
        <f ca="1">Language!A$571</f>
        <v xml:space="preserve">    кредиторская задолженность</v>
      </c>
      <c r="C925" s="5" t="str">
        <f ca="1">CHOOSE(B916,CUR_Main,CUR_Foreign)</f>
        <v>руб.</v>
      </c>
      <c r="D925" t="str">
        <f>TEXT(B916,"0")&amp;"_08"&amp;";int_end"</f>
        <v>1_08;int_end</v>
      </c>
      <c r="F925" s="53">
        <f>IF(SUM(E921:F921)&gt;=0,MAX(SUM($F921:F921)+SUM($F922:F922)-SUM($F923:F923)-SUM($F924:F924),0),MIN(SUM($F921:F921)+SUM($F922:F922)-SUM($F923:F923)-SUM($F924:F924),0))</f>
        <v>0</v>
      </c>
      <c r="G925" s="53">
        <f>IF(SUM(F921:G921)&gt;=0,MAX(SUM($F921:G921)+SUM($F922:G922)-SUM($F923:G923)-SUM($F924:G924),0),MIN(SUM($F921:G921)+SUM($F922:G922)-SUM($F923:G923)-SUM($F924:G924),0))</f>
        <v>0</v>
      </c>
      <c r="H925" s="53">
        <f>IF(SUM(G921:H921)&gt;=0,MAX(SUM($F921:H921)+SUM($F922:H922)-SUM($F923:H923)-SUM($F924:H924),0),MIN(SUM($F921:H921)+SUM($F922:H922)-SUM($F923:H923)-SUM($F924:H924),0))</f>
        <v>0</v>
      </c>
      <c r="I925" s="53">
        <f>IF(SUM(H921:I921)&gt;=0,MAX(SUM($F921:I921)+SUM($F922:I922)-SUM($F923:I923)-SUM($F924:I924),0),MIN(SUM($F921:I921)+SUM($F922:I922)-SUM($F923:I923)-SUM($F924:I924),0))</f>
        <v>0</v>
      </c>
      <c r="J925" s="53">
        <f>IF(SUM(I921:J921)&gt;=0,MAX(SUM($F921:J921)+SUM($F922:J922)-SUM($F923:J923)-SUM($F924:J924),0),MIN(SUM($F921:J921)+SUM($F922:J922)-SUM($F923:J923)-SUM($F924:J924),0))</f>
        <v>0</v>
      </c>
      <c r="K925" s="53">
        <f>IF(SUM(J921:K921)&gt;=0,MAX(SUM($F921:K921)+SUM($F922:K922)-SUM($F923:K923)-SUM($F924:K924),0),MIN(SUM($F921:K921)+SUM($F922:K922)-SUM($F923:K923)-SUM($F924:K924),0))</f>
        <v>0</v>
      </c>
      <c r="L925" s="53">
        <f>IF(SUM(K921:L921)&gt;=0,MAX(SUM($F921:L921)+SUM($F922:L922)-SUM($F923:L923)-SUM($F924:L924),0),MIN(SUM($F921:L921)+SUM($F922:L922)-SUM($F923:L923)-SUM($F924:L924),0))</f>
        <v>0</v>
      </c>
      <c r="M925" s="53">
        <f>IF(SUM(L921:M921)&gt;=0,MAX(SUM($F921:M921)+SUM($F922:M922)-SUM($F923:M923)-SUM($F924:M924),0),MIN(SUM($F921:M921)+SUM($F922:M922)-SUM($F923:M923)-SUM($F924:M924),0))</f>
        <v>0</v>
      </c>
      <c r="N925" s="53">
        <f>IF(SUM(M921:N921)&gt;=0,MAX(SUM($F921:N921)+SUM($F922:N922)-SUM($F923:N923)-SUM($F924:N924),0),MIN(SUM($F921:N921)+SUM($F922:N922)-SUM($F923:N923)-SUM($F924:N924),0))</f>
        <v>0</v>
      </c>
      <c r="O925" s="53">
        <f>IF(SUM(N921:O921)&gt;=0,MAX(SUM($F921:O921)+SUM($F922:O922)-SUM($F923:O923)-SUM($F924:O924),0),MIN(SUM($F921:O921)+SUM($F922:O922)-SUM($F923:O923)-SUM($F924:O924),0))</f>
        <v>0</v>
      </c>
      <c r="P925" s="53">
        <f>IF(SUM(O921:P921)&gt;=0,MAX(SUM($F921:P921)+SUM($F922:P922)-SUM($F923:P923)-SUM($F924:P924),0),MIN(SUM($F921:P921)+SUM($F922:P922)-SUM($F923:P923)-SUM($F924:P924),0))</f>
        <v>0</v>
      </c>
      <c r="Q925" s="53">
        <f>IF(SUM(P921:Q921)&gt;=0,MAX(SUM($F921:Q921)+SUM($F922:Q922)-SUM($F923:Q923)-SUM($F924:Q924),0),MIN(SUM($F921:Q921)+SUM($F922:Q922)-SUM($F923:Q923)-SUM($F924:Q924),0))</f>
        <v>0</v>
      </c>
    </row>
    <row r="926" spans="1:19" hidden="1" outlineLevel="2" x14ac:dyDescent="0.2">
      <c r="A926" t="str">
        <f ca="1">Language!A$572</f>
        <v xml:space="preserve">    выплаченные авансы</v>
      </c>
      <c r="C926" s="5" t="str">
        <f ca="1">CHOOSE(B916,CUR_Main,CUR_Foreign)</f>
        <v>руб.</v>
      </c>
      <c r="D926" t="str">
        <f>TEXT(B916,"0")&amp;"_09"&amp;";int_end"</f>
        <v>1_09;int_end</v>
      </c>
      <c r="F926" s="53">
        <f>IF(SUM(E921:F921)&gt;=0,MAX(SUM($F923:F923)+SUM($F924:F924)-SUM($F921:F921)-SUM($F922:F922),0),MIN(SUM($F923:F923)+SUM($F924:F924)-SUM($F921:F921)-SUM($F922:F922),0))</f>
        <v>0</v>
      </c>
      <c r="G926" s="53">
        <f>IF(SUM(F921:G921)&gt;=0,MAX(SUM($F923:G923)+SUM($F924:G924)-SUM($F921:G921)-SUM($F922:G922),0),MIN(SUM($F923:G923)+SUM($F924:G924)-SUM($F921:G921)-SUM($F922:G922),0))</f>
        <v>0</v>
      </c>
      <c r="H926" s="53">
        <f>IF(SUM(G921:H921)&gt;=0,MAX(SUM($F923:H923)+SUM($F924:H924)-SUM($F921:H921)-SUM($F922:H922),0),MIN(SUM($F923:H923)+SUM($F924:H924)-SUM($F921:H921)-SUM($F922:H922),0))</f>
        <v>0</v>
      </c>
      <c r="I926" s="53">
        <f>IF(SUM(H921:I921)&gt;=0,MAX(SUM($F923:I923)+SUM($F924:I924)-SUM($F921:I921)-SUM($F922:I922),0),MIN(SUM($F923:I923)+SUM($F924:I924)-SUM($F921:I921)-SUM($F922:I922),0))</f>
        <v>0</v>
      </c>
      <c r="J926" s="53">
        <f>IF(SUM(I921:J921)&gt;=0,MAX(SUM($F923:J923)+SUM($F924:J924)-SUM($F921:J921)-SUM($F922:J922),0),MIN(SUM($F923:J923)+SUM($F924:J924)-SUM($F921:J921)-SUM($F922:J922),0))</f>
        <v>0</v>
      </c>
      <c r="K926" s="53">
        <f>IF(SUM(J921:K921)&gt;=0,MAX(SUM($F923:K923)+SUM($F924:K924)-SUM($F921:K921)-SUM($F922:K922),0),MIN(SUM($F923:K923)+SUM($F924:K924)-SUM($F921:K921)-SUM($F922:K922),0))</f>
        <v>0</v>
      </c>
      <c r="L926" s="53">
        <f>IF(SUM(K921:L921)&gt;=0,MAX(SUM($F923:L923)+SUM($F924:L924)-SUM($F921:L921)-SUM($F922:L922),0),MIN(SUM($F923:L923)+SUM($F924:L924)-SUM($F921:L921)-SUM($F922:L922),0))</f>
        <v>0</v>
      </c>
      <c r="M926" s="53">
        <f>IF(SUM(L921:M921)&gt;=0,MAX(SUM($F923:M923)+SUM($F924:M924)-SUM($F921:M921)-SUM($F922:M922),0),MIN(SUM($F923:M923)+SUM($F924:M924)-SUM($F921:M921)-SUM($F922:M922),0))</f>
        <v>0</v>
      </c>
      <c r="N926" s="53">
        <f>IF(SUM(M921:N921)&gt;=0,MAX(SUM($F923:N923)+SUM($F924:N924)-SUM($F921:N921)-SUM($F922:N922),0),MIN(SUM($F923:N923)+SUM($F924:N924)-SUM($F921:N921)-SUM($F922:N922),0))</f>
        <v>0</v>
      </c>
      <c r="O926" s="53">
        <f>IF(SUM(N921:O921)&gt;=0,MAX(SUM($F923:O923)+SUM($F924:O924)-SUM($F921:O921)-SUM($F922:O922),0),MIN(SUM($F923:O923)+SUM($F924:O924)-SUM($F921:O921)-SUM($F922:O922),0))</f>
        <v>0</v>
      </c>
      <c r="P926" s="53">
        <f>IF(SUM(O921:P921)&gt;=0,MAX(SUM($F923:P923)+SUM($F924:P924)-SUM($F921:P921)-SUM($F922:P922),0),MIN(SUM($F923:P923)+SUM($F924:P924)-SUM($F921:P921)-SUM($F922:P922),0))</f>
        <v>0</v>
      </c>
      <c r="Q926" s="53">
        <f>IF(SUM(P921:Q921)&gt;=0,MAX(SUM($F923:Q923)+SUM($F924:Q924)-SUM($F921:Q921)-SUM($F922:Q922),0),MIN(SUM($F923:Q923)+SUM($F924:Q924)-SUM($F921:Q921)-SUM($F922:Q922),0))</f>
        <v>0</v>
      </c>
    </row>
    <row r="927" spans="1:19" hidden="1" outlineLevel="2" x14ac:dyDescent="0.2">
      <c r="A927" t="str">
        <f ca="1">Language!A$573</f>
        <v xml:space="preserve">    списано затрат на реализованную продукцию</v>
      </c>
      <c r="C927" s="5" t="str">
        <f ca="1">CHOOSE(B916,CUR_Main,CUR_Foreign)</f>
        <v>руб.</v>
      </c>
      <c r="D927" t="str">
        <f>TEXT(B916,"0")&amp;"_10"</f>
        <v>1_10</v>
      </c>
      <c r="F927" s="53">
        <f t="shared" ref="F927:M927" si="1130">IF((E673+F671)&gt;0,F672*(E928+F921)/(E673+F671),0)</f>
        <v>0</v>
      </c>
      <c r="G927" s="53">
        <f t="shared" si="1130"/>
        <v>0</v>
      </c>
      <c r="H927" s="53">
        <f t="shared" si="1130"/>
        <v>0</v>
      </c>
      <c r="I927" s="53">
        <f t="shared" si="1130"/>
        <v>0</v>
      </c>
      <c r="J927" s="53">
        <f t="shared" si="1130"/>
        <v>0</v>
      </c>
      <c r="K927" s="53">
        <f t="shared" si="1130"/>
        <v>0</v>
      </c>
      <c r="L927" s="53">
        <f t="shared" si="1130"/>
        <v>0</v>
      </c>
      <c r="M927" s="53">
        <f t="shared" si="1130"/>
        <v>0</v>
      </c>
      <c r="N927" s="53">
        <f t="shared" ref="N927:O927" si="1131">IF((M673+N671)&gt;0,N672*(M928+N921)/(M673+N671),0)</f>
        <v>0</v>
      </c>
      <c r="O927" s="53">
        <f t="shared" si="1131"/>
        <v>0</v>
      </c>
      <c r="P927" s="53">
        <f t="shared" ref="P927:Q927" si="1132">IF((O673+P671)&gt;0,P672*(O928+P921)/(O673+P671),0)</f>
        <v>0</v>
      </c>
      <c r="Q927" s="53">
        <f t="shared" si="1132"/>
        <v>0</v>
      </c>
      <c r="S927" s="54">
        <f>SUM(F927:Q927)</f>
        <v>0</v>
      </c>
    </row>
    <row r="928" spans="1:19" hidden="1" outlineLevel="2" x14ac:dyDescent="0.2">
      <c r="A928" s="48" t="str">
        <f ca="1">Language!A$574</f>
        <v xml:space="preserve">    остаток затрат на складе готовой продукции</v>
      </c>
      <c r="C928" s="5" t="str">
        <f ca="1">CHOOSE(B916,CUR_Main,CUR_Foreign)</f>
        <v>руб.</v>
      </c>
      <c r="D928" t="str">
        <f>TEXT(B916,"0")&amp;"_11"&amp;";int_end"</f>
        <v>1_11;int_end</v>
      </c>
      <c r="F928" s="84">
        <f>SUM($F921:F921)-SUM($F927:F927)</f>
        <v>0</v>
      </c>
      <c r="G928" s="84">
        <f>SUM($F921:G921)-SUM($F927:G927)</f>
        <v>0</v>
      </c>
      <c r="H928" s="84">
        <f>SUM($F921:H921)-SUM($F927:H927)</f>
        <v>0</v>
      </c>
      <c r="I928" s="84">
        <f>SUM($F921:I921)-SUM($F927:I927)</f>
        <v>0</v>
      </c>
      <c r="J928" s="84">
        <f>SUM($F921:J921)-SUM($F927:J927)</f>
        <v>0</v>
      </c>
      <c r="K928" s="84">
        <f>SUM($F921:K921)-SUM($F927:K927)</f>
        <v>0</v>
      </c>
      <c r="L928" s="84">
        <f>SUM($F921:L921)-SUM($F927:L927)</f>
        <v>0</v>
      </c>
      <c r="M928" s="84">
        <f>SUM($F921:M921)-SUM($F927:M927)</f>
        <v>0</v>
      </c>
      <c r="N928" s="84">
        <f>SUM($F921:N921)-SUM($F927:N927)</f>
        <v>0</v>
      </c>
      <c r="O928" s="84">
        <f>SUM($F921:O921)-SUM($F927:O927)</f>
        <v>0</v>
      </c>
      <c r="P928" s="84">
        <f>SUM($F921:P921)-SUM($F927:P927)</f>
        <v>0</v>
      </c>
      <c r="Q928" s="84">
        <f>SUM($F921:Q921)-SUM($F927:Q927)</f>
        <v>0</v>
      </c>
    </row>
    <row r="929" spans="1:19" hidden="1" outlineLevel="2" x14ac:dyDescent="0.2">
      <c r="A929" s="48" t="str">
        <f ca="1">Language!A$575</f>
        <v xml:space="preserve">    остаток затрат в незавершенном производстве</v>
      </c>
      <c r="B929" s="255">
        <f>NWC_T_Cycle</f>
        <v>60</v>
      </c>
      <c r="C929" s="5" t="str">
        <f ca="1">Language!A$38</f>
        <v>дн.</v>
      </c>
      <c r="D929" t="str">
        <f>TEXT(B916,"0")&amp;"_12"&amp;";int_end"</f>
        <v>1_12;int_end</v>
      </c>
      <c r="F929" s="84">
        <f t="shared" ref="F929:M929" si="1133">F921*$B929/PRJ_Step</f>
        <v>0</v>
      </c>
      <c r="G929" s="84">
        <f t="shared" si="1133"/>
        <v>0</v>
      </c>
      <c r="H929" s="84">
        <f t="shared" si="1133"/>
        <v>0</v>
      </c>
      <c r="I929" s="84">
        <f t="shared" si="1133"/>
        <v>0</v>
      </c>
      <c r="J929" s="84">
        <f t="shared" si="1133"/>
        <v>0</v>
      </c>
      <c r="K929" s="84">
        <f t="shared" si="1133"/>
        <v>0</v>
      </c>
      <c r="L929" s="84">
        <f t="shared" si="1133"/>
        <v>0</v>
      </c>
      <c r="M929" s="84">
        <f t="shared" si="1133"/>
        <v>0</v>
      </c>
      <c r="N929" s="84">
        <f t="shared" ref="N929" si="1134">N921*$B929/PRJ_Step</f>
        <v>0</v>
      </c>
      <c r="O929" s="84">
        <f t="shared" ref="O929" si="1135">O921*$B929/PRJ_Step</f>
        <v>0</v>
      </c>
      <c r="P929" s="84">
        <f t="shared" ref="P929:Q929" si="1136">P921*$B929/PRJ_Step</f>
        <v>0</v>
      </c>
      <c r="Q929" s="84">
        <f t="shared" si="1136"/>
        <v>0</v>
      </c>
    </row>
    <row r="930" spans="1:19" s="48" customFormat="1" outlineLevel="1" x14ac:dyDescent="0.2">
      <c r="B930" s="81"/>
      <c r="C930" s="73"/>
      <c r="F930" s="82"/>
      <c r="G930" s="82"/>
      <c r="H930" s="82"/>
      <c r="I930" s="82"/>
      <c r="J930" s="82"/>
      <c r="K930" s="82"/>
      <c r="L930" s="82"/>
      <c r="M930" s="82"/>
      <c r="N930" s="82"/>
      <c r="O930" s="82"/>
      <c r="P930" s="82"/>
      <c r="Q930" s="82"/>
      <c r="S930" s="92"/>
    </row>
    <row r="931" spans="1:19" s="48" customFormat="1" ht="10.5" outlineLevel="1" collapsed="1" x14ac:dyDescent="0.25">
      <c r="A931" s="35" t="str">
        <f ca="1">Language!A547</f>
        <v xml:space="preserve"> = Итого</v>
      </c>
      <c r="B931" s="81"/>
      <c r="C931" s="5" t="str">
        <f t="shared" ref="C931:C940" ca="1" si="1137">CUR_Main</f>
        <v>руб.</v>
      </c>
      <c r="F931" s="56">
        <f t="shared" ref="F931:M931" si="1138">SUMIF($D854:$D930,"*1_00*",F854:F930)+SUMIF($D854:$D930,"*2_00*",F854:F930)*F$88</f>
        <v>0</v>
      </c>
      <c r="G931" s="56">
        <f t="shared" si="1138"/>
        <v>0</v>
      </c>
      <c r="H931" s="56">
        <f t="shared" si="1138"/>
        <v>0</v>
      </c>
      <c r="I931" s="56">
        <f t="shared" si="1138"/>
        <v>0</v>
      </c>
      <c r="J931" s="56">
        <f t="shared" si="1138"/>
        <v>0</v>
      </c>
      <c r="K931" s="56">
        <f t="shared" si="1138"/>
        <v>0</v>
      </c>
      <c r="L931" s="56">
        <f t="shared" si="1138"/>
        <v>0</v>
      </c>
      <c r="M931" s="56">
        <f t="shared" si="1138"/>
        <v>0</v>
      </c>
      <c r="N931" s="56">
        <f t="shared" ref="N931" si="1139">SUMIF($D854:$D930,"*1_00*",N854:N930)+SUMIF($D854:$D930,"*2_00*",N854:N930)*N$88</f>
        <v>0</v>
      </c>
      <c r="O931" s="56">
        <f t="shared" ref="O931" si="1140">SUMIF($D854:$D930,"*1_00*",O854:O930)+SUMIF($D854:$D930,"*2_00*",O854:O930)*O$88</f>
        <v>0</v>
      </c>
      <c r="P931" s="56">
        <f t="shared" ref="P931:Q931" si="1141">SUMIF($D854:$D930,"*1_00*",P854:P930)+SUMIF($D854:$D930,"*2_00*",P854:P930)*P$88</f>
        <v>0</v>
      </c>
      <c r="Q931" s="56">
        <f t="shared" si="1141"/>
        <v>0</v>
      </c>
      <c r="R931" s="106"/>
      <c r="S931" s="95">
        <f>SUM(F931:Q931)</f>
        <v>0</v>
      </c>
    </row>
    <row r="932" spans="1:19" s="48" customFormat="1" hidden="1" outlineLevel="2" x14ac:dyDescent="0.2">
      <c r="A932" t="str">
        <f ca="1">Language!A$578</f>
        <v xml:space="preserve">    затраты без НДС</v>
      </c>
      <c r="B932" s="81"/>
      <c r="C932" s="5" t="str">
        <f t="shared" ca="1" si="1137"/>
        <v>руб.</v>
      </c>
      <c r="F932" s="84">
        <f t="shared" ref="F932:M932" si="1142">SUMIF($D854:$D930,"*1_01*",F854:F930)+SUMIF($D854:$D930,"*2_01*",F854:F930)*F$88</f>
        <v>0</v>
      </c>
      <c r="G932" s="84">
        <f t="shared" si="1142"/>
        <v>0</v>
      </c>
      <c r="H932" s="84">
        <f t="shared" si="1142"/>
        <v>0</v>
      </c>
      <c r="I932" s="84">
        <f t="shared" si="1142"/>
        <v>0</v>
      </c>
      <c r="J932" s="84">
        <f t="shared" si="1142"/>
        <v>0</v>
      </c>
      <c r="K932" s="84">
        <f t="shared" si="1142"/>
        <v>0</v>
      </c>
      <c r="L932" s="84">
        <f t="shared" si="1142"/>
        <v>0</v>
      </c>
      <c r="M932" s="84">
        <f t="shared" si="1142"/>
        <v>0</v>
      </c>
      <c r="N932" s="84">
        <f t="shared" ref="N932" si="1143">SUMIF($D854:$D930,"*1_01*",N854:N930)+SUMIF($D854:$D930,"*2_01*",N854:N930)*N$88</f>
        <v>0</v>
      </c>
      <c r="O932" s="84">
        <f t="shared" ref="O932" si="1144">SUMIF($D854:$D930,"*1_01*",O854:O930)+SUMIF($D854:$D930,"*2_01*",O854:O930)*O$88</f>
        <v>0</v>
      </c>
      <c r="P932" s="84">
        <f t="shared" ref="P932:Q932" si="1145">SUMIF($D854:$D930,"*1_01*",P854:P930)+SUMIF($D854:$D930,"*2_01*",P854:P930)*P$88</f>
        <v>0</v>
      </c>
      <c r="Q932" s="84">
        <f t="shared" si="1145"/>
        <v>0</v>
      </c>
      <c r="R932" s="106"/>
      <c r="S932" s="94">
        <f>SUM(F932:Q932)</f>
        <v>0</v>
      </c>
    </row>
    <row r="933" spans="1:19" hidden="1" outlineLevel="2" x14ac:dyDescent="0.2">
      <c r="A933" t="str">
        <f ca="1">Language!A$560</f>
        <v xml:space="preserve">    НДС</v>
      </c>
      <c r="C933" s="5" t="str">
        <f t="shared" ca="1" si="1137"/>
        <v>руб.</v>
      </c>
      <c r="F933" s="43">
        <f t="shared" ref="F933:M933" si="1146">SUMIF($D854:$D930,"*1_02*",F854:F930)+SUMIF($D854:$D930,"*2_02*",F854:F930)*F$88</f>
        <v>0</v>
      </c>
      <c r="G933" s="43">
        <f t="shared" si="1146"/>
        <v>0</v>
      </c>
      <c r="H933" s="43">
        <f t="shared" si="1146"/>
        <v>0</v>
      </c>
      <c r="I933" s="43">
        <f t="shared" si="1146"/>
        <v>0</v>
      </c>
      <c r="J933" s="43">
        <f t="shared" si="1146"/>
        <v>0</v>
      </c>
      <c r="K933" s="43">
        <f t="shared" si="1146"/>
        <v>0</v>
      </c>
      <c r="L933" s="43">
        <f t="shared" si="1146"/>
        <v>0</v>
      </c>
      <c r="M933" s="43">
        <f t="shared" si="1146"/>
        <v>0</v>
      </c>
      <c r="N933" s="43">
        <f t="shared" ref="N933" si="1147">SUMIF($D854:$D930,"*1_02*",N854:N930)+SUMIF($D854:$D930,"*2_02*",N854:N930)*N$88</f>
        <v>0</v>
      </c>
      <c r="O933" s="43">
        <f t="shared" ref="O933" si="1148">SUMIF($D854:$D930,"*1_02*",O854:O930)+SUMIF($D854:$D930,"*2_02*",O854:O930)*O$88</f>
        <v>0</v>
      </c>
      <c r="P933" s="43">
        <f t="shared" ref="P933:Q933" si="1149">SUMIF($D854:$D930,"*1_02*",P854:P930)+SUMIF($D854:$D930,"*2_02*",P854:P930)*P$88</f>
        <v>0</v>
      </c>
      <c r="Q933" s="43">
        <f t="shared" si="1149"/>
        <v>0</v>
      </c>
      <c r="R933" s="43"/>
      <c r="S933" s="94">
        <f>SUM(F933:Q933)</f>
        <v>0</v>
      </c>
    </row>
    <row r="934" spans="1:19" hidden="1" outlineLevel="2" x14ac:dyDescent="0.2">
      <c r="A934" t="str">
        <f ca="1">Language!A581</f>
        <v xml:space="preserve">    оплачено расходов (без НДС)</v>
      </c>
      <c r="C934" s="5" t="str">
        <f t="shared" ca="1" si="1137"/>
        <v>руб.</v>
      </c>
      <c r="F934" s="43">
        <f t="shared" ref="F934:M934" si="1150">SUMIF($D854:$D930,"*1_06*",F854:F930)+SUMIF($D854:$D930,"*2_06*",F854:F930)*F$88</f>
        <v>0</v>
      </c>
      <c r="G934" s="43">
        <f t="shared" si="1150"/>
        <v>0</v>
      </c>
      <c r="H934" s="43">
        <f t="shared" si="1150"/>
        <v>0</v>
      </c>
      <c r="I934" s="43">
        <f t="shared" si="1150"/>
        <v>0</v>
      </c>
      <c r="J934" s="43">
        <f t="shared" si="1150"/>
        <v>0</v>
      </c>
      <c r="K934" s="43">
        <f t="shared" si="1150"/>
        <v>0</v>
      </c>
      <c r="L934" s="43">
        <f t="shared" si="1150"/>
        <v>0</v>
      </c>
      <c r="M934" s="43">
        <f t="shared" si="1150"/>
        <v>0</v>
      </c>
      <c r="N934" s="43">
        <f t="shared" ref="N934" si="1151">SUMIF($D854:$D930,"*1_06*",N854:N930)+SUMIF($D854:$D930,"*2_06*",N854:N930)*N$88</f>
        <v>0</v>
      </c>
      <c r="O934" s="43">
        <f t="shared" ref="O934" si="1152">SUMIF($D854:$D930,"*1_06*",O854:O930)+SUMIF($D854:$D930,"*2_06*",O854:O930)*O$88</f>
        <v>0</v>
      </c>
      <c r="P934" s="43">
        <f t="shared" ref="P934:Q934" si="1153">SUMIF($D854:$D930,"*1_06*",P854:P930)+SUMIF($D854:$D930,"*2_06*",P854:P930)*P$88</f>
        <v>0</v>
      </c>
      <c r="Q934" s="43">
        <f t="shared" si="1153"/>
        <v>0</v>
      </c>
      <c r="R934" s="43"/>
      <c r="S934" s="94">
        <f>SUM(F934:Q934)</f>
        <v>0</v>
      </c>
    </row>
    <row r="935" spans="1:19" hidden="1" outlineLevel="2" x14ac:dyDescent="0.2">
      <c r="A935" t="str">
        <f ca="1">Language!A$570</f>
        <v xml:space="preserve">    выплаченный НДС</v>
      </c>
      <c r="C935" s="5" t="str">
        <f t="shared" ca="1" si="1137"/>
        <v>руб.</v>
      </c>
      <c r="F935" s="43">
        <f t="shared" ref="F935:M935" si="1154">SUMIF($D854:$D930,"*1_07*",F854:F930)+SUMIF($D854:$D930,"*2_07*",F854:F930)*F$88</f>
        <v>0</v>
      </c>
      <c r="G935" s="43">
        <f t="shared" si="1154"/>
        <v>0</v>
      </c>
      <c r="H935" s="43">
        <f t="shared" si="1154"/>
        <v>0</v>
      </c>
      <c r="I935" s="43">
        <f t="shared" si="1154"/>
        <v>0</v>
      </c>
      <c r="J935" s="43">
        <f t="shared" si="1154"/>
        <v>0</v>
      </c>
      <c r="K935" s="43">
        <f t="shared" si="1154"/>
        <v>0</v>
      </c>
      <c r="L935" s="43">
        <f t="shared" si="1154"/>
        <v>0</v>
      </c>
      <c r="M935" s="43">
        <f t="shared" si="1154"/>
        <v>0</v>
      </c>
      <c r="N935" s="43">
        <f t="shared" ref="N935" si="1155">SUMIF($D854:$D930,"*1_07*",N854:N930)+SUMIF($D854:$D930,"*2_07*",N854:N930)*N$88</f>
        <v>0</v>
      </c>
      <c r="O935" s="43">
        <f t="shared" ref="O935" si="1156">SUMIF($D854:$D930,"*1_07*",O854:O930)+SUMIF($D854:$D930,"*2_07*",O854:O930)*O$88</f>
        <v>0</v>
      </c>
      <c r="P935" s="43">
        <f t="shared" ref="P935:Q935" si="1157">SUMIF($D854:$D930,"*1_07*",P854:P930)+SUMIF($D854:$D930,"*2_07*",P854:P930)*P$88</f>
        <v>0</v>
      </c>
      <c r="Q935" s="43">
        <f t="shared" si="1157"/>
        <v>0</v>
      </c>
      <c r="R935" s="43"/>
      <c r="S935" s="94">
        <f>SUM(F935:Q935)</f>
        <v>0</v>
      </c>
    </row>
    <row r="936" spans="1:19" hidden="1" outlineLevel="2" x14ac:dyDescent="0.2">
      <c r="A936" t="str">
        <f ca="1">Language!A$571</f>
        <v xml:space="preserve">    кредиторская задолженность</v>
      </c>
      <c r="C936" s="5" t="str">
        <f t="shared" ca="1" si="1137"/>
        <v>руб.</v>
      </c>
      <c r="D936" s="16" t="s">
        <v>384</v>
      </c>
      <c r="F936" s="43">
        <f>MAX(SUM($F932:F932)+SUM($F933:F933)-SUM($F934:F934)-SUM($F935:F935),0)</f>
        <v>0</v>
      </c>
      <c r="G936" s="43">
        <f>MAX(SUM($F932:G932)+SUM($F933:G933)-SUM($F934:G934)-SUM($F935:G935),0)</f>
        <v>0</v>
      </c>
      <c r="H936" s="43">
        <f>MAX(SUM($F932:H932)+SUM($F933:H933)-SUM($F934:H934)-SUM($F935:H935),0)</f>
        <v>0</v>
      </c>
      <c r="I936" s="43">
        <f>MAX(SUM($F932:I932)+SUM($F933:I933)-SUM($F934:I934)-SUM($F935:I935),0)</f>
        <v>0</v>
      </c>
      <c r="J936" s="43">
        <f>MAX(SUM($F932:J932)+SUM($F933:J933)-SUM($F934:J934)-SUM($F935:J935),0)</f>
        <v>0</v>
      </c>
      <c r="K936" s="43">
        <f>MAX(SUM($F932:K932)+SUM($F933:K933)-SUM($F934:K934)-SUM($F935:K935),0)</f>
        <v>0</v>
      </c>
      <c r="L936" s="43">
        <f>MAX(SUM($F932:L932)+SUM($F933:L933)-SUM($F934:L934)-SUM($F935:L935),0)</f>
        <v>0</v>
      </c>
      <c r="M936" s="43">
        <f>MAX(SUM($F932:M932)+SUM($F933:M933)-SUM($F934:M934)-SUM($F935:M935),0)</f>
        <v>0</v>
      </c>
      <c r="N936" s="43">
        <f>MAX(SUM($F932:N932)+SUM($F933:N933)-SUM($F934:N934)-SUM($F935:N935),0)</f>
        <v>0</v>
      </c>
      <c r="O936" s="43">
        <f>MAX(SUM($F932:O932)+SUM($F933:O933)-SUM($F934:O934)-SUM($F935:O935),0)</f>
        <v>0</v>
      </c>
      <c r="P936" s="43">
        <f>MAX(SUM($F932:P932)+SUM($F933:P933)-SUM($F934:P934)-SUM($F935:P935),0)</f>
        <v>0</v>
      </c>
      <c r="Q936" s="43">
        <f>MAX(SUM($F932:Q932)+SUM($F933:Q933)-SUM($F934:Q934)-SUM($F935:Q935),0)</f>
        <v>0</v>
      </c>
      <c r="R936" s="43"/>
      <c r="S936" s="94"/>
    </row>
    <row r="937" spans="1:19" hidden="1" outlineLevel="2" x14ac:dyDescent="0.2">
      <c r="A937" t="str">
        <f ca="1">Language!A$572</f>
        <v xml:space="preserve">    выплаченные авансы</v>
      </c>
      <c r="C937" s="5" t="str">
        <f t="shared" ca="1" si="1137"/>
        <v>руб.</v>
      </c>
      <c r="D937" s="16" t="s">
        <v>384</v>
      </c>
      <c r="F937" s="43">
        <f>MAX(SUM($F934:F934)+SUM($F935:F935)-SUM($F932:F932)-SUM($F933:F933),0)</f>
        <v>0</v>
      </c>
      <c r="G937" s="43">
        <f>MAX(SUM($F934:G934)+SUM($F935:G935)-SUM($F932:G932)-SUM($F933:G933),0)</f>
        <v>0</v>
      </c>
      <c r="H937" s="43">
        <f>MAX(SUM($F934:H934)+SUM($F935:H935)-SUM($F932:H932)-SUM($F933:H933),0)</f>
        <v>0</v>
      </c>
      <c r="I937" s="43">
        <f>MAX(SUM($F934:I934)+SUM($F935:I935)-SUM($F932:I932)-SUM($F933:I933),0)</f>
        <v>0</v>
      </c>
      <c r="J937" s="43">
        <f>MAX(SUM($F934:J934)+SUM($F935:J935)-SUM($F932:J932)-SUM($F933:J933),0)</f>
        <v>0</v>
      </c>
      <c r="K937" s="43">
        <f>MAX(SUM($F934:K934)+SUM($F935:K935)-SUM($F932:K932)-SUM($F933:K933),0)</f>
        <v>0</v>
      </c>
      <c r="L937" s="43">
        <f>MAX(SUM($F934:L934)+SUM($F935:L935)-SUM($F932:L932)-SUM($F933:L933),0)</f>
        <v>0</v>
      </c>
      <c r="M937" s="43">
        <f>MAX(SUM($F934:M934)+SUM($F935:M935)-SUM($F932:M932)-SUM($F933:M933),0)</f>
        <v>0</v>
      </c>
      <c r="N937" s="43">
        <f>MAX(SUM($F934:N934)+SUM($F935:N935)-SUM($F932:N932)-SUM($F933:N933),0)</f>
        <v>0</v>
      </c>
      <c r="O937" s="43">
        <f>MAX(SUM($F934:O934)+SUM($F935:O935)-SUM($F932:O932)-SUM($F933:O933),0)</f>
        <v>0</v>
      </c>
      <c r="P937" s="43">
        <f>MAX(SUM($F934:P934)+SUM($F935:P935)-SUM($F932:P932)-SUM($F933:P933),0)</f>
        <v>0</v>
      </c>
      <c r="Q937" s="43">
        <f>MAX(SUM($F934:Q934)+SUM($F935:Q935)-SUM($F932:Q932)-SUM($F933:Q933),0)</f>
        <v>0</v>
      </c>
      <c r="R937" s="43"/>
      <c r="S937" s="94"/>
    </row>
    <row r="938" spans="1:19" hidden="1" outlineLevel="2" x14ac:dyDescent="0.2">
      <c r="A938" t="str">
        <f ca="1">Language!A$573</f>
        <v xml:space="preserve">    списано затрат на реализованную продукцию</v>
      </c>
      <c r="C938" s="5" t="str">
        <f t="shared" ca="1" si="1137"/>
        <v>руб.</v>
      </c>
      <c r="F938" s="43">
        <f t="shared" ref="F938:M938" si="1158">SUMIF($D854:$D930,"*1_10*",F854:F930)+SUMIF($D854:$D930,"*2_10*",F854:F930)*F$88</f>
        <v>0</v>
      </c>
      <c r="G938" s="43">
        <f t="shared" si="1158"/>
        <v>0</v>
      </c>
      <c r="H938" s="43">
        <f t="shared" si="1158"/>
        <v>0</v>
      </c>
      <c r="I938" s="43">
        <f t="shared" si="1158"/>
        <v>0</v>
      </c>
      <c r="J938" s="43">
        <f t="shared" si="1158"/>
        <v>0</v>
      </c>
      <c r="K938" s="43">
        <f t="shared" si="1158"/>
        <v>0</v>
      </c>
      <c r="L938" s="43">
        <f t="shared" si="1158"/>
        <v>0</v>
      </c>
      <c r="M938" s="43">
        <f t="shared" si="1158"/>
        <v>0</v>
      </c>
      <c r="N938" s="43">
        <f t="shared" ref="N938" si="1159">SUMIF($D854:$D930,"*1_10*",N854:N930)+SUMIF($D854:$D930,"*2_10*",N854:N930)*N$88</f>
        <v>0</v>
      </c>
      <c r="O938" s="43">
        <f t="shared" ref="O938" si="1160">SUMIF($D854:$D930,"*1_10*",O854:O930)+SUMIF($D854:$D930,"*2_10*",O854:O930)*O$88</f>
        <v>0</v>
      </c>
      <c r="P938" s="43">
        <f t="shared" ref="P938:Q938" si="1161">SUMIF($D854:$D930,"*1_10*",P854:P930)+SUMIF($D854:$D930,"*2_10*",P854:P930)*P$88</f>
        <v>0</v>
      </c>
      <c r="Q938" s="43">
        <f t="shared" si="1161"/>
        <v>0</v>
      </c>
      <c r="R938" s="43"/>
      <c r="S938" s="94">
        <f>SUM(F938:Q938)</f>
        <v>0</v>
      </c>
    </row>
    <row r="939" spans="1:19" hidden="1" outlineLevel="2" x14ac:dyDescent="0.2">
      <c r="A939" s="48" t="str">
        <f ca="1">Language!A$574</f>
        <v xml:space="preserve">    остаток затрат на складе готовой продукции</v>
      </c>
      <c r="C939" s="5" t="str">
        <f t="shared" ca="1" si="1137"/>
        <v>руб.</v>
      </c>
      <c r="D939" s="16" t="s">
        <v>384</v>
      </c>
      <c r="F939" s="106">
        <f>SUM($F932:F932)-SUM($F938:F938)</f>
        <v>0</v>
      </c>
      <c r="G939" s="106">
        <f>SUM($F932:G932)-SUM($F938:G938)</f>
        <v>0</v>
      </c>
      <c r="H939" s="106">
        <f>SUM($F932:H932)-SUM($F938:H938)</f>
        <v>0</v>
      </c>
      <c r="I939" s="106">
        <f>SUM($F932:I932)-SUM($F938:I938)</f>
        <v>0</v>
      </c>
      <c r="J939" s="106">
        <f>SUM($F932:J932)-SUM($F938:J938)</f>
        <v>0</v>
      </c>
      <c r="K939" s="106">
        <f>SUM($F932:K932)-SUM($F938:K938)</f>
        <v>0</v>
      </c>
      <c r="L939" s="106">
        <f>SUM($F932:L932)-SUM($F938:L938)</f>
        <v>0</v>
      </c>
      <c r="M939" s="106">
        <f>SUM($F932:M932)-SUM($F938:M938)</f>
        <v>0</v>
      </c>
      <c r="N939" s="106">
        <f>SUM($F932:N932)-SUM($F938:N938)</f>
        <v>0</v>
      </c>
      <c r="O939" s="106">
        <f>SUM($F932:O932)-SUM($F938:O938)</f>
        <v>0</v>
      </c>
      <c r="P939" s="106">
        <f>SUM($F932:P932)-SUM($F938:P938)</f>
        <v>0</v>
      </c>
      <c r="Q939" s="106">
        <f>SUM($F932:Q932)-SUM($F938:Q938)</f>
        <v>0</v>
      </c>
      <c r="R939" s="43"/>
      <c r="S939" s="94"/>
    </row>
    <row r="940" spans="1:19" hidden="1" outlineLevel="2" x14ac:dyDescent="0.2">
      <c r="A940" s="48" t="str">
        <f ca="1">Language!A$575</f>
        <v xml:space="preserve">    остаток затрат в незавершенном производстве</v>
      </c>
      <c r="C940" s="5" t="str">
        <f t="shared" ca="1" si="1137"/>
        <v>руб.</v>
      </c>
      <c r="D940" s="16" t="s">
        <v>384</v>
      </c>
      <c r="F940" s="43">
        <f t="shared" ref="F940:M940" si="1162">SUMIF($D854:$D930,"*1_12*",F854:F930)+SUMIF($D854:$D930,"*2_12*",F854:F930)*F$88</f>
        <v>0</v>
      </c>
      <c r="G940" s="43">
        <f t="shared" si="1162"/>
        <v>0</v>
      </c>
      <c r="H940" s="43">
        <f t="shared" si="1162"/>
        <v>0</v>
      </c>
      <c r="I940" s="43">
        <f t="shared" si="1162"/>
        <v>0</v>
      </c>
      <c r="J940" s="43">
        <f t="shared" si="1162"/>
        <v>0</v>
      </c>
      <c r="K940" s="43">
        <f t="shared" si="1162"/>
        <v>0</v>
      </c>
      <c r="L940" s="43">
        <f t="shared" si="1162"/>
        <v>0</v>
      </c>
      <c r="M940" s="43">
        <f t="shared" si="1162"/>
        <v>0</v>
      </c>
      <c r="N940" s="43">
        <f t="shared" ref="N940" si="1163">SUMIF($D854:$D930,"*1_12*",N854:N930)+SUMIF($D854:$D930,"*2_12*",N854:N930)*N$88</f>
        <v>0</v>
      </c>
      <c r="O940" s="43">
        <f t="shared" ref="O940" si="1164">SUMIF($D854:$D930,"*1_12*",O854:O930)+SUMIF($D854:$D930,"*2_12*",O854:O930)*O$88</f>
        <v>0</v>
      </c>
      <c r="P940" s="43">
        <f t="shared" ref="P940:Q940" si="1165">SUMIF($D854:$D930,"*1_12*",P854:P930)+SUMIF($D854:$D930,"*2_12*",P854:P930)*P$88</f>
        <v>0</v>
      </c>
      <c r="Q940" s="43">
        <f t="shared" si="1165"/>
        <v>0</v>
      </c>
      <c r="R940" s="43"/>
      <c r="S940" s="94"/>
    </row>
    <row r="941" spans="1:19" outlineLevel="1" x14ac:dyDescent="0.2">
      <c r="A941" s="63"/>
      <c r="B941" s="63"/>
      <c r="C941" s="63"/>
      <c r="D941" s="63"/>
      <c r="E941" s="63"/>
      <c r="F941" s="63"/>
      <c r="G941" s="63"/>
      <c r="H941" s="63"/>
      <c r="I941" s="63"/>
      <c r="J941" s="63"/>
      <c r="K941" s="63"/>
      <c r="L941" s="63"/>
      <c r="M941" s="63"/>
      <c r="N941" s="63"/>
      <c r="O941" s="63"/>
      <c r="P941" s="63"/>
      <c r="Q941" s="63"/>
      <c r="R941" s="63"/>
      <c r="S941" s="64"/>
    </row>
    <row r="942" spans="1:19" outlineLevel="1" x14ac:dyDescent="0.2"/>
    <row r="943" spans="1:19" s="4" customFormat="1" ht="16" customHeight="1" thickBot="1" x14ac:dyDescent="0.25">
      <c r="A943" s="166" t="str">
        <f ca="1">Language!A582</f>
        <v xml:space="preserve">         ПЕРСОНАЛ И ЗАРАБОТНАЯ ПЛАТА</v>
      </c>
      <c r="B943" s="166"/>
      <c r="C943" s="166"/>
      <c r="D943" s="166"/>
      <c r="E943" s="166"/>
      <c r="F943" s="178" t="str">
        <f t="shared" ref="F943:Q943" si="1166">PeriodTitle</f>
        <v>4/ 2024</v>
      </c>
      <c r="G943" s="178" t="str">
        <f t="shared" si="1166"/>
        <v>5/ 2024</v>
      </c>
      <c r="H943" s="178" t="str">
        <f t="shared" si="1166"/>
        <v>6/ 2024</v>
      </c>
      <c r="I943" s="178" t="str">
        <f t="shared" si="1166"/>
        <v>7/ 2024</v>
      </c>
      <c r="J943" s="178" t="str">
        <f t="shared" si="1166"/>
        <v>8/ 2024</v>
      </c>
      <c r="K943" s="178" t="str">
        <f t="shared" si="1166"/>
        <v>9/ 2024</v>
      </c>
      <c r="L943" s="178" t="str">
        <f t="shared" si="1166"/>
        <v>10/ 2024</v>
      </c>
      <c r="M943" s="178" t="str">
        <f t="shared" si="1166"/>
        <v>11/ 2024</v>
      </c>
      <c r="N943" s="178" t="str">
        <f t="shared" si="1166"/>
        <v>12/ 2024</v>
      </c>
      <c r="O943" s="178" t="str">
        <f t="shared" si="1166"/>
        <v>1/ 2025</v>
      </c>
      <c r="P943" s="178" t="str">
        <f t="shared" si="1166"/>
        <v>2/ 2025</v>
      </c>
      <c r="Q943" s="178" t="str">
        <f t="shared" si="1166"/>
        <v>3/ 2025</v>
      </c>
      <c r="R943" s="166"/>
      <c r="S943" s="195" t="str">
        <f ca="1">Language!$A$371</f>
        <v>ИТОГО</v>
      </c>
    </row>
    <row r="944" spans="1:19" ht="10.5" outlineLevel="1" thickTop="1" x14ac:dyDescent="0.2"/>
    <row r="945" spans="1:19" ht="10.5" outlineLevel="1" x14ac:dyDescent="0.25">
      <c r="A945" s="35" t="str">
        <f ca="1">Language!A583</f>
        <v>Основной производственный персонал</v>
      </c>
    </row>
    <row r="946" spans="1:19" outlineLevel="1" x14ac:dyDescent="0.2">
      <c r="B946" s="36" t="str">
        <f ca="1">Language!A$73</f>
        <v>Валюта</v>
      </c>
      <c r="C946" s="88"/>
      <c r="D946">
        <v>2</v>
      </c>
      <c r="E946">
        <v>5</v>
      </c>
    </row>
    <row r="947" spans="1:19" outlineLevel="1" x14ac:dyDescent="0.2">
      <c r="A947" s="274" t="s">
        <v>2691</v>
      </c>
      <c r="B947" s="255">
        <v>1</v>
      </c>
      <c r="C947" s="87" t="str">
        <f ca="1">CHOOSE(B947,CUR_Main,CUR_Foreign)</f>
        <v>руб.</v>
      </c>
      <c r="D947" s="16" t="str">
        <f>TEXT(B947,"0")&amp;"_01"</f>
        <v>1_01</v>
      </c>
      <c r="F947" s="53">
        <f t="shared" ref="F947:M947" si="1167">F949*F948*PRJ_Step/30</f>
        <v>0</v>
      </c>
      <c r="G947" s="53">
        <f t="shared" si="1167"/>
        <v>0</v>
      </c>
      <c r="H947" s="53">
        <f t="shared" si="1167"/>
        <v>0</v>
      </c>
      <c r="I947" s="53">
        <f t="shared" si="1167"/>
        <v>0</v>
      </c>
      <c r="J947" s="53">
        <f t="shared" si="1167"/>
        <v>0</v>
      </c>
      <c r="K947" s="53">
        <f t="shared" si="1167"/>
        <v>0</v>
      </c>
      <c r="L947" s="53">
        <f t="shared" si="1167"/>
        <v>0</v>
      </c>
      <c r="M947" s="53">
        <f t="shared" si="1167"/>
        <v>0</v>
      </c>
      <c r="N947" s="53">
        <f t="shared" ref="N947" si="1168">N949*N948*PRJ_Step/30</f>
        <v>0</v>
      </c>
      <c r="O947" s="53">
        <f t="shared" ref="O947" si="1169">O949*O948*PRJ_Step/30</f>
        <v>0</v>
      </c>
      <c r="P947" s="53">
        <f t="shared" ref="P947:Q947" si="1170">P949*P948*PRJ_Step/30</f>
        <v>0</v>
      </c>
      <c r="Q947" s="53">
        <f t="shared" si="1170"/>
        <v>0</v>
      </c>
      <c r="S947" s="54">
        <f>SUM(F947:Q947)</f>
        <v>0</v>
      </c>
    </row>
    <row r="948" spans="1:19" outlineLevel="1" x14ac:dyDescent="0.2">
      <c r="A948" t="str">
        <f ca="1">Language!A$589</f>
        <v>Количество</v>
      </c>
      <c r="B948" s="271">
        <v>1</v>
      </c>
      <c r="C948" s="5" t="str">
        <f ca="1">Language!A$591</f>
        <v>чел.</v>
      </c>
      <c r="D948" s="16" t="s">
        <v>2209</v>
      </c>
      <c r="F948" s="270">
        <v>0</v>
      </c>
      <c r="G948" s="270">
        <v>0</v>
      </c>
      <c r="H948" s="270">
        <v>0</v>
      </c>
      <c r="I948" s="270">
        <v>0</v>
      </c>
      <c r="J948" s="270">
        <v>0</v>
      </c>
      <c r="K948" s="270">
        <v>0</v>
      </c>
      <c r="L948" s="270">
        <v>0</v>
      </c>
      <c r="M948" s="270">
        <v>0</v>
      </c>
      <c r="N948" s="270">
        <v>0</v>
      </c>
      <c r="O948" s="270">
        <v>0</v>
      </c>
      <c r="P948" s="270">
        <v>0</v>
      </c>
      <c r="Q948" s="270">
        <v>0</v>
      </c>
      <c r="S948" s="54"/>
    </row>
    <row r="949" spans="1:19" s="48" customFormat="1" outlineLevel="1" collapsed="1" x14ac:dyDescent="0.2">
      <c r="A949" s="52" t="str">
        <f ca="1">Language!A$588</f>
        <v>Месячный оклад</v>
      </c>
      <c r="B949" s="288">
        <v>0</v>
      </c>
      <c r="C949" s="87" t="str">
        <f ca="1">CHOOSE(B947,CUR_Main,CUR_Foreign)</f>
        <v>руб.</v>
      </c>
      <c r="D949" s="16" t="s">
        <v>176</v>
      </c>
      <c r="F949" s="276">
        <v>0</v>
      </c>
      <c r="G949" s="276">
        <v>0</v>
      </c>
      <c r="H949" s="276">
        <v>0</v>
      </c>
      <c r="I949" s="276">
        <v>0</v>
      </c>
      <c r="J949" s="276">
        <v>0</v>
      </c>
      <c r="K949" s="276">
        <v>0</v>
      </c>
      <c r="L949" s="276">
        <v>0</v>
      </c>
      <c r="M949" s="276">
        <v>0</v>
      </c>
      <c r="N949" s="276">
        <v>0</v>
      </c>
      <c r="O949" s="276">
        <v>0</v>
      </c>
      <c r="P949" s="276">
        <v>0</v>
      </c>
      <c r="Q949" s="276">
        <v>0</v>
      </c>
      <c r="S949" s="94"/>
    </row>
    <row r="950" spans="1:19" hidden="1" outlineLevel="2" x14ac:dyDescent="0.2">
      <c r="A950" t="str">
        <f ca="1">Language!A$104</f>
        <v>Предполагаемый темп годового роста цен</v>
      </c>
      <c r="C950" s="5" t="s">
        <v>177</v>
      </c>
      <c r="D950" s="16" t="s">
        <v>176</v>
      </c>
      <c r="F950" s="269">
        <f t="shared" ref="F950:M950" si="1171">CHOOSE($B947,F$80,F$91)</f>
        <v>8.0000000000000002E-3</v>
      </c>
      <c r="G950" s="269">
        <f t="shared" si="1171"/>
        <v>8.0000000000000002E-3</v>
      </c>
      <c r="H950" s="269">
        <f t="shared" si="1171"/>
        <v>8.0000000000000002E-3</v>
      </c>
      <c r="I950" s="269">
        <f t="shared" si="1171"/>
        <v>8.0000000000000002E-3</v>
      </c>
      <c r="J950" s="269">
        <f t="shared" si="1171"/>
        <v>8.0000000000000002E-3</v>
      </c>
      <c r="K950" s="269">
        <f t="shared" si="1171"/>
        <v>8.0000000000000002E-3</v>
      </c>
      <c r="L950" s="269">
        <f t="shared" si="1171"/>
        <v>8.0000000000000002E-3</v>
      </c>
      <c r="M950" s="269">
        <f t="shared" si="1171"/>
        <v>8.0000000000000002E-3</v>
      </c>
      <c r="N950" s="269">
        <f t="shared" ref="N950" si="1172">CHOOSE($B947,N$80,N$91)</f>
        <v>8.0000000000000002E-3</v>
      </c>
      <c r="O950" s="269">
        <f t="shared" ref="O950" si="1173">CHOOSE($B947,O$80,O$91)</f>
        <v>8.0000000000000002E-3</v>
      </c>
      <c r="P950" s="269">
        <f t="shared" ref="P950:Q950" si="1174">CHOOSE($B947,P$80,P$91)</f>
        <v>8.0000000000000002E-3</v>
      </c>
      <c r="Q950" s="269">
        <f t="shared" si="1174"/>
        <v>8.0000000000000002E-3</v>
      </c>
      <c r="S950" s="54"/>
    </row>
    <row r="951" spans="1:19" hidden="1" outlineLevel="2" x14ac:dyDescent="0.2">
      <c r="A951" t="str">
        <f ca="1">Language!A$106</f>
        <v>То же, в пересчете на период, равный шагу проекта</v>
      </c>
      <c r="C951" s="5" t="s">
        <v>177</v>
      </c>
      <c r="D951" s="16" t="s">
        <v>176</v>
      </c>
      <c r="F951" s="30">
        <f t="shared" ref="F951:M951" si="1175">POWER(1+F950,PRJ_Step/360)-1</f>
        <v>6.6423464362252993E-4</v>
      </c>
      <c r="G951" s="30">
        <f t="shared" si="1175"/>
        <v>6.6423464362252993E-4</v>
      </c>
      <c r="H951" s="30">
        <f t="shared" si="1175"/>
        <v>6.6423464362252993E-4</v>
      </c>
      <c r="I951" s="30">
        <f t="shared" si="1175"/>
        <v>6.6423464362252993E-4</v>
      </c>
      <c r="J951" s="30">
        <f t="shared" si="1175"/>
        <v>6.6423464362252993E-4</v>
      </c>
      <c r="K951" s="30">
        <f t="shared" si="1175"/>
        <v>6.6423464362252993E-4</v>
      </c>
      <c r="L951" s="30">
        <f t="shared" si="1175"/>
        <v>6.6423464362252993E-4</v>
      </c>
      <c r="M951" s="30">
        <f t="shared" si="1175"/>
        <v>6.6423464362252993E-4</v>
      </c>
      <c r="N951" s="30">
        <f t="shared" ref="N951" si="1176">POWER(1+N950,PRJ_Step/360)-1</f>
        <v>6.6423464362252993E-4</v>
      </c>
      <c r="O951" s="30">
        <f t="shared" ref="O951" si="1177">POWER(1+O950,PRJ_Step/360)-1</f>
        <v>6.6423464362252993E-4</v>
      </c>
      <c r="P951" s="30">
        <f t="shared" ref="P951:Q951" si="1178">POWER(1+P950,PRJ_Step/360)-1</f>
        <v>6.6423464362252993E-4</v>
      </c>
      <c r="Q951" s="30">
        <f t="shared" si="1178"/>
        <v>6.6423464362252993E-4</v>
      </c>
      <c r="S951" s="54"/>
    </row>
    <row r="952" spans="1:19" outlineLevel="1" x14ac:dyDescent="0.2">
      <c r="A952" s="274" t="s">
        <v>2697</v>
      </c>
      <c r="B952" s="255">
        <v>1</v>
      </c>
      <c r="C952" s="87" t="str">
        <f ca="1">CHOOSE(B952,CUR_Main,CUR_Foreign)</f>
        <v>руб.</v>
      </c>
      <c r="D952" s="16" t="str">
        <f>TEXT(B952,"0")&amp;"_01"</f>
        <v>1_01</v>
      </c>
      <c r="F952" s="53">
        <f t="shared" ref="F952:M952" si="1179">F954*F953*PRJ_Step/30</f>
        <v>270000</v>
      </c>
      <c r="G952" s="53">
        <f t="shared" si="1179"/>
        <v>270000</v>
      </c>
      <c r="H952" s="53">
        <f t="shared" si="1179"/>
        <v>270000</v>
      </c>
      <c r="I952" s="53">
        <f t="shared" si="1179"/>
        <v>270000</v>
      </c>
      <c r="J952" s="53">
        <f t="shared" si="1179"/>
        <v>270000</v>
      </c>
      <c r="K952" s="53">
        <f t="shared" si="1179"/>
        <v>270000</v>
      </c>
      <c r="L952" s="53">
        <f t="shared" si="1179"/>
        <v>270000</v>
      </c>
      <c r="M952" s="53">
        <f t="shared" si="1179"/>
        <v>270000</v>
      </c>
      <c r="N952" s="53">
        <f t="shared" ref="N952" si="1180">N954*N953*PRJ_Step/30</f>
        <v>270000</v>
      </c>
      <c r="O952" s="53">
        <f t="shared" ref="O952" si="1181">O954*O953*PRJ_Step/30</f>
        <v>270000</v>
      </c>
      <c r="P952" s="53">
        <f t="shared" ref="P952:Q952" si="1182">P954*P953*PRJ_Step/30</f>
        <v>270000</v>
      </c>
      <c r="Q952" s="53">
        <f t="shared" si="1182"/>
        <v>270000</v>
      </c>
      <c r="S952" s="54">
        <f>SUM(F952:Q952)</f>
        <v>3240000</v>
      </c>
    </row>
    <row r="953" spans="1:19" outlineLevel="1" x14ac:dyDescent="0.2">
      <c r="A953" t="str">
        <f ca="1">Language!A$589</f>
        <v>Количество</v>
      </c>
      <c r="B953" s="271">
        <v>3</v>
      </c>
      <c r="C953" s="5" t="str">
        <f ca="1">Language!A$591</f>
        <v>чел.</v>
      </c>
      <c r="D953" s="16" t="s">
        <v>2209</v>
      </c>
      <c r="F953" s="271">
        <v>3</v>
      </c>
      <c r="G953" s="271">
        <v>3</v>
      </c>
      <c r="H953" s="271">
        <v>3</v>
      </c>
      <c r="I953" s="271">
        <v>3</v>
      </c>
      <c r="J953" s="271">
        <v>3</v>
      </c>
      <c r="K953" s="271">
        <v>3</v>
      </c>
      <c r="L953" s="271">
        <v>3</v>
      </c>
      <c r="M953" s="271">
        <v>3</v>
      </c>
      <c r="N953" s="271">
        <v>3</v>
      </c>
      <c r="O953" s="271">
        <v>3</v>
      </c>
      <c r="P953" s="271">
        <v>3</v>
      </c>
      <c r="Q953" s="271">
        <v>3</v>
      </c>
      <c r="S953" s="54"/>
    </row>
    <row r="954" spans="1:19" s="48" customFormat="1" outlineLevel="1" collapsed="1" x14ac:dyDescent="0.2">
      <c r="A954" s="52" t="str">
        <f ca="1">Language!A$588</f>
        <v>Месячный оклад</v>
      </c>
      <c r="B954" s="288">
        <v>90000</v>
      </c>
      <c r="C954" s="87" t="str">
        <f ca="1">CHOOSE(B952,CUR_Main,CUR_Foreign)</f>
        <v>руб.</v>
      </c>
      <c r="D954" s="16" t="s">
        <v>176</v>
      </c>
      <c r="F954" s="276">
        <v>90000</v>
      </c>
      <c r="G954" s="276">
        <v>90000</v>
      </c>
      <c r="H954" s="276">
        <v>90000</v>
      </c>
      <c r="I954" s="276">
        <v>90000</v>
      </c>
      <c r="J954" s="276">
        <v>90000</v>
      </c>
      <c r="K954" s="276">
        <v>90000</v>
      </c>
      <c r="L954" s="276">
        <v>90000</v>
      </c>
      <c r="M954" s="276">
        <v>90000</v>
      </c>
      <c r="N954" s="276">
        <v>90000</v>
      </c>
      <c r="O954" s="276">
        <v>90000</v>
      </c>
      <c r="P954" s="276">
        <v>90000</v>
      </c>
      <c r="Q954" s="276">
        <v>90000</v>
      </c>
      <c r="S954" s="94"/>
    </row>
    <row r="955" spans="1:19" hidden="1" outlineLevel="2" x14ac:dyDescent="0.2">
      <c r="A955" t="str">
        <f ca="1">Language!A$104</f>
        <v>Предполагаемый темп годового роста цен</v>
      </c>
      <c r="C955" s="5" t="s">
        <v>177</v>
      </c>
      <c r="D955" s="16" t="s">
        <v>176</v>
      </c>
      <c r="F955" s="269">
        <f t="shared" ref="F955:M955" si="1183">CHOOSE($B952,F$80,F$91)</f>
        <v>8.0000000000000002E-3</v>
      </c>
      <c r="G955" s="269">
        <f t="shared" si="1183"/>
        <v>8.0000000000000002E-3</v>
      </c>
      <c r="H955" s="269">
        <f t="shared" si="1183"/>
        <v>8.0000000000000002E-3</v>
      </c>
      <c r="I955" s="269">
        <f t="shared" si="1183"/>
        <v>8.0000000000000002E-3</v>
      </c>
      <c r="J955" s="269">
        <f t="shared" si="1183"/>
        <v>8.0000000000000002E-3</v>
      </c>
      <c r="K955" s="269">
        <f t="shared" si="1183"/>
        <v>8.0000000000000002E-3</v>
      </c>
      <c r="L955" s="269">
        <f t="shared" si="1183"/>
        <v>8.0000000000000002E-3</v>
      </c>
      <c r="M955" s="269">
        <f t="shared" si="1183"/>
        <v>8.0000000000000002E-3</v>
      </c>
      <c r="N955" s="269">
        <f t="shared" ref="N955" si="1184">CHOOSE($B952,N$80,N$91)</f>
        <v>8.0000000000000002E-3</v>
      </c>
      <c r="O955" s="269">
        <f t="shared" ref="O955" si="1185">CHOOSE($B952,O$80,O$91)</f>
        <v>8.0000000000000002E-3</v>
      </c>
      <c r="P955" s="269">
        <f t="shared" ref="P955:Q955" si="1186">CHOOSE($B952,P$80,P$91)</f>
        <v>8.0000000000000002E-3</v>
      </c>
      <c r="Q955" s="269">
        <f t="shared" si="1186"/>
        <v>8.0000000000000002E-3</v>
      </c>
      <c r="S955" s="54"/>
    </row>
    <row r="956" spans="1:19" hidden="1" outlineLevel="2" x14ac:dyDescent="0.2">
      <c r="A956" t="str">
        <f ca="1">Language!A$106</f>
        <v>То же, в пересчете на период, равный шагу проекта</v>
      </c>
      <c r="C956" s="5" t="s">
        <v>177</v>
      </c>
      <c r="D956" s="16" t="s">
        <v>176</v>
      </c>
      <c r="F956" s="30">
        <f t="shared" ref="F956:M956" si="1187">POWER(1+F955,PRJ_Step/360)-1</f>
        <v>6.6423464362252993E-4</v>
      </c>
      <c r="G956" s="30">
        <f t="shared" si="1187"/>
        <v>6.6423464362252993E-4</v>
      </c>
      <c r="H956" s="30">
        <f t="shared" si="1187"/>
        <v>6.6423464362252993E-4</v>
      </c>
      <c r="I956" s="30">
        <f t="shared" si="1187"/>
        <v>6.6423464362252993E-4</v>
      </c>
      <c r="J956" s="30">
        <f t="shared" si="1187"/>
        <v>6.6423464362252993E-4</v>
      </c>
      <c r="K956" s="30">
        <f t="shared" si="1187"/>
        <v>6.6423464362252993E-4</v>
      </c>
      <c r="L956" s="30">
        <f t="shared" si="1187"/>
        <v>6.6423464362252993E-4</v>
      </c>
      <c r="M956" s="30">
        <f t="shared" si="1187"/>
        <v>6.6423464362252993E-4</v>
      </c>
      <c r="N956" s="30">
        <f t="shared" ref="N956" si="1188">POWER(1+N955,PRJ_Step/360)-1</f>
        <v>6.6423464362252993E-4</v>
      </c>
      <c r="O956" s="30">
        <f t="shared" ref="O956" si="1189">POWER(1+O955,PRJ_Step/360)-1</f>
        <v>6.6423464362252993E-4</v>
      </c>
      <c r="P956" s="30">
        <f t="shared" ref="P956:Q956" si="1190">POWER(1+P955,PRJ_Step/360)-1</f>
        <v>6.6423464362252993E-4</v>
      </c>
      <c r="Q956" s="30">
        <f t="shared" si="1190"/>
        <v>6.6423464362252993E-4</v>
      </c>
      <c r="S956" s="54"/>
    </row>
    <row r="957" spans="1:19" outlineLevel="1" x14ac:dyDescent="0.2">
      <c r="S957" s="54"/>
    </row>
    <row r="958" spans="1:19" outlineLevel="1" x14ac:dyDescent="0.2">
      <c r="A958" s="63"/>
      <c r="B958" s="63"/>
      <c r="C958" s="63"/>
      <c r="D958" s="63"/>
      <c r="E958" s="63"/>
      <c r="F958" s="63"/>
      <c r="G958" s="63"/>
      <c r="H958" s="63"/>
      <c r="I958" s="63"/>
      <c r="J958" s="63"/>
      <c r="K958" s="63"/>
      <c r="L958" s="63"/>
      <c r="M958" s="63"/>
      <c r="N958" s="63"/>
      <c r="O958" s="63"/>
      <c r="P958" s="63"/>
      <c r="Q958" s="63"/>
      <c r="R958" s="63"/>
      <c r="S958" s="122"/>
    </row>
    <row r="959" spans="1:19" ht="10.5" outlineLevel="1" x14ac:dyDescent="0.25">
      <c r="A959" s="35" t="str">
        <f ca="1">Language!A584</f>
        <v>Вспомогательный производственный персонал</v>
      </c>
      <c r="S959" s="54"/>
    </row>
    <row r="960" spans="1:19" outlineLevel="1" x14ac:dyDescent="0.2">
      <c r="B960" s="36" t="str">
        <f ca="1">Language!A$73</f>
        <v>Валюта</v>
      </c>
      <c r="C960" s="88"/>
      <c r="D960">
        <v>3</v>
      </c>
      <c r="E960">
        <v>5</v>
      </c>
      <c r="S960" s="54"/>
    </row>
    <row r="961" spans="1:19" outlineLevel="1" x14ac:dyDescent="0.2">
      <c r="A961" s="274" t="s">
        <v>2676</v>
      </c>
      <c r="B961" s="255">
        <v>1</v>
      </c>
      <c r="C961" s="87" t="str">
        <f ca="1">CHOOSE(B961,CUR_Main,CUR_Foreign)</f>
        <v>руб.</v>
      </c>
      <c r="D961" s="16" t="str">
        <f>TEXT(B961,"0")&amp;"_02"</f>
        <v>1_02</v>
      </c>
      <c r="F961" s="53">
        <f t="shared" ref="F961:M961" si="1191">F963*F962*PRJ_Step/30</f>
        <v>0</v>
      </c>
      <c r="G961" s="53">
        <f t="shared" si="1191"/>
        <v>0</v>
      </c>
      <c r="H961" s="53">
        <f t="shared" si="1191"/>
        <v>0</v>
      </c>
      <c r="I961" s="53">
        <f t="shared" si="1191"/>
        <v>0</v>
      </c>
      <c r="J961" s="53">
        <f t="shared" si="1191"/>
        <v>0</v>
      </c>
      <c r="K961" s="53">
        <f t="shared" si="1191"/>
        <v>0</v>
      </c>
      <c r="L961" s="53">
        <f t="shared" si="1191"/>
        <v>0</v>
      </c>
      <c r="M961" s="53">
        <f t="shared" si="1191"/>
        <v>0</v>
      </c>
      <c r="N961" s="53">
        <f t="shared" ref="N961" si="1192">N963*N962*PRJ_Step/30</f>
        <v>0</v>
      </c>
      <c r="O961" s="53">
        <f t="shared" ref="O961" si="1193">O963*O962*PRJ_Step/30</f>
        <v>0</v>
      </c>
      <c r="P961" s="53">
        <f t="shared" ref="P961:Q961" si="1194">P963*P962*PRJ_Step/30</f>
        <v>0</v>
      </c>
      <c r="Q961" s="53">
        <f t="shared" si="1194"/>
        <v>0</v>
      </c>
      <c r="S961" s="54">
        <f>SUM(F961:Q961)</f>
        <v>0</v>
      </c>
    </row>
    <row r="962" spans="1:19" outlineLevel="1" x14ac:dyDescent="0.2">
      <c r="A962" t="str">
        <f ca="1">Language!A$589</f>
        <v>Количество</v>
      </c>
      <c r="B962" s="271">
        <v>0</v>
      </c>
      <c r="C962" s="5" t="str">
        <f ca="1">Language!A$591</f>
        <v>чел.</v>
      </c>
      <c r="D962" s="16" t="s">
        <v>2209</v>
      </c>
      <c r="F962" s="270">
        <v>0</v>
      </c>
      <c r="G962" s="270">
        <f>IF(SUM($F$642:G$642)&lt;&gt;0,$B962,0)</f>
        <v>0</v>
      </c>
      <c r="H962" s="270">
        <f>IF(SUM($F$642:H$642)&lt;&gt;0,$B962,0)</f>
        <v>0</v>
      </c>
      <c r="I962" s="270">
        <f>IF(SUM($F$642:I$642)&lt;&gt;0,$B962,0)</f>
        <v>0</v>
      </c>
      <c r="J962" s="270">
        <f>IF(SUM($F$642:J$642)&lt;&gt;0,$B962,0)</f>
        <v>0</v>
      </c>
      <c r="K962" s="270">
        <f>IF(SUM($F$642:K$642)&lt;&gt;0,$B962,0)</f>
        <v>0</v>
      </c>
      <c r="L962" s="270">
        <f>IF(SUM($F$642:L$642)&lt;&gt;0,$B962,0)</f>
        <v>0</v>
      </c>
      <c r="M962" s="270">
        <f>IF(SUM($F$642:M$642)&lt;&gt;0,$B962,0)</f>
        <v>0</v>
      </c>
      <c r="N962" s="270">
        <f>IF(SUM($F$642:N$642)&lt;&gt;0,$B962,0)</f>
        <v>0</v>
      </c>
      <c r="O962" s="270">
        <f>IF(SUM($F$642:O$642)&lt;&gt;0,$B962,0)</f>
        <v>0</v>
      </c>
      <c r="P962" s="270">
        <f>IF(SUM($F$642:P$642)&lt;&gt;0,$B962,0)</f>
        <v>0</v>
      </c>
      <c r="Q962" s="270">
        <f>IF(SUM($F$642:Q$642)&lt;&gt;0,$B962,0)</f>
        <v>0</v>
      </c>
      <c r="S962" s="54"/>
    </row>
    <row r="963" spans="1:19" s="48" customFormat="1" outlineLevel="1" collapsed="1" x14ac:dyDescent="0.2">
      <c r="A963" s="52" t="str">
        <f ca="1">Language!A$588</f>
        <v>Месячный оклад</v>
      </c>
      <c r="B963" s="288">
        <v>0</v>
      </c>
      <c r="C963" s="87" t="str">
        <f ca="1">CHOOSE(B961,CUR_Main,CUR_Foreign)</f>
        <v>руб.</v>
      </c>
      <c r="D963" s="16" t="s">
        <v>176</v>
      </c>
      <c r="F963" s="285">
        <f>B963</f>
        <v>0</v>
      </c>
      <c r="G963" s="285">
        <f t="shared" ref="G963:Q963" si="1195">F963*IF(CalcMethod=2,1+F965,1)</f>
        <v>0</v>
      </c>
      <c r="H963" s="285">
        <v>0</v>
      </c>
      <c r="I963" s="285">
        <f t="shared" si="1195"/>
        <v>0</v>
      </c>
      <c r="J963" s="285">
        <f t="shared" si="1195"/>
        <v>0</v>
      </c>
      <c r="K963" s="285">
        <f t="shared" si="1195"/>
        <v>0</v>
      </c>
      <c r="L963" s="285">
        <f t="shared" si="1195"/>
        <v>0</v>
      </c>
      <c r="M963" s="285">
        <f t="shared" si="1195"/>
        <v>0</v>
      </c>
      <c r="N963" s="285">
        <f t="shared" si="1195"/>
        <v>0</v>
      </c>
      <c r="O963" s="285">
        <f t="shared" si="1195"/>
        <v>0</v>
      </c>
      <c r="P963" s="285">
        <f t="shared" si="1195"/>
        <v>0</v>
      </c>
      <c r="Q963" s="285">
        <f t="shared" si="1195"/>
        <v>0</v>
      </c>
      <c r="S963" s="94"/>
    </row>
    <row r="964" spans="1:19" hidden="1" outlineLevel="2" x14ac:dyDescent="0.2">
      <c r="A964" t="str">
        <f ca="1">Language!A$104</f>
        <v>Предполагаемый темп годового роста цен</v>
      </c>
      <c r="C964" s="5" t="s">
        <v>177</v>
      </c>
      <c r="D964" s="16" t="s">
        <v>176</v>
      </c>
      <c r="F964" s="269">
        <f t="shared" ref="F964:M964" si="1196">CHOOSE($B961,F$80,F$91)</f>
        <v>8.0000000000000002E-3</v>
      </c>
      <c r="G964" s="269">
        <f t="shared" si="1196"/>
        <v>8.0000000000000002E-3</v>
      </c>
      <c r="H964" s="269">
        <f t="shared" si="1196"/>
        <v>8.0000000000000002E-3</v>
      </c>
      <c r="I964" s="269">
        <f t="shared" si="1196"/>
        <v>8.0000000000000002E-3</v>
      </c>
      <c r="J964" s="269">
        <f t="shared" si="1196"/>
        <v>8.0000000000000002E-3</v>
      </c>
      <c r="K964" s="269">
        <f t="shared" si="1196"/>
        <v>8.0000000000000002E-3</v>
      </c>
      <c r="L964" s="269">
        <f t="shared" si="1196"/>
        <v>8.0000000000000002E-3</v>
      </c>
      <c r="M964" s="269">
        <f t="shared" si="1196"/>
        <v>8.0000000000000002E-3</v>
      </c>
      <c r="N964" s="269">
        <f t="shared" ref="N964" si="1197">CHOOSE($B961,N$80,N$91)</f>
        <v>8.0000000000000002E-3</v>
      </c>
      <c r="O964" s="269">
        <f t="shared" ref="O964" si="1198">CHOOSE($B961,O$80,O$91)</f>
        <v>8.0000000000000002E-3</v>
      </c>
      <c r="P964" s="269">
        <f t="shared" ref="P964:Q964" si="1199">CHOOSE($B961,P$80,P$91)</f>
        <v>8.0000000000000002E-3</v>
      </c>
      <c r="Q964" s="269">
        <f t="shared" si="1199"/>
        <v>8.0000000000000002E-3</v>
      </c>
      <c r="S964" s="54"/>
    </row>
    <row r="965" spans="1:19" hidden="1" outlineLevel="2" x14ac:dyDescent="0.2">
      <c r="A965" t="str">
        <f ca="1">Language!A$106</f>
        <v>То же, в пересчете на период, равный шагу проекта</v>
      </c>
      <c r="C965" s="5" t="s">
        <v>177</v>
      </c>
      <c r="D965" s="16" t="s">
        <v>176</v>
      </c>
      <c r="F965" s="30">
        <f t="shared" ref="F965:M965" si="1200">POWER(1+F964,PRJ_Step/360)-1</f>
        <v>6.6423464362252993E-4</v>
      </c>
      <c r="G965" s="30">
        <f t="shared" si="1200"/>
        <v>6.6423464362252993E-4</v>
      </c>
      <c r="H965" s="30">
        <f t="shared" si="1200"/>
        <v>6.6423464362252993E-4</v>
      </c>
      <c r="I965" s="30">
        <f t="shared" si="1200"/>
        <v>6.6423464362252993E-4</v>
      </c>
      <c r="J965" s="30">
        <f t="shared" si="1200"/>
        <v>6.6423464362252993E-4</v>
      </c>
      <c r="K965" s="30">
        <f t="shared" si="1200"/>
        <v>6.6423464362252993E-4</v>
      </c>
      <c r="L965" s="30">
        <f t="shared" si="1200"/>
        <v>6.6423464362252993E-4</v>
      </c>
      <c r="M965" s="30">
        <f t="shared" si="1200"/>
        <v>6.6423464362252993E-4</v>
      </c>
      <c r="N965" s="30">
        <f t="shared" ref="N965" si="1201">POWER(1+N964,PRJ_Step/360)-1</f>
        <v>6.6423464362252993E-4</v>
      </c>
      <c r="O965" s="30">
        <f t="shared" ref="O965" si="1202">POWER(1+O964,PRJ_Step/360)-1</f>
        <v>6.6423464362252993E-4</v>
      </c>
      <c r="P965" s="30">
        <f t="shared" ref="P965:Q965" si="1203">POWER(1+P964,PRJ_Step/360)-1</f>
        <v>6.6423464362252993E-4</v>
      </c>
      <c r="Q965" s="30">
        <f t="shared" si="1203"/>
        <v>6.6423464362252993E-4</v>
      </c>
      <c r="S965" s="54"/>
    </row>
    <row r="966" spans="1:19" outlineLevel="1" x14ac:dyDescent="0.2">
      <c r="A966" s="274" t="s">
        <v>2698</v>
      </c>
      <c r="B966" s="255">
        <v>1</v>
      </c>
      <c r="C966" s="87" t="str">
        <f ca="1">CHOOSE(B966,CUR_Main,CUR_Foreign)</f>
        <v>руб.</v>
      </c>
      <c r="D966" s="16" t="str">
        <f>TEXT(B966,"0")&amp;"_02"</f>
        <v>1_02</v>
      </c>
      <c r="F966" s="53">
        <f t="shared" ref="F966:M966" si="1204">F968*F967*PRJ_Step/30</f>
        <v>110000</v>
      </c>
      <c r="G966" s="53">
        <f t="shared" si="1204"/>
        <v>0</v>
      </c>
      <c r="H966" s="53">
        <f t="shared" si="1204"/>
        <v>0</v>
      </c>
      <c r="I966" s="53">
        <f t="shared" si="1204"/>
        <v>0</v>
      </c>
      <c r="J966" s="53">
        <f t="shared" si="1204"/>
        <v>0</v>
      </c>
      <c r="K966" s="53">
        <f t="shared" si="1204"/>
        <v>0</v>
      </c>
      <c r="L966" s="53">
        <f t="shared" si="1204"/>
        <v>0</v>
      </c>
      <c r="M966" s="53">
        <f t="shared" si="1204"/>
        <v>0</v>
      </c>
      <c r="N966" s="53">
        <f t="shared" ref="N966" si="1205">N968*N967*PRJ_Step/30</f>
        <v>0</v>
      </c>
      <c r="O966" s="53">
        <f t="shared" ref="O966" si="1206">O968*O967*PRJ_Step/30</f>
        <v>0</v>
      </c>
      <c r="P966" s="53">
        <f t="shared" ref="P966:Q966" si="1207">P968*P967*PRJ_Step/30</f>
        <v>0</v>
      </c>
      <c r="Q966" s="53">
        <f t="shared" si="1207"/>
        <v>0</v>
      </c>
      <c r="S966" s="54">
        <f>SUM(F966:Q966)</f>
        <v>110000</v>
      </c>
    </row>
    <row r="967" spans="1:19" outlineLevel="1" x14ac:dyDescent="0.2">
      <c r="A967" t="str">
        <f ca="1">Language!A$589</f>
        <v>Количество</v>
      </c>
      <c r="B967" s="271">
        <v>1</v>
      </c>
      <c r="C967" s="5" t="str">
        <f ca="1">Language!A$591</f>
        <v>чел.</v>
      </c>
      <c r="D967" s="16" t="s">
        <v>2209</v>
      </c>
      <c r="F967" s="270">
        <v>1</v>
      </c>
      <c r="G967" s="270">
        <f>IF(SUM($F$642:G$642)&lt;&gt;0,$B967,0)</f>
        <v>0</v>
      </c>
      <c r="H967" s="270">
        <f>IF(SUM($F$642:H$642)&lt;&gt;0,$B967,0)</f>
        <v>1</v>
      </c>
      <c r="I967" s="270">
        <f>IF(SUM($F$642:I$642)&lt;&gt;0,$B967,0)</f>
        <v>1</v>
      </c>
      <c r="J967" s="270">
        <f>IF(SUM($F$642:J$642)&lt;&gt;0,$B967,0)</f>
        <v>1</v>
      </c>
      <c r="K967" s="270">
        <f>IF(SUM($F$642:K$642)&lt;&gt;0,$B967,0)</f>
        <v>1</v>
      </c>
      <c r="L967" s="270">
        <f>IF(SUM($F$642:L$642)&lt;&gt;0,$B967,0)</f>
        <v>1</v>
      </c>
      <c r="M967" s="270">
        <f>IF(SUM($F$642:M$642)&lt;&gt;0,$B967,0)</f>
        <v>1</v>
      </c>
      <c r="N967" s="270">
        <f>IF(SUM($F$642:N$642)&lt;&gt;0,$B967,0)</f>
        <v>1</v>
      </c>
      <c r="O967" s="270">
        <f>IF(SUM($F$642:O$642)&lt;&gt;0,$B967,0)</f>
        <v>1</v>
      </c>
      <c r="P967" s="270">
        <f>IF(SUM($F$642:P$642)&lt;&gt;0,$B967,0)</f>
        <v>1</v>
      </c>
      <c r="Q967" s="270">
        <f>IF(SUM($F$642:Q$642)&lt;&gt;0,$B967,0)</f>
        <v>1</v>
      </c>
      <c r="S967" s="54"/>
    </row>
    <row r="968" spans="1:19" s="48" customFormat="1" outlineLevel="1" collapsed="1" x14ac:dyDescent="0.2">
      <c r="A968" s="52" t="str">
        <f ca="1">Language!A$588</f>
        <v>Месячный оклад</v>
      </c>
      <c r="B968" s="288">
        <v>110000</v>
      </c>
      <c r="C968" s="87" t="str">
        <f ca="1">CHOOSE(B966,CUR_Main,CUR_Foreign)</f>
        <v>руб.</v>
      </c>
      <c r="D968" s="16" t="s">
        <v>176</v>
      </c>
      <c r="F968" s="285">
        <f>B968</f>
        <v>110000</v>
      </c>
      <c r="G968" s="285">
        <f t="shared" ref="G968" si="1208">F968*IF(CalcMethod=2,1+F970,1)</f>
        <v>110000</v>
      </c>
      <c r="H968" s="285">
        <v>0</v>
      </c>
      <c r="I968" s="285">
        <f t="shared" ref="I968" si="1209">H968*IF(CalcMethod=2,1+H970,1)</f>
        <v>0</v>
      </c>
      <c r="J968" s="285">
        <f t="shared" ref="J968" si="1210">I968*IF(CalcMethod=2,1+I970,1)</f>
        <v>0</v>
      </c>
      <c r="K968" s="285">
        <f t="shared" ref="K968" si="1211">J968*IF(CalcMethod=2,1+J970,1)</f>
        <v>0</v>
      </c>
      <c r="L968" s="285">
        <f t="shared" ref="L968" si="1212">K968*IF(CalcMethod=2,1+K970,1)</f>
        <v>0</v>
      </c>
      <c r="M968" s="285">
        <f t="shared" ref="M968:Q968" si="1213">L968*IF(CalcMethod=2,1+L970,1)</f>
        <v>0</v>
      </c>
      <c r="N968" s="285">
        <f t="shared" si="1213"/>
        <v>0</v>
      </c>
      <c r="O968" s="285">
        <f t="shared" si="1213"/>
        <v>0</v>
      </c>
      <c r="P968" s="285">
        <f t="shared" si="1213"/>
        <v>0</v>
      </c>
      <c r="Q968" s="285">
        <f t="shared" si="1213"/>
        <v>0</v>
      </c>
      <c r="S968" s="94"/>
    </row>
    <row r="969" spans="1:19" hidden="1" outlineLevel="2" x14ac:dyDescent="0.2">
      <c r="A969" t="str">
        <f ca="1">Language!A$104</f>
        <v>Предполагаемый темп годового роста цен</v>
      </c>
      <c r="C969" s="5" t="s">
        <v>177</v>
      </c>
      <c r="D969" s="16" t="s">
        <v>176</v>
      </c>
      <c r="F969" s="269">
        <f t="shared" ref="F969:M969" si="1214">CHOOSE($B966,F$80,F$91)</f>
        <v>8.0000000000000002E-3</v>
      </c>
      <c r="G969" s="269">
        <f t="shared" si="1214"/>
        <v>8.0000000000000002E-3</v>
      </c>
      <c r="H969" s="269">
        <f t="shared" si="1214"/>
        <v>8.0000000000000002E-3</v>
      </c>
      <c r="I969" s="269">
        <f t="shared" si="1214"/>
        <v>8.0000000000000002E-3</v>
      </c>
      <c r="J969" s="269">
        <f t="shared" si="1214"/>
        <v>8.0000000000000002E-3</v>
      </c>
      <c r="K969" s="269">
        <f t="shared" si="1214"/>
        <v>8.0000000000000002E-3</v>
      </c>
      <c r="L969" s="269">
        <f t="shared" si="1214"/>
        <v>8.0000000000000002E-3</v>
      </c>
      <c r="M969" s="269">
        <f t="shared" si="1214"/>
        <v>8.0000000000000002E-3</v>
      </c>
      <c r="N969" s="269">
        <f t="shared" ref="N969" si="1215">CHOOSE($B966,N$80,N$91)</f>
        <v>8.0000000000000002E-3</v>
      </c>
      <c r="O969" s="269">
        <f t="shared" ref="O969" si="1216">CHOOSE($B966,O$80,O$91)</f>
        <v>8.0000000000000002E-3</v>
      </c>
      <c r="P969" s="269">
        <f t="shared" ref="P969:Q969" si="1217">CHOOSE($B966,P$80,P$91)</f>
        <v>8.0000000000000002E-3</v>
      </c>
      <c r="Q969" s="269">
        <f t="shared" si="1217"/>
        <v>8.0000000000000002E-3</v>
      </c>
      <c r="S969" s="54"/>
    </row>
    <row r="970" spans="1:19" hidden="1" outlineLevel="2" x14ac:dyDescent="0.2">
      <c r="A970" t="str">
        <f ca="1">Language!A$106</f>
        <v>То же, в пересчете на период, равный шагу проекта</v>
      </c>
      <c r="C970" s="5" t="s">
        <v>177</v>
      </c>
      <c r="D970" s="16" t="s">
        <v>176</v>
      </c>
      <c r="F970" s="30">
        <f t="shared" ref="F970:M970" si="1218">POWER(1+F969,PRJ_Step/360)-1</f>
        <v>6.6423464362252993E-4</v>
      </c>
      <c r="G970" s="30">
        <f t="shared" si="1218"/>
        <v>6.6423464362252993E-4</v>
      </c>
      <c r="H970" s="30">
        <f t="shared" si="1218"/>
        <v>6.6423464362252993E-4</v>
      </c>
      <c r="I970" s="30">
        <f t="shared" si="1218"/>
        <v>6.6423464362252993E-4</v>
      </c>
      <c r="J970" s="30">
        <f t="shared" si="1218"/>
        <v>6.6423464362252993E-4</v>
      </c>
      <c r="K970" s="30">
        <f t="shared" si="1218"/>
        <v>6.6423464362252993E-4</v>
      </c>
      <c r="L970" s="30">
        <f t="shared" si="1218"/>
        <v>6.6423464362252993E-4</v>
      </c>
      <c r="M970" s="30">
        <f t="shared" si="1218"/>
        <v>6.6423464362252993E-4</v>
      </c>
      <c r="N970" s="30">
        <f t="shared" ref="N970" si="1219">POWER(1+N969,PRJ_Step/360)-1</f>
        <v>6.6423464362252993E-4</v>
      </c>
      <c r="O970" s="30">
        <f t="shared" ref="O970" si="1220">POWER(1+O969,PRJ_Step/360)-1</f>
        <v>6.6423464362252993E-4</v>
      </c>
      <c r="P970" s="30">
        <f t="shared" ref="P970:Q970" si="1221">POWER(1+P969,PRJ_Step/360)-1</f>
        <v>6.6423464362252993E-4</v>
      </c>
      <c r="Q970" s="30">
        <f t="shared" si="1221"/>
        <v>6.6423464362252993E-4</v>
      </c>
      <c r="S970" s="54"/>
    </row>
    <row r="971" spans="1:19" outlineLevel="1" x14ac:dyDescent="0.2">
      <c r="A971" s="274" t="s">
        <v>2699</v>
      </c>
      <c r="B971" s="255">
        <v>1</v>
      </c>
      <c r="C971" s="87" t="str">
        <f ca="1">CHOOSE(B971,CUR_Main,CUR_Foreign)</f>
        <v>руб.</v>
      </c>
      <c r="D971" s="16" t="str">
        <f>TEXT(B971,"0")&amp;"_02"</f>
        <v>1_02</v>
      </c>
      <c r="F971" s="53">
        <f t="shared" ref="F971:M971" si="1222">F973*F972*PRJ_Step/30</f>
        <v>250000</v>
      </c>
      <c r="G971" s="53">
        <f t="shared" si="1222"/>
        <v>0</v>
      </c>
      <c r="H971" s="53">
        <f t="shared" si="1222"/>
        <v>0</v>
      </c>
      <c r="I971" s="53">
        <f t="shared" si="1222"/>
        <v>0</v>
      </c>
      <c r="J971" s="53">
        <f t="shared" si="1222"/>
        <v>0</v>
      </c>
      <c r="K971" s="53">
        <f t="shared" si="1222"/>
        <v>0</v>
      </c>
      <c r="L971" s="53">
        <f t="shared" si="1222"/>
        <v>0</v>
      </c>
      <c r="M971" s="53">
        <f t="shared" si="1222"/>
        <v>0</v>
      </c>
      <c r="N971" s="53">
        <f t="shared" ref="N971" si="1223">N973*N972*PRJ_Step/30</f>
        <v>0</v>
      </c>
      <c r="O971" s="53">
        <f t="shared" ref="O971" si="1224">O973*O972*PRJ_Step/30</f>
        <v>0</v>
      </c>
      <c r="P971" s="53">
        <f t="shared" ref="P971:Q971" si="1225">P973*P972*PRJ_Step/30</f>
        <v>0</v>
      </c>
      <c r="Q971" s="53">
        <f t="shared" si="1225"/>
        <v>0</v>
      </c>
      <c r="S971" s="54">
        <f>SUM(F971:Q971)</f>
        <v>250000</v>
      </c>
    </row>
    <row r="972" spans="1:19" outlineLevel="1" x14ac:dyDescent="0.2">
      <c r="A972" t="str">
        <f ca="1">Language!A$589</f>
        <v>Количество</v>
      </c>
      <c r="B972" s="271">
        <v>1</v>
      </c>
      <c r="C972" s="5" t="str">
        <f ca="1">Language!A$591</f>
        <v>чел.</v>
      </c>
      <c r="D972" s="16" t="s">
        <v>2209</v>
      </c>
      <c r="F972" s="270">
        <v>1</v>
      </c>
      <c r="G972" s="270">
        <f>IF(SUM($F$642:G$642)&lt;&gt;0,$B972,0)</f>
        <v>0</v>
      </c>
      <c r="H972" s="270">
        <f>IF(SUM($F$642:H$642)&lt;&gt;0,$B972,0)</f>
        <v>1</v>
      </c>
      <c r="I972" s="270">
        <f>IF(SUM($F$642:I$642)&lt;&gt;0,$B972,0)</f>
        <v>1</v>
      </c>
      <c r="J972" s="270">
        <f>IF(SUM($F$642:J$642)&lt;&gt;0,$B972,0)</f>
        <v>1</v>
      </c>
      <c r="K972" s="270">
        <f>IF(SUM($F$642:K$642)&lt;&gt;0,$B972,0)</f>
        <v>1</v>
      </c>
      <c r="L972" s="270">
        <f>IF(SUM($F$642:L$642)&lt;&gt;0,$B972,0)</f>
        <v>1</v>
      </c>
      <c r="M972" s="270">
        <f>IF(SUM($F$642:M$642)&lt;&gt;0,$B972,0)</f>
        <v>1</v>
      </c>
      <c r="N972" s="270">
        <f>IF(SUM($F$642:N$642)&lt;&gt;0,$B972,0)</f>
        <v>1</v>
      </c>
      <c r="O972" s="270">
        <f>IF(SUM($F$642:O$642)&lt;&gt;0,$B972,0)</f>
        <v>1</v>
      </c>
      <c r="P972" s="270">
        <f>IF(SUM($F$642:P$642)&lt;&gt;0,$B972,0)</f>
        <v>1</v>
      </c>
      <c r="Q972" s="270">
        <f>IF(SUM($F$642:Q$642)&lt;&gt;0,$B972,0)</f>
        <v>1</v>
      </c>
      <c r="S972" s="54"/>
    </row>
    <row r="973" spans="1:19" s="48" customFormat="1" outlineLevel="1" collapsed="1" x14ac:dyDescent="0.2">
      <c r="A973" s="52" t="str">
        <f ca="1">Language!A$588</f>
        <v>Месячный оклад</v>
      </c>
      <c r="B973" s="288">
        <v>250000</v>
      </c>
      <c r="C973" s="87" t="str">
        <f ca="1">CHOOSE(B971,CUR_Main,CUR_Foreign)</f>
        <v>руб.</v>
      </c>
      <c r="D973" s="16" t="s">
        <v>176</v>
      </c>
      <c r="F973" s="285">
        <f>B973</f>
        <v>250000</v>
      </c>
      <c r="G973" s="285">
        <f t="shared" ref="G973" si="1226">F973*IF(CalcMethod=2,1+F975,1)</f>
        <v>250000</v>
      </c>
      <c r="H973" s="285">
        <v>0</v>
      </c>
      <c r="I973" s="285">
        <f t="shared" ref="I973" si="1227">H973*IF(CalcMethod=2,1+H975,1)</f>
        <v>0</v>
      </c>
      <c r="J973" s="285">
        <f t="shared" ref="J973" si="1228">I973*IF(CalcMethod=2,1+I975,1)</f>
        <v>0</v>
      </c>
      <c r="K973" s="285">
        <f t="shared" ref="K973" si="1229">J973*IF(CalcMethod=2,1+J975,1)</f>
        <v>0</v>
      </c>
      <c r="L973" s="285">
        <f t="shared" ref="L973" si="1230">K973*IF(CalcMethod=2,1+K975,1)</f>
        <v>0</v>
      </c>
      <c r="M973" s="285">
        <f t="shared" ref="M973:Q973" si="1231">L973*IF(CalcMethod=2,1+L975,1)</f>
        <v>0</v>
      </c>
      <c r="N973" s="285">
        <f t="shared" si="1231"/>
        <v>0</v>
      </c>
      <c r="O973" s="285">
        <f t="shared" si="1231"/>
        <v>0</v>
      </c>
      <c r="P973" s="285">
        <f t="shared" si="1231"/>
        <v>0</v>
      </c>
      <c r="Q973" s="285">
        <f t="shared" si="1231"/>
        <v>0</v>
      </c>
      <c r="S973" s="94"/>
    </row>
    <row r="974" spans="1:19" hidden="1" outlineLevel="2" x14ac:dyDescent="0.2">
      <c r="A974" t="str">
        <f ca="1">Language!A$104</f>
        <v>Предполагаемый темп годового роста цен</v>
      </c>
      <c r="C974" s="5" t="s">
        <v>177</v>
      </c>
      <c r="D974" s="16" t="s">
        <v>176</v>
      </c>
      <c r="F974" s="269">
        <f t="shared" ref="F974:M974" si="1232">CHOOSE($B971,F$80,F$91)</f>
        <v>8.0000000000000002E-3</v>
      </c>
      <c r="G974" s="269">
        <f t="shared" si="1232"/>
        <v>8.0000000000000002E-3</v>
      </c>
      <c r="H974" s="269">
        <f t="shared" si="1232"/>
        <v>8.0000000000000002E-3</v>
      </c>
      <c r="I974" s="269">
        <f t="shared" si="1232"/>
        <v>8.0000000000000002E-3</v>
      </c>
      <c r="J974" s="269">
        <f t="shared" si="1232"/>
        <v>8.0000000000000002E-3</v>
      </c>
      <c r="K974" s="269">
        <f t="shared" si="1232"/>
        <v>8.0000000000000002E-3</v>
      </c>
      <c r="L974" s="269">
        <f t="shared" si="1232"/>
        <v>8.0000000000000002E-3</v>
      </c>
      <c r="M974" s="269">
        <f t="shared" si="1232"/>
        <v>8.0000000000000002E-3</v>
      </c>
      <c r="N974" s="269">
        <f t="shared" ref="N974" si="1233">CHOOSE($B971,N$80,N$91)</f>
        <v>8.0000000000000002E-3</v>
      </c>
      <c r="O974" s="269">
        <f t="shared" ref="O974" si="1234">CHOOSE($B971,O$80,O$91)</f>
        <v>8.0000000000000002E-3</v>
      </c>
      <c r="P974" s="269">
        <f t="shared" ref="P974:Q974" si="1235">CHOOSE($B971,P$80,P$91)</f>
        <v>8.0000000000000002E-3</v>
      </c>
      <c r="Q974" s="269">
        <f t="shared" si="1235"/>
        <v>8.0000000000000002E-3</v>
      </c>
      <c r="S974" s="54"/>
    </row>
    <row r="975" spans="1:19" hidden="1" outlineLevel="2" x14ac:dyDescent="0.2">
      <c r="A975" t="str">
        <f ca="1">Language!A$106</f>
        <v>То же, в пересчете на период, равный шагу проекта</v>
      </c>
      <c r="C975" s="5" t="s">
        <v>177</v>
      </c>
      <c r="D975" s="16" t="s">
        <v>176</v>
      </c>
      <c r="F975" s="30">
        <f t="shared" ref="F975:M975" si="1236">POWER(1+F974,PRJ_Step/360)-1</f>
        <v>6.6423464362252993E-4</v>
      </c>
      <c r="G975" s="30">
        <f t="shared" si="1236"/>
        <v>6.6423464362252993E-4</v>
      </c>
      <c r="H975" s="30">
        <f t="shared" si="1236"/>
        <v>6.6423464362252993E-4</v>
      </c>
      <c r="I975" s="30">
        <f t="shared" si="1236"/>
        <v>6.6423464362252993E-4</v>
      </c>
      <c r="J975" s="30">
        <f t="shared" si="1236"/>
        <v>6.6423464362252993E-4</v>
      </c>
      <c r="K975" s="30">
        <f t="shared" si="1236"/>
        <v>6.6423464362252993E-4</v>
      </c>
      <c r="L975" s="30">
        <f t="shared" si="1236"/>
        <v>6.6423464362252993E-4</v>
      </c>
      <c r="M975" s="30">
        <f t="shared" si="1236"/>
        <v>6.6423464362252993E-4</v>
      </c>
      <c r="N975" s="30">
        <f t="shared" ref="N975" si="1237">POWER(1+N974,PRJ_Step/360)-1</f>
        <v>6.6423464362252993E-4</v>
      </c>
      <c r="O975" s="30">
        <f t="shared" ref="O975" si="1238">POWER(1+O974,PRJ_Step/360)-1</f>
        <v>6.6423464362252993E-4</v>
      </c>
      <c r="P975" s="30">
        <f t="shared" ref="P975:Q975" si="1239">POWER(1+P974,PRJ_Step/360)-1</f>
        <v>6.6423464362252993E-4</v>
      </c>
      <c r="Q975" s="30">
        <f t="shared" si="1239"/>
        <v>6.6423464362252993E-4</v>
      </c>
      <c r="S975" s="54"/>
    </row>
    <row r="976" spans="1:19" outlineLevel="1" x14ac:dyDescent="0.2">
      <c r="S976" s="54"/>
    </row>
    <row r="977" spans="1:19" outlineLevel="1" x14ac:dyDescent="0.2">
      <c r="A977" s="63"/>
      <c r="B977" s="63"/>
      <c r="C977" s="63"/>
      <c r="D977" s="63"/>
      <c r="E977" s="63"/>
      <c r="F977" s="63"/>
      <c r="G977" s="63"/>
      <c r="H977" s="63"/>
      <c r="I977" s="63"/>
      <c r="J977" s="63"/>
      <c r="K977" s="63"/>
      <c r="L977" s="63"/>
      <c r="M977" s="63"/>
      <c r="N977" s="63"/>
      <c r="O977" s="63"/>
      <c r="P977" s="63"/>
      <c r="Q977" s="63"/>
      <c r="R977" s="63"/>
      <c r="S977" s="122"/>
    </row>
    <row r="978" spans="1:19" ht="10.5" outlineLevel="1" x14ac:dyDescent="0.25">
      <c r="A978" s="35" t="str">
        <f ca="1">Language!A585</f>
        <v>Административный персонал</v>
      </c>
      <c r="S978" s="54"/>
    </row>
    <row r="979" spans="1:19" outlineLevel="1" x14ac:dyDescent="0.2">
      <c r="B979" s="36" t="str">
        <f ca="1">Language!A$73</f>
        <v>Валюта</v>
      </c>
      <c r="C979" s="88"/>
      <c r="D979">
        <v>4</v>
      </c>
      <c r="E979">
        <v>5</v>
      </c>
      <c r="S979" s="54"/>
    </row>
    <row r="980" spans="1:19" outlineLevel="1" x14ac:dyDescent="0.2">
      <c r="A980" s="274" t="s">
        <v>2687</v>
      </c>
      <c r="B980" s="255">
        <v>1</v>
      </c>
      <c r="C980" s="87" t="str">
        <f ca="1">CHOOSE(B980,CUR_Main,CUR_Foreign)</f>
        <v>руб.</v>
      </c>
      <c r="D980" s="16" t="str">
        <f>TEXT(B980,"0")&amp;"_03"</f>
        <v>1_03</v>
      </c>
      <c r="F980" s="53">
        <f t="shared" ref="F980:M980" si="1240">F982*F981*PRJ_Step/30</f>
        <v>82000</v>
      </c>
      <c r="G980" s="53">
        <f t="shared" si="1240"/>
        <v>82000</v>
      </c>
      <c r="H980" s="53">
        <f t="shared" si="1240"/>
        <v>82000</v>
      </c>
      <c r="I980" s="53">
        <f t="shared" si="1240"/>
        <v>82000</v>
      </c>
      <c r="J980" s="53">
        <f t="shared" si="1240"/>
        <v>82000</v>
      </c>
      <c r="K980" s="53">
        <f t="shared" si="1240"/>
        <v>82000</v>
      </c>
      <c r="L980" s="53">
        <f t="shared" si="1240"/>
        <v>82000</v>
      </c>
      <c r="M980" s="53">
        <f t="shared" si="1240"/>
        <v>82000</v>
      </c>
      <c r="N980" s="53">
        <f t="shared" ref="N980" si="1241">N982*N981*PRJ_Step/30</f>
        <v>82000</v>
      </c>
      <c r="O980" s="53">
        <f t="shared" ref="O980" si="1242">O982*O981*PRJ_Step/30</f>
        <v>82000</v>
      </c>
      <c r="P980" s="53">
        <f t="shared" ref="P980:Q980" si="1243">P982*P981*PRJ_Step/30</f>
        <v>82000</v>
      </c>
      <c r="Q980" s="53">
        <f t="shared" si="1243"/>
        <v>82000</v>
      </c>
      <c r="S980" s="54">
        <f>SUM(F980:Q980)</f>
        <v>984000</v>
      </c>
    </row>
    <row r="981" spans="1:19" outlineLevel="1" x14ac:dyDescent="0.2">
      <c r="A981" t="str">
        <f ca="1">Language!A$589</f>
        <v>Количество</v>
      </c>
      <c r="B981" s="271">
        <v>1</v>
      </c>
      <c r="C981" s="5" t="str">
        <f ca="1">Language!A$591</f>
        <v>чел.</v>
      </c>
      <c r="D981" s="16" t="s">
        <v>2209</v>
      </c>
      <c r="F981" s="270">
        <v>1</v>
      </c>
      <c r="G981" s="270">
        <v>1</v>
      </c>
      <c r="H981" s="270">
        <v>1</v>
      </c>
      <c r="I981" s="270">
        <v>1</v>
      </c>
      <c r="J981" s="270">
        <v>1</v>
      </c>
      <c r="K981" s="270">
        <v>1</v>
      </c>
      <c r="L981" s="270">
        <v>1</v>
      </c>
      <c r="M981" s="270">
        <v>1</v>
      </c>
      <c r="N981" s="270">
        <v>1</v>
      </c>
      <c r="O981" s="270">
        <v>1</v>
      </c>
      <c r="P981" s="270">
        <v>1</v>
      </c>
      <c r="Q981" s="270">
        <v>1</v>
      </c>
      <c r="S981" s="54"/>
    </row>
    <row r="982" spans="1:19" s="48" customFormat="1" outlineLevel="1" collapsed="1" x14ac:dyDescent="0.2">
      <c r="A982" s="52" t="str">
        <f ca="1">Language!A$588</f>
        <v>Месячный оклад</v>
      </c>
      <c r="B982" s="288">
        <v>82000</v>
      </c>
      <c r="C982" s="87" t="str">
        <f ca="1">CHOOSE(B980,CUR_Main,CUR_Foreign)</f>
        <v>руб.</v>
      </c>
      <c r="D982" s="16" t="s">
        <v>176</v>
      </c>
      <c r="F982" s="288">
        <v>82000</v>
      </c>
      <c r="G982" s="288">
        <v>82000</v>
      </c>
      <c r="H982" s="288">
        <v>82000</v>
      </c>
      <c r="I982" s="288">
        <v>82000</v>
      </c>
      <c r="J982" s="288">
        <v>82000</v>
      </c>
      <c r="K982" s="288">
        <v>82000</v>
      </c>
      <c r="L982" s="288">
        <v>82000</v>
      </c>
      <c r="M982" s="288">
        <v>82000</v>
      </c>
      <c r="N982" s="288">
        <v>82000</v>
      </c>
      <c r="O982" s="288">
        <v>82000</v>
      </c>
      <c r="P982" s="288">
        <v>82000</v>
      </c>
      <c r="Q982" s="288">
        <v>82000</v>
      </c>
      <c r="R982" s="288"/>
      <c r="S982" s="94"/>
    </row>
    <row r="983" spans="1:19" hidden="1" outlineLevel="2" x14ac:dyDescent="0.2">
      <c r="A983" t="str">
        <f ca="1">Language!A$104</f>
        <v>Предполагаемый темп годового роста цен</v>
      </c>
      <c r="C983" s="5" t="s">
        <v>177</v>
      </c>
      <c r="D983" s="16" t="s">
        <v>176</v>
      </c>
      <c r="F983" s="269">
        <f t="shared" ref="F983:M983" si="1244">CHOOSE($B980,F$80,F$91)</f>
        <v>8.0000000000000002E-3</v>
      </c>
      <c r="G983" s="269">
        <f t="shared" si="1244"/>
        <v>8.0000000000000002E-3</v>
      </c>
      <c r="H983" s="269">
        <f t="shared" si="1244"/>
        <v>8.0000000000000002E-3</v>
      </c>
      <c r="I983" s="269">
        <f t="shared" si="1244"/>
        <v>8.0000000000000002E-3</v>
      </c>
      <c r="J983" s="269">
        <f t="shared" si="1244"/>
        <v>8.0000000000000002E-3</v>
      </c>
      <c r="K983" s="269">
        <f t="shared" si="1244"/>
        <v>8.0000000000000002E-3</v>
      </c>
      <c r="L983" s="269">
        <f t="shared" si="1244"/>
        <v>8.0000000000000002E-3</v>
      </c>
      <c r="M983" s="269">
        <f t="shared" si="1244"/>
        <v>8.0000000000000002E-3</v>
      </c>
      <c r="N983" s="269">
        <f t="shared" ref="N983" si="1245">CHOOSE($B980,N$80,N$91)</f>
        <v>8.0000000000000002E-3</v>
      </c>
      <c r="O983" s="269">
        <f t="shared" ref="O983" si="1246">CHOOSE($B980,O$80,O$91)</f>
        <v>8.0000000000000002E-3</v>
      </c>
      <c r="P983" s="269">
        <f t="shared" ref="P983:Q983" si="1247">CHOOSE($B980,P$80,P$91)</f>
        <v>8.0000000000000002E-3</v>
      </c>
      <c r="Q983" s="269">
        <f t="shared" si="1247"/>
        <v>8.0000000000000002E-3</v>
      </c>
      <c r="S983" s="54"/>
    </row>
    <row r="984" spans="1:19" hidden="1" outlineLevel="2" x14ac:dyDescent="0.2">
      <c r="A984" t="str">
        <f ca="1">Language!A$106</f>
        <v>То же, в пересчете на период, равный шагу проекта</v>
      </c>
      <c r="C984" s="5" t="s">
        <v>177</v>
      </c>
      <c r="D984" s="16" t="s">
        <v>176</v>
      </c>
      <c r="F984" s="30">
        <f t="shared" ref="F984:M984" si="1248">POWER(1+F983,PRJ_Step/360)-1</f>
        <v>6.6423464362252993E-4</v>
      </c>
      <c r="G984" s="30">
        <f t="shared" si="1248"/>
        <v>6.6423464362252993E-4</v>
      </c>
      <c r="H984" s="30">
        <f t="shared" si="1248"/>
        <v>6.6423464362252993E-4</v>
      </c>
      <c r="I984" s="30">
        <f t="shared" si="1248"/>
        <v>6.6423464362252993E-4</v>
      </c>
      <c r="J984" s="30">
        <f t="shared" si="1248"/>
        <v>6.6423464362252993E-4</v>
      </c>
      <c r="K984" s="30">
        <f t="shared" si="1248"/>
        <v>6.6423464362252993E-4</v>
      </c>
      <c r="L984" s="30">
        <f t="shared" si="1248"/>
        <v>6.6423464362252993E-4</v>
      </c>
      <c r="M984" s="30">
        <f t="shared" si="1248"/>
        <v>6.6423464362252993E-4</v>
      </c>
      <c r="N984" s="30">
        <f t="shared" ref="N984" si="1249">POWER(1+N983,PRJ_Step/360)-1</f>
        <v>6.6423464362252993E-4</v>
      </c>
      <c r="O984" s="30">
        <f t="shared" ref="O984" si="1250">POWER(1+O983,PRJ_Step/360)-1</f>
        <v>6.6423464362252993E-4</v>
      </c>
      <c r="P984" s="30">
        <f t="shared" ref="P984:Q984" si="1251">POWER(1+P983,PRJ_Step/360)-1</f>
        <v>6.6423464362252993E-4</v>
      </c>
      <c r="Q984" s="30">
        <f t="shared" si="1251"/>
        <v>6.6423464362252993E-4</v>
      </c>
      <c r="S984" s="54"/>
    </row>
    <row r="985" spans="1:19" outlineLevel="1" x14ac:dyDescent="0.2">
      <c r="A985" s="274" t="s">
        <v>2699</v>
      </c>
      <c r="B985" s="255">
        <v>1</v>
      </c>
      <c r="C985" s="87" t="str">
        <f ca="1">CHOOSE(B985,CUR_Main,CUR_Foreign)</f>
        <v>руб.</v>
      </c>
      <c r="D985" s="16" t="str">
        <f>TEXT(B985,"0")&amp;"_03"</f>
        <v>1_03</v>
      </c>
      <c r="F985" s="53">
        <f t="shared" ref="F985:M985" si="1252">F987*F986*PRJ_Step/30</f>
        <v>22000</v>
      </c>
      <c r="G985" s="53">
        <f t="shared" si="1252"/>
        <v>22000</v>
      </c>
      <c r="H985" s="53">
        <f t="shared" si="1252"/>
        <v>22000</v>
      </c>
      <c r="I985" s="53">
        <f t="shared" si="1252"/>
        <v>22000</v>
      </c>
      <c r="J985" s="53">
        <f t="shared" si="1252"/>
        <v>22000</v>
      </c>
      <c r="K985" s="53">
        <f t="shared" si="1252"/>
        <v>22000</v>
      </c>
      <c r="L985" s="53">
        <f t="shared" si="1252"/>
        <v>22000</v>
      </c>
      <c r="M985" s="53">
        <f t="shared" si="1252"/>
        <v>22000</v>
      </c>
      <c r="N985" s="53">
        <f t="shared" ref="N985" si="1253">N987*N986*PRJ_Step/30</f>
        <v>22000</v>
      </c>
      <c r="O985" s="53">
        <f t="shared" ref="O985" si="1254">O987*O986*PRJ_Step/30</f>
        <v>22000</v>
      </c>
      <c r="P985" s="53">
        <f t="shared" ref="P985:Q985" si="1255">P987*P986*PRJ_Step/30</f>
        <v>22000</v>
      </c>
      <c r="Q985" s="53">
        <f t="shared" si="1255"/>
        <v>22000</v>
      </c>
      <c r="S985" s="54">
        <f>SUM(F985:Q985)</f>
        <v>264000</v>
      </c>
    </row>
    <row r="986" spans="1:19" outlineLevel="1" x14ac:dyDescent="0.2">
      <c r="A986" t="str">
        <f ca="1">Language!A$589</f>
        <v>Количество</v>
      </c>
      <c r="B986" s="271">
        <v>1</v>
      </c>
      <c r="C986" s="5" t="str">
        <f ca="1">Language!A$591</f>
        <v>чел.</v>
      </c>
      <c r="D986" s="16" t="s">
        <v>2209</v>
      </c>
      <c r="F986" s="270">
        <v>1</v>
      </c>
      <c r="G986" s="270">
        <v>1</v>
      </c>
      <c r="H986" s="270">
        <v>1</v>
      </c>
      <c r="I986" s="270">
        <v>1</v>
      </c>
      <c r="J986" s="270">
        <v>1</v>
      </c>
      <c r="K986" s="270">
        <v>1</v>
      </c>
      <c r="L986" s="270">
        <v>1</v>
      </c>
      <c r="M986" s="270">
        <v>1</v>
      </c>
      <c r="N986" s="270">
        <v>1</v>
      </c>
      <c r="O986" s="270">
        <v>1</v>
      </c>
      <c r="P986" s="270">
        <v>1</v>
      </c>
      <c r="Q986" s="270">
        <v>1</v>
      </c>
      <c r="S986" s="54"/>
    </row>
    <row r="987" spans="1:19" s="48" customFormat="1" outlineLevel="1" collapsed="1" x14ac:dyDescent="0.2">
      <c r="A987" s="52" t="str">
        <f ca="1">Language!A$588</f>
        <v>Месячный оклад</v>
      </c>
      <c r="B987" s="288">
        <v>22000</v>
      </c>
      <c r="C987" s="87" t="str">
        <f ca="1">CHOOSE(B985,CUR_Main,CUR_Foreign)</f>
        <v>руб.</v>
      </c>
      <c r="D987" s="16" t="s">
        <v>176</v>
      </c>
      <c r="F987" s="288">
        <v>22000</v>
      </c>
      <c r="G987" s="288">
        <v>22000</v>
      </c>
      <c r="H987" s="288">
        <v>22000</v>
      </c>
      <c r="I987" s="288">
        <v>22000</v>
      </c>
      <c r="J987" s="288">
        <v>22000</v>
      </c>
      <c r="K987" s="288">
        <v>22000</v>
      </c>
      <c r="L987" s="288">
        <v>22000</v>
      </c>
      <c r="M987" s="288">
        <v>22000</v>
      </c>
      <c r="N987" s="288">
        <v>22000</v>
      </c>
      <c r="O987" s="288">
        <v>22000</v>
      </c>
      <c r="P987" s="288">
        <v>22000</v>
      </c>
      <c r="Q987" s="288">
        <v>22000</v>
      </c>
      <c r="S987" s="94"/>
    </row>
    <row r="988" spans="1:19" hidden="1" outlineLevel="2" x14ac:dyDescent="0.2">
      <c r="A988" t="str">
        <f ca="1">Language!A$104</f>
        <v>Предполагаемый темп годового роста цен</v>
      </c>
      <c r="C988" s="5" t="s">
        <v>177</v>
      </c>
      <c r="D988" s="16" t="s">
        <v>176</v>
      </c>
      <c r="F988" s="269">
        <f t="shared" ref="F988:M988" si="1256">CHOOSE($B985,F$80,F$91)</f>
        <v>8.0000000000000002E-3</v>
      </c>
      <c r="G988" s="269">
        <f t="shared" si="1256"/>
        <v>8.0000000000000002E-3</v>
      </c>
      <c r="H988" s="269">
        <f t="shared" si="1256"/>
        <v>8.0000000000000002E-3</v>
      </c>
      <c r="I988" s="269">
        <f t="shared" si="1256"/>
        <v>8.0000000000000002E-3</v>
      </c>
      <c r="J988" s="269">
        <f t="shared" si="1256"/>
        <v>8.0000000000000002E-3</v>
      </c>
      <c r="K988" s="269">
        <f t="shared" si="1256"/>
        <v>8.0000000000000002E-3</v>
      </c>
      <c r="L988" s="269">
        <f t="shared" si="1256"/>
        <v>8.0000000000000002E-3</v>
      </c>
      <c r="M988" s="269">
        <f t="shared" si="1256"/>
        <v>8.0000000000000002E-3</v>
      </c>
      <c r="N988" s="269">
        <f t="shared" ref="N988" si="1257">CHOOSE($B985,N$80,N$91)</f>
        <v>8.0000000000000002E-3</v>
      </c>
      <c r="O988" s="269">
        <f t="shared" ref="O988" si="1258">CHOOSE($B985,O$80,O$91)</f>
        <v>8.0000000000000002E-3</v>
      </c>
      <c r="P988" s="269">
        <f t="shared" ref="P988:Q988" si="1259">CHOOSE($B985,P$80,P$91)</f>
        <v>8.0000000000000002E-3</v>
      </c>
      <c r="Q988" s="269">
        <f t="shared" si="1259"/>
        <v>8.0000000000000002E-3</v>
      </c>
      <c r="S988" s="54"/>
    </row>
    <row r="989" spans="1:19" hidden="1" outlineLevel="2" x14ac:dyDescent="0.2">
      <c r="A989" t="str">
        <f ca="1">Language!A$106</f>
        <v>То же, в пересчете на период, равный шагу проекта</v>
      </c>
      <c r="C989" s="5" t="s">
        <v>177</v>
      </c>
      <c r="D989" s="16" t="s">
        <v>176</v>
      </c>
      <c r="F989" s="30">
        <f t="shared" ref="F989:M989" si="1260">POWER(1+F988,PRJ_Step/360)-1</f>
        <v>6.6423464362252993E-4</v>
      </c>
      <c r="G989" s="30">
        <f t="shared" si="1260"/>
        <v>6.6423464362252993E-4</v>
      </c>
      <c r="H989" s="30">
        <f t="shared" si="1260"/>
        <v>6.6423464362252993E-4</v>
      </c>
      <c r="I989" s="30">
        <f t="shared" si="1260"/>
        <v>6.6423464362252993E-4</v>
      </c>
      <c r="J989" s="30">
        <f t="shared" si="1260"/>
        <v>6.6423464362252993E-4</v>
      </c>
      <c r="K989" s="30">
        <f t="shared" si="1260"/>
        <v>6.6423464362252993E-4</v>
      </c>
      <c r="L989" s="30">
        <f t="shared" si="1260"/>
        <v>6.6423464362252993E-4</v>
      </c>
      <c r="M989" s="30">
        <f t="shared" si="1260"/>
        <v>6.6423464362252993E-4</v>
      </c>
      <c r="N989" s="30">
        <f t="shared" ref="N989" si="1261">POWER(1+N988,PRJ_Step/360)-1</f>
        <v>6.6423464362252993E-4</v>
      </c>
      <c r="O989" s="30">
        <f t="shared" ref="O989" si="1262">POWER(1+O988,PRJ_Step/360)-1</f>
        <v>6.6423464362252993E-4</v>
      </c>
      <c r="P989" s="30">
        <f t="shared" ref="P989:Q989" si="1263">POWER(1+P988,PRJ_Step/360)-1</f>
        <v>6.6423464362252993E-4</v>
      </c>
      <c r="Q989" s="30">
        <f t="shared" si="1263"/>
        <v>6.6423464362252993E-4</v>
      </c>
      <c r="S989" s="54"/>
    </row>
    <row r="990" spans="1:19" outlineLevel="1" x14ac:dyDescent="0.2">
      <c r="A990" s="274" t="s">
        <v>2700</v>
      </c>
      <c r="B990" s="255">
        <v>1</v>
      </c>
      <c r="C990" s="87" t="str">
        <f ca="1">CHOOSE(B990,CUR_Main,CUR_Foreign)</f>
        <v>руб.</v>
      </c>
      <c r="D990" s="16" t="str">
        <f>TEXT(B990,"0")&amp;"_03"</f>
        <v>1_03</v>
      </c>
      <c r="F990" s="53">
        <f t="shared" ref="F990:M990" si="1264">F992*F991*PRJ_Step/30</f>
        <v>90000</v>
      </c>
      <c r="G990" s="53">
        <f t="shared" si="1264"/>
        <v>90000</v>
      </c>
      <c r="H990" s="53">
        <f t="shared" si="1264"/>
        <v>90000</v>
      </c>
      <c r="I990" s="53">
        <f t="shared" si="1264"/>
        <v>90000</v>
      </c>
      <c r="J990" s="53">
        <f t="shared" si="1264"/>
        <v>90000</v>
      </c>
      <c r="K990" s="53">
        <f t="shared" si="1264"/>
        <v>90000</v>
      </c>
      <c r="L990" s="53">
        <f t="shared" si="1264"/>
        <v>90000</v>
      </c>
      <c r="M990" s="53">
        <f t="shared" si="1264"/>
        <v>90000</v>
      </c>
      <c r="N990" s="53">
        <f t="shared" ref="N990" si="1265">N992*N991*PRJ_Step/30</f>
        <v>90000</v>
      </c>
      <c r="O990" s="53">
        <f t="shared" ref="O990" si="1266">O992*O991*PRJ_Step/30</f>
        <v>90000</v>
      </c>
      <c r="P990" s="53">
        <f t="shared" ref="P990:Q990" si="1267">P992*P991*PRJ_Step/30</f>
        <v>90000</v>
      </c>
      <c r="Q990" s="53">
        <f t="shared" si="1267"/>
        <v>90000</v>
      </c>
      <c r="S990" s="54">
        <f>SUM(F990:Q990)</f>
        <v>1080000</v>
      </c>
    </row>
    <row r="991" spans="1:19" outlineLevel="1" x14ac:dyDescent="0.2">
      <c r="A991" t="str">
        <f ca="1">Language!A$589</f>
        <v>Количество</v>
      </c>
      <c r="B991" s="271">
        <v>2</v>
      </c>
      <c r="C991" s="5" t="str">
        <f ca="1">Language!A$591</f>
        <v>чел.</v>
      </c>
      <c r="D991" s="16" t="s">
        <v>2209</v>
      </c>
      <c r="F991" s="270">
        <v>2</v>
      </c>
      <c r="G991" s="270">
        <v>2</v>
      </c>
      <c r="H991" s="270">
        <v>2</v>
      </c>
      <c r="I991" s="270">
        <v>2</v>
      </c>
      <c r="J991" s="270">
        <v>2</v>
      </c>
      <c r="K991" s="270">
        <v>2</v>
      </c>
      <c r="L991" s="270">
        <v>2</v>
      </c>
      <c r="M991" s="270">
        <v>2</v>
      </c>
      <c r="N991" s="270">
        <v>2</v>
      </c>
      <c r="O991" s="270">
        <v>2</v>
      </c>
      <c r="P991" s="270">
        <v>2</v>
      </c>
      <c r="Q991" s="270">
        <v>2</v>
      </c>
      <c r="S991" s="54"/>
    </row>
    <row r="992" spans="1:19" s="48" customFormat="1" outlineLevel="1" collapsed="1" x14ac:dyDescent="0.2">
      <c r="A992" s="52" t="str">
        <f ca="1">Language!A$588</f>
        <v>Месячный оклад</v>
      </c>
      <c r="B992" s="288">
        <v>45000</v>
      </c>
      <c r="C992" s="87" t="str">
        <f ca="1">CHOOSE(B990,CUR_Main,CUR_Foreign)</f>
        <v>руб.</v>
      </c>
      <c r="D992" s="16" t="s">
        <v>176</v>
      </c>
      <c r="F992" s="288">
        <v>45000</v>
      </c>
      <c r="G992" s="288">
        <v>45000</v>
      </c>
      <c r="H992" s="288">
        <v>45000</v>
      </c>
      <c r="I992" s="288">
        <v>45000</v>
      </c>
      <c r="J992" s="288">
        <v>45000</v>
      </c>
      <c r="K992" s="288">
        <v>45000</v>
      </c>
      <c r="L992" s="288">
        <v>45000</v>
      </c>
      <c r="M992" s="288">
        <v>45000</v>
      </c>
      <c r="N992" s="288">
        <v>45000</v>
      </c>
      <c r="O992" s="288">
        <v>45000</v>
      </c>
      <c r="P992" s="288">
        <v>45000</v>
      </c>
      <c r="Q992" s="288">
        <v>45000</v>
      </c>
      <c r="S992" s="94"/>
    </row>
    <row r="993" spans="1:19" hidden="1" outlineLevel="2" x14ac:dyDescent="0.2">
      <c r="A993" t="str">
        <f ca="1">Language!A$104</f>
        <v>Предполагаемый темп годового роста цен</v>
      </c>
      <c r="C993" s="5" t="s">
        <v>177</v>
      </c>
      <c r="D993" s="16" t="s">
        <v>176</v>
      </c>
      <c r="F993" s="269">
        <f t="shared" ref="F993:M993" si="1268">CHOOSE($B990,F$80,F$91)</f>
        <v>8.0000000000000002E-3</v>
      </c>
      <c r="G993" s="269">
        <f t="shared" si="1268"/>
        <v>8.0000000000000002E-3</v>
      </c>
      <c r="H993" s="269">
        <f t="shared" si="1268"/>
        <v>8.0000000000000002E-3</v>
      </c>
      <c r="I993" s="269">
        <f t="shared" si="1268"/>
        <v>8.0000000000000002E-3</v>
      </c>
      <c r="J993" s="269">
        <f t="shared" si="1268"/>
        <v>8.0000000000000002E-3</v>
      </c>
      <c r="K993" s="269">
        <f t="shared" si="1268"/>
        <v>8.0000000000000002E-3</v>
      </c>
      <c r="L993" s="269">
        <f t="shared" si="1268"/>
        <v>8.0000000000000002E-3</v>
      </c>
      <c r="M993" s="269">
        <f t="shared" si="1268"/>
        <v>8.0000000000000002E-3</v>
      </c>
      <c r="N993" s="269">
        <f t="shared" ref="N993" si="1269">CHOOSE($B990,N$80,N$91)</f>
        <v>8.0000000000000002E-3</v>
      </c>
      <c r="O993" s="269">
        <f t="shared" ref="O993" si="1270">CHOOSE($B990,O$80,O$91)</f>
        <v>8.0000000000000002E-3</v>
      </c>
      <c r="P993" s="269">
        <f t="shared" ref="P993:Q993" si="1271">CHOOSE($B990,P$80,P$91)</f>
        <v>8.0000000000000002E-3</v>
      </c>
      <c r="Q993" s="269">
        <f t="shared" si="1271"/>
        <v>8.0000000000000002E-3</v>
      </c>
      <c r="S993" s="54"/>
    </row>
    <row r="994" spans="1:19" hidden="1" outlineLevel="2" x14ac:dyDescent="0.2">
      <c r="A994" t="str">
        <f ca="1">Language!A$106</f>
        <v>То же, в пересчете на период, равный шагу проекта</v>
      </c>
      <c r="C994" s="5" t="s">
        <v>177</v>
      </c>
      <c r="D994" s="16" t="s">
        <v>176</v>
      </c>
      <c r="F994" s="30">
        <f t="shared" ref="F994:M994" si="1272">POWER(1+F993,PRJ_Step/360)-1</f>
        <v>6.6423464362252993E-4</v>
      </c>
      <c r="G994" s="30">
        <f t="shared" si="1272"/>
        <v>6.6423464362252993E-4</v>
      </c>
      <c r="H994" s="30">
        <f t="shared" si="1272"/>
        <v>6.6423464362252993E-4</v>
      </c>
      <c r="I994" s="30">
        <f t="shared" si="1272"/>
        <v>6.6423464362252993E-4</v>
      </c>
      <c r="J994" s="30">
        <f t="shared" si="1272"/>
        <v>6.6423464362252993E-4</v>
      </c>
      <c r="K994" s="30">
        <f t="shared" si="1272"/>
        <v>6.6423464362252993E-4</v>
      </c>
      <c r="L994" s="30">
        <f t="shared" si="1272"/>
        <v>6.6423464362252993E-4</v>
      </c>
      <c r="M994" s="30">
        <f t="shared" si="1272"/>
        <v>6.6423464362252993E-4</v>
      </c>
      <c r="N994" s="30">
        <f t="shared" ref="N994" si="1273">POWER(1+N993,PRJ_Step/360)-1</f>
        <v>6.6423464362252993E-4</v>
      </c>
      <c r="O994" s="30">
        <f t="shared" ref="O994" si="1274">POWER(1+O993,PRJ_Step/360)-1</f>
        <v>6.6423464362252993E-4</v>
      </c>
      <c r="P994" s="30">
        <f t="shared" ref="P994:Q994" si="1275">POWER(1+P993,PRJ_Step/360)-1</f>
        <v>6.6423464362252993E-4</v>
      </c>
      <c r="Q994" s="30">
        <f t="shared" si="1275"/>
        <v>6.6423464362252993E-4</v>
      </c>
      <c r="S994" s="54"/>
    </row>
    <row r="995" spans="1:19" outlineLevel="1" x14ac:dyDescent="0.2">
      <c r="A995" s="274" t="s">
        <v>2701</v>
      </c>
      <c r="B995" s="255">
        <v>1</v>
      </c>
      <c r="C995" s="87" t="str">
        <f ca="1">CHOOSE(B995,CUR_Main,CUR_Foreign)</f>
        <v>руб.</v>
      </c>
      <c r="D995" s="16" t="str">
        <f>TEXT(B995,"0")&amp;"_03"</f>
        <v>1_03</v>
      </c>
      <c r="F995" s="53">
        <f t="shared" ref="F995:M995" si="1276">F997*F996*PRJ_Step/30</f>
        <v>120000</v>
      </c>
      <c r="G995" s="53">
        <f t="shared" si="1276"/>
        <v>120000</v>
      </c>
      <c r="H995" s="53">
        <f t="shared" si="1276"/>
        <v>120000</v>
      </c>
      <c r="I995" s="53">
        <f t="shared" si="1276"/>
        <v>120000</v>
      </c>
      <c r="J995" s="53">
        <f t="shared" si="1276"/>
        <v>120000</v>
      </c>
      <c r="K995" s="53">
        <f t="shared" si="1276"/>
        <v>120000</v>
      </c>
      <c r="L995" s="53">
        <f t="shared" si="1276"/>
        <v>120000</v>
      </c>
      <c r="M995" s="53">
        <f t="shared" si="1276"/>
        <v>120000</v>
      </c>
      <c r="N995" s="53">
        <f t="shared" ref="N995" si="1277">N997*N996*PRJ_Step/30</f>
        <v>120000</v>
      </c>
      <c r="O995" s="53">
        <f t="shared" ref="O995" si="1278">O997*O996*PRJ_Step/30</f>
        <v>120000</v>
      </c>
      <c r="P995" s="53">
        <f t="shared" ref="P995:Q995" si="1279">P997*P996*PRJ_Step/30</f>
        <v>120000</v>
      </c>
      <c r="Q995" s="53">
        <f t="shared" si="1279"/>
        <v>120000</v>
      </c>
      <c r="S995" s="54">
        <f>SUM(F995:Q995)</f>
        <v>1440000</v>
      </c>
    </row>
    <row r="996" spans="1:19" outlineLevel="1" x14ac:dyDescent="0.2">
      <c r="A996" t="str">
        <f ca="1">Language!A$589</f>
        <v>Количество</v>
      </c>
      <c r="B996" s="271">
        <v>1</v>
      </c>
      <c r="C996" s="5" t="str">
        <f ca="1">Language!A$591</f>
        <v>чел.</v>
      </c>
      <c r="D996" s="16" t="s">
        <v>2209</v>
      </c>
      <c r="F996" s="270">
        <v>1</v>
      </c>
      <c r="G996" s="270">
        <v>1</v>
      </c>
      <c r="H996" s="270">
        <v>1</v>
      </c>
      <c r="I996" s="270">
        <v>1</v>
      </c>
      <c r="J996" s="270">
        <v>1</v>
      </c>
      <c r="K996" s="270">
        <v>1</v>
      </c>
      <c r="L996" s="270">
        <v>1</v>
      </c>
      <c r="M996" s="270">
        <v>1</v>
      </c>
      <c r="N996" s="270">
        <v>1</v>
      </c>
      <c r="O996" s="270">
        <v>1</v>
      </c>
      <c r="P996" s="270">
        <v>1</v>
      </c>
      <c r="Q996" s="270">
        <v>1</v>
      </c>
      <c r="S996" s="54"/>
    </row>
    <row r="997" spans="1:19" s="48" customFormat="1" outlineLevel="1" collapsed="1" x14ac:dyDescent="0.2">
      <c r="A997" s="52" t="str">
        <f ca="1">Language!A$588</f>
        <v>Месячный оклад</v>
      </c>
      <c r="B997" s="288">
        <v>120000</v>
      </c>
      <c r="C997" s="87" t="str">
        <f ca="1">CHOOSE(B995,CUR_Main,CUR_Foreign)</f>
        <v>руб.</v>
      </c>
      <c r="D997" s="16" t="s">
        <v>176</v>
      </c>
      <c r="F997" s="288">
        <v>120000</v>
      </c>
      <c r="G997" s="288">
        <v>120000</v>
      </c>
      <c r="H997" s="288">
        <v>120000</v>
      </c>
      <c r="I997" s="288">
        <v>120000</v>
      </c>
      <c r="J997" s="288">
        <v>120000</v>
      </c>
      <c r="K997" s="288">
        <v>120000</v>
      </c>
      <c r="L997" s="288">
        <v>120000</v>
      </c>
      <c r="M997" s="288">
        <v>120000</v>
      </c>
      <c r="N997" s="288">
        <v>120000</v>
      </c>
      <c r="O997" s="288">
        <v>120000</v>
      </c>
      <c r="P997" s="288">
        <v>120000</v>
      </c>
      <c r="Q997" s="288">
        <v>120000</v>
      </c>
      <c r="S997" s="94"/>
    </row>
    <row r="998" spans="1:19" hidden="1" outlineLevel="2" x14ac:dyDescent="0.2">
      <c r="A998" t="str">
        <f ca="1">Language!A$104</f>
        <v>Предполагаемый темп годового роста цен</v>
      </c>
      <c r="C998" s="5" t="s">
        <v>177</v>
      </c>
      <c r="D998" s="16" t="s">
        <v>176</v>
      </c>
      <c r="F998" s="269">
        <f t="shared" ref="F998:M998" si="1280">CHOOSE($B995,F$80,F$91)</f>
        <v>8.0000000000000002E-3</v>
      </c>
      <c r="G998" s="269">
        <f t="shared" si="1280"/>
        <v>8.0000000000000002E-3</v>
      </c>
      <c r="H998" s="269">
        <f t="shared" si="1280"/>
        <v>8.0000000000000002E-3</v>
      </c>
      <c r="I998" s="269">
        <f t="shared" si="1280"/>
        <v>8.0000000000000002E-3</v>
      </c>
      <c r="J998" s="269">
        <f t="shared" si="1280"/>
        <v>8.0000000000000002E-3</v>
      </c>
      <c r="K998" s="269">
        <f t="shared" si="1280"/>
        <v>8.0000000000000002E-3</v>
      </c>
      <c r="L998" s="269">
        <f t="shared" si="1280"/>
        <v>8.0000000000000002E-3</v>
      </c>
      <c r="M998" s="269">
        <f t="shared" si="1280"/>
        <v>8.0000000000000002E-3</v>
      </c>
      <c r="N998" s="269">
        <f t="shared" ref="N998" si="1281">CHOOSE($B995,N$80,N$91)</f>
        <v>8.0000000000000002E-3</v>
      </c>
      <c r="O998" s="269">
        <f t="shared" ref="O998" si="1282">CHOOSE($B995,O$80,O$91)</f>
        <v>8.0000000000000002E-3</v>
      </c>
      <c r="P998" s="269">
        <f t="shared" ref="P998:Q998" si="1283">CHOOSE($B995,P$80,P$91)</f>
        <v>8.0000000000000002E-3</v>
      </c>
      <c r="Q998" s="269">
        <f t="shared" si="1283"/>
        <v>8.0000000000000002E-3</v>
      </c>
      <c r="S998" s="54"/>
    </row>
    <row r="999" spans="1:19" hidden="1" outlineLevel="2" x14ac:dyDescent="0.2">
      <c r="A999" t="str">
        <f ca="1">Language!A$106</f>
        <v>То же, в пересчете на период, равный шагу проекта</v>
      </c>
      <c r="C999" s="5" t="s">
        <v>177</v>
      </c>
      <c r="D999" s="16" t="s">
        <v>176</v>
      </c>
      <c r="F999" s="30">
        <f t="shared" ref="F999:M999" si="1284">POWER(1+F998,PRJ_Step/360)-1</f>
        <v>6.6423464362252993E-4</v>
      </c>
      <c r="G999" s="30">
        <f t="shared" si="1284"/>
        <v>6.6423464362252993E-4</v>
      </c>
      <c r="H999" s="30">
        <f t="shared" si="1284"/>
        <v>6.6423464362252993E-4</v>
      </c>
      <c r="I999" s="30">
        <f t="shared" si="1284"/>
        <v>6.6423464362252993E-4</v>
      </c>
      <c r="J999" s="30">
        <f t="shared" si="1284"/>
        <v>6.6423464362252993E-4</v>
      </c>
      <c r="K999" s="30">
        <f t="shared" si="1284"/>
        <v>6.6423464362252993E-4</v>
      </c>
      <c r="L999" s="30">
        <f t="shared" si="1284"/>
        <v>6.6423464362252993E-4</v>
      </c>
      <c r="M999" s="30">
        <f t="shared" si="1284"/>
        <v>6.6423464362252993E-4</v>
      </c>
      <c r="N999" s="30">
        <f t="shared" ref="N999" si="1285">POWER(1+N998,PRJ_Step/360)-1</f>
        <v>6.6423464362252993E-4</v>
      </c>
      <c r="O999" s="30">
        <f t="shared" ref="O999" si="1286">POWER(1+O998,PRJ_Step/360)-1</f>
        <v>6.6423464362252993E-4</v>
      </c>
      <c r="P999" s="30">
        <f t="shared" ref="P999:Q999" si="1287">POWER(1+P998,PRJ_Step/360)-1</f>
        <v>6.6423464362252993E-4</v>
      </c>
      <c r="Q999" s="30">
        <f t="shared" si="1287"/>
        <v>6.6423464362252993E-4</v>
      </c>
      <c r="S999" s="54"/>
    </row>
    <row r="1000" spans="1:19" outlineLevel="1" x14ac:dyDescent="0.2">
      <c r="S1000" s="54"/>
    </row>
    <row r="1001" spans="1:19" outlineLevel="1" x14ac:dyDescent="0.2">
      <c r="A1001" s="63"/>
      <c r="B1001" s="63"/>
      <c r="C1001" s="63"/>
      <c r="D1001" s="63"/>
      <c r="E1001" s="63"/>
      <c r="F1001" s="63"/>
      <c r="G1001" s="63"/>
      <c r="H1001" s="63"/>
      <c r="I1001" s="63"/>
      <c r="J1001" s="63"/>
      <c r="K1001" s="63"/>
      <c r="L1001" s="63"/>
      <c r="M1001" s="63"/>
      <c r="N1001" s="63"/>
      <c r="O1001" s="63"/>
      <c r="P1001" s="63"/>
      <c r="Q1001" s="63"/>
      <c r="R1001" s="63"/>
      <c r="S1001" s="122"/>
    </row>
    <row r="1002" spans="1:19" ht="10.5" outlineLevel="1" x14ac:dyDescent="0.25">
      <c r="A1002" s="35" t="str">
        <f ca="1">Language!A586</f>
        <v>Коммерческий персонал</v>
      </c>
      <c r="S1002" s="54"/>
    </row>
    <row r="1003" spans="1:19" outlineLevel="1" x14ac:dyDescent="0.2">
      <c r="B1003" s="36" t="str">
        <f ca="1">Language!A$73</f>
        <v>Валюта</v>
      </c>
      <c r="C1003" s="88"/>
      <c r="D1003">
        <v>1</v>
      </c>
      <c r="E1003">
        <v>5</v>
      </c>
      <c r="S1003" s="54"/>
    </row>
    <row r="1004" spans="1:19" outlineLevel="1" x14ac:dyDescent="0.2">
      <c r="A1004" s="274" t="s">
        <v>2677</v>
      </c>
      <c r="B1004" s="255">
        <v>1</v>
      </c>
      <c r="C1004" s="87" t="str">
        <f ca="1">CHOOSE(B1004,CUR_Main,CUR_Foreign)</f>
        <v>руб.</v>
      </c>
      <c r="D1004" s="16" t="str">
        <f>TEXT(B1004,"0")&amp;"_04"</f>
        <v>1_04</v>
      </c>
      <c r="F1004" s="53">
        <f t="shared" ref="F1004:M1004" si="1288">F1006*F1005*PRJ_Step/30</f>
        <v>0</v>
      </c>
      <c r="G1004" s="53">
        <f t="shared" si="1288"/>
        <v>0</v>
      </c>
      <c r="H1004" s="53">
        <f t="shared" si="1288"/>
        <v>0</v>
      </c>
      <c r="I1004" s="53">
        <f t="shared" si="1288"/>
        <v>0</v>
      </c>
      <c r="J1004" s="53">
        <f t="shared" si="1288"/>
        <v>0</v>
      </c>
      <c r="K1004" s="53">
        <f t="shared" si="1288"/>
        <v>0</v>
      </c>
      <c r="L1004" s="53">
        <f t="shared" si="1288"/>
        <v>0</v>
      </c>
      <c r="M1004" s="53">
        <f t="shared" si="1288"/>
        <v>0</v>
      </c>
      <c r="N1004" s="53">
        <f t="shared" ref="N1004" si="1289">N1006*N1005*PRJ_Step/30</f>
        <v>0</v>
      </c>
      <c r="O1004" s="53">
        <f t="shared" ref="O1004" si="1290">O1006*O1005*PRJ_Step/30</f>
        <v>0</v>
      </c>
      <c r="P1004" s="53">
        <f t="shared" ref="P1004:Q1004" si="1291">P1006*P1005*PRJ_Step/30</f>
        <v>0</v>
      </c>
      <c r="Q1004" s="53">
        <f t="shared" si="1291"/>
        <v>0</v>
      </c>
      <c r="S1004" s="54">
        <f>SUM(F1004:Q1004)</f>
        <v>0</v>
      </c>
    </row>
    <row r="1005" spans="1:19" outlineLevel="1" x14ac:dyDescent="0.2">
      <c r="A1005" t="str">
        <f ca="1">Language!A$589</f>
        <v>Количество</v>
      </c>
      <c r="B1005" s="271">
        <v>3</v>
      </c>
      <c r="C1005" s="5" t="str">
        <f ca="1">Language!A$591</f>
        <v>чел.</v>
      </c>
      <c r="D1005" s="16" t="s">
        <v>2209</v>
      </c>
      <c r="F1005" s="270">
        <v>1</v>
      </c>
      <c r="G1005" s="270">
        <v>1</v>
      </c>
      <c r="H1005" s="270">
        <v>2</v>
      </c>
      <c r="I1005" s="270">
        <v>3</v>
      </c>
      <c r="J1005" s="270">
        <v>3</v>
      </c>
      <c r="K1005" s="270">
        <v>3</v>
      </c>
      <c r="L1005" s="270">
        <v>3</v>
      </c>
      <c r="M1005" s="270">
        <v>3</v>
      </c>
      <c r="N1005" s="270">
        <v>3</v>
      </c>
      <c r="O1005" s="270">
        <v>3</v>
      </c>
      <c r="P1005" s="270">
        <v>3</v>
      </c>
      <c r="Q1005" s="270">
        <v>3</v>
      </c>
      <c r="S1005" s="54"/>
    </row>
    <row r="1006" spans="1:19" s="48" customFormat="1" outlineLevel="1" collapsed="1" x14ac:dyDescent="0.2">
      <c r="A1006" s="52" t="str">
        <f ca="1">Language!A$588</f>
        <v>Месячный оклад</v>
      </c>
      <c r="B1006" s="288">
        <v>50000</v>
      </c>
      <c r="C1006" s="87" t="str">
        <f ca="1">CHOOSE(B1004,CUR_Main,CUR_Foreign)</f>
        <v>руб.</v>
      </c>
      <c r="D1006" s="16" t="s">
        <v>176</v>
      </c>
      <c r="F1006" s="285">
        <v>0</v>
      </c>
      <c r="G1006" s="285">
        <f t="shared" ref="G1006:Q1006" si="1292">F1006*IF(CalcMethod=2,1+F1008,1)</f>
        <v>0</v>
      </c>
      <c r="H1006" s="285">
        <f t="shared" si="1292"/>
        <v>0</v>
      </c>
      <c r="I1006" s="285">
        <f t="shared" si="1292"/>
        <v>0</v>
      </c>
      <c r="J1006" s="285">
        <f t="shared" si="1292"/>
        <v>0</v>
      </c>
      <c r="K1006" s="285">
        <f t="shared" si="1292"/>
        <v>0</v>
      </c>
      <c r="L1006" s="285">
        <f t="shared" si="1292"/>
        <v>0</v>
      </c>
      <c r="M1006" s="285">
        <f t="shared" si="1292"/>
        <v>0</v>
      </c>
      <c r="N1006" s="285">
        <f t="shared" si="1292"/>
        <v>0</v>
      </c>
      <c r="O1006" s="285">
        <f t="shared" si="1292"/>
        <v>0</v>
      </c>
      <c r="P1006" s="285">
        <f t="shared" si="1292"/>
        <v>0</v>
      </c>
      <c r="Q1006" s="285">
        <f t="shared" si="1292"/>
        <v>0</v>
      </c>
      <c r="S1006" s="94"/>
    </row>
    <row r="1007" spans="1:19" hidden="1" outlineLevel="2" x14ac:dyDescent="0.2">
      <c r="A1007" t="str">
        <f ca="1">Language!A$104</f>
        <v>Предполагаемый темп годового роста цен</v>
      </c>
      <c r="C1007" s="5" t="s">
        <v>177</v>
      </c>
      <c r="D1007" s="16" t="s">
        <v>176</v>
      </c>
      <c r="F1007" s="269">
        <f t="shared" ref="F1007:M1007" si="1293">CHOOSE($B1004,F$80,F$91)</f>
        <v>8.0000000000000002E-3</v>
      </c>
      <c r="G1007" s="269">
        <f t="shared" si="1293"/>
        <v>8.0000000000000002E-3</v>
      </c>
      <c r="H1007" s="269">
        <f t="shared" si="1293"/>
        <v>8.0000000000000002E-3</v>
      </c>
      <c r="I1007" s="269">
        <f t="shared" si="1293"/>
        <v>8.0000000000000002E-3</v>
      </c>
      <c r="J1007" s="269">
        <f t="shared" si="1293"/>
        <v>8.0000000000000002E-3</v>
      </c>
      <c r="K1007" s="269">
        <f t="shared" si="1293"/>
        <v>8.0000000000000002E-3</v>
      </c>
      <c r="L1007" s="269">
        <f t="shared" si="1293"/>
        <v>8.0000000000000002E-3</v>
      </c>
      <c r="M1007" s="269">
        <f t="shared" si="1293"/>
        <v>8.0000000000000002E-3</v>
      </c>
      <c r="N1007" s="269">
        <f t="shared" ref="N1007" si="1294">CHOOSE($B1004,N$80,N$91)</f>
        <v>8.0000000000000002E-3</v>
      </c>
      <c r="O1007" s="269">
        <f t="shared" ref="O1007" si="1295">CHOOSE($B1004,O$80,O$91)</f>
        <v>8.0000000000000002E-3</v>
      </c>
      <c r="P1007" s="269">
        <f t="shared" ref="P1007:Q1007" si="1296">CHOOSE($B1004,P$80,P$91)</f>
        <v>8.0000000000000002E-3</v>
      </c>
      <c r="Q1007" s="269">
        <f t="shared" si="1296"/>
        <v>8.0000000000000002E-3</v>
      </c>
      <c r="S1007" s="54"/>
    </row>
    <row r="1008" spans="1:19" hidden="1" outlineLevel="2" x14ac:dyDescent="0.2">
      <c r="A1008" t="str">
        <f ca="1">Language!A$106</f>
        <v>То же, в пересчете на период, равный шагу проекта</v>
      </c>
      <c r="C1008" s="5" t="s">
        <v>177</v>
      </c>
      <c r="D1008" s="16" t="s">
        <v>176</v>
      </c>
      <c r="F1008" s="30">
        <f t="shared" ref="F1008:M1008" si="1297">POWER(1+F1007,PRJ_Step/360)-1</f>
        <v>6.6423464362252993E-4</v>
      </c>
      <c r="G1008" s="30">
        <f t="shared" si="1297"/>
        <v>6.6423464362252993E-4</v>
      </c>
      <c r="H1008" s="30">
        <f t="shared" si="1297"/>
        <v>6.6423464362252993E-4</v>
      </c>
      <c r="I1008" s="30">
        <f t="shared" si="1297"/>
        <v>6.6423464362252993E-4</v>
      </c>
      <c r="J1008" s="30">
        <f t="shared" si="1297"/>
        <v>6.6423464362252993E-4</v>
      </c>
      <c r="K1008" s="30">
        <f t="shared" si="1297"/>
        <v>6.6423464362252993E-4</v>
      </c>
      <c r="L1008" s="30">
        <f t="shared" si="1297"/>
        <v>6.6423464362252993E-4</v>
      </c>
      <c r="M1008" s="30">
        <f t="shared" si="1297"/>
        <v>6.6423464362252993E-4</v>
      </c>
      <c r="N1008" s="30">
        <f t="shared" ref="N1008" si="1298">POWER(1+N1007,PRJ_Step/360)-1</f>
        <v>6.6423464362252993E-4</v>
      </c>
      <c r="O1008" s="30">
        <f t="shared" ref="O1008" si="1299">POWER(1+O1007,PRJ_Step/360)-1</f>
        <v>6.6423464362252993E-4</v>
      </c>
      <c r="P1008" s="30">
        <f t="shared" ref="P1008:Q1008" si="1300">POWER(1+P1007,PRJ_Step/360)-1</f>
        <v>6.6423464362252993E-4</v>
      </c>
      <c r="Q1008" s="30">
        <f t="shared" si="1300"/>
        <v>6.6423464362252993E-4</v>
      </c>
      <c r="S1008" s="54"/>
    </row>
    <row r="1009" spans="1:19" outlineLevel="1" x14ac:dyDescent="0.2">
      <c r="S1009" s="54"/>
    </row>
    <row r="1010" spans="1:19" outlineLevel="1" x14ac:dyDescent="0.2">
      <c r="A1010" s="63"/>
      <c r="B1010" s="63"/>
      <c r="C1010" s="63"/>
      <c r="D1010" s="63"/>
      <c r="E1010" s="63"/>
      <c r="F1010" s="63"/>
      <c r="G1010" s="63"/>
      <c r="H1010" s="63"/>
      <c r="I1010" s="63"/>
      <c r="J1010" s="63"/>
      <c r="K1010" s="63"/>
      <c r="L1010" s="63"/>
      <c r="M1010" s="63"/>
      <c r="N1010" s="63"/>
      <c r="O1010" s="63"/>
      <c r="P1010" s="63"/>
      <c r="Q1010" s="63"/>
      <c r="R1010" s="63"/>
      <c r="S1010" s="122"/>
    </row>
    <row r="1011" spans="1:19" ht="10.5" outlineLevel="1" x14ac:dyDescent="0.25">
      <c r="A1011" s="35" t="str">
        <f ca="1">Language!A547</f>
        <v xml:space="preserve"> = Итого</v>
      </c>
      <c r="C1011" s="5" t="str">
        <f ca="1">CUR_Main</f>
        <v>руб.</v>
      </c>
      <c r="F1011" s="89">
        <f t="shared" ref="F1011:M1011" si="1301">SUM(F1012:F1015)</f>
        <v>944000</v>
      </c>
      <c r="G1011" s="89">
        <f t="shared" si="1301"/>
        <v>584000</v>
      </c>
      <c r="H1011" s="89">
        <f t="shared" si="1301"/>
        <v>584000</v>
      </c>
      <c r="I1011" s="89">
        <f t="shared" si="1301"/>
        <v>584000</v>
      </c>
      <c r="J1011" s="89">
        <f t="shared" si="1301"/>
        <v>584000</v>
      </c>
      <c r="K1011" s="89">
        <f t="shared" si="1301"/>
        <v>584000</v>
      </c>
      <c r="L1011" s="89">
        <f t="shared" si="1301"/>
        <v>584000</v>
      </c>
      <c r="M1011" s="89">
        <f t="shared" si="1301"/>
        <v>584000</v>
      </c>
      <c r="N1011" s="89">
        <f t="shared" ref="N1011" si="1302">SUM(N1012:N1015)</f>
        <v>584000</v>
      </c>
      <c r="O1011" s="89">
        <f t="shared" ref="O1011" si="1303">SUM(O1012:O1015)</f>
        <v>584000</v>
      </c>
      <c r="P1011" s="89">
        <f t="shared" ref="P1011:Q1011" si="1304">SUM(P1012:P1015)</f>
        <v>584000</v>
      </c>
      <c r="Q1011" s="89">
        <f t="shared" si="1304"/>
        <v>584000</v>
      </c>
      <c r="S1011" s="57">
        <f>SUM(F1011:Q1011)</f>
        <v>7368000</v>
      </c>
    </row>
    <row r="1012" spans="1:19" outlineLevel="2" x14ac:dyDescent="0.2">
      <c r="A1012" t="str">
        <f ca="1">Language!A583</f>
        <v>Основной производственный персонал</v>
      </c>
      <c r="C1012" s="5" t="str">
        <f ca="1">CUR_Main</f>
        <v>руб.</v>
      </c>
      <c r="F1012" s="53">
        <f t="shared" ref="F1012:M1012" si="1305">SUMIF($D945:$D1010,"*1_01*",F945:F1010)+SUMIF($D945:$D1010,"*2_01*",F945:F1010)*F$88</f>
        <v>270000</v>
      </c>
      <c r="G1012" s="53">
        <f t="shared" si="1305"/>
        <v>270000</v>
      </c>
      <c r="H1012" s="53">
        <f t="shared" si="1305"/>
        <v>270000</v>
      </c>
      <c r="I1012" s="53">
        <f t="shared" si="1305"/>
        <v>270000</v>
      </c>
      <c r="J1012" s="53">
        <f t="shared" si="1305"/>
        <v>270000</v>
      </c>
      <c r="K1012" s="53">
        <f t="shared" si="1305"/>
        <v>270000</v>
      </c>
      <c r="L1012" s="53">
        <f t="shared" si="1305"/>
        <v>270000</v>
      </c>
      <c r="M1012" s="53">
        <f t="shared" si="1305"/>
        <v>270000</v>
      </c>
      <c r="N1012" s="53">
        <f t="shared" ref="N1012" si="1306">SUMIF($D945:$D1010,"*1_01*",N945:N1010)+SUMIF($D945:$D1010,"*2_01*",N945:N1010)*N$88</f>
        <v>270000</v>
      </c>
      <c r="O1012" s="53">
        <f t="shared" ref="O1012" si="1307">SUMIF($D945:$D1010,"*1_01*",O945:O1010)+SUMIF($D945:$D1010,"*2_01*",O945:O1010)*O$88</f>
        <v>270000</v>
      </c>
      <c r="P1012" s="53">
        <f t="shared" ref="P1012:Q1012" si="1308">SUMIF($D945:$D1010,"*1_01*",P945:P1010)+SUMIF($D945:$D1010,"*2_01*",P945:P1010)*P$88</f>
        <v>270000</v>
      </c>
      <c r="Q1012" s="53">
        <f t="shared" si="1308"/>
        <v>270000</v>
      </c>
      <c r="S1012" s="54">
        <f>SUM(F1012:Q1012)</f>
        <v>3240000</v>
      </c>
    </row>
    <row r="1013" spans="1:19" outlineLevel="2" x14ac:dyDescent="0.2">
      <c r="A1013" t="str">
        <f ca="1">Language!A584</f>
        <v>Вспомогательный производственный персонал</v>
      </c>
      <c r="C1013" s="5" t="str">
        <f ca="1">CUR_Main</f>
        <v>руб.</v>
      </c>
      <c r="F1013" s="53">
        <f t="shared" ref="F1013:M1013" si="1309">SUMIF($D945:$D1010,"*1_02*",F945:F1010)+SUMIF($D945:$D1010,"*2_02*",F945:F1010)*F$88</f>
        <v>360000</v>
      </c>
      <c r="G1013" s="53">
        <f t="shared" si="1309"/>
        <v>0</v>
      </c>
      <c r="H1013" s="53">
        <f t="shared" si="1309"/>
        <v>0</v>
      </c>
      <c r="I1013" s="53">
        <f t="shared" si="1309"/>
        <v>0</v>
      </c>
      <c r="J1013" s="53">
        <f t="shared" si="1309"/>
        <v>0</v>
      </c>
      <c r="K1013" s="53">
        <f t="shared" si="1309"/>
        <v>0</v>
      </c>
      <c r="L1013" s="53">
        <f t="shared" si="1309"/>
        <v>0</v>
      </c>
      <c r="M1013" s="53">
        <f t="shared" si="1309"/>
        <v>0</v>
      </c>
      <c r="N1013" s="53">
        <f t="shared" ref="N1013" si="1310">SUMIF($D945:$D1010,"*1_02*",N945:N1010)+SUMIF($D945:$D1010,"*2_02*",N945:N1010)*N$88</f>
        <v>0</v>
      </c>
      <c r="O1013" s="53">
        <f t="shared" ref="O1013" si="1311">SUMIF($D945:$D1010,"*1_02*",O945:O1010)+SUMIF($D945:$D1010,"*2_02*",O945:O1010)*O$88</f>
        <v>0</v>
      </c>
      <c r="P1013" s="53">
        <f t="shared" ref="P1013:Q1013" si="1312">SUMIF($D945:$D1010,"*1_02*",P945:P1010)+SUMIF($D945:$D1010,"*2_02*",P945:P1010)*P$88</f>
        <v>0</v>
      </c>
      <c r="Q1013" s="53">
        <f t="shared" si="1312"/>
        <v>0</v>
      </c>
      <c r="S1013" s="54">
        <f>SUM(F1013:Q1013)</f>
        <v>360000</v>
      </c>
    </row>
    <row r="1014" spans="1:19" outlineLevel="2" x14ac:dyDescent="0.2">
      <c r="A1014" t="str">
        <f ca="1">Language!A585</f>
        <v>Административный персонал</v>
      </c>
      <c r="C1014" s="5" t="str">
        <f ca="1">CUR_Main</f>
        <v>руб.</v>
      </c>
      <c r="F1014" s="53">
        <f t="shared" ref="F1014:M1014" si="1313">SUMIF($D945:$D1010,"*1_03*",F945:F1010)+SUMIF($D945:$D1010,"*2_03*",F945:F1010)*F$88</f>
        <v>314000</v>
      </c>
      <c r="G1014" s="53">
        <f t="shared" si="1313"/>
        <v>314000</v>
      </c>
      <c r="H1014" s="53">
        <f t="shared" si="1313"/>
        <v>314000</v>
      </c>
      <c r="I1014" s="53">
        <f t="shared" si="1313"/>
        <v>314000</v>
      </c>
      <c r="J1014" s="53">
        <f t="shared" si="1313"/>
        <v>314000</v>
      </c>
      <c r="K1014" s="53">
        <f t="shared" si="1313"/>
        <v>314000</v>
      </c>
      <c r="L1014" s="53">
        <f t="shared" si="1313"/>
        <v>314000</v>
      </c>
      <c r="M1014" s="53">
        <f t="shared" si="1313"/>
        <v>314000</v>
      </c>
      <c r="N1014" s="53">
        <f t="shared" ref="N1014" si="1314">SUMIF($D945:$D1010,"*1_03*",N945:N1010)+SUMIF($D945:$D1010,"*2_03*",N945:N1010)*N$88</f>
        <v>314000</v>
      </c>
      <c r="O1014" s="53">
        <f t="shared" ref="O1014" si="1315">SUMIF($D945:$D1010,"*1_03*",O945:O1010)+SUMIF($D945:$D1010,"*2_03*",O945:O1010)*O$88</f>
        <v>314000</v>
      </c>
      <c r="P1014" s="53">
        <f t="shared" ref="P1014:Q1014" si="1316">SUMIF($D945:$D1010,"*1_03*",P945:P1010)+SUMIF($D945:$D1010,"*2_03*",P945:P1010)*P$88</f>
        <v>314000</v>
      </c>
      <c r="Q1014" s="53">
        <f t="shared" si="1316"/>
        <v>314000</v>
      </c>
      <c r="S1014" s="54">
        <f>SUM(F1014:Q1014)</f>
        <v>3768000</v>
      </c>
    </row>
    <row r="1015" spans="1:19" outlineLevel="2" x14ac:dyDescent="0.2">
      <c r="A1015" t="str">
        <f ca="1">Language!A586</f>
        <v>Коммерческий персонал</v>
      </c>
      <c r="C1015" s="5" t="str">
        <f ca="1">CUR_Main</f>
        <v>руб.</v>
      </c>
      <c r="F1015" s="53">
        <f t="shared" ref="F1015:M1015" si="1317">SUMIF($D945:$D1010,"*1_04*",F945:F1010)+SUMIF($D945:$D1010,"*2_04*",F945:F1010)*F$88</f>
        <v>0</v>
      </c>
      <c r="G1015" s="53">
        <f t="shared" si="1317"/>
        <v>0</v>
      </c>
      <c r="H1015" s="53">
        <f t="shared" si="1317"/>
        <v>0</v>
      </c>
      <c r="I1015" s="53">
        <f t="shared" si="1317"/>
        <v>0</v>
      </c>
      <c r="J1015" s="53">
        <f t="shared" si="1317"/>
        <v>0</v>
      </c>
      <c r="K1015" s="53">
        <f t="shared" si="1317"/>
        <v>0</v>
      </c>
      <c r="L1015" s="53">
        <f t="shared" si="1317"/>
        <v>0</v>
      </c>
      <c r="M1015" s="53">
        <f t="shared" si="1317"/>
        <v>0</v>
      </c>
      <c r="N1015" s="53">
        <f t="shared" ref="N1015" si="1318">SUMIF($D945:$D1010,"*1_04*",N945:N1010)+SUMIF($D945:$D1010,"*2_04*",N945:N1010)*N$88</f>
        <v>0</v>
      </c>
      <c r="O1015" s="53">
        <f t="shared" ref="O1015" si="1319">SUMIF($D945:$D1010,"*1_04*",O945:O1010)+SUMIF($D945:$D1010,"*2_04*",O945:O1010)*O$88</f>
        <v>0</v>
      </c>
      <c r="P1015" s="53">
        <f t="shared" ref="P1015:Q1015" si="1320">SUMIF($D945:$D1010,"*1_04*",P945:P1010)+SUMIF($D945:$D1010,"*2_04*",P945:P1010)*P$88</f>
        <v>0</v>
      </c>
      <c r="Q1015" s="53">
        <f t="shared" si="1320"/>
        <v>0</v>
      </c>
      <c r="S1015" s="54">
        <f>SUM(F1015:Q1015)</f>
        <v>0</v>
      </c>
    </row>
    <row r="1016" spans="1:19" outlineLevel="1" x14ac:dyDescent="0.2">
      <c r="S1016" s="54"/>
    </row>
    <row r="1017" spans="1:19" ht="10.5" outlineLevel="1" collapsed="1" x14ac:dyDescent="0.25">
      <c r="A1017" s="35" t="str">
        <f ca="1">Language!A592</f>
        <v>Начисленный ЕСН и страхование</v>
      </c>
      <c r="C1017" s="5" t="str">
        <f ca="1">CUR_Main</f>
        <v>руб.</v>
      </c>
      <c r="F1017" s="56">
        <f t="shared" ref="F1017:M1017" si="1321">SUM(F1018:F1021)</f>
        <v>132160</v>
      </c>
      <c r="G1017" s="56">
        <f t="shared" si="1321"/>
        <v>81760</v>
      </c>
      <c r="H1017" s="56">
        <f t="shared" si="1321"/>
        <v>81760</v>
      </c>
      <c r="I1017" s="56">
        <f t="shared" si="1321"/>
        <v>81760</v>
      </c>
      <c r="J1017" s="56">
        <f t="shared" si="1321"/>
        <v>81760</v>
      </c>
      <c r="K1017" s="56">
        <f t="shared" si="1321"/>
        <v>81760</v>
      </c>
      <c r="L1017" s="56">
        <f t="shared" si="1321"/>
        <v>81760</v>
      </c>
      <c r="M1017" s="56">
        <f t="shared" si="1321"/>
        <v>81760</v>
      </c>
      <c r="N1017" s="56">
        <f t="shared" ref="N1017" si="1322">SUM(N1018:N1021)</f>
        <v>81760</v>
      </c>
      <c r="O1017" s="56">
        <f t="shared" ref="O1017" si="1323">SUM(O1018:O1021)</f>
        <v>81760</v>
      </c>
      <c r="P1017" s="56">
        <f t="shared" ref="P1017:Q1017" si="1324">SUM(P1018:P1021)</f>
        <v>81760</v>
      </c>
      <c r="Q1017" s="56">
        <f t="shared" si="1324"/>
        <v>81760</v>
      </c>
      <c r="S1017" s="57">
        <f>SUM(F1017:Q1017)</f>
        <v>1031520</v>
      </c>
    </row>
    <row r="1018" spans="1:19" hidden="1" outlineLevel="2" x14ac:dyDescent="0.2">
      <c r="A1018" t="str">
        <f ca="1">Language!A593</f>
        <v xml:space="preserve">    - на зарплату основного произв. персонала</v>
      </c>
      <c r="C1018" s="5" t="str">
        <f ca="1">CUR_Main</f>
        <v>руб.</v>
      </c>
      <c r="F1018" s="84">
        <f t="shared" ref="F1018:M1018" si="1325">F1012*(F138+F141+F205+F224)</f>
        <v>37800</v>
      </c>
      <c r="G1018" s="84">
        <f t="shared" si="1325"/>
        <v>37800</v>
      </c>
      <c r="H1018" s="84">
        <f t="shared" si="1325"/>
        <v>37800</v>
      </c>
      <c r="I1018" s="84">
        <f t="shared" si="1325"/>
        <v>37800</v>
      </c>
      <c r="J1018" s="84">
        <f t="shared" si="1325"/>
        <v>37800</v>
      </c>
      <c r="K1018" s="84">
        <f t="shared" si="1325"/>
        <v>37800</v>
      </c>
      <c r="L1018" s="84">
        <f t="shared" si="1325"/>
        <v>37800</v>
      </c>
      <c r="M1018" s="84">
        <f t="shared" si="1325"/>
        <v>37800</v>
      </c>
      <c r="N1018" s="84">
        <f t="shared" ref="N1018" si="1326">N1012*(N138+N141+N205+N224)</f>
        <v>37800</v>
      </c>
      <c r="O1018" s="84">
        <f t="shared" ref="O1018" si="1327">O1012*(O138+O141+O205+O224)</f>
        <v>37800</v>
      </c>
      <c r="P1018" s="84">
        <f t="shared" ref="P1018:Q1018" si="1328">P1012*(P138+P141+P205+P224)</f>
        <v>37800</v>
      </c>
      <c r="Q1018" s="84">
        <f t="shared" si="1328"/>
        <v>37800</v>
      </c>
      <c r="S1018" s="54">
        <f>SUM(F1018:Q1018)</f>
        <v>453600</v>
      </c>
    </row>
    <row r="1019" spans="1:19" hidden="1" outlineLevel="2" x14ac:dyDescent="0.2">
      <c r="A1019" t="str">
        <f ca="1">Language!A594</f>
        <v xml:space="preserve">    - на зарплату вспомогательного произв. персонала</v>
      </c>
      <c r="C1019" s="5" t="str">
        <f ca="1">CUR_Main</f>
        <v>руб.</v>
      </c>
      <c r="F1019" s="84">
        <f t="shared" ref="F1019:M1019" si="1329">F1013*(F138+F141+F205+F224)</f>
        <v>50400.000000000007</v>
      </c>
      <c r="G1019" s="84">
        <f t="shared" si="1329"/>
        <v>0</v>
      </c>
      <c r="H1019" s="84">
        <f t="shared" si="1329"/>
        <v>0</v>
      </c>
      <c r="I1019" s="84">
        <f t="shared" si="1329"/>
        <v>0</v>
      </c>
      <c r="J1019" s="84">
        <f t="shared" si="1329"/>
        <v>0</v>
      </c>
      <c r="K1019" s="84">
        <f t="shared" si="1329"/>
        <v>0</v>
      </c>
      <c r="L1019" s="84">
        <f t="shared" si="1329"/>
        <v>0</v>
      </c>
      <c r="M1019" s="84">
        <f t="shared" si="1329"/>
        <v>0</v>
      </c>
      <c r="N1019" s="84">
        <f t="shared" ref="N1019" si="1330">N1013*(N138+N141+N205+N224)</f>
        <v>0</v>
      </c>
      <c r="O1019" s="84">
        <f t="shared" ref="O1019" si="1331">O1013*(O138+O141+O205+O224)</f>
        <v>0</v>
      </c>
      <c r="P1019" s="84">
        <f t="shared" ref="P1019:Q1019" si="1332">P1013*(P138+P141+P205+P224)</f>
        <v>0</v>
      </c>
      <c r="Q1019" s="84">
        <f t="shared" si="1332"/>
        <v>0</v>
      </c>
      <c r="S1019" s="54">
        <f>SUM(F1019:Q1019)</f>
        <v>50400.000000000007</v>
      </c>
    </row>
    <row r="1020" spans="1:19" hidden="1" outlineLevel="2" x14ac:dyDescent="0.2">
      <c r="A1020" t="str">
        <f ca="1">Language!A595</f>
        <v xml:space="preserve">    - на зарплату административного персонала</v>
      </c>
      <c r="C1020" s="5" t="str">
        <f ca="1">CUR_Main</f>
        <v>руб.</v>
      </c>
      <c r="F1020" s="84">
        <f t="shared" ref="F1020:M1020" si="1333">F1014*(F138+F141+F205+F224)</f>
        <v>43960.000000000007</v>
      </c>
      <c r="G1020" s="84">
        <f t="shared" si="1333"/>
        <v>43960.000000000007</v>
      </c>
      <c r="H1020" s="84">
        <f t="shared" si="1333"/>
        <v>43960.000000000007</v>
      </c>
      <c r="I1020" s="84">
        <f t="shared" si="1333"/>
        <v>43960.000000000007</v>
      </c>
      <c r="J1020" s="84">
        <f t="shared" si="1333"/>
        <v>43960.000000000007</v>
      </c>
      <c r="K1020" s="84">
        <f t="shared" si="1333"/>
        <v>43960.000000000007</v>
      </c>
      <c r="L1020" s="84">
        <f t="shared" si="1333"/>
        <v>43960.000000000007</v>
      </c>
      <c r="M1020" s="84">
        <f t="shared" si="1333"/>
        <v>43960.000000000007</v>
      </c>
      <c r="N1020" s="84">
        <f t="shared" ref="N1020" si="1334">N1014*(N138+N141+N205+N224)</f>
        <v>43960.000000000007</v>
      </c>
      <c r="O1020" s="84">
        <f t="shared" ref="O1020" si="1335">O1014*(O138+O141+O205+O224)</f>
        <v>43960.000000000007</v>
      </c>
      <c r="P1020" s="84">
        <f t="shared" ref="P1020:Q1020" si="1336">P1014*(P138+P141+P205+P224)</f>
        <v>43960.000000000007</v>
      </c>
      <c r="Q1020" s="84">
        <f t="shared" si="1336"/>
        <v>43960.000000000007</v>
      </c>
      <c r="S1020" s="54">
        <f>SUM(F1020:Q1020)</f>
        <v>527520.00000000012</v>
      </c>
    </row>
    <row r="1021" spans="1:19" hidden="1" outlineLevel="2" x14ac:dyDescent="0.2">
      <c r="A1021" t="str">
        <f ca="1">Language!A596</f>
        <v xml:space="preserve">    - на зарплату коммерческого персонала</v>
      </c>
      <c r="C1021" s="5" t="str">
        <f ca="1">CUR_Main</f>
        <v>руб.</v>
      </c>
      <c r="F1021" s="84">
        <f t="shared" ref="F1021:M1021" si="1337">F1015*(F138+F141+F205+F224)</f>
        <v>0</v>
      </c>
      <c r="G1021" s="84">
        <f t="shared" si="1337"/>
        <v>0</v>
      </c>
      <c r="H1021" s="84">
        <f t="shared" si="1337"/>
        <v>0</v>
      </c>
      <c r="I1021" s="84">
        <f t="shared" si="1337"/>
        <v>0</v>
      </c>
      <c r="J1021" s="84">
        <f t="shared" si="1337"/>
        <v>0</v>
      </c>
      <c r="K1021" s="84">
        <f t="shared" si="1337"/>
        <v>0</v>
      </c>
      <c r="L1021" s="84">
        <f t="shared" si="1337"/>
        <v>0</v>
      </c>
      <c r="M1021" s="84">
        <f t="shared" si="1337"/>
        <v>0</v>
      </c>
      <c r="N1021" s="84">
        <f t="shared" ref="N1021" si="1338">N1015*(N138+N141+N205+N224)</f>
        <v>0</v>
      </c>
      <c r="O1021" s="84">
        <f t="shared" ref="O1021" si="1339">O1015*(O138+O141+O205+O224)</f>
        <v>0</v>
      </c>
      <c r="P1021" s="84">
        <f t="shared" ref="P1021:Q1021" si="1340">P1015*(P138+P141+P205+P224)</f>
        <v>0</v>
      </c>
      <c r="Q1021" s="84">
        <f t="shared" si="1340"/>
        <v>0</v>
      </c>
      <c r="S1021" s="54">
        <f>SUM(F1021:Q1021)</f>
        <v>0</v>
      </c>
    </row>
    <row r="1022" spans="1:19" outlineLevel="1" x14ac:dyDescent="0.2">
      <c r="S1022" s="54"/>
    </row>
    <row r="1023" spans="1:19" ht="10.5" outlineLevel="1" x14ac:dyDescent="0.25">
      <c r="A1023" s="35" t="str">
        <f ca="1">Language!A597</f>
        <v>Расходы на зарплату с учетом ЕСН и страхования</v>
      </c>
      <c r="C1023" s="5" t="str">
        <f ca="1">CUR_Main</f>
        <v>руб.</v>
      </c>
      <c r="F1023" s="58">
        <f t="shared" ref="F1023:M1023" si="1341">F1011+F1017</f>
        <v>1076160</v>
      </c>
      <c r="G1023" s="58">
        <f t="shared" si="1341"/>
        <v>665760</v>
      </c>
      <c r="H1023" s="58">
        <f t="shared" si="1341"/>
        <v>665760</v>
      </c>
      <c r="I1023" s="58">
        <f t="shared" si="1341"/>
        <v>665760</v>
      </c>
      <c r="J1023" s="58">
        <f t="shared" si="1341"/>
        <v>665760</v>
      </c>
      <c r="K1023" s="58">
        <f t="shared" si="1341"/>
        <v>665760</v>
      </c>
      <c r="L1023" s="58">
        <f t="shared" si="1341"/>
        <v>665760</v>
      </c>
      <c r="M1023" s="58">
        <f t="shared" si="1341"/>
        <v>665760</v>
      </c>
      <c r="N1023" s="58">
        <f t="shared" ref="N1023" si="1342">N1011+N1017</f>
        <v>665760</v>
      </c>
      <c r="O1023" s="58">
        <f t="shared" ref="O1023" si="1343">O1011+O1017</f>
        <v>665760</v>
      </c>
      <c r="P1023" s="58">
        <f t="shared" ref="P1023:Q1023" si="1344">P1011+P1017</f>
        <v>665760</v>
      </c>
      <c r="Q1023" s="58">
        <f t="shared" si="1344"/>
        <v>665760</v>
      </c>
      <c r="S1023" s="57">
        <f>SUM(F1023:Q1023)</f>
        <v>8399520</v>
      </c>
    </row>
    <row r="1024" spans="1:19" ht="10.5" outlineLevel="1" x14ac:dyDescent="0.25">
      <c r="A1024" s="35"/>
      <c r="C1024" s="5"/>
      <c r="F1024" s="58"/>
      <c r="G1024" s="58"/>
      <c r="H1024" s="58"/>
      <c r="I1024" s="58"/>
      <c r="J1024" s="58"/>
      <c r="K1024" s="58"/>
      <c r="L1024" s="58"/>
      <c r="M1024" s="58"/>
      <c r="N1024" s="58"/>
      <c r="O1024" s="58"/>
      <c r="P1024" s="58"/>
      <c r="Q1024" s="58"/>
      <c r="S1024" s="57"/>
    </row>
    <row r="1025" spans="1:19" s="11" customFormat="1" outlineLevel="1" x14ac:dyDescent="0.2">
      <c r="A1025" s="11" t="str">
        <f ca="1">Language!A587</f>
        <v>Общая численность персонала</v>
      </c>
      <c r="C1025" s="36" t="str">
        <f ca="1">Language!A591</f>
        <v>чел.</v>
      </c>
      <c r="D1025" s="90" t="s">
        <v>176</v>
      </c>
      <c r="F1025" s="91">
        <f t="shared" ref="F1025:M1025" si="1345">SUMIF($D945:$D1010,"*qnt*",F945:F1010)</f>
        <v>11</v>
      </c>
      <c r="G1025" s="91">
        <f t="shared" si="1345"/>
        <v>9</v>
      </c>
      <c r="H1025" s="91">
        <f t="shared" si="1345"/>
        <v>12</v>
      </c>
      <c r="I1025" s="91">
        <f t="shared" si="1345"/>
        <v>13</v>
      </c>
      <c r="J1025" s="91">
        <f t="shared" si="1345"/>
        <v>13</v>
      </c>
      <c r="K1025" s="91">
        <f t="shared" si="1345"/>
        <v>13</v>
      </c>
      <c r="L1025" s="91">
        <f t="shared" si="1345"/>
        <v>13</v>
      </c>
      <c r="M1025" s="91">
        <f t="shared" si="1345"/>
        <v>13</v>
      </c>
      <c r="N1025" s="91">
        <f t="shared" ref="N1025" si="1346">SUMIF($D945:$D1010,"*qnt*",N945:N1010)</f>
        <v>13</v>
      </c>
      <c r="O1025" s="91">
        <f t="shared" ref="O1025" si="1347">SUMIF($D945:$D1010,"*qnt*",O945:O1010)</f>
        <v>13</v>
      </c>
      <c r="P1025" s="91">
        <f t="shared" ref="P1025:Q1025" si="1348">SUMIF($D945:$D1010,"*qnt*",P945:P1010)</f>
        <v>13</v>
      </c>
      <c r="Q1025" s="91">
        <f t="shared" si="1348"/>
        <v>13</v>
      </c>
      <c r="S1025" s="54"/>
    </row>
    <row r="1026" spans="1:19" outlineLevel="1" x14ac:dyDescent="0.2">
      <c r="A1026" s="63"/>
      <c r="B1026" s="63"/>
      <c r="C1026" s="63"/>
      <c r="D1026" s="63"/>
      <c r="E1026" s="63"/>
      <c r="F1026" s="63"/>
      <c r="G1026" s="63"/>
      <c r="H1026" s="63"/>
      <c r="I1026" s="63"/>
      <c r="J1026" s="63"/>
      <c r="K1026" s="63"/>
      <c r="L1026" s="63"/>
      <c r="M1026" s="63"/>
      <c r="N1026" s="63"/>
      <c r="O1026" s="63"/>
      <c r="P1026" s="63"/>
      <c r="Q1026" s="63"/>
      <c r="R1026" s="63"/>
      <c r="S1026" s="64"/>
    </row>
    <row r="1027" spans="1:19" outlineLevel="1" x14ac:dyDescent="0.2">
      <c r="A1027" s="19"/>
      <c r="B1027" s="19"/>
      <c r="C1027" s="19"/>
      <c r="D1027" s="19"/>
      <c r="E1027" s="19"/>
      <c r="F1027" s="19"/>
      <c r="G1027" s="19"/>
      <c r="H1027" s="19"/>
      <c r="I1027" s="19"/>
      <c r="J1027" s="19"/>
      <c r="K1027" s="19"/>
      <c r="L1027" s="19"/>
      <c r="M1027" s="19"/>
      <c r="N1027" s="19"/>
      <c r="O1027" s="19"/>
      <c r="P1027" s="19"/>
      <c r="Q1027" s="19"/>
      <c r="R1027" s="19"/>
      <c r="S1027" s="22"/>
    </row>
    <row r="1028" spans="1:19" s="4" customFormat="1" ht="16" customHeight="1" thickBot="1" x14ac:dyDescent="0.25">
      <c r="A1028" s="166" t="str">
        <f ca="1">Language!A598</f>
        <v xml:space="preserve">         ТЕКУЩИЕ ЗАТРАТЫ</v>
      </c>
      <c r="B1028" s="166"/>
      <c r="C1028" s="166"/>
      <c r="D1028" s="166"/>
      <c r="E1028" s="166"/>
      <c r="F1028" s="178" t="str">
        <f t="shared" ref="F1028:Q1028" si="1349">PeriodTitle</f>
        <v>4/ 2024</v>
      </c>
      <c r="G1028" s="178" t="str">
        <f t="shared" si="1349"/>
        <v>5/ 2024</v>
      </c>
      <c r="H1028" s="178" t="str">
        <f t="shared" si="1349"/>
        <v>6/ 2024</v>
      </c>
      <c r="I1028" s="178" t="str">
        <f t="shared" si="1349"/>
        <v>7/ 2024</v>
      </c>
      <c r="J1028" s="178" t="str">
        <f t="shared" si="1349"/>
        <v>8/ 2024</v>
      </c>
      <c r="K1028" s="178" t="str">
        <f t="shared" si="1349"/>
        <v>9/ 2024</v>
      </c>
      <c r="L1028" s="178" t="str">
        <f t="shared" si="1349"/>
        <v>10/ 2024</v>
      </c>
      <c r="M1028" s="178" t="str">
        <f t="shared" si="1349"/>
        <v>11/ 2024</v>
      </c>
      <c r="N1028" s="178" t="str">
        <f t="shared" si="1349"/>
        <v>12/ 2024</v>
      </c>
      <c r="O1028" s="178" t="str">
        <f t="shared" si="1349"/>
        <v>1/ 2025</v>
      </c>
      <c r="P1028" s="178" t="str">
        <f t="shared" si="1349"/>
        <v>2/ 2025</v>
      </c>
      <c r="Q1028" s="178" t="str">
        <f t="shared" si="1349"/>
        <v>3/ 2025</v>
      </c>
      <c r="R1028" s="166"/>
      <c r="S1028" s="195" t="str">
        <f ca="1">Language!$A$371</f>
        <v>ИТОГО</v>
      </c>
    </row>
    <row r="1029" spans="1:19" ht="10.5" outlineLevel="1" thickTop="1" x14ac:dyDescent="0.2"/>
    <row r="1030" spans="1:19" ht="10.5" outlineLevel="1" x14ac:dyDescent="0.25">
      <c r="A1030" s="35" t="str">
        <f ca="1">Language!A600</f>
        <v>Прямые производственные расходы</v>
      </c>
    </row>
    <row r="1031" spans="1:19" outlineLevel="1" x14ac:dyDescent="0.2"/>
    <row r="1032" spans="1:19" outlineLevel="1" x14ac:dyDescent="0.2">
      <c r="A1032" t="str">
        <f ca="1">Language!A610</f>
        <v>Расходы на материалы и комплектующие</v>
      </c>
      <c r="C1032" s="5" t="str">
        <f ca="1">CUR_Main</f>
        <v>руб.</v>
      </c>
      <c r="F1032" s="43">
        <f t="shared" ref="F1032:M1032" si="1350">F837</f>
        <v>0</v>
      </c>
      <c r="G1032" s="43">
        <f t="shared" si="1350"/>
        <v>0</v>
      </c>
      <c r="H1032" s="43">
        <f t="shared" si="1350"/>
        <v>13.30875</v>
      </c>
      <c r="I1032" s="43">
        <f t="shared" si="1350"/>
        <v>66.543750000000003</v>
      </c>
      <c r="J1032" s="43">
        <f t="shared" si="1350"/>
        <v>133.08750000000001</v>
      </c>
      <c r="K1032" s="43">
        <f t="shared" si="1350"/>
        <v>266.17500000000001</v>
      </c>
      <c r="L1032" s="43">
        <f t="shared" si="1350"/>
        <v>399.26249999999999</v>
      </c>
      <c r="M1032" s="43">
        <f t="shared" si="1350"/>
        <v>532.35</v>
      </c>
      <c r="N1032" s="43">
        <f t="shared" ref="N1032" si="1351">N837</f>
        <v>731.98125000000005</v>
      </c>
      <c r="O1032" s="43">
        <f t="shared" ref="O1032" si="1352">O837</f>
        <v>998.15625</v>
      </c>
      <c r="P1032" s="43">
        <f t="shared" ref="P1032:Q1032" si="1353">P837</f>
        <v>1197.7875000000001</v>
      </c>
      <c r="Q1032" s="43">
        <f t="shared" si="1353"/>
        <v>1330.8750000000002</v>
      </c>
      <c r="S1032" s="54">
        <f>SUM(F1032:Q1032)</f>
        <v>5669.5275000000001</v>
      </c>
    </row>
    <row r="1033" spans="1:19" outlineLevel="1" x14ac:dyDescent="0.2">
      <c r="A1033" t="str">
        <f ca="1">Language!A599</f>
        <v>Прочие переменные затраты</v>
      </c>
      <c r="C1033" s="5" t="str">
        <f ca="1">CUR_Main</f>
        <v>руб.</v>
      </c>
      <c r="F1033" s="43">
        <f t="shared" ref="F1033:M1033" si="1354">F931</f>
        <v>0</v>
      </c>
      <c r="G1033" s="43">
        <f t="shared" si="1354"/>
        <v>0</v>
      </c>
      <c r="H1033" s="43">
        <f t="shared" si="1354"/>
        <v>0</v>
      </c>
      <c r="I1033" s="43">
        <f t="shared" si="1354"/>
        <v>0</v>
      </c>
      <c r="J1033" s="43">
        <f t="shared" si="1354"/>
        <v>0</v>
      </c>
      <c r="K1033" s="43">
        <f t="shared" si="1354"/>
        <v>0</v>
      </c>
      <c r="L1033" s="43">
        <f t="shared" si="1354"/>
        <v>0</v>
      </c>
      <c r="M1033" s="43">
        <f t="shared" si="1354"/>
        <v>0</v>
      </c>
      <c r="N1033" s="43">
        <f t="shared" ref="N1033" si="1355">N931</f>
        <v>0</v>
      </c>
      <c r="O1033" s="43">
        <f t="shared" ref="O1033" si="1356">O931</f>
        <v>0</v>
      </c>
      <c r="P1033" s="43">
        <f t="shared" ref="P1033:Q1033" si="1357">P931</f>
        <v>0</v>
      </c>
      <c r="Q1033" s="43">
        <f t="shared" si="1357"/>
        <v>0</v>
      </c>
      <c r="S1033" s="54">
        <f>SUM(F1033:Q1033)</f>
        <v>0</v>
      </c>
    </row>
    <row r="1034" spans="1:19" outlineLevel="1" x14ac:dyDescent="0.2">
      <c r="A1034" t="str">
        <f ca="1">Language!A611</f>
        <v>Зарплата основного производственного персонала</v>
      </c>
      <c r="C1034" s="5" t="str">
        <f ca="1">CUR_Main</f>
        <v>руб.</v>
      </c>
      <c r="F1034" s="43">
        <f t="shared" ref="F1034:M1034" si="1358">F1012</f>
        <v>270000</v>
      </c>
      <c r="G1034" s="43">
        <f t="shared" si="1358"/>
        <v>270000</v>
      </c>
      <c r="H1034" s="43">
        <f t="shared" si="1358"/>
        <v>270000</v>
      </c>
      <c r="I1034" s="43">
        <f t="shared" si="1358"/>
        <v>270000</v>
      </c>
      <c r="J1034" s="43">
        <f t="shared" si="1358"/>
        <v>270000</v>
      </c>
      <c r="K1034" s="43">
        <f t="shared" si="1358"/>
        <v>270000</v>
      </c>
      <c r="L1034" s="43">
        <f t="shared" si="1358"/>
        <v>270000</v>
      </c>
      <c r="M1034" s="43">
        <f t="shared" si="1358"/>
        <v>270000</v>
      </c>
      <c r="N1034" s="43">
        <f t="shared" ref="N1034" si="1359">N1012</f>
        <v>270000</v>
      </c>
      <c r="O1034" s="43">
        <f t="shared" ref="O1034" si="1360">O1012</f>
        <v>270000</v>
      </c>
      <c r="P1034" s="43">
        <f t="shared" ref="P1034:Q1034" si="1361">P1012</f>
        <v>270000</v>
      </c>
      <c r="Q1034" s="43">
        <f t="shared" si="1361"/>
        <v>270000</v>
      </c>
      <c r="S1034" s="54">
        <f>SUM(F1034:Q1034)</f>
        <v>3240000</v>
      </c>
    </row>
    <row r="1035" spans="1:19" outlineLevel="1" x14ac:dyDescent="0.2">
      <c r="A1035" t="str">
        <f ca="1">Language!A612</f>
        <v>ЕСН на зарплату основного произв. персонала</v>
      </c>
      <c r="C1035" s="5" t="str">
        <f ca="1">CUR_Main</f>
        <v>руб.</v>
      </c>
      <c r="F1035" s="43">
        <f t="shared" ref="F1035:M1035" si="1362">F1018</f>
        <v>37800</v>
      </c>
      <c r="G1035" s="43">
        <f t="shared" si="1362"/>
        <v>37800</v>
      </c>
      <c r="H1035" s="43">
        <f t="shared" si="1362"/>
        <v>37800</v>
      </c>
      <c r="I1035" s="43">
        <f t="shared" si="1362"/>
        <v>37800</v>
      </c>
      <c r="J1035" s="43">
        <f t="shared" si="1362"/>
        <v>37800</v>
      </c>
      <c r="K1035" s="43">
        <f t="shared" si="1362"/>
        <v>37800</v>
      </c>
      <c r="L1035" s="43">
        <f t="shared" si="1362"/>
        <v>37800</v>
      </c>
      <c r="M1035" s="43">
        <f t="shared" si="1362"/>
        <v>37800</v>
      </c>
      <c r="N1035" s="43">
        <f t="shared" ref="N1035" si="1363">N1018</f>
        <v>37800</v>
      </c>
      <c r="O1035" s="43">
        <f t="shared" ref="O1035" si="1364">O1018</f>
        <v>37800</v>
      </c>
      <c r="P1035" s="43">
        <f t="shared" ref="P1035:Q1035" si="1365">P1018</f>
        <v>37800</v>
      </c>
      <c r="Q1035" s="43">
        <f t="shared" si="1365"/>
        <v>37800</v>
      </c>
      <c r="S1035" s="54">
        <f>SUM(F1035:Q1035)</f>
        <v>453600</v>
      </c>
    </row>
    <row r="1036" spans="1:19" outlineLevel="1" x14ac:dyDescent="0.2">
      <c r="B1036" s="36" t="str">
        <f ca="1">Language!A$73</f>
        <v>Валюта</v>
      </c>
      <c r="D1036">
        <v>2</v>
      </c>
      <c r="E1036">
        <v>4</v>
      </c>
    </row>
    <row r="1037" spans="1:19" outlineLevel="1" collapsed="1" x14ac:dyDescent="0.2">
      <c r="A1037" s="274" t="str">
        <f ca="1">Language!A$430</f>
        <v>Наименование</v>
      </c>
      <c r="B1037" s="255">
        <v>1</v>
      </c>
      <c r="C1037" s="17" t="str">
        <f ca="1">CHOOSE(B1037,CUR_Main,CUR_Foreign)</f>
        <v>руб.</v>
      </c>
      <c r="D1037" s="16" t="str">
        <f>TEXT(B1037,"0")&amp;"_01"</f>
        <v>1_01</v>
      </c>
      <c r="F1037" s="281">
        <v>0</v>
      </c>
      <c r="G1037" s="281">
        <f t="shared" ref="G1037:Q1037" si="1366">F1037*IF(CalcMethod=2,1+F1039,1)</f>
        <v>0</v>
      </c>
      <c r="H1037" s="281">
        <f t="shared" si="1366"/>
        <v>0</v>
      </c>
      <c r="I1037" s="281">
        <f t="shared" si="1366"/>
        <v>0</v>
      </c>
      <c r="J1037" s="281">
        <f t="shared" si="1366"/>
        <v>0</v>
      </c>
      <c r="K1037" s="281">
        <f t="shared" si="1366"/>
        <v>0</v>
      </c>
      <c r="L1037" s="281">
        <f t="shared" si="1366"/>
        <v>0</v>
      </c>
      <c r="M1037" s="281">
        <f t="shared" si="1366"/>
        <v>0</v>
      </c>
      <c r="N1037" s="281">
        <f t="shared" si="1366"/>
        <v>0</v>
      </c>
      <c r="O1037" s="281">
        <f t="shared" si="1366"/>
        <v>0</v>
      </c>
      <c r="P1037" s="281">
        <f t="shared" si="1366"/>
        <v>0</v>
      </c>
      <c r="Q1037" s="281">
        <f t="shared" si="1366"/>
        <v>0</v>
      </c>
      <c r="S1037" s="54">
        <f>SUM(F1037:Q1037)</f>
        <v>0</v>
      </c>
    </row>
    <row r="1038" spans="1:19" hidden="1" outlineLevel="2" x14ac:dyDescent="0.2">
      <c r="A1038" t="str">
        <f ca="1">Language!A$104</f>
        <v>Предполагаемый темп годового роста цен</v>
      </c>
      <c r="C1038" s="5" t="s">
        <v>177</v>
      </c>
      <c r="D1038" s="16" t="s">
        <v>176</v>
      </c>
      <c r="F1038" s="269">
        <f t="shared" ref="F1038:M1038" si="1367">CHOOSE($B1037,F$80,F$91)</f>
        <v>8.0000000000000002E-3</v>
      </c>
      <c r="G1038" s="269">
        <f t="shared" si="1367"/>
        <v>8.0000000000000002E-3</v>
      </c>
      <c r="H1038" s="269">
        <f t="shared" si="1367"/>
        <v>8.0000000000000002E-3</v>
      </c>
      <c r="I1038" s="269">
        <f t="shared" si="1367"/>
        <v>8.0000000000000002E-3</v>
      </c>
      <c r="J1038" s="269">
        <f t="shared" si="1367"/>
        <v>8.0000000000000002E-3</v>
      </c>
      <c r="K1038" s="269">
        <f t="shared" si="1367"/>
        <v>8.0000000000000002E-3</v>
      </c>
      <c r="L1038" s="269">
        <f t="shared" si="1367"/>
        <v>8.0000000000000002E-3</v>
      </c>
      <c r="M1038" s="269">
        <f t="shared" si="1367"/>
        <v>8.0000000000000002E-3</v>
      </c>
      <c r="N1038" s="269">
        <f t="shared" ref="N1038" si="1368">CHOOSE($B1037,N$80,N$91)</f>
        <v>8.0000000000000002E-3</v>
      </c>
      <c r="O1038" s="269">
        <f t="shared" ref="O1038" si="1369">CHOOSE($B1037,O$80,O$91)</f>
        <v>8.0000000000000002E-3</v>
      </c>
      <c r="P1038" s="269">
        <f t="shared" ref="P1038:Q1038" si="1370">CHOOSE($B1037,P$80,P$91)</f>
        <v>8.0000000000000002E-3</v>
      </c>
      <c r="Q1038" s="269">
        <f t="shared" si="1370"/>
        <v>8.0000000000000002E-3</v>
      </c>
    </row>
    <row r="1039" spans="1:19" hidden="1" outlineLevel="2" x14ac:dyDescent="0.2">
      <c r="A1039" t="str">
        <f ca="1">Language!A$106</f>
        <v>То же, в пересчете на период, равный шагу проекта</v>
      </c>
      <c r="C1039" s="5" t="s">
        <v>177</v>
      </c>
      <c r="D1039" s="16" t="s">
        <v>176</v>
      </c>
      <c r="F1039" s="30">
        <f t="shared" ref="F1039:M1039" si="1371">POWER(1+F1038,PRJ_Step/360)-1</f>
        <v>6.6423464362252993E-4</v>
      </c>
      <c r="G1039" s="30">
        <f t="shared" si="1371"/>
        <v>6.6423464362252993E-4</v>
      </c>
      <c r="H1039" s="30">
        <f t="shared" si="1371"/>
        <v>6.6423464362252993E-4</v>
      </c>
      <c r="I1039" s="30">
        <f t="shared" si="1371"/>
        <v>6.6423464362252993E-4</v>
      </c>
      <c r="J1039" s="30">
        <f t="shared" si="1371"/>
        <v>6.6423464362252993E-4</v>
      </c>
      <c r="K1039" s="30">
        <f t="shared" si="1371"/>
        <v>6.6423464362252993E-4</v>
      </c>
      <c r="L1039" s="30">
        <f t="shared" si="1371"/>
        <v>6.6423464362252993E-4</v>
      </c>
      <c r="M1039" s="30">
        <f t="shared" si="1371"/>
        <v>6.6423464362252993E-4</v>
      </c>
      <c r="N1039" s="30">
        <f t="shared" ref="N1039" si="1372">POWER(1+N1038,PRJ_Step/360)-1</f>
        <v>6.6423464362252993E-4</v>
      </c>
      <c r="O1039" s="30">
        <f t="shared" ref="O1039" si="1373">POWER(1+O1038,PRJ_Step/360)-1</f>
        <v>6.6423464362252993E-4</v>
      </c>
      <c r="P1039" s="30">
        <f t="shared" ref="P1039:Q1039" si="1374">POWER(1+P1038,PRJ_Step/360)-1</f>
        <v>6.6423464362252993E-4</v>
      </c>
      <c r="Q1039" s="30">
        <f t="shared" si="1374"/>
        <v>6.6423464362252993E-4</v>
      </c>
    </row>
    <row r="1040" spans="1:19" hidden="1" outlineLevel="2" x14ac:dyDescent="0.2">
      <c r="A1040" t="str">
        <f ca="1">Language!A$619</f>
        <v>в том числе НДС</v>
      </c>
      <c r="B1040" s="283">
        <f>VAT</f>
        <v>0</v>
      </c>
      <c r="C1040" s="5" t="str">
        <f ca="1">CHOOSE(B1037,CUR_Main,CUR_Foreign)</f>
        <v>руб.</v>
      </c>
      <c r="D1040" t="str">
        <f>TEXT(B1037,"0")&amp;"_02"</f>
        <v>1_02</v>
      </c>
      <c r="F1040" s="53">
        <f t="shared" ref="F1040:M1040" si="1375">F1037*$B1040/(1+$B1040)</f>
        <v>0</v>
      </c>
      <c r="G1040" s="53">
        <f t="shared" si="1375"/>
        <v>0</v>
      </c>
      <c r="H1040" s="53">
        <f t="shared" si="1375"/>
        <v>0</v>
      </c>
      <c r="I1040" s="53">
        <f t="shared" si="1375"/>
        <v>0</v>
      </c>
      <c r="J1040" s="53">
        <f t="shared" si="1375"/>
        <v>0</v>
      </c>
      <c r="K1040" s="53">
        <f t="shared" si="1375"/>
        <v>0</v>
      </c>
      <c r="L1040" s="53">
        <f t="shared" si="1375"/>
        <v>0</v>
      </c>
      <c r="M1040" s="53">
        <f t="shared" si="1375"/>
        <v>0</v>
      </c>
      <c r="N1040" s="53">
        <f t="shared" ref="N1040" si="1376">N1037*$B1040/(1+$B1040)</f>
        <v>0</v>
      </c>
      <c r="O1040" s="53">
        <f t="shared" ref="O1040" si="1377">O1037*$B1040/(1+$B1040)</f>
        <v>0</v>
      </c>
      <c r="P1040" s="53">
        <f t="shared" ref="P1040:Q1040" si="1378">P1037*$B1040/(1+$B1040)</f>
        <v>0</v>
      </c>
      <c r="Q1040" s="53">
        <f t="shared" si="1378"/>
        <v>0</v>
      </c>
      <c r="S1040" s="54">
        <f>SUM(F1040:Q1040)</f>
        <v>0</v>
      </c>
    </row>
    <row r="1041" spans="1:19" outlineLevel="1" collapsed="1" x14ac:dyDescent="0.2">
      <c r="A1041" s="274" t="s">
        <v>2702</v>
      </c>
      <c r="B1041" s="255">
        <v>1</v>
      </c>
      <c r="C1041" s="17" t="str">
        <f ca="1">CHOOSE(B1041,CUR_Main,CUR_Foreign)</f>
        <v>руб.</v>
      </c>
      <c r="D1041" s="16" t="str">
        <f>TEXT(B1041,"0")&amp;"_01"</f>
        <v>1_01</v>
      </c>
      <c r="F1041" s="281">
        <v>1750000</v>
      </c>
      <c r="G1041" s="281">
        <f t="shared" ref="G1041" si="1379">F1041*IF(CalcMethod=2,1+F1043,1)</f>
        <v>1750000</v>
      </c>
      <c r="H1041" s="281">
        <f t="shared" ref="H1041" si="1380">G1041*IF(CalcMethod=2,1+G1043,1)</f>
        <v>1750000</v>
      </c>
      <c r="I1041" s="281">
        <f t="shared" ref="I1041" si="1381">H1041*IF(CalcMethod=2,1+H1043,1)</f>
        <v>1750000</v>
      </c>
      <c r="J1041" s="281">
        <f t="shared" ref="J1041" si="1382">I1041*IF(CalcMethod=2,1+I1043,1)</f>
        <v>1750000</v>
      </c>
      <c r="K1041" s="281">
        <f t="shared" ref="K1041" si="1383">J1041*IF(CalcMethod=2,1+J1043,1)</f>
        <v>1750000</v>
      </c>
      <c r="L1041" s="281">
        <f t="shared" ref="L1041" si="1384">K1041*IF(CalcMethod=2,1+K1043,1)</f>
        <v>1750000</v>
      </c>
      <c r="M1041" s="281">
        <f t="shared" ref="M1041" si="1385">L1041*IF(CalcMethod=2,1+L1043,1)</f>
        <v>1750000</v>
      </c>
      <c r="N1041" s="281">
        <f t="shared" ref="N1041" si="1386">M1041*IF(CalcMethod=2,1+M1043,1)</f>
        <v>1750000</v>
      </c>
      <c r="O1041" s="281">
        <f t="shared" ref="O1041" si="1387">N1041*IF(CalcMethod=2,1+N1043,1)</f>
        <v>1750000</v>
      </c>
      <c r="P1041" s="281">
        <f t="shared" ref="P1041" si="1388">O1041*IF(CalcMethod=2,1+O1043,1)</f>
        <v>1750000</v>
      </c>
      <c r="Q1041" s="281">
        <f t="shared" ref="Q1041" si="1389">P1041*IF(CalcMethod=2,1+P1043,1)</f>
        <v>1750000</v>
      </c>
      <c r="S1041" s="54">
        <f>SUM(F1041:Q1041)</f>
        <v>21000000</v>
      </c>
    </row>
    <row r="1042" spans="1:19" hidden="1" outlineLevel="2" x14ac:dyDescent="0.2">
      <c r="A1042" t="str">
        <f ca="1">Language!A$104</f>
        <v>Предполагаемый темп годового роста цен</v>
      </c>
      <c r="C1042" s="5" t="s">
        <v>177</v>
      </c>
      <c r="D1042" s="16" t="s">
        <v>176</v>
      </c>
      <c r="F1042" s="269">
        <f t="shared" ref="F1042:Q1042" si="1390">CHOOSE($B1041,F$80,F$91)</f>
        <v>8.0000000000000002E-3</v>
      </c>
      <c r="G1042" s="269">
        <f t="shared" si="1390"/>
        <v>8.0000000000000002E-3</v>
      </c>
      <c r="H1042" s="269">
        <f t="shared" si="1390"/>
        <v>8.0000000000000002E-3</v>
      </c>
      <c r="I1042" s="269">
        <f t="shared" si="1390"/>
        <v>8.0000000000000002E-3</v>
      </c>
      <c r="J1042" s="269">
        <f t="shared" si="1390"/>
        <v>8.0000000000000002E-3</v>
      </c>
      <c r="K1042" s="269">
        <f t="shared" si="1390"/>
        <v>8.0000000000000002E-3</v>
      </c>
      <c r="L1042" s="269">
        <f t="shared" si="1390"/>
        <v>8.0000000000000002E-3</v>
      </c>
      <c r="M1042" s="269">
        <f t="shared" si="1390"/>
        <v>8.0000000000000002E-3</v>
      </c>
      <c r="N1042" s="269">
        <f t="shared" si="1390"/>
        <v>8.0000000000000002E-3</v>
      </c>
      <c r="O1042" s="269">
        <f t="shared" si="1390"/>
        <v>8.0000000000000002E-3</v>
      </c>
      <c r="P1042" s="269">
        <f t="shared" si="1390"/>
        <v>8.0000000000000002E-3</v>
      </c>
      <c r="Q1042" s="269">
        <f t="shared" si="1390"/>
        <v>8.0000000000000002E-3</v>
      </c>
    </row>
    <row r="1043" spans="1:19" hidden="1" outlineLevel="2" x14ac:dyDescent="0.2">
      <c r="A1043" t="str">
        <f ca="1">Language!A$106</f>
        <v>То же, в пересчете на период, равный шагу проекта</v>
      </c>
      <c r="C1043" s="5" t="s">
        <v>177</v>
      </c>
      <c r="D1043" s="16" t="s">
        <v>176</v>
      </c>
      <c r="F1043" s="30">
        <f t="shared" ref="F1043:Q1043" si="1391">POWER(1+F1042,PRJ_Step/360)-1</f>
        <v>6.6423464362252993E-4</v>
      </c>
      <c r="G1043" s="30">
        <f t="shared" si="1391"/>
        <v>6.6423464362252993E-4</v>
      </c>
      <c r="H1043" s="30">
        <f t="shared" si="1391"/>
        <v>6.6423464362252993E-4</v>
      </c>
      <c r="I1043" s="30">
        <f t="shared" si="1391"/>
        <v>6.6423464362252993E-4</v>
      </c>
      <c r="J1043" s="30">
        <f t="shared" si="1391"/>
        <v>6.6423464362252993E-4</v>
      </c>
      <c r="K1043" s="30">
        <f t="shared" si="1391"/>
        <v>6.6423464362252993E-4</v>
      </c>
      <c r="L1043" s="30">
        <f t="shared" si="1391"/>
        <v>6.6423464362252993E-4</v>
      </c>
      <c r="M1043" s="30">
        <f t="shared" si="1391"/>
        <v>6.6423464362252993E-4</v>
      </c>
      <c r="N1043" s="30">
        <f t="shared" si="1391"/>
        <v>6.6423464362252993E-4</v>
      </c>
      <c r="O1043" s="30">
        <f t="shared" si="1391"/>
        <v>6.6423464362252993E-4</v>
      </c>
      <c r="P1043" s="30">
        <f t="shared" si="1391"/>
        <v>6.6423464362252993E-4</v>
      </c>
      <c r="Q1043" s="30">
        <f t="shared" si="1391"/>
        <v>6.6423464362252993E-4</v>
      </c>
    </row>
    <row r="1044" spans="1:19" hidden="1" outlineLevel="2" x14ac:dyDescent="0.2">
      <c r="A1044" t="str">
        <f ca="1">Language!A$619</f>
        <v>в том числе НДС</v>
      </c>
      <c r="B1044" s="283">
        <f>VAT</f>
        <v>0</v>
      </c>
      <c r="C1044" s="5" t="str">
        <f ca="1">CHOOSE(B1041,CUR_Main,CUR_Foreign)</f>
        <v>руб.</v>
      </c>
      <c r="D1044" t="str">
        <f>TEXT(B1041,"0")&amp;"_02"</f>
        <v>1_02</v>
      </c>
      <c r="F1044" s="53">
        <f t="shared" ref="F1044:Q1044" si="1392">F1041*$B1044/(1+$B1044)</f>
        <v>0</v>
      </c>
      <c r="G1044" s="53">
        <f t="shared" si="1392"/>
        <v>0</v>
      </c>
      <c r="H1044" s="53">
        <f t="shared" si="1392"/>
        <v>0</v>
      </c>
      <c r="I1044" s="53">
        <f t="shared" si="1392"/>
        <v>0</v>
      </c>
      <c r="J1044" s="53">
        <f t="shared" si="1392"/>
        <v>0</v>
      </c>
      <c r="K1044" s="53">
        <f t="shared" si="1392"/>
        <v>0</v>
      </c>
      <c r="L1044" s="53">
        <f t="shared" si="1392"/>
        <v>0</v>
      </c>
      <c r="M1044" s="53">
        <f t="shared" si="1392"/>
        <v>0</v>
      </c>
      <c r="N1044" s="53">
        <f t="shared" si="1392"/>
        <v>0</v>
      </c>
      <c r="O1044" s="53">
        <f t="shared" si="1392"/>
        <v>0</v>
      </c>
      <c r="P1044" s="53">
        <f t="shared" si="1392"/>
        <v>0</v>
      </c>
      <c r="Q1044" s="53">
        <f t="shared" si="1392"/>
        <v>0</v>
      </c>
      <c r="S1044" s="54">
        <f>SUM(F1044:Q1044)</f>
        <v>0</v>
      </c>
    </row>
    <row r="1045" spans="1:19" outlineLevel="1" x14ac:dyDescent="0.2"/>
    <row r="1046" spans="1:19" outlineLevel="1" x14ac:dyDescent="0.2">
      <c r="A1046" s="63"/>
      <c r="B1046" s="63"/>
      <c r="C1046" s="63"/>
      <c r="D1046" s="63"/>
      <c r="E1046" s="63"/>
      <c r="F1046" s="63"/>
      <c r="G1046" s="63"/>
      <c r="H1046" s="63"/>
      <c r="I1046" s="63"/>
      <c r="J1046" s="63"/>
      <c r="K1046" s="63"/>
      <c r="L1046" s="63"/>
      <c r="M1046" s="63"/>
      <c r="N1046" s="63"/>
      <c r="O1046" s="63"/>
      <c r="P1046" s="63"/>
      <c r="Q1046" s="63"/>
      <c r="R1046" s="63"/>
      <c r="S1046" s="64"/>
    </row>
    <row r="1047" spans="1:19" ht="10.5" outlineLevel="1" x14ac:dyDescent="0.25">
      <c r="A1047" s="35" t="str">
        <f ca="1">Language!A601</f>
        <v>Общие производственные расходы</v>
      </c>
    </row>
    <row r="1048" spans="1:19" outlineLevel="1" x14ac:dyDescent="0.2"/>
    <row r="1049" spans="1:19" outlineLevel="1" x14ac:dyDescent="0.2">
      <c r="A1049" t="str">
        <f ca="1">Language!A613</f>
        <v>Зарплата вспомогательного произв. персонала</v>
      </c>
      <c r="C1049" s="5" t="str">
        <f ca="1">CUR_Main</f>
        <v>руб.</v>
      </c>
      <c r="F1049" s="43">
        <f t="shared" ref="F1049:M1049" si="1393">F1013</f>
        <v>360000</v>
      </c>
      <c r="G1049" s="43">
        <f t="shared" si="1393"/>
        <v>0</v>
      </c>
      <c r="H1049" s="43">
        <f t="shared" si="1393"/>
        <v>0</v>
      </c>
      <c r="I1049" s="43">
        <f t="shared" si="1393"/>
        <v>0</v>
      </c>
      <c r="J1049" s="43">
        <f t="shared" si="1393"/>
        <v>0</v>
      </c>
      <c r="K1049" s="43">
        <f t="shared" si="1393"/>
        <v>0</v>
      </c>
      <c r="L1049" s="43">
        <f t="shared" si="1393"/>
        <v>0</v>
      </c>
      <c r="M1049" s="43">
        <f t="shared" si="1393"/>
        <v>0</v>
      </c>
      <c r="N1049" s="43">
        <f t="shared" ref="N1049" si="1394">N1013</f>
        <v>0</v>
      </c>
      <c r="O1049" s="43">
        <f t="shared" ref="O1049" si="1395">O1013</f>
        <v>0</v>
      </c>
      <c r="P1049" s="43">
        <f t="shared" ref="P1049:Q1049" si="1396">P1013</f>
        <v>0</v>
      </c>
      <c r="Q1049" s="43">
        <f t="shared" si="1396"/>
        <v>0</v>
      </c>
      <c r="S1049" s="54">
        <f>SUM(F1049:Q1049)</f>
        <v>360000</v>
      </c>
    </row>
    <row r="1050" spans="1:19" outlineLevel="1" x14ac:dyDescent="0.2">
      <c r="A1050" t="str">
        <f ca="1">Language!A614</f>
        <v>ЕСН на зарплату вспомогательного произв. персонала</v>
      </c>
      <c r="C1050" s="5" t="str">
        <f ca="1">CUR_Main</f>
        <v>руб.</v>
      </c>
      <c r="F1050" s="43">
        <f t="shared" ref="F1050:M1050" si="1397">F1019</f>
        <v>50400.000000000007</v>
      </c>
      <c r="G1050" s="43">
        <f t="shared" si="1397"/>
        <v>0</v>
      </c>
      <c r="H1050" s="43">
        <f t="shared" si="1397"/>
        <v>0</v>
      </c>
      <c r="I1050" s="43">
        <f t="shared" si="1397"/>
        <v>0</v>
      </c>
      <c r="J1050" s="43">
        <f t="shared" si="1397"/>
        <v>0</v>
      </c>
      <c r="K1050" s="43">
        <f t="shared" si="1397"/>
        <v>0</v>
      </c>
      <c r="L1050" s="43">
        <f t="shared" si="1397"/>
        <v>0</v>
      </c>
      <c r="M1050" s="43">
        <f t="shared" si="1397"/>
        <v>0</v>
      </c>
      <c r="N1050" s="43">
        <f t="shared" ref="N1050" si="1398">N1019</f>
        <v>0</v>
      </c>
      <c r="O1050" s="43">
        <f t="shared" ref="O1050" si="1399">O1019</f>
        <v>0</v>
      </c>
      <c r="P1050" s="43">
        <f t="shared" ref="P1050:Q1050" si="1400">P1019</f>
        <v>0</v>
      </c>
      <c r="Q1050" s="43">
        <f t="shared" si="1400"/>
        <v>0</v>
      </c>
      <c r="S1050" s="54">
        <f>SUM(F1050:Q1050)</f>
        <v>50400.000000000007</v>
      </c>
    </row>
    <row r="1051" spans="1:19" outlineLevel="1" x14ac:dyDescent="0.2">
      <c r="A1051" t="str">
        <f ca="1">Language!A620</f>
        <v>Амортизация</v>
      </c>
      <c r="C1051" s="5" t="str">
        <f ca="1">CUR_Main</f>
        <v>руб.</v>
      </c>
      <c r="F1051" s="43">
        <f t="shared" ref="F1051:M1051" ca="1" si="1401">F442+F468+F455+F491+F243+F252+F261+F269+F535</f>
        <v>0</v>
      </c>
      <c r="G1051" s="43">
        <f t="shared" ca="1" si="1401"/>
        <v>0</v>
      </c>
      <c r="H1051" s="43">
        <f t="shared" ca="1" si="1401"/>
        <v>0</v>
      </c>
      <c r="I1051" s="43">
        <f t="shared" ca="1" si="1401"/>
        <v>0</v>
      </c>
      <c r="J1051" s="43">
        <f t="shared" ca="1" si="1401"/>
        <v>0</v>
      </c>
      <c r="K1051" s="43">
        <f t="shared" ca="1" si="1401"/>
        <v>0</v>
      </c>
      <c r="L1051" s="43">
        <f t="shared" ca="1" si="1401"/>
        <v>0</v>
      </c>
      <c r="M1051" s="43">
        <f t="shared" ca="1" si="1401"/>
        <v>0</v>
      </c>
      <c r="N1051" s="43">
        <f t="shared" ref="N1051" ca="1" si="1402">N442+N468+N455+N491+N243+N252+N261+N269+N535</f>
        <v>0</v>
      </c>
      <c r="O1051" s="43">
        <f t="shared" ref="O1051" ca="1" si="1403">O442+O468+O455+O491+O243+O252+O261+O269+O535</f>
        <v>0</v>
      </c>
      <c r="P1051" s="43">
        <f t="shared" ref="P1051:Q1051" ca="1" si="1404">P442+P468+P455+P491+P243+P252+P261+P269+P535</f>
        <v>0</v>
      </c>
      <c r="Q1051" s="43">
        <f t="shared" ca="1" si="1404"/>
        <v>0</v>
      </c>
      <c r="S1051" s="54">
        <f ca="1">SUM(F1051:Q1051)</f>
        <v>0</v>
      </c>
    </row>
    <row r="1052" spans="1:19" outlineLevel="1" x14ac:dyDescent="0.2">
      <c r="A1052" t="str">
        <f ca="1">Language!A621</f>
        <v>Земельный и другие налоги, относимые на текущие затраты</v>
      </c>
      <c r="C1052" s="5" t="str">
        <f ca="1">CUR_Main</f>
        <v>руб.</v>
      </c>
      <c r="F1052" s="106">
        <f t="shared" ref="F1052:Q1052" si="1405">F143+F147</f>
        <v>0</v>
      </c>
      <c r="G1052" s="106">
        <f t="shared" si="1405"/>
        <v>0</v>
      </c>
      <c r="H1052" s="106">
        <f t="shared" si="1405"/>
        <v>0</v>
      </c>
      <c r="I1052" s="106">
        <f t="shared" si="1405"/>
        <v>0</v>
      </c>
      <c r="J1052" s="106">
        <f t="shared" si="1405"/>
        <v>0</v>
      </c>
      <c r="K1052" s="106">
        <f t="shared" si="1405"/>
        <v>0</v>
      </c>
      <c r="L1052" s="106">
        <f t="shared" si="1405"/>
        <v>0</v>
      </c>
      <c r="M1052" s="106">
        <f t="shared" si="1405"/>
        <v>0</v>
      </c>
      <c r="N1052" s="106">
        <f t="shared" ref="N1052:Q1052" si="1406">N143+N147</f>
        <v>0</v>
      </c>
      <c r="O1052" s="106">
        <f t="shared" ref="O1052:Q1052" si="1407">O143+O147</f>
        <v>0</v>
      </c>
      <c r="P1052" s="106">
        <f t="shared" ref="P1052:Q1052" si="1408">P143+P147</f>
        <v>0</v>
      </c>
      <c r="Q1052" s="106">
        <f t="shared" si="1408"/>
        <v>0</v>
      </c>
      <c r="S1052" s="54">
        <f>SUM(F1052:Q1052)</f>
        <v>0</v>
      </c>
    </row>
    <row r="1053" spans="1:19" outlineLevel="1" x14ac:dyDescent="0.2">
      <c r="B1053" s="36" t="str">
        <f ca="1">Language!A$73</f>
        <v>Валюта</v>
      </c>
      <c r="D1053">
        <v>1</v>
      </c>
      <c r="E1053">
        <v>4</v>
      </c>
    </row>
    <row r="1054" spans="1:19" outlineLevel="1" collapsed="1" x14ac:dyDescent="0.2">
      <c r="A1054" s="274" t="s">
        <v>2685</v>
      </c>
      <c r="B1054" s="255">
        <v>1</v>
      </c>
      <c r="C1054" s="17" t="str">
        <f ca="1">CHOOSE(B1054,CUR_Main,CUR_Foreign)</f>
        <v>руб.</v>
      </c>
      <c r="D1054" s="16" t="str">
        <f>TEXT(B1054,"0")&amp;"_01"</f>
        <v>1_01</v>
      </c>
      <c r="F1054" s="281">
        <v>0</v>
      </c>
      <c r="G1054" s="281">
        <f t="shared" ref="G1054:Q1054" si="1409">F1054*IF(CalcMethod=2,1+F1056,1)</f>
        <v>0</v>
      </c>
      <c r="H1054" s="281">
        <f t="shared" si="1409"/>
        <v>0</v>
      </c>
      <c r="I1054" s="281">
        <f t="shared" si="1409"/>
        <v>0</v>
      </c>
      <c r="J1054" s="281">
        <f t="shared" si="1409"/>
        <v>0</v>
      </c>
      <c r="K1054" s="281">
        <f t="shared" si="1409"/>
        <v>0</v>
      </c>
      <c r="L1054" s="281">
        <f t="shared" si="1409"/>
        <v>0</v>
      </c>
      <c r="M1054" s="281">
        <f t="shared" si="1409"/>
        <v>0</v>
      </c>
      <c r="N1054" s="281">
        <f t="shared" si="1409"/>
        <v>0</v>
      </c>
      <c r="O1054" s="281">
        <f t="shared" si="1409"/>
        <v>0</v>
      </c>
      <c r="P1054" s="281">
        <f t="shared" si="1409"/>
        <v>0</v>
      </c>
      <c r="Q1054" s="281">
        <f t="shared" si="1409"/>
        <v>0</v>
      </c>
      <c r="S1054" s="54">
        <f>SUM(F1054:Q1054)</f>
        <v>0</v>
      </c>
    </row>
    <row r="1055" spans="1:19" hidden="1" outlineLevel="2" x14ac:dyDescent="0.2">
      <c r="A1055" t="str">
        <f ca="1">Language!A$104</f>
        <v>Предполагаемый темп годового роста цен</v>
      </c>
      <c r="C1055" s="5" t="s">
        <v>177</v>
      </c>
      <c r="D1055" s="16" t="s">
        <v>176</v>
      </c>
      <c r="F1055" s="269">
        <f t="shared" ref="F1055:M1055" si="1410">CHOOSE($B1054,F$80,F$91)</f>
        <v>8.0000000000000002E-3</v>
      </c>
      <c r="G1055" s="269">
        <f t="shared" si="1410"/>
        <v>8.0000000000000002E-3</v>
      </c>
      <c r="H1055" s="269">
        <f t="shared" si="1410"/>
        <v>8.0000000000000002E-3</v>
      </c>
      <c r="I1055" s="269">
        <f t="shared" si="1410"/>
        <v>8.0000000000000002E-3</v>
      </c>
      <c r="J1055" s="269">
        <f t="shared" si="1410"/>
        <v>8.0000000000000002E-3</v>
      </c>
      <c r="K1055" s="269">
        <f t="shared" si="1410"/>
        <v>8.0000000000000002E-3</v>
      </c>
      <c r="L1055" s="269">
        <f t="shared" si="1410"/>
        <v>8.0000000000000002E-3</v>
      </c>
      <c r="M1055" s="269">
        <f t="shared" si="1410"/>
        <v>8.0000000000000002E-3</v>
      </c>
      <c r="N1055" s="269">
        <f t="shared" ref="N1055" si="1411">CHOOSE($B1054,N$80,N$91)</f>
        <v>8.0000000000000002E-3</v>
      </c>
      <c r="O1055" s="269">
        <f t="shared" ref="O1055" si="1412">CHOOSE($B1054,O$80,O$91)</f>
        <v>8.0000000000000002E-3</v>
      </c>
      <c r="P1055" s="269">
        <f t="shared" ref="P1055:Q1055" si="1413">CHOOSE($B1054,P$80,P$91)</f>
        <v>8.0000000000000002E-3</v>
      </c>
      <c r="Q1055" s="269">
        <f t="shared" si="1413"/>
        <v>8.0000000000000002E-3</v>
      </c>
    </row>
    <row r="1056" spans="1:19" hidden="1" outlineLevel="2" x14ac:dyDescent="0.2">
      <c r="A1056" t="str">
        <f ca="1">Language!A$106</f>
        <v>То же, в пересчете на период, равный шагу проекта</v>
      </c>
      <c r="C1056" s="5" t="s">
        <v>177</v>
      </c>
      <c r="D1056" s="16" t="s">
        <v>176</v>
      </c>
      <c r="F1056" s="30">
        <f t="shared" ref="F1056:M1056" si="1414">POWER(1+F1055,PRJ_Step/360)-1</f>
        <v>6.6423464362252993E-4</v>
      </c>
      <c r="G1056" s="30">
        <f t="shared" si="1414"/>
        <v>6.6423464362252993E-4</v>
      </c>
      <c r="H1056" s="30">
        <f t="shared" si="1414"/>
        <v>6.6423464362252993E-4</v>
      </c>
      <c r="I1056" s="30">
        <f t="shared" si="1414"/>
        <v>6.6423464362252993E-4</v>
      </c>
      <c r="J1056" s="30">
        <f t="shared" si="1414"/>
        <v>6.6423464362252993E-4</v>
      </c>
      <c r="K1056" s="30">
        <f t="shared" si="1414"/>
        <v>6.6423464362252993E-4</v>
      </c>
      <c r="L1056" s="30">
        <f t="shared" si="1414"/>
        <v>6.6423464362252993E-4</v>
      </c>
      <c r="M1056" s="30">
        <f t="shared" si="1414"/>
        <v>6.6423464362252993E-4</v>
      </c>
      <c r="N1056" s="30">
        <f t="shared" ref="N1056" si="1415">POWER(1+N1055,PRJ_Step/360)-1</f>
        <v>6.6423464362252993E-4</v>
      </c>
      <c r="O1056" s="30">
        <f t="shared" ref="O1056" si="1416">POWER(1+O1055,PRJ_Step/360)-1</f>
        <v>6.6423464362252993E-4</v>
      </c>
      <c r="P1056" s="30">
        <f t="shared" ref="P1056:Q1056" si="1417">POWER(1+P1055,PRJ_Step/360)-1</f>
        <v>6.6423464362252993E-4</v>
      </c>
      <c r="Q1056" s="30">
        <f t="shared" si="1417"/>
        <v>6.6423464362252993E-4</v>
      </c>
    </row>
    <row r="1057" spans="1:19" hidden="1" outlineLevel="2" x14ac:dyDescent="0.2">
      <c r="A1057" t="str">
        <f ca="1">Language!A$619</f>
        <v>в том числе НДС</v>
      </c>
      <c r="B1057" s="283">
        <f>VAT</f>
        <v>0</v>
      </c>
      <c r="C1057" s="5" t="str">
        <f ca="1">CHOOSE(B1054,CUR_Main,CUR_Foreign)</f>
        <v>руб.</v>
      </c>
      <c r="D1057" t="str">
        <f>TEXT(B1054,"0")&amp;"_02"</f>
        <v>1_02</v>
      </c>
      <c r="F1057" s="53">
        <f t="shared" ref="F1057:M1057" si="1418">F1054*$B1057/(1+$B1057)</f>
        <v>0</v>
      </c>
      <c r="G1057" s="53">
        <f t="shared" si="1418"/>
        <v>0</v>
      </c>
      <c r="H1057" s="53">
        <f t="shared" si="1418"/>
        <v>0</v>
      </c>
      <c r="I1057" s="53">
        <f t="shared" si="1418"/>
        <v>0</v>
      </c>
      <c r="J1057" s="53">
        <f t="shared" si="1418"/>
        <v>0</v>
      </c>
      <c r="K1057" s="53">
        <f t="shared" si="1418"/>
        <v>0</v>
      </c>
      <c r="L1057" s="53">
        <f t="shared" si="1418"/>
        <v>0</v>
      </c>
      <c r="M1057" s="53">
        <f t="shared" si="1418"/>
        <v>0</v>
      </c>
      <c r="N1057" s="53">
        <f t="shared" ref="N1057" si="1419">N1054*$B1057/(1+$B1057)</f>
        <v>0</v>
      </c>
      <c r="O1057" s="53">
        <f t="shared" ref="O1057" si="1420">O1054*$B1057/(1+$B1057)</f>
        <v>0</v>
      </c>
      <c r="P1057" s="53">
        <f t="shared" ref="P1057:Q1057" si="1421">P1054*$B1057/(1+$B1057)</f>
        <v>0</v>
      </c>
      <c r="Q1057" s="53">
        <f t="shared" si="1421"/>
        <v>0</v>
      </c>
      <c r="S1057" s="54">
        <f>SUM(F1057:Q1057)</f>
        <v>0</v>
      </c>
    </row>
    <row r="1058" spans="1:19" outlineLevel="1" x14ac:dyDescent="0.2"/>
    <row r="1059" spans="1:19" outlineLevel="1" x14ac:dyDescent="0.2">
      <c r="A1059" s="63"/>
      <c r="B1059" s="63"/>
      <c r="C1059" s="63"/>
      <c r="D1059" s="63"/>
      <c r="E1059" s="63"/>
      <c r="F1059" s="63"/>
      <c r="G1059" s="63"/>
      <c r="H1059" s="63"/>
      <c r="I1059" s="63"/>
      <c r="J1059" s="63"/>
      <c r="K1059" s="63"/>
      <c r="L1059" s="63"/>
      <c r="M1059" s="63"/>
      <c r="N1059" s="63"/>
      <c r="O1059" s="63"/>
      <c r="P1059" s="63"/>
      <c r="Q1059" s="63"/>
      <c r="R1059" s="63"/>
      <c r="S1059" s="64"/>
    </row>
    <row r="1060" spans="1:19" ht="10.5" outlineLevel="1" x14ac:dyDescent="0.25">
      <c r="A1060" s="35" t="str">
        <f ca="1">Language!A602</f>
        <v>Административные расходы</v>
      </c>
    </row>
    <row r="1061" spans="1:19" outlineLevel="1" x14ac:dyDescent="0.2"/>
    <row r="1062" spans="1:19" outlineLevel="1" x14ac:dyDescent="0.2">
      <c r="A1062" t="str">
        <f ca="1">Language!A617</f>
        <v>Зарплата административного персонала</v>
      </c>
      <c r="C1062" s="5" t="str">
        <f ca="1">CUR_Main</f>
        <v>руб.</v>
      </c>
      <c r="F1062" s="43">
        <f t="shared" ref="F1062:M1062" si="1422">F1014</f>
        <v>314000</v>
      </c>
      <c r="G1062" s="43">
        <f t="shared" si="1422"/>
        <v>314000</v>
      </c>
      <c r="H1062" s="43">
        <f t="shared" si="1422"/>
        <v>314000</v>
      </c>
      <c r="I1062" s="43">
        <f t="shared" si="1422"/>
        <v>314000</v>
      </c>
      <c r="J1062" s="43">
        <f t="shared" si="1422"/>
        <v>314000</v>
      </c>
      <c r="K1062" s="43">
        <f t="shared" si="1422"/>
        <v>314000</v>
      </c>
      <c r="L1062" s="43">
        <f t="shared" si="1422"/>
        <v>314000</v>
      </c>
      <c r="M1062" s="43">
        <f t="shared" si="1422"/>
        <v>314000</v>
      </c>
      <c r="N1062" s="43">
        <f t="shared" ref="N1062" si="1423">N1014</f>
        <v>314000</v>
      </c>
      <c r="O1062" s="43">
        <f t="shared" ref="O1062" si="1424">O1014</f>
        <v>314000</v>
      </c>
      <c r="P1062" s="43">
        <f t="shared" ref="P1062:Q1062" si="1425">P1014</f>
        <v>314000</v>
      </c>
      <c r="Q1062" s="43">
        <f t="shared" si="1425"/>
        <v>314000</v>
      </c>
      <c r="S1062" s="54">
        <f>SUM(F1062:Q1062)</f>
        <v>3768000</v>
      </c>
    </row>
    <row r="1063" spans="1:19" outlineLevel="1" x14ac:dyDescent="0.2">
      <c r="A1063" t="str">
        <f ca="1">Language!A618</f>
        <v>ЕСН на зарплату административного персонала</v>
      </c>
      <c r="C1063" s="5" t="str">
        <f ca="1">CUR_Main</f>
        <v>руб.</v>
      </c>
      <c r="F1063" s="43">
        <f t="shared" ref="F1063:M1063" si="1426">F1020</f>
        <v>43960.000000000007</v>
      </c>
      <c r="G1063" s="43">
        <f t="shared" si="1426"/>
        <v>43960.000000000007</v>
      </c>
      <c r="H1063" s="43">
        <f t="shared" si="1426"/>
        <v>43960.000000000007</v>
      </c>
      <c r="I1063" s="43">
        <f t="shared" si="1426"/>
        <v>43960.000000000007</v>
      </c>
      <c r="J1063" s="43">
        <f t="shared" si="1426"/>
        <v>43960.000000000007</v>
      </c>
      <c r="K1063" s="43">
        <f t="shared" si="1426"/>
        <v>43960.000000000007</v>
      </c>
      <c r="L1063" s="43">
        <f t="shared" si="1426"/>
        <v>43960.000000000007</v>
      </c>
      <c r="M1063" s="43">
        <f t="shared" si="1426"/>
        <v>43960.000000000007</v>
      </c>
      <c r="N1063" s="43">
        <f t="shared" ref="N1063" si="1427">N1020</f>
        <v>43960.000000000007</v>
      </c>
      <c r="O1063" s="43">
        <f t="shared" ref="O1063" si="1428">O1020</f>
        <v>43960.000000000007</v>
      </c>
      <c r="P1063" s="43">
        <f t="shared" ref="P1063:Q1063" si="1429">P1020</f>
        <v>43960.000000000007</v>
      </c>
      <c r="Q1063" s="43">
        <f t="shared" si="1429"/>
        <v>43960.000000000007</v>
      </c>
      <c r="S1063" s="54">
        <f>SUM(F1063:Q1063)</f>
        <v>527520.00000000012</v>
      </c>
    </row>
    <row r="1064" spans="1:19" outlineLevel="1" x14ac:dyDescent="0.2">
      <c r="B1064" s="36" t="str">
        <f ca="1">Language!A$73</f>
        <v>Валюта</v>
      </c>
      <c r="D1064">
        <v>2</v>
      </c>
      <c r="E1064">
        <v>4</v>
      </c>
    </row>
    <row r="1065" spans="1:19" outlineLevel="1" collapsed="1" x14ac:dyDescent="0.2">
      <c r="A1065" s="274" t="s">
        <v>2678</v>
      </c>
      <c r="B1065" s="255">
        <v>1</v>
      </c>
      <c r="C1065" s="17" t="str">
        <f ca="1">CHOOSE(B1065,CUR_Main,CUR_Foreign)</f>
        <v>руб.</v>
      </c>
      <c r="D1065" s="16" t="str">
        <f>TEXT(B1065,"0")&amp;"_01"</f>
        <v>1_01</v>
      </c>
      <c r="F1065" s="281">
        <v>0</v>
      </c>
      <c r="G1065" s="281">
        <f t="shared" ref="G1065:Q1065" si="1430">F1065*IF(CalcMethod=2,1+F1067,1)</f>
        <v>0</v>
      </c>
      <c r="H1065" s="281">
        <f t="shared" si="1430"/>
        <v>0</v>
      </c>
      <c r="I1065" s="281">
        <f t="shared" si="1430"/>
        <v>0</v>
      </c>
      <c r="J1065" s="281">
        <f t="shared" si="1430"/>
        <v>0</v>
      </c>
      <c r="K1065" s="281">
        <f t="shared" si="1430"/>
        <v>0</v>
      </c>
      <c r="L1065" s="281">
        <f t="shared" si="1430"/>
        <v>0</v>
      </c>
      <c r="M1065" s="281">
        <f t="shared" si="1430"/>
        <v>0</v>
      </c>
      <c r="N1065" s="281">
        <f t="shared" si="1430"/>
        <v>0</v>
      </c>
      <c r="O1065" s="281">
        <f t="shared" si="1430"/>
        <v>0</v>
      </c>
      <c r="P1065" s="281">
        <f t="shared" si="1430"/>
        <v>0</v>
      </c>
      <c r="Q1065" s="281">
        <f t="shared" si="1430"/>
        <v>0</v>
      </c>
      <c r="S1065" s="54">
        <f>SUM(F1065:Q1065)</f>
        <v>0</v>
      </c>
    </row>
    <row r="1066" spans="1:19" hidden="1" outlineLevel="2" x14ac:dyDescent="0.2">
      <c r="A1066" t="str">
        <f ca="1">Language!A$104</f>
        <v>Предполагаемый темп годового роста цен</v>
      </c>
      <c r="C1066" s="5" t="s">
        <v>177</v>
      </c>
      <c r="D1066" s="16" t="s">
        <v>176</v>
      </c>
      <c r="F1066" s="269">
        <f t="shared" ref="F1066:M1066" si="1431">CHOOSE($B1065,F$80,F$91)</f>
        <v>8.0000000000000002E-3</v>
      </c>
      <c r="G1066" s="269">
        <f t="shared" si="1431"/>
        <v>8.0000000000000002E-3</v>
      </c>
      <c r="H1066" s="269">
        <f t="shared" si="1431"/>
        <v>8.0000000000000002E-3</v>
      </c>
      <c r="I1066" s="269">
        <f t="shared" si="1431"/>
        <v>8.0000000000000002E-3</v>
      </c>
      <c r="J1066" s="269">
        <f t="shared" si="1431"/>
        <v>8.0000000000000002E-3</v>
      </c>
      <c r="K1066" s="269">
        <f t="shared" si="1431"/>
        <v>8.0000000000000002E-3</v>
      </c>
      <c r="L1066" s="269">
        <f t="shared" si="1431"/>
        <v>8.0000000000000002E-3</v>
      </c>
      <c r="M1066" s="269">
        <f t="shared" si="1431"/>
        <v>8.0000000000000002E-3</v>
      </c>
      <c r="N1066" s="269">
        <f t="shared" ref="N1066" si="1432">CHOOSE($B1065,N$80,N$91)</f>
        <v>8.0000000000000002E-3</v>
      </c>
      <c r="O1066" s="269">
        <f t="shared" ref="O1066" si="1433">CHOOSE($B1065,O$80,O$91)</f>
        <v>8.0000000000000002E-3</v>
      </c>
      <c r="P1066" s="269">
        <f t="shared" ref="P1066:Q1066" si="1434">CHOOSE($B1065,P$80,P$91)</f>
        <v>8.0000000000000002E-3</v>
      </c>
      <c r="Q1066" s="269">
        <f t="shared" si="1434"/>
        <v>8.0000000000000002E-3</v>
      </c>
    </row>
    <row r="1067" spans="1:19" hidden="1" outlineLevel="2" x14ac:dyDescent="0.2">
      <c r="A1067" t="str">
        <f ca="1">Language!A$106</f>
        <v>То же, в пересчете на период, равный шагу проекта</v>
      </c>
      <c r="C1067" s="5" t="s">
        <v>177</v>
      </c>
      <c r="D1067" s="16" t="s">
        <v>176</v>
      </c>
      <c r="F1067" s="30">
        <f t="shared" ref="F1067:M1067" si="1435">POWER(1+F1066,PRJ_Step/360)-1</f>
        <v>6.6423464362252993E-4</v>
      </c>
      <c r="G1067" s="30">
        <f t="shared" si="1435"/>
        <v>6.6423464362252993E-4</v>
      </c>
      <c r="H1067" s="30">
        <f t="shared" si="1435"/>
        <v>6.6423464362252993E-4</v>
      </c>
      <c r="I1067" s="30">
        <f t="shared" si="1435"/>
        <v>6.6423464362252993E-4</v>
      </c>
      <c r="J1067" s="30">
        <f t="shared" si="1435"/>
        <v>6.6423464362252993E-4</v>
      </c>
      <c r="K1067" s="30">
        <f t="shared" si="1435"/>
        <v>6.6423464362252993E-4</v>
      </c>
      <c r="L1067" s="30">
        <f t="shared" si="1435"/>
        <v>6.6423464362252993E-4</v>
      </c>
      <c r="M1067" s="30">
        <f t="shared" si="1435"/>
        <v>6.6423464362252993E-4</v>
      </c>
      <c r="N1067" s="30">
        <f t="shared" ref="N1067" si="1436">POWER(1+N1066,PRJ_Step/360)-1</f>
        <v>6.6423464362252993E-4</v>
      </c>
      <c r="O1067" s="30">
        <f t="shared" ref="O1067" si="1437">POWER(1+O1066,PRJ_Step/360)-1</f>
        <v>6.6423464362252993E-4</v>
      </c>
      <c r="P1067" s="30">
        <f t="shared" ref="P1067:Q1067" si="1438">POWER(1+P1066,PRJ_Step/360)-1</f>
        <v>6.6423464362252993E-4</v>
      </c>
      <c r="Q1067" s="30">
        <f t="shared" si="1438"/>
        <v>6.6423464362252993E-4</v>
      </c>
    </row>
    <row r="1068" spans="1:19" hidden="1" outlineLevel="2" x14ac:dyDescent="0.2">
      <c r="A1068" t="str">
        <f ca="1">Language!A$619</f>
        <v>в том числе НДС</v>
      </c>
      <c r="B1068" s="283">
        <f>VAT</f>
        <v>0</v>
      </c>
      <c r="C1068" s="5" t="str">
        <f ca="1">CHOOSE(B1065,CUR_Main,CUR_Foreign)</f>
        <v>руб.</v>
      </c>
      <c r="D1068" t="str">
        <f>TEXT(B1065,"0")&amp;"_02"</f>
        <v>1_02</v>
      </c>
      <c r="F1068" s="53">
        <f t="shared" ref="F1068:M1068" si="1439">F1065*$B1068/(1+$B1068)</f>
        <v>0</v>
      </c>
      <c r="G1068" s="53">
        <f t="shared" si="1439"/>
        <v>0</v>
      </c>
      <c r="H1068" s="53">
        <f t="shared" si="1439"/>
        <v>0</v>
      </c>
      <c r="I1068" s="53">
        <f t="shared" si="1439"/>
        <v>0</v>
      </c>
      <c r="J1068" s="53">
        <f t="shared" si="1439"/>
        <v>0</v>
      </c>
      <c r="K1068" s="53">
        <f t="shared" si="1439"/>
        <v>0</v>
      </c>
      <c r="L1068" s="53">
        <f t="shared" si="1439"/>
        <v>0</v>
      </c>
      <c r="M1068" s="53">
        <f t="shared" si="1439"/>
        <v>0</v>
      </c>
      <c r="N1068" s="53">
        <f t="shared" ref="N1068" si="1440">N1065*$B1068/(1+$B1068)</f>
        <v>0</v>
      </c>
      <c r="O1068" s="53">
        <f t="shared" ref="O1068" si="1441">O1065*$B1068/(1+$B1068)</f>
        <v>0</v>
      </c>
      <c r="P1068" s="53">
        <f t="shared" ref="P1068:Q1068" si="1442">P1065*$B1068/(1+$B1068)</f>
        <v>0</v>
      </c>
      <c r="Q1068" s="53">
        <f t="shared" si="1442"/>
        <v>0</v>
      </c>
      <c r="S1068" s="54">
        <f>SUM(F1068:Q1068)</f>
        <v>0</v>
      </c>
    </row>
    <row r="1069" spans="1:19" outlineLevel="1" collapsed="1" x14ac:dyDescent="0.2">
      <c r="A1069" s="274" t="s">
        <v>2703</v>
      </c>
      <c r="B1069" s="255">
        <v>1</v>
      </c>
      <c r="C1069" s="17" t="str">
        <f ca="1">CHOOSE(B1069,CUR_Main,CUR_Foreign)</f>
        <v>руб.</v>
      </c>
      <c r="D1069" s="16" t="str">
        <f>TEXT(B1069,"0")&amp;"_01"</f>
        <v>1_01</v>
      </c>
      <c r="F1069" s="281">
        <v>140000</v>
      </c>
      <c r="G1069" s="281">
        <f t="shared" ref="G1069" si="1443">F1069*IF(CalcMethod=2,1+F1071,1)</f>
        <v>140000</v>
      </c>
      <c r="H1069" s="281">
        <f t="shared" ref="H1069" si="1444">G1069*IF(CalcMethod=2,1+G1071,1)</f>
        <v>140000</v>
      </c>
      <c r="I1069" s="281">
        <f t="shared" ref="I1069" si="1445">H1069*IF(CalcMethod=2,1+H1071,1)</f>
        <v>140000</v>
      </c>
      <c r="J1069" s="281">
        <f t="shared" ref="J1069" si="1446">I1069*IF(CalcMethod=2,1+I1071,1)</f>
        <v>140000</v>
      </c>
      <c r="K1069" s="281">
        <f t="shared" ref="K1069" si="1447">J1069*IF(CalcMethod=2,1+J1071,1)</f>
        <v>140000</v>
      </c>
      <c r="L1069" s="281">
        <f t="shared" ref="L1069" si="1448">K1069*IF(CalcMethod=2,1+K1071,1)</f>
        <v>140000</v>
      </c>
      <c r="M1069" s="281">
        <f t="shared" ref="M1069" si="1449">L1069*IF(CalcMethod=2,1+L1071,1)</f>
        <v>140000</v>
      </c>
      <c r="N1069" s="281">
        <f t="shared" ref="N1069" si="1450">M1069*IF(CalcMethod=2,1+M1071,1)</f>
        <v>140000</v>
      </c>
      <c r="O1069" s="281">
        <f t="shared" ref="O1069" si="1451">N1069*IF(CalcMethod=2,1+N1071,1)</f>
        <v>140000</v>
      </c>
      <c r="P1069" s="281">
        <f t="shared" ref="P1069" si="1452">O1069*IF(CalcMethod=2,1+O1071,1)</f>
        <v>140000</v>
      </c>
      <c r="Q1069" s="281">
        <f t="shared" ref="Q1069" si="1453">P1069*IF(CalcMethod=2,1+P1071,1)</f>
        <v>140000</v>
      </c>
      <c r="S1069" s="54">
        <f>SUM(F1069:Q1069)</f>
        <v>1680000</v>
      </c>
    </row>
    <row r="1070" spans="1:19" hidden="1" outlineLevel="2" x14ac:dyDescent="0.2">
      <c r="A1070" t="str">
        <f ca="1">Language!A$104</f>
        <v>Предполагаемый темп годового роста цен</v>
      </c>
      <c r="C1070" s="5" t="s">
        <v>177</v>
      </c>
      <c r="D1070" s="16" t="s">
        <v>176</v>
      </c>
      <c r="F1070" s="269">
        <f t="shared" ref="F1070:Q1070" si="1454">CHOOSE($B1069,F$80,F$91)</f>
        <v>8.0000000000000002E-3</v>
      </c>
      <c r="G1070" s="269">
        <f t="shared" si="1454"/>
        <v>8.0000000000000002E-3</v>
      </c>
      <c r="H1070" s="269">
        <f t="shared" si="1454"/>
        <v>8.0000000000000002E-3</v>
      </c>
      <c r="I1070" s="269">
        <f t="shared" si="1454"/>
        <v>8.0000000000000002E-3</v>
      </c>
      <c r="J1070" s="269">
        <f t="shared" si="1454"/>
        <v>8.0000000000000002E-3</v>
      </c>
      <c r="K1070" s="269">
        <f t="shared" si="1454"/>
        <v>8.0000000000000002E-3</v>
      </c>
      <c r="L1070" s="269">
        <f t="shared" si="1454"/>
        <v>8.0000000000000002E-3</v>
      </c>
      <c r="M1070" s="269">
        <f t="shared" si="1454"/>
        <v>8.0000000000000002E-3</v>
      </c>
      <c r="N1070" s="269">
        <f t="shared" si="1454"/>
        <v>8.0000000000000002E-3</v>
      </c>
      <c r="O1070" s="269">
        <f t="shared" si="1454"/>
        <v>8.0000000000000002E-3</v>
      </c>
      <c r="P1070" s="269">
        <f t="shared" si="1454"/>
        <v>8.0000000000000002E-3</v>
      </c>
      <c r="Q1070" s="269">
        <f t="shared" si="1454"/>
        <v>8.0000000000000002E-3</v>
      </c>
    </row>
    <row r="1071" spans="1:19" hidden="1" outlineLevel="2" x14ac:dyDescent="0.2">
      <c r="A1071" t="str">
        <f ca="1">Language!A$106</f>
        <v>То же, в пересчете на период, равный шагу проекта</v>
      </c>
      <c r="C1071" s="5" t="s">
        <v>177</v>
      </c>
      <c r="D1071" s="16" t="s">
        <v>176</v>
      </c>
      <c r="F1071" s="30">
        <f t="shared" ref="F1071:Q1071" si="1455">POWER(1+F1070,PRJ_Step/360)-1</f>
        <v>6.6423464362252993E-4</v>
      </c>
      <c r="G1071" s="30">
        <f t="shared" si="1455"/>
        <v>6.6423464362252993E-4</v>
      </c>
      <c r="H1071" s="30">
        <f t="shared" si="1455"/>
        <v>6.6423464362252993E-4</v>
      </c>
      <c r="I1071" s="30">
        <f t="shared" si="1455"/>
        <v>6.6423464362252993E-4</v>
      </c>
      <c r="J1071" s="30">
        <f t="shared" si="1455"/>
        <v>6.6423464362252993E-4</v>
      </c>
      <c r="K1071" s="30">
        <f t="shared" si="1455"/>
        <v>6.6423464362252993E-4</v>
      </c>
      <c r="L1071" s="30">
        <f t="shared" si="1455"/>
        <v>6.6423464362252993E-4</v>
      </c>
      <c r="M1071" s="30">
        <f t="shared" si="1455"/>
        <v>6.6423464362252993E-4</v>
      </c>
      <c r="N1071" s="30">
        <f t="shared" si="1455"/>
        <v>6.6423464362252993E-4</v>
      </c>
      <c r="O1071" s="30">
        <f t="shared" si="1455"/>
        <v>6.6423464362252993E-4</v>
      </c>
      <c r="P1071" s="30">
        <f t="shared" si="1455"/>
        <v>6.6423464362252993E-4</v>
      </c>
      <c r="Q1071" s="30">
        <f t="shared" si="1455"/>
        <v>6.6423464362252993E-4</v>
      </c>
    </row>
    <row r="1072" spans="1:19" hidden="1" outlineLevel="2" x14ac:dyDescent="0.2">
      <c r="A1072" t="str">
        <f ca="1">Language!A$619</f>
        <v>в том числе НДС</v>
      </c>
      <c r="B1072" s="283">
        <f>VAT</f>
        <v>0</v>
      </c>
      <c r="C1072" s="5" t="str">
        <f ca="1">CHOOSE(B1069,CUR_Main,CUR_Foreign)</f>
        <v>руб.</v>
      </c>
      <c r="D1072" t="str">
        <f>TEXT(B1069,"0")&amp;"_02"</f>
        <v>1_02</v>
      </c>
      <c r="F1072" s="53">
        <f t="shared" ref="F1072:Q1072" si="1456">F1069*$B1072/(1+$B1072)</f>
        <v>0</v>
      </c>
      <c r="G1072" s="53">
        <f t="shared" si="1456"/>
        <v>0</v>
      </c>
      <c r="H1072" s="53">
        <f t="shared" si="1456"/>
        <v>0</v>
      </c>
      <c r="I1072" s="53">
        <f t="shared" si="1456"/>
        <v>0</v>
      </c>
      <c r="J1072" s="53">
        <f t="shared" si="1456"/>
        <v>0</v>
      </c>
      <c r="K1072" s="53">
        <f t="shared" si="1456"/>
        <v>0</v>
      </c>
      <c r="L1072" s="53">
        <f t="shared" si="1456"/>
        <v>0</v>
      </c>
      <c r="M1072" s="53">
        <f t="shared" si="1456"/>
        <v>0</v>
      </c>
      <c r="N1072" s="53">
        <f t="shared" si="1456"/>
        <v>0</v>
      </c>
      <c r="O1072" s="53">
        <f t="shared" si="1456"/>
        <v>0</v>
      </c>
      <c r="P1072" s="53">
        <f t="shared" si="1456"/>
        <v>0</v>
      </c>
      <c r="Q1072" s="53">
        <f t="shared" si="1456"/>
        <v>0</v>
      </c>
      <c r="S1072" s="54">
        <f>SUM(F1072:Q1072)</f>
        <v>0</v>
      </c>
    </row>
    <row r="1073" spans="1:19" outlineLevel="1" x14ac:dyDescent="0.2"/>
    <row r="1074" spans="1:19" outlineLevel="1" x14ac:dyDescent="0.2">
      <c r="A1074" s="63"/>
      <c r="B1074" s="63"/>
      <c r="C1074" s="63"/>
      <c r="D1074" s="63"/>
      <c r="E1074" s="63"/>
      <c r="F1074" s="63"/>
      <c r="G1074" s="63"/>
      <c r="H1074" s="63"/>
      <c r="I1074" s="63"/>
      <c r="J1074" s="63"/>
      <c r="K1074" s="63"/>
      <c r="L1074" s="63"/>
      <c r="M1074" s="63"/>
      <c r="N1074" s="63"/>
      <c r="O1074" s="63"/>
      <c r="P1074" s="63"/>
      <c r="Q1074" s="63"/>
      <c r="R1074" s="63"/>
      <c r="S1074" s="64"/>
    </row>
    <row r="1075" spans="1:19" ht="10.5" outlineLevel="1" x14ac:dyDescent="0.25">
      <c r="A1075" s="62" t="str">
        <f ca="1">Language!A603</f>
        <v>Коммерческие расходы</v>
      </c>
      <c r="B1075" s="19"/>
      <c r="C1075" s="19"/>
      <c r="D1075" s="19"/>
      <c r="E1075" s="19"/>
      <c r="F1075" s="19"/>
      <c r="G1075" s="19"/>
      <c r="H1075" s="19"/>
      <c r="I1075" s="19"/>
      <c r="J1075" s="19"/>
      <c r="K1075" s="19"/>
      <c r="L1075" s="19"/>
      <c r="M1075" s="19"/>
      <c r="N1075" s="19"/>
      <c r="O1075" s="19"/>
      <c r="P1075" s="19"/>
      <c r="Q1075" s="19"/>
      <c r="R1075" s="19"/>
      <c r="S1075" s="22"/>
    </row>
    <row r="1076" spans="1:19" outlineLevel="1" x14ac:dyDescent="0.2"/>
    <row r="1077" spans="1:19" outlineLevel="1" x14ac:dyDescent="0.2">
      <c r="A1077" t="str">
        <f ca="1">Language!A615</f>
        <v>Зарплата коммерческого персонала</v>
      </c>
      <c r="C1077" s="5" t="str">
        <f ca="1">CUR_Main</f>
        <v>руб.</v>
      </c>
      <c r="F1077" s="43">
        <f t="shared" ref="F1077:M1077" si="1457">F1015</f>
        <v>0</v>
      </c>
      <c r="G1077" s="43">
        <f t="shared" si="1457"/>
        <v>0</v>
      </c>
      <c r="H1077" s="43">
        <f t="shared" si="1457"/>
        <v>0</v>
      </c>
      <c r="I1077" s="43">
        <f t="shared" si="1457"/>
        <v>0</v>
      </c>
      <c r="J1077" s="43">
        <f t="shared" si="1457"/>
        <v>0</v>
      </c>
      <c r="K1077" s="43">
        <f t="shared" si="1457"/>
        <v>0</v>
      </c>
      <c r="L1077" s="43">
        <f t="shared" si="1457"/>
        <v>0</v>
      </c>
      <c r="M1077" s="43">
        <f t="shared" si="1457"/>
        <v>0</v>
      </c>
      <c r="N1077" s="43">
        <f t="shared" ref="N1077" si="1458">N1015</f>
        <v>0</v>
      </c>
      <c r="O1077" s="43">
        <f t="shared" ref="O1077" si="1459">O1015</f>
        <v>0</v>
      </c>
      <c r="P1077" s="43">
        <f t="shared" ref="P1077:Q1077" si="1460">P1015</f>
        <v>0</v>
      </c>
      <c r="Q1077" s="43">
        <f t="shared" si="1460"/>
        <v>0</v>
      </c>
      <c r="S1077" s="54">
        <f>SUM(F1077:Q1077)</f>
        <v>0</v>
      </c>
    </row>
    <row r="1078" spans="1:19" outlineLevel="1" x14ac:dyDescent="0.2">
      <c r="A1078" t="str">
        <f ca="1">Language!A616</f>
        <v>ЕСН на зарплату коммерческого персонала</v>
      </c>
      <c r="C1078" s="5" t="str">
        <f ca="1">CUR_Main</f>
        <v>руб.</v>
      </c>
      <c r="F1078" s="43">
        <f t="shared" ref="F1078:M1078" si="1461">F1021</f>
        <v>0</v>
      </c>
      <c r="G1078" s="43">
        <f t="shared" si="1461"/>
        <v>0</v>
      </c>
      <c r="H1078" s="43">
        <f t="shared" si="1461"/>
        <v>0</v>
      </c>
      <c r="I1078" s="43">
        <f t="shared" si="1461"/>
        <v>0</v>
      </c>
      <c r="J1078" s="43">
        <f t="shared" si="1461"/>
        <v>0</v>
      </c>
      <c r="K1078" s="43">
        <f t="shared" si="1461"/>
        <v>0</v>
      </c>
      <c r="L1078" s="43">
        <f t="shared" si="1461"/>
        <v>0</v>
      </c>
      <c r="M1078" s="43">
        <f t="shared" si="1461"/>
        <v>0</v>
      </c>
      <c r="N1078" s="43">
        <f t="shared" ref="N1078" si="1462">N1021</f>
        <v>0</v>
      </c>
      <c r="O1078" s="43">
        <f t="shared" ref="O1078" si="1463">O1021</f>
        <v>0</v>
      </c>
      <c r="P1078" s="43">
        <f t="shared" ref="P1078:Q1078" si="1464">P1021</f>
        <v>0</v>
      </c>
      <c r="Q1078" s="43">
        <f t="shared" si="1464"/>
        <v>0</v>
      </c>
      <c r="S1078" s="54">
        <f>SUM(F1078:Q1078)</f>
        <v>0</v>
      </c>
    </row>
    <row r="1079" spans="1:19" outlineLevel="1" x14ac:dyDescent="0.2">
      <c r="B1079" s="36" t="str">
        <f ca="1">Language!A$73</f>
        <v>Валюта</v>
      </c>
      <c r="D1079">
        <v>1</v>
      </c>
      <c r="E1079">
        <v>5</v>
      </c>
    </row>
    <row r="1080" spans="1:19" outlineLevel="1" x14ac:dyDescent="0.2">
      <c r="A1080" s="274" t="str">
        <f ca="1">Language!A$430</f>
        <v>Наименование</v>
      </c>
      <c r="B1080" s="255">
        <v>1</v>
      </c>
      <c r="C1080" s="17" t="str">
        <f ca="1">CHOOSE(B1080,CUR_Main,CUR_Foreign)</f>
        <v>руб.</v>
      </c>
      <c r="D1080" s="16" t="str">
        <f>TEXT(B1080,"0")&amp;"_01"</f>
        <v>1_01</v>
      </c>
      <c r="F1080" s="281">
        <f>F1081*F$642/IF($B1080=1,1,F$88)</f>
        <v>0</v>
      </c>
      <c r="G1080" s="281">
        <f t="shared" ref="G1080:Q1080" si="1465">IF(G1081&gt;0%,G1081*G$642/IF($B1080=1,1,G$88),F1080*IF(AND(G1081=0,CalcMethod=2),1+F1083,1))</f>
        <v>0</v>
      </c>
      <c r="H1080" s="281">
        <f t="shared" si="1465"/>
        <v>0</v>
      </c>
      <c r="I1080" s="281">
        <f t="shared" si="1465"/>
        <v>0</v>
      </c>
      <c r="J1080" s="281">
        <f t="shared" si="1465"/>
        <v>0</v>
      </c>
      <c r="K1080" s="281">
        <f t="shared" si="1465"/>
        <v>0</v>
      </c>
      <c r="L1080" s="281">
        <f t="shared" si="1465"/>
        <v>0</v>
      </c>
      <c r="M1080" s="281">
        <f t="shared" si="1465"/>
        <v>0</v>
      </c>
      <c r="N1080" s="281">
        <f t="shared" si="1465"/>
        <v>0</v>
      </c>
      <c r="O1080" s="281">
        <f t="shared" si="1465"/>
        <v>0</v>
      </c>
      <c r="P1080" s="281">
        <f t="shared" si="1465"/>
        <v>0</v>
      </c>
      <c r="Q1080" s="281">
        <f t="shared" si="1465"/>
        <v>0</v>
      </c>
      <c r="S1080" s="54">
        <f>SUM(F1080:Q1080)</f>
        <v>0</v>
      </c>
    </row>
    <row r="1081" spans="1:19" outlineLevel="1" collapsed="1" x14ac:dyDescent="0.2">
      <c r="A1081" s="48" t="str">
        <f ca="1">Language!A$604</f>
        <v>Коммерческие расходы как % от продаж</v>
      </c>
      <c r="B1081" s="283">
        <v>0.02</v>
      </c>
      <c r="C1081" s="5" t="str">
        <f ca="1">CUR_Main</f>
        <v>руб.</v>
      </c>
      <c r="D1081" s="16" t="s">
        <v>176</v>
      </c>
      <c r="F1081" s="408">
        <v>0</v>
      </c>
      <c r="G1081" s="408">
        <v>0</v>
      </c>
      <c r="H1081" s="408">
        <v>0</v>
      </c>
      <c r="I1081" s="408">
        <v>0</v>
      </c>
      <c r="J1081" s="408">
        <v>0</v>
      </c>
      <c r="K1081" s="408">
        <v>0</v>
      </c>
      <c r="L1081" s="408">
        <v>0</v>
      </c>
      <c r="M1081" s="408">
        <v>0</v>
      </c>
      <c r="N1081" s="408">
        <v>0</v>
      </c>
      <c r="O1081" s="408">
        <v>0</v>
      </c>
      <c r="P1081" s="408">
        <v>0</v>
      </c>
      <c r="Q1081" s="408">
        <v>0</v>
      </c>
      <c r="R1081" s="108">
        <v>0</v>
      </c>
      <c r="S1081" s="54"/>
    </row>
    <row r="1082" spans="1:19" hidden="1" outlineLevel="2" x14ac:dyDescent="0.2">
      <c r="A1082" t="str">
        <f ca="1">Language!A$104</f>
        <v>Предполагаемый темп годового роста цен</v>
      </c>
      <c r="C1082" s="5" t="s">
        <v>177</v>
      </c>
      <c r="D1082" s="16" t="s">
        <v>176</v>
      </c>
      <c r="F1082" s="269">
        <f t="shared" ref="F1082:M1082" si="1466">CHOOSE($B1080,F$80,F$91)</f>
        <v>8.0000000000000002E-3</v>
      </c>
      <c r="G1082" s="269">
        <f t="shared" si="1466"/>
        <v>8.0000000000000002E-3</v>
      </c>
      <c r="H1082" s="269">
        <f t="shared" si="1466"/>
        <v>8.0000000000000002E-3</v>
      </c>
      <c r="I1082" s="269">
        <f t="shared" si="1466"/>
        <v>8.0000000000000002E-3</v>
      </c>
      <c r="J1082" s="269">
        <f t="shared" si="1466"/>
        <v>8.0000000000000002E-3</v>
      </c>
      <c r="K1082" s="269">
        <f t="shared" si="1466"/>
        <v>8.0000000000000002E-3</v>
      </c>
      <c r="L1082" s="269">
        <f t="shared" si="1466"/>
        <v>8.0000000000000002E-3</v>
      </c>
      <c r="M1082" s="269">
        <f t="shared" si="1466"/>
        <v>8.0000000000000002E-3</v>
      </c>
      <c r="N1082" s="269">
        <f t="shared" ref="N1082" si="1467">CHOOSE($B1080,N$80,N$91)</f>
        <v>8.0000000000000002E-3</v>
      </c>
      <c r="O1082" s="269">
        <f t="shared" ref="O1082" si="1468">CHOOSE($B1080,O$80,O$91)</f>
        <v>8.0000000000000002E-3</v>
      </c>
      <c r="P1082" s="269">
        <f t="shared" ref="P1082:Q1082" si="1469">CHOOSE($B1080,P$80,P$91)</f>
        <v>8.0000000000000002E-3</v>
      </c>
      <c r="Q1082" s="269">
        <f t="shared" si="1469"/>
        <v>8.0000000000000002E-3</v>
      </c>
    </row>
    <row r="1083" spans="1:19" hidden="1" outlineLevel="2" x14ac:dyDescent="0.2">
      <c r="A1083" t="str">
        <f ca="1">Language!A$106</f>
        <v>То же, в пересчете на период, равный шагу проекта</v>
      </c>
      <c r="C1083" s="5" t="s">
        <v>177</v>
      </c>
      <c r="D1083" s="16" t="s">
        <v>176</v>
      </c>
      <c r="F1083" s="30">
        <f t="shared" ref="F1083:M1083" si="1470">POWER(1+F1082,PRJ_Step/360)-1</f>
        <v>6.6423464362252993E-4</v>
      </c>
      <c r="G1083" s="30">
        <f t="shared" si="1470"/>
        <v>6.6423464362252993E-4</v>
      </c>
      <c r="H1083" s="30">
        <f t="shared" si="1470"/>
        <v>6.6423464362252993E-4</v>
      </c>
      <c r="I1083" s="30">
        <f t="shared" si="1470"/>
        <v>6.6423464362252993E-4</v>
      </c>
      <c r="J1083" s="30">
        <f t="shared" si="1470"/>
        <v>6.6423464362252993E-4</v>
      </c>
      <c r="K1083" s="30">
        <f t="shared" si="1470"/>
        <v>6.6423464362252993E-4</v>
      </c>
      <c r="L1083" s="30">
        <f t="shared" si="1470"/>
        <v>6.6423464362252993E-4</v>
      </c>
      <c r="M1083" s="30">
        <f t="shared" si="1470"/>
        <v>6.6423464362252993E-4</v>
      </c>
      <c r="N1083" s="30">
        <f t="shared" ref="N1083" si="1471">POWER(1+N1082,PRJ_Step/360)-1</f>
        <v>6.6423464362252993E-4</v>
      </c>
      <c r="O1083" s="30">
        <f t="shared" ref="O1083" si="1472">POWER(1+O1082,PRJ_Step/360)-1</f>
        <v>6.6423464362252993E-4</v>
      </c>
      <c r="P1083" s="30">
        <f t="shared" ref="P1083:Q1083" si="1473">POWER(1+P1082,PRJ_Step/360)-1</f>
        <v>6.6423464362252993E-4</v>
      </c>
      <c r="Q1083" s="30">
        <f t="shared" si="1473"/>
        <v>6.6423464362252993E-4</v>
      </c>
    </row>
    <row r="1084" spans="1:19" hidden="1" outlineLevel="2" x14ac:dyDescent="0.2">
      <c r="A1084" t="str">
        <f ca="1">Language!A$619</f>
        <v>в том числе НДС</v>
      </c>
      <c r="B1084" s="283">
        <f>VAT</f>
        <v>0</v>
      </c>
      <c r="C1084" s="5" t="str">
        <f ca="1">CHOOSE(B1080,CUR_Main,CUR_Foreign)</f>
        <v>руб.</v>
      </c>
      <c r="D1084" t="str">
        <f>TEXT(B1080,"0")&amp;"_02"</f>
        <v>1_02</v>
      </c>
      <c r="F1084" s="53">
        <f t="shared" ref="F1084:M1084" si="1474">F1080*$B1084/(1+$B1084)</f>
        <v>0</v>
      </c>
      <c r="G1084" s="53">
        <f t="shared" si="1474"/>
        <v>0</v>
      </c>
      <c r="H1084" s="53">
        <f t="shared" si="1474"/>
        <v>0</v>
      </c>
      <c r="I1084" s="53">
        <f t="shared" si="1474"/>
        <v>0</v>
      </c>
      <c r="J1084" s="53">
        <f t="shared" si="1474"/>
        <v>0</v>
      </c>
      <c r="K1084" s="53">
        <f t="shared" si="1474"/>
        <v>0</v>
      </c>
      <c r="L1084" s="53">
        <f t="shared" si="1474"/>
        <v>0</v>
      </c>
      <c r="M1084" s="53">
        <f t="shared" si="1474"/>
        <v>0</v>
      </c>
      <c r="N1084" s="53">
        <f t="shared" ref="N1084" si="1475">N1080*$B1084/(1+$B1084)</f>
        <v>0</v>
      </c>
      <c r="O1084" s="53">
        <f t="shared" ref="O1084" si="1476">O1080*$B1084/(1+$B1084)</f>
        <v>0</v>
      </c>
      <c r="P1084" s="53">
        <f t="shared" ref="P1084:Q1084" si="1477">P1080*$B1084/(1+$B1084)</f>
        <v>0</v>
      </c>
      <c r="Q1084" s="53">
        <f t="shared" si="1477"/>
        <v>0</v>
      </c>
      <c r="S1084" s="54">
        <f>SUM(F1084:Q1084)</f>
        <v>0</v>
      </c>
    </row>
    <row r="1085" spans="1:19" outlineLevel="1" x14ac:dyDescent="0.2"/>
    <row r="1086" spans="1:19" outlineLevel="1" x14ac:dyDescent="0.2">
      <c r="A1086" s="63"/>
      <c r="B1086" s="63"/>
      <c r="C1086" s="63"/>
      <c r="D1086" s="63"/>
      <c r="E1086" s="63"/>
      <c r="F1086" s="63"/>
      <c r="G1086" s="63"/>
      <c r="H1086" s="63"/>
      <c r="I1086" s="63"/>
      <c r="J1086" s="63"/>
      <c r="K1086" s="63"/>
      <c r="L1086" s="63"/>
      <c r="M1086" s="63"/>
      <c r="N1086" s="63"/>
      <c r="O1086" s="63"/>
      <c r="P1086" s="63"/>
      <c r="Q1086" s="63"/>
      <c r="R1086" s="63"/>
      <c r="S1086" s="64"/>
    </row>
    <row r="1087" spans="1:19" ht="10.5" outlineLevel="1" collapsed="1" x14ac:dyDescent="0.25">
      <c r="A1087" s="35" t="str">
        <f ca="1">Language!A622</f>
        <v xml:space="preserve"> = Итого: затраты в отчете о прибылях и убытках</v>
      </c>
      <c r="C1087" s="5" t="str">
        <f t="shared" ref="C1087:C1110" ca="1" si="1478">CUR_Main</f>
        <v>руб.</v>
      </c>
      <c r="F1087" s="89">
        <f t="shared" ref="F1087:M1087" ca="1" si="1479">F1088+F1089+F1090+F1091+F1092+F1093+F1094+F1095+F1096</f>
        <v>2966160</v>
      </c>
      <c r="G1087" s="89">
        <f t="shared" ca="1" si="1479"/>
        <v>2555760</v>
      </c>
      <c r="H1087" s="89">
        <f t="shared" ca="1" si="1479"/>
        <v>2555773.3087499999</v>
      </c>
      <c r="I1087" s="89">
        <f t="shared" ca="1" si="1479"/>
        <v>2555826.5437500002</v>
      </c>
      <c r="J1087" s="89">
        <f t="shared" ca="1" si="1479"/>
        <v>2555893.0874999999</v>
      </c>
      <c r="K1087" s="89">
        <f t="shared" ca="1" si="1479"/>
        <v>2556026.1749999998</v>
      </c>
      <c r="L1087" s="89">
        <f t="shared" ca="1" si="1479"/>
        <v>2556159.2625000002</v>
      </c>
      <c r="M1087" s="89">
        <f t="shared" ca="1" si="1479"/>
        <v>2556292.35</v>
      </c>
      <c r="N1087" s="89">
        <f t="shared" ref="N1087" ca="1" si="1480">N1088+N1089+N1090+N1091+N1092+N1093+N1094+N1095+N1096</f>
        <v>2556491.9812500002</v>
      </c>
      <c r="O1087" s="89">
        <f t="shared" ref="O1087:Q1087" ca="1" si="1481">O1088+O1089+O1090+O1091+O1092+O1093+O1094+O1095+O1096</f>
        <v>2556758.15625</v>
      </c>
      <c r="P1087" s="89">
        <f t="shared" ref="P1087:Q1087" ca="1" si="1482">P1088+P1089+P1090+P1091+P1092+P1093+P1094+P1095+P1096</f>
        <v>2556957.7875000001</v>
      </c>
      <c r="Q1087" s="89">
        <f t="shared" ca="1" si="1482"/>
        <v>2557090.875</v>
      </c>
      <c r="R1087" s="58"/>
      <c r="S1087" s="57">
        <f t="shared" ref="S1087:S1093" ca="1" si="1483">SUM(F1087:Q1087)</f>
        <v>31085189.5275</v>
      </c>
    </row>
    <row r="1088" spans="1:19" hidden="1" outlineLevel="2" x14ac:dyDescent="0.2">
      <c r="A1088" t="str">
        <f ca="1">Language!A623</f>
        <v xml:space="preserve">    материалы и комплектующие</v>
      </c>
      <c r="C1088" s="5" t="str">
        <f t="shared" ca="1" si="1478"/>
        <v>руб.</v>
      </c>
      <c r="F1088" s="43">
        <f>F848</f>
        <v>0</v>
      </c>
      <c r="G1088" s="43">
        <f>G848</f>
        <v>0</v>
      </c>
      <c r="H1088" s="43">
        <f>H848</f>
        <v>13.30875</v>
      </c>
      <c r="I1088" s="43">
        <f>I848</f>
        <v>66.543750000000003</v>
      </c>
      <c r="J1088" s="43">
        <f>J848</f>
        <v>133.08750000000001</v>
      </c>
      <c r="K1088" s="43">
        <f>K848</f>
        <v>266.17500000000001</v>
      </c>
      <c r="L1088" s="43">
        <f>L848</f>
        <v>399.26249999999999</v>
      </c>
      <c r="M1088" s="43">
        <f>M848</f>
        <v>532.35</v>
      </c>
      <c r="N1088" s="43">
        <f>N848</f>
        <v>731.98125000000005</v>
      </c>
      <c r="O1088" s="43">
        <f>O848</f>
        <v>998.15625</v>
      </c>
      <c r="P1088" s="43">
        <f>P848</f>
        <v>1197.7875000000001</v>
      </c>
      <c r="Q1088" s="43">
        <f>Q848</f>
        <v>1330.8750000000002</v>
      </c>
      <c r="R1088" s="43"/>
      <c r="S1088" s="54">
        <f t="shared" si="1483"/>
        <v>5669.5275000000001</v>
      </c>
    </row>
    <row r="1089" spans="1:19" hidden="1" outlineLevel="2" x14ac:dyDescent="0.2">
      <c r="A1089" t="str">
        <f ca="1">Language!A624</f>
        <v xml:space="preserve">    прочие переменные затраты</v>
      </c>
      <c r="C1089" s="5" t="str">
        <f t="shared" ca="1" si="1478"/>
        <v>руб.</v>
      </c>
      <c r="F1089" s="43">
        <f>F938</f>
        <v>0</v>
      </c>
      <c r="G1089" s="43">
        <f>G938</f>
        <v>0</v>
      </c>
      <c r="H1089" s="43">
        <f>H938</f>
        <v>0</v>
      </c>
      <c r="I1089" s="43">
        <f>I938</f>
        <v>0</v>
      </c>
      <c r="J1089" s="43">
        <f>J938</f>
        <v>0</v>
      </c>
      <c r="K1089" s="43">
        <f>K938</f>
        <v>0</v>
      </c>
      <c r="L1089" s="43">
        <f>L938</f>
        <v>0</v>
      </c>
      <c r="M1089" s="43">
        <f>M938</f>
        <v>0</v>
      </c>
      <c r="N1089" s="43">
        <f>N938</f>
        <v>0</v>
      </c>
      <c r="O1089" s="43">
        <f>O938</f>
        <v>0</v>
      </c>
      <c r="P1089" s="43">
        <f>P938</f>
        <v>0</v>
      </c>
      <c r="Q1089" s="43">
        <f>Q938</f>
        <v>0</v>
      </c>
      <c r="R1089" s="43"/>
      <c r="S1089" s="54">
        <f t="shared" si="1483"/>
        <v>0</v>
      </c>
    </row>
    <row r="1090" spans="1:19" hidden="1" outlineLevel="2" x14ac:dyDescent="0.2">
      <c r="A1090" t="str">
        <f ca="1">Language!A625</f>
        <v xml:space="preserve">    оплата труда</v>
      </c>
      <c r="C1090" s="5" t="str">
        <f t="shared" ca="1" si="1478"/>
        <v>руб.</v>
      </c>
      <c r="F1090" s="43">
        <f>F1023</f>
        <v>1076160</v>
      </c>
      <c r="G1090" s="43">
        <f>G1023</f>
        <v>665760</v>
      </c>
      <c r="H1090" s="43">
        <f>H1023</f>
        <v>665760</v>
      </c>
      <c r="I1090" s="43">
        <f>I1023</f>
        <v>665760</v>
      </c>
      <c r="J1090" s="43">
        <f>J1023</f>
        <v>665760</v>
      </c>
      <c r="K1090" s="43">
        <f>K1023</f>
        <v>665760</v>
      </c>
      <c r="L1090" s="43">
        <f>L1023</f>
        <v>665760</v>
      </c>
      <c r="M1090" s="43">
        <f>M1023</f>
        <v>665760</v>
      </c>
      <c r="N1090" s="43">
        <f>N1023</f>
        <v>665760</v>
      </c>
      <c r="O1090" s="43">
        <f>O1023</f>
        <v>665760</v>
      </c>
      <c r="P1090" s="43">
        <f>P1023</f>
        <v>665760</v>
      </c>
      <c r="Q1090" s="43">
        <f>Q1023</f>
        <v>665760</v>
      </c>
      <c r="R1090" s="43"/>
      <c r="S1090" s="54">
        <f t="shared" si="1483"/>
        <v>8399520</v>
      </c>
    </row>
    <row r="1091" spans="1:19" hidden="1" outlineLevel="2" x14ac:dyDescent="0.2">
      <c r="A1091" t="str">
        <f ca="1">Language!A626</f>
        <v xml:space="preserve">    налоги, относимые на текущие затраты</v>
      </c>
      <c r="C1091" s="5" t="str">
        <f t="shared" ca="1" si="1478"/>
        <v>руб.</v>
      </c>
      <c r="F1091" s="109">
        <f t="shared" ref="F1091:Q1091" si="1484">F143+F147</f>
        <v>0</v>
      </c>
      <c r="G1091" s="109">
        <f t="shared" si="1484"/>
        <v>0</v>
      </c>
      <c r="H1091" s="109">
        <f t="shared" si="1484"/>
        <v>0</v>
      </c>
      <c r="I1091" s="109">
        <f t="shared" si="1484"/>
        <v>0</v>
      </c>
      <c r="J1091" s="109">
        <f t="shared" si="1484"/>
        <v>0</v>
      </c>
      <c r="K1091" s="109">
        <f t="shared" si="1484"/>
        <v>0</v>
      </c>
      <c r="L1091" s="109">
        <f t="shared" si="1484"/>
        <v>0</v>
      </c>
      <c r="M1091" s="109">
        <f t="shared" si="1484"/>
        <v>0</v>
      </c>
      <c r="N1091" s="109">
        <f t="shared" ref="N1091:Q1091" si="1485">N143+N147</f>
        <v>0</v>
      </c>
      <c r="O1091" s="109">
        <f t="shared" ref="O1091:Q1091" si="1486">O143+O147</f>
        <v>0</v>
      </c>
      <c r="P1091" s="109">
        <f t="shared" ref="P1091:Q1091" si="1487">P143+P147</f>
        <v>0</v>
      </c>
      <c r="Q1091" s="109">
        <f t="shared" si="1487"/>
        <v>0</v>
      </c>
      <c r="R1091" s="43"/>
      <c r="S1091" s="54">
        <f t="shared" si="1483"/>
        <v>0</v>
      </c>
    </row>
    <row r="1092" spans="1:19" hidden="1" outlineLevel="2" x14ac:dyDescent="0.2">
      <c r="A1092" t="str">
        <f ca="1">Language!A627</f>
        <v xml:space="preserve">    производственные расходы</v>
      </c>
      <c r="C1092" s="5" t="str">
        <f t="shared" ca="1" si="1478"/>
        <v>руб.</v>
      </c>
      <c r="F1092" s="83">
        <f t="shared" ref="F1092:M1092" si="1488">F1103</f>
        <v>1750000</v>
      </c>
      <c r="G1092" s="83">
        <f t="shared" si="1488"/>
        <v>1750000</v>
      </c>
      <c r="H1092" s="83">
        <f t="shared" si="1488"/>
        <v>1750000</v>
      </c>
      <c r="I1092" s="83">
        <f t="shared" si="1488"/>
        <v>1750000</v>
      </c>
      <c r="J1092" s="83">
        <f t="shared" si="1488"/>
        <v>1750000</v>
      </c>
      <c r="K1092" s="83">
        <f t="shared" si="1488"/>
        <v>1750000</v>
      </c>
      <c r="L1092" s="83">
        <f t="shared" si="1488"/>
        <v>1750000</v>
      </c>
      <c r="M1092" s="83">
        <f t="shared" si="1488"/>
        <v>1750000</v>
      </c>
      <c r="N1092" s="83">
        <f t="shared" ref="N1092" si="1489">N1103</f>
        <v>1750000</v>
      </c>
      <c r="O1092" s="83">
        <f t="shared" ref="O1092:Q1092" si="1490">O1103</f>
        <v>1750000</v>
      </c>
      <c r="P1092" s="83">
        <f t="shared" ref="P1092:Q1092" si="1491">P1103</f>
        <v>1750000</v>
      </c>
      <c r="Q1092" s="83">
        <f t="shared" si="1491"/>
        <v>1750000</v>
      </c>
      <c r="R1092" s="43"/>
      <c r="S1092" s="54">
        <f t="shared" si="1483"/>
        <v>21000000</v>
      </c>
    </row>
    <row r="1093" spans="1:19" hidden="1" outlineLevel="2" x14ac:dyDescent="0.2">
      <c r="A1093" t="str">
        <f ca="1">Language!A628</f>
        <v xml:space="preserve">    начисленные лизинговые платежи</v>
      </c>
      <c r="C1093" s="5" t="str">
        <f t="shared" ca="1" si="1478"/>
        <v>руб.</v>
      </c>
      <c r="F1093" s="109">
        <f ca="1">F524</f>
        <v>0</v>
      </c>
      <c r="G1093" s="109">
        <f ca="1">G524</f>
        <v>0</v>
      </c>
      <c r="H1093" s="109">
        <f ca="1">H524</f>
        <v>0</v>
      </c>
      <c r="I1093" s="109">
        <f ca="1">I524</f>
        <v>0</v>
      </c>
      <c r="J1093" s="109">
        <f ca="1">J524</f>
        <v>0</v>
      </c>
      <c r="K1093" s="109">
        <f ca="1">K524</f>
        <v>0</v>
      </c>
      <c r="L1093" s="109">
        <f ca="1">L524</f>
        <v>0</v>
      </c>
      <c r="M1093" s="109">
        <f ca="1">M524</f>
        <v>0</v>
      </c>
      <c r="N1093" s="109">
        <f ca="1">N524</f>
        <v>0</v>
      </c>
      <c r="O1093" s="109">
        <f ca="1">O524</f>
        <v>0</v>
      </c>
      <c r="P1093" s="109">
        <f ca="1">P524</f>
        <v>0</v>
      </c>
      <c r="Q1093" s="109">
        <f ca="1">Q524</f>
        <v>0</v>
      </c>
      <c r="R1093" s="43"/>
      <c r="S1093" s="54">
        <f t="shared" ca="1" si="1483"/>
        <v>0</v>
      </c>
    </row>
    <row r="1094" spans="1:19" hidden="1" outlineLevel="2" x14ac:dyDescent="0.2">
      <c r="A1094" t="str">
        <f ca="1">Language!A629</f>
        <v xml:space="preserve">    амортизация</v>
      </c>
      <c r="C1094" s="5" t="str">
        <f t="shared" ca="1" si="1478"/>
        <v>руб.</v>
      </c>
      <c r="F1094" s="109">
        <f ca="1">F1051</f>
        <v>0</v>
      </c>
      <c r="G1094" s="109">
        <f ca="1">G1051</f>
        <v>0</v>
      </c>
      <c r="H1094" s="109">
        <f ca="1">H1051</f>
        <v>0</v>
      </c>
      <c r="I1094" s="109">
        <f ca="1">I1051</f>
        <v>0</v>
      </c>
      <c r="J1094" s="109">
        <f ca="1">J1051</f>
        <v>0</v>
      </c>
      <c r="K1094" s="109">
        <f ca="1">K1051</f>
        <v>0</v>
      </c>
      <c r="L1094" s="109">
        <f ca="1">L1051</f>
        <v>0</v>
      </c>
      <c r="M1094" s="109">
        <f ca="1">M1051</f>
        <v>0</v>
      </c>
      <c r="N1094" s="109">
        <f ca="1">N1051</f>
        <v>0</v>
      </c>
      <c r="O1094" s="109">
        <f ca="1">O1051</f>
        <v>0</v>
      </c>
      <c r="P1094" s="109">
        <f ca="1">P1051</f>
        <v>0</v>
      </c>
      <c r="Q1094" s="109">
        <f ca="1">Q1051</f>
        <v>0</v>
      </c>
      <c r="R1094" s="43"/>
      <c r="S1094" s="54">
        <f ca="1">SUM(G1094:Q1094)</f>
        <v>0</v>
      </c>
    </row>
    <row r="1095" spans="1:19" hidden="1" outlineLevel="2" x14ac:dyDescent="0.2">
      <c r="A1095" t="str">
        <f ca="1">Language!A630</f>
        <v xml:space="preserve">    коммерческие расходы</v>
      </c>
      <c r="C1095" s="5" t="str">
        <f t="shared" ca="1" si="1478"/>
        <v>руб.</v>
      </c>
      <c r="F1095" s="109">
        <f t="shared" ref="F1095:M1095" si="1492">F1109</f>
        <v>0</v>
      </c>
      <c r="G1095" s="109">
        <f t="shared" si="1492"/>
        <v>0</v>
      </c>
      <c r="H1095" s="109">
        <f t="shared" si="1492"/>
        <v>0</v>
      </c>
      <c r="I1095" s="109">
        <f t="shared" si="1492"/>
        <v>0</v>
      </c>
      <c r="J1095" s="109">
        <f t="shared" si="1492"/>
        <v>0</v>
      </c>
      <c r="K1095" s="109">
        <f t="shared" si="1492"/>
        <v>0</v>
      </c>
      <c r="L1095" s="109">
        <f t="shared" si="1492"/>
        <v>0</v>
      </c>
      <c r="M1095" s="109">
        <f t="shared" si="1492"/>
        <v>0</v>
      </c>
      <c r="N1095" s="109">
        <f t="shared" ref="N1095" si="1493">N1109</f>
        <v>0</v>
      </c>
      <c r="O1095" s="109">
        <f t="shared" ref="O1095:Q1095" si="1494">O1109</f>
        <v>0</v>
      </c>
      <c r="P1095" s="109">
        <f t="shared" ref="P1095:Q1095" si="1495">P1109</f>
        <v>0</v>
      </c>
      <c r="Q1095" s="109">
        <f t="shared" si="1495"/>
        <v>0</v>
      </c>
      <c r="R1095" s="43"/>
      <c r="S1095" s="54">
        <f t="shared" ref="S1095:S1110" si="1496">SUM(F1095:Q1095)</f>
        <v>0</v>
      </c>
    </row>
    <row r="1096" spans="1:19" hidden="1" outlineLevel="2" x14ac:dyDescent="0.2">
      <c r="A1096" t="str">
        <f ca="1">Language!A631</f>
        <v xml:space="preserve">    административные расходы</v>
      </c>
      <c r="C1096" s="5" t="str">
        <f t="shared" ca="1" si="1478"/>
        <v>руб.</v>
      </c>
      <c r="F1096" s="109">
        <f t="shared" ref="F1096:M1096" si="1497">F1106</f>
        <v>140000</v>
      </c>
      <c r="G1096" s="109">
        <f t="shared" si="1497"/>
        <v>140000</v>
      </c>
      <c r="H1096" s="109">
        <f t="shared" si="1497"/>
        <v>140000</v>
      </c>
      <c r="I1096" s="109">
        <f t="shared" si="1497"/>
        <v>140000</v>
      </c>
      <c r="J1096" s="109">
        <f t="shared" si="1497"/>
        <v>140000</v>
      </c>
      <c r="K1096" s="109">
        <f t="shared" si="1497"/>
        <v>140000</v>
      </c>
      <c r="L1096" s="109">
        <f t="shared" si="1497"/>
        <v>140000</v>
      </c>
      <c r="M1096" s="109">
        <f t="shared" si="1497"/>
        <v>140000</v>
      </c>
      <c r="N1096" s="109">
        <f t="shared" ref="N1096" si="1498">N1106</f>
        <v>140000</v>
      </c>
      <c r="O1096" s="109">
        <f t="shared" ref="O1096:Q1096" si="1499">O1106</f>
        <v>140000</v>
      </c>
      <c r="P1096" s="109">
        <f t="shared" ref="P1096:Q1096" si="1500">P1106</f>
        <v>140000</v>
      </c>
      <c r="Q1096" s="109">
        <f t="shared" si="1500"/>
        <v>140000</v>
      </c>
      <c r="R1096" s="43"/>
      <c r="S1096" s="54">
        <f t="shared" si="1496"/>
        <v>1680000</v>
      </c>
    </row>
    <row r="1097" spans="1:19" ht="10.5" outlineLevel="1" collapsed="1" x14ac:dyDescent="0.25">
      <c r="A1097" s="35" t="str">
        <f ca="1">Language!A632</f>
        <v xml:space="preserve"> = Итого: оплата текущих расходов</v>
      </c>
      <c r="C1097" s="5" t="str">
        <f t="shared" ca="1" si="1478"/>
        <v>руб.</v>
      </c>
      <c r="F1097" s="56">
        <f t="shared" ref="F1097:M1097" si="1501">SUM(F1098:F1100)+F1102+F1105+F1108</f>
        <v>2966160</v>
      </c>
      <c r="G1097" s="56">
        <f t="shared" si="1501"/>
        <v>2555760</v>
      </c>
      <c r="H1097" s="56">
        <f t="shared" si="1501"/>
        <v>2555773.3087499999</v>
      </c>
      <c r="I1097" s="56">
        <f t="shared" si="1501"/>
        <v>2555826.5437500002</v>
      </c>
      <c r="J1097" s="56">
        <f t="shared" si="1501"/>
        <v>2555893.0874999999</v>
      </c>
      <c r="K1097" s="56">
        <f t="shared" si="1501"/>
        <v>2556026.1749999998</v>
      </c>
      <c r="L1097" s="56">
        <f t="shared" si="1501"/>
        <v>2556159.2625000002</v>
      </c>
      <c r="M1097" s="56">
        <f t="shared" si="1501"/>
        <v>2556292.35</v>
      </c>
      <c r="N1097" s="56">
        <f t="shared" ref="N1097" si="1502">SUM(N1098:N1100)+N1102+N1105+N1108</f>
        <v>2556491.9812500002</v>
      </c>
      <c r="O1097" s="56">
        <f t="shared" ref="O1097:Q1097" si="1503">SUM(O1098:O1100)+O1102+O1105+O1108</f>
        <v>2556758.15625</v>
      </c>
      <c r="P1097" s="56">
        <f t="shared" ref="P1097:Q1097" si="1504">SUM(P1098:P1100)+P1102+P1105+P1108</f>
        <v>2556957.7875000001</v>
      </c>
      <c r="Q1097" s="56">
        <f t="shared" si="1504"/>
        <v>2557090.875</v>
      </c>
      <c r="R1097" s="58"/>
      <c r="S1097" s="57">
        <f t="shared" si="1496"/>
        <v>31085189.5275</v>
      </c>
    </row>
    <row r="1098" spans="1:19" hidden="1" outlineLevel="2" x14ac:dyDescent="0.2">
      <c r="A1098" t="str">
        <f ca="1">Language!A638</f>
        <v xml:space="preserve">    Материалы и комплектующие</v>
      </c>
      <c r="C1098" s="5" t="str">
        <f t="shared" ca="1" si="1478"/>
        <v>руб.</v>
      </c>
      <c r="F1098" s="43">
        <f>F844+F845</f>
        <v>0</v>
      </c>
      <c r="G1098" s="43">
        <f>G844+G845</f>
        <v>0</v>
      </c>
      <c r="H1098" s="43">
        <f>H844+H845</f>
        <v>13.30875</v>
      </c>
      <c r="I1098" s="43">
        <f>I844+I845</f>
        <v>66.543750000000003</v>
      </c>
      <c r="J1098" s="43">
        <f>J844+J845</f>
        <v>133.08750000000001</v>
      </c>
      <c r="K1098" s="43">
        <f>K844+K845</f>
        <v>266.17500000000001</v>
      </c>
      <c r="L1098" s="43">
        <f>L844+L845</f>
        <v>399.26249999999999</v>
      </c>
      <c r="M1098" s="43">
        <f>M844+M845</f>
        <v>532.35</v>
      </c>
      <c r="N1098" s="43">
        <f>N844+N845</f>
        <v>731.98125000000005</v>
      </c>
      <c r="O1098" s="43">
        <f>O844+O845</f>
        <v>998.15625</v>
      </c>
      <c r="P1098" s="43">
        <f>P844+P845</f>
        <v>1197.7875000000001</v>
      </c>
      <c r="Q1098" s="43">
        <f>Q844+Q845</f>
        <v>1330.8750000000002</v>
      </c>
      <c r="R1098" s="43"/>
      <c r="S1098" s="54">
        <f t="shared" si="1496"/>
        <v>5669.5275000000001</v>
      </c>
    </row>
    <row r="1099" spans="1:19" hidden="1" outlineLevel="2" x14ac:dyDescent="0.2">
      <c r="A1099" t="str">
        <f ca="1">"    "&amp;Language!A599</f>
        <v xml:space="preserve">    Прочие переменные затраты</v>
      </c>
      <c r="C1099" s="5" t="str">
        <f t="shared" ca="1" si="1478"/>
        <v>руб.</v>
      </c>
      <c r="F1099" s="43">
        <f>F934+F935</f>
        <v>0</v>
      </c>
      <c r="G1099" s="43">
        <f>G934+G935</f>
        <v>0</v>
      </c>
      <c r="H1099" s="43">
        <f>H934+H935</f>
        <v>0</v>
      </c>
      <c r="I1099" s="43">
        <f>I934+I935</f>
        <v>0</v>
      </c>
      <c r="J1099" s="43">
        <f>J934+J935</f>
        <v>0</v>
      </c>
      <c r="K1099" s="43">
        <f>K934+K935</f>
        <v>0</v>
      </c>
      <c r="L1099" s="43">
        <f>L934+L935</f>
        <v>0</v>
      </c>
      <c r="M1099" s="43">
        <f>M934+M935</f>
        <v>0</v>
      </c>
      <c r="N1099" s="43">
        <f>N934+N935</f>
        <v>0</v>
      </c>
      <c r="O1099" s="43">
        <f>O934+O935</f>
        <v>0</v>
      </c>
      <c r="P1099" s="43">
        <f>P934+P935</f>
        <v>0</v>
      </c>
      <c r="Q1099" s="43">
        <f>Q934+Q935</f>
        <v>0</v>
      </c>
      <c r="R1099" s="43"/>
      <c r="S1099" s="54">
        <f t="shared" si="1496"/>
        <v>0</v>
      </c>
    </row>
    <row r="1100" spans="1:19" hidden="1" outlineLevel="2" x14ac:dyDescent="0.2">
      <c r="A1100" t="str">
        <f ca="1">Language!A639</f>
        <v xml:space="preserve">    Оплата труда (вкл. ЕСН и страхование)</v>
      </c>
      <c r="C1100" s="5" t="str">
        <f t="shared" ca="1" si="1478"/>
        <v>руб.</v>
      </c>
      <c r="F1100" s="43">
        <f>F1023</f>
        <v>1076160</v>
      </c>
      <c r="G1100" s="43">
        <f>G1023</f>
        <v>665760</v>
      </c>
      <c r="H1100" s="43">
        <f>H1023</f>
        <v>665760</v>
      </c>
      <c r="I1100" s="43">
        <f>I1023</f>
        <v>665760</v>
      </c>
      <c r="J1100" s="43">
        <f>J1023</f>
        <v>665760</v>
      </c>
      <c r="K1100" s="43">
        <f>K1023</f>
        <v>665760</v>
      </c>
      <c r="L1100" s="43">
        <f>L1023</f>
        <v>665760</v>
      </c>
      <c r="M1100" s="43">
        <f>M1023</f>
        <v>665760</v>
      </c>
      <c r="N1100" s="43">
        <f>N1023</f>
        <v>665760</v>
      </c>
      <c r="O1100" s="43">
        <f>O1023</f>
        <v>665760</v>
      </c>
      <c r="P1100" s="43">
        <f>P1023</f>
        <v>665760</v>
      </c>
      <c r="Q1100" s="43">
        <f>Q1023</f>
        <v>665760</v>
      </c>
      <c r="R1100" s="43"/>
      <c r="S1100" s="54">
        <f t="shared" si="1496"/>
        <v>8399520</v>
      </c>
    </row>
    <row r="1101" spans="1:19" hidden="1" outlineLevel="2" x14ac:dyDescent="0.2">
      <c r="A1101" t="str">
        <f ca="1">"    "&amp;Language!A621</f>
        <v xml:space="preserve">    Земельный и другие налоги, относимые на текущие затраты</v>
      </c>
      <c r="C1101" s="5" t="str">
        <f t="shared" ca="1" si="1478"/>
        <v>руб.</v>
      </c>
      <c r="F1101" s="43">
        <f>F1052</f>
        <v>0</v>
      </c>
      <c r="G1101" s="43">
        <f>G1052</f>
        <v>0</v>
      </c>
      <c r="H1101" s="43">
        <f>H1052</f>
        <v>0</v>
      </c>
      <c r="I1101" s="43">
        <f>I1052</f>
        <v>0</v>
      </c>
      <c r="J1101" s="43">
        <f>J1052</f>
        <v>0</v>
      </c>
      <c r="K1101" s="43">
        <f>K1052</f>
        <v>0</v>
      </c>
      <c r="L1101" s="43">
        <f>L1052</f>
        <v>0</v>
      </c>
      <c r="M1101" s="43">
        <f>M1052</f>
        <v>0</v>
      </c>
      <c r="N1101" s="43">
        <f>N1052</f>
        <v>0</v>
      </c>
      <c r="O1101" s="43">
        <f>O1052</f>
        <v>0</v>
      </c>
      <c r="P1101" s="43">
        <f>P1052</f>
        <v>0</v>
      </c>
      <c r="Q1101" s="43">
        <f>Q1052</f>
        <v>0</v>
      </c>
      <c r="R1101" s="43"/>
      <c r="S1101" s="54">
        <f t="shared" si="1496"/>
        <v>0</v>
      </c>
    </row>
    <row r="1102" spans="1:19" hidden="1" outlineLevel="2" x14ac:dyDescent="0.2">
      <c r="A1102" t="str">
        <f ca="1">Language!A633</f>
        <v xml:space="preserve">    Производственные расходы</v>
      </c>
      <c r="C1102" s="5" t="str">
        <f t="shared" ca="1" si="1478"/>
        <v>руб.</v>
      </c>
      <c r="F1102" s="53">
        <f>SUMIF($D1036:$D1059,"*1_01*",F1036:F1059)+SUMIF($D1036:$D1059,"*2_01*",F1036:F1059)*F$88</f>
        <v>1750000</v>
      </c>
      <c r="G1102" s="53">
        <f>SUMIF($D1036:$D1059,"*1_01*",G1036:G1059)+SUMIF($D1036:$D1059,"*2_01*",G1036:G1059)*G$88</f>
        <v>1750000</v>
      </c>
      <c r="H1102" s="53">
        <f>SUMIF($D1036:$D1059,"*1_01*",H1036:H1059)+SUMIF($D1036:$D1059,"*2_01*",H1036:H1059)*H$88</f>
        <v>1750000</v>
      </c>
      <c r="I1102" s="53">
        <f>SUMIF($D1036:$D1059,"*1_01*",I1036:I1059)+SUMIF($D1036:$D1059,"*2_01*",I1036:I1059)*I$88</f>
        <v>1750000</v>
      </c>
      <c r="J1102" s="53">
        <f>SUMIF($D1036:$D1059,"*1_01*",J1036:J1059)+SUMIF($D1036:$D1059,"*2_01*",J1036:J1059)*J$88</f>
        <v>1750000</v>
      </c>
      <c r="K1102" s="53">
        <f>SUMIF($D1036:$D1059,"*1_01*",K1036:K1059)+SUMIF($D1036:$D1059,"*2_01*",K1036:K1059)*K$88</f>
        <v>1750000</v>
      </c>
      <c r="L1102" s="53">
        <f>SUMIF($D1036:$D1059,"*1_01*",L1036:L1059)+SUMIF($D1036:$D1059,"*2_01*",L1036:L1059)*L$88</f>
        <v>1750000</v>
      </c>
      <c r="M1102" s="53">
        <f>SUMIF($D1036:$D1059,"*1_01*",M1036:M1059)+SUMIF($D1036:$D1059,"*2_01*",M1036:M1059)*M$88</f>
        <v>1750000</v>
      </c>
      <c r="N1102" s="53">
        <f>SUMIF($D1036:$D1059,"*1_01*",N1036:N1059)+SUMIF($D1036:$D1059,"*2_01*",N1036:N1059)*N$88</f>
        <v>1750000</v>
      </c>
      <c r="O1102" s="53">
        <f>SUMIF($D1036:$D1059,"*1_01*",O1036:O1059)+SUMIF($D1036:$D1059,"*2_01*",O1036:O1059)*O$88</f>
        <v>1750000</v>
      </c>
      <c r="P1102" s="53">
        <f>SUMIF($D1036:$D1059,"*1_01*",P1036:P1059)+SUMIF($D1036:$D1059,"*2_01*",P1036:P1059)*P$88</f>
        <v>1750000</v>
      </c>
      <c r="Q1102" s="53">
        <f>SUMIF($D1036:$D1059,"*1_01*",Q1036:Q1059)+SUMIF($D1036:$D1059,"*2_01*",Q1036:Q1059)*Q$88</f>
        <v>1750000</v>
      </c>
      <c r="R1102" s="43"/>
      <c r="S1102" s="54">
        <f t="shared" si="1496"/>
        <v>21000000</v>
      </c>
    </row>
    <row r="1103" spans="1:19" hidden="1" outlineLevel="2" x14ac:dyDescent="0.2">
      <c r="A1103" t="str">
        <f ca="1">Language!A634</f>
        <v xml:space="preserve">        сумма без НДС</v>
      </c>
      <c r="C1103" s="5" t="str">
        <f t="shared" ca="1" si="1478"/>
        <v>руб.</v>
      </c>
      <c r="F1103" s="53">
        <f t="shared" ref="F1103:M1103" si="1505">F1102-F1104</f>
        <v>1750000</v>
      </c>
      <c r="G1103" s="53">
        <f t="shared" si="1505"/>
        <v>1750000</v>
      </c>
      <c r="H1103" s="53">
        <f t="shared" si="1505"/>
        <v>1750000</v>
      </c>
      <c r="I1103" s="53">
        <f t="shared" si="1505"/>
        <v>1750000</v>
      </c>
      <c r="J1103" s="53">
        <f t="shared" si="1505"/>
        <v>1750000</v>
      </c>
      <c r="K1103" s="53">
        <f t="shared" si="1505"/>
        <v>1750000</v>
      </c>
      <c r="L1103" s="53">
        <f t="shared" si="1505"/>
        <v>1750000</v>
      </c>
      <c r="M1103" s="53">
        <f t="shared" si="1505"/>
        <v>1750000</v>
      </c>
      <c r="N1103" s="53">
        <f t="shared" ref="N1103" si="1506">N1102-N1104</f>
        <v>1750000</v>
      </c>
      <c r="O1103" s="53">
        <f t="shared" ref="O1103:Q1103" si="1507">O1102-O1104</f>
        <v>1750000</v>
      </c>
      <c r="P1103" s="53">
        <f t="shared" ref="P1103:Q1103" si="1508">P1102-P1104</f>
        <v>1750000</v>
      </c>
      <c r="Q1103" s="53">
        <f t="shared" si="1508"/>
        <v>1750000</v>
      </c>
      <c r="R1103" s="43"/>
      <c r="S1103" s="54">
        <f t="shared" si="1496"/>
        <v>21000000</v>
      </c>
    </row>
    <row r="1104" spans="1:19" hidden="1" outlineLevel="2" x14ac:dyDescent="0.2">
      <c r="A1104" t="str">
        <f ca="1">Language!A635</f>
        <v xml:space="preserve">        НДС</v>
      </c>
      <c r="C1104" s="5" t="str">
        <f t="shared" ca="1" si="1478"/>
        <v>руб.</v>
      </c>
      <c r="F1104" s="43">
        <f>SUMIF($D1036:$D1059,"*1_02*",F1036:F1059)+SUMIF($D1036:$D1059,"*2_02*",F1036:F1059)*F$88</f>
        <v>0</v>
      </c>
      <c r="G1104" s="43">
        <f>SUMIF($D1036:$D1059,"*1_02*",G1036:G1059)+SUMIF($D1036:$D1059,"*2_02*",G1036:G1059)*G$88</f>
        <v>0</v>
      </c>
      <c r="H1104" s="43">
        <f>SUMIF($D1036:$D1059,"*1_02*",H1036:H1059)+SUMIF($D1036:$D1059,"*2_02*",H1036:H1059)*H$88</f>
        <v>0</v>
      </c>
      <c r="I1104" s="43">
        <f>SUMIF($D1036:$D1059,"*1_02*",I1036:I1059)+SUMIF($D1036:$D1059,"*2_02*",I1036:I1059)*I$88</f>
        <v>0</v>
      </c>
      <c r="J1104" s="43">
        <f>SUMIF($D1036:$D1059,"*1_02*",J1036:J1059)+SUMIF($D1036:$D1059,"*2_02*",J1036:J1059)*J$88</f>
        <v>0</v>
      </c>
      <c r="K1104" s="43">
        <f>SUMIF($D1036:$D1059,"*1_02*",K1036:K1059)+SUMIF($D1036:$D1059,"*2_02*",K1036:K1059)*K$88</f>
        <v>0</v>
      </c>
      <c r="L1104" s="43">
        <f>SUMIF($D1036:$D1059,"*1_02*",L1036:L1059)+SUMIF($D1036:$D1059,"*2_02*",L1036:L1059)*L$88</f>
        <v>0</v>
      </c>
      <c r="M1104" s="43">
        <f>SUMIF($D1036:$D1059,"*1_02*",M1036:M1059)+SUMIF($D1036:$D1059,"*2_02*",M1036:M1059)*M$88</f>
        <v>0</v>
      </c>
      <c r="N1104" s="43">
        <f>SUMIF($D1036:$D1059,"*1_02*",N1036:N1059)+SUMIF($D1036:$D1059,"*2_02*",N1036:N1059)*N$88</f>
        <v>0</v>
      </c>
      <c r="O1104" s="43">
        <f>SUMIF($D1036:$D1059,"*1_02*",O1036:O1059)+SUMIF($D1036:$D1059,"*2_02*",O1036:O1059)*O$88</f>
        <v>0</v>
      </c>
      <c r="P1104" s="43">
        <f>SUMIF($D1036:$D1059,"*1_02*",P1036:P1059)+SUMIF($D1036:$D1059,"*2_02*",P1036:P1059)*P$88</f>
        <v>0</v>
      </c>
      <c r="Q1104" s="43">
        <f>SUMIF($D1036:$D1059,"*1_02*",Q1036:Q1059)+SUMIF($D1036:$D1059,"*2_02*",Q1036:Q1059)*Q$88</f>
        <v>0</v>
      </c>
      <c r="R1104" s="43"/>
      <c r="S1104" s="54">
        <f t="shared" si="1496"/>
        <v>0</v>
      </c>
    </row>
    <row r="1105" spans="1:19" hidden="1" outlineLevel="2" x14ac:dyDescent="0.2">
      <c r="A1105" t="str">
        <f ca="1">Language!A636</f>
        <v xml:space="preserve">    Административные расходы</v>
      </c>
      <c r="C1105" s="5" t="str">
        <f t="shared" ca="1" si="1478"/>
        <v>руб.</v>
      </c>
      <c r="F1105" s="43">
        <f>SUMIF($D1064:$D1073,"*1_01*",F1064:F1073)+SUMIF($D1064:$D1073,"*2_01*",F1064:F1073)*F$88</f>
        <v>140000</v>
      </c>
      <c r="G1105" s="43">
        <f>SUMIF($D1064:$D1073,"*1_01*",G1064:G1073)+SUMIF($D1064:$D1073,"*2_01*",G1064:G1073)*G$88</f>
        <v>140000</v>
      </c>
      <c r="H1105" s="43">
        <f>SUMIF($D1064:$D1073,"*1_01*",H1064:H1073)+SUMIF($D1064:$D1073,"*2_01*",H1064:H1073)*H$88</f>
        <v>140000</v>
      </c>
      <c r="I1105" s="43">
        <f>SUMIF($D1064:$D1073,"*1_01*",I1064:I1073)+SUMIF($D1064:$D1073,"*2_01*",I1064:I1073)*I$88</f>
        <v>140000</v>
      </c>
      <c r="J1105" s="43">
        <f>SUMIF($D1064:$D1073,"*1_01*",J1064:J1073)+SUMIF($D1064:$D1073,"*2_01*",J1064:J1073)*J$88</f>
        <v>140000</v>
      </c>
      <c r="K1105" s="43">
        <f>SUMIF($D1064:$D1073,"*1_01*",K1064:K1073)+SUMIF($D1064:$D1073,"*2_01*",K1064:K1073)*K$88</f>
        <v>140000</v>
      </c>
      <c r="L1105" s="43">
        <f>SUMIF($D1064:$D1073,"*1_01*",L1064:L1073)+SUMIF($D1064:$D1073,"*2_01*",L1064:L1073)*L$88</f>
        <v>140000</v>
      </c>
      <c r="M1105" s="43">
        <f>SUMIF($D1064:$D1073,"*1_01*",M1064:M1073)+SUMIF($D1064:$D1073,"*2_01*",M1064:M1073)*M$88</f>
        <v>140000</v>
      </c>
      <c r="N1105" s="43">
        <f>SUMIF($D1064:$D1073,"*1_01*",N1064:N1073)+SUMIF($D1064:$D1073,"*2_01*",N1064:N1073)*N$88</f>
        <v>140000</v>
      </c>
      <c r="O1105" s="43">
        <f>SUMIF($D1064:$D1073,"*1_01*",O1064:O1073)+SUMIF($D1064:$D1073,"*2_01*",O1064:O1073)*O$88</f>
        <v>140000</v>
      </c>
      <c r="P1105" s="43">
        <f>SUMIF($D1064:$D1073,"*1_01*",P1064:P1073)+SUMIF($D1064:$D1073,"*2_01*",P1064:P1073)*P$88</f>
        <v>140000</v>
      </c>
      <c r="Q1105" s="43">
        <f>SUMIF($D1064:$D1073,"*1_01*",Q1064:Q1073)+SUMIF($D1064:$D1073,"*2_01*",Q1064:Q1073)*Q$88</f>
        <v>140000</v>
      </c>
      <c r="R1105" s="43"/>
      <c r="S1105" s="54">
        <f t="shared" si="1496"/>
        <v>1680000</v>
      </c>
    </row>
    <row r="1106" spans="1:19" hidden="1" outlineLevel="2" x14ac:dyDescent="0.2">
      <c r="A1106" t="str">
        <f ca="1">Language!A634</f>
        <v xml:space="preserve">        сумма без НДС</v>
      </c>
      <c r="C1106" s="5" t="str">
        <f t="shared" ca="1" si="1478"/>
        <v>руб.</v>
      </c>
      <c r="F1106" s="53">
        <f t="shared" ref="F1106:M1106" si="1509">F1105-F1107</f>
        <v>140000</v>
      </c>
      <c r="G1106" s="53">
        <f t="shared" si="1509"/>
        <v>140000</v>
      </c>
      <c r="H1106" s="53">
        <f t="shared" si="1509"/>
        <v>140000</v>
      </c>
      <c r="I1106" s="53">
        <f t="shared" si="1509"/>
        <v>140000</v>
      </c>
      <c r="J1106" s="53">
        <f t="shared" si="1509"/>
        <v>140000</v>
      </c>
      <c r="K1106" s="53">
        <f t="shared" si="1509"/>
        <v>140000</v>
      </c>
      <c r="L1106" s="53">
        <f t="shared" si="1509"/>
        <v>140000</v>
      </c>
      <c r="M1106" s="53">
        <f t="shared" si="1509"/>
        <v>140000</v>
      </c>
      <c r="N1106" s="53">
        <f t="shared" ref="N1106" si="1510">N1105-N1107</f>
        <v>140000</v>
      </c>
      <c r="O1106" s="53">
        <f t="shared" ref="O1106:Q1106" si="1511">O1105-O1107</f>
        <v>140000</v>
      </c>
      <c r="P1106" s="53">
        <f t="shared" ref="P1106:Q1106" si="1512">P1105-P1107</f>
        <v>140000</v>
      </c>
      <c r="Q1106" s="53">
        <f t="shared" si="1512"/>
        <v>140000</v>
      </c>
      <c r="R1106" s="43"/>
      <c r="S1106" s="54">
        <f t="shared" si="1496"/>
        <v>1680000</v>
      </c>
    </row>
    <row r="1107" spans="1:19" hidden="1" outlineLevel="2" x14ac:dyDescent="0.2">
      <c r="A1107" t="str">
        <f ca="1">Language!A635</f>
        <v xml:space="preserve">        НДС</v>
      </c>
      <c r="C1107" s="5" t="str">
        <f t="shared" ca="1" si="1478"/>
        <v>руб.</v>
      </c>
      <c r="F1107" s="43">
        <f>SUMIF($D1064:$D1073,"*1_02*",F1064:F1073)+SUMIF($D1064:$D1073,"*2_02*",F1064:F1073)*F$88</f>
        <v>0</v>
      </c>
      <c r="G1107" s="43">
        <f>SUMIF($D1064:$D1073,"*1_02*",G1064:G1073)+SUMIF($D1064:$D1073,"*2_02*",G1064:G1073)*G$88</f>
        <v>0</v>
      </c>
      <c r="H1107" s="43">
        <f>SUMIF($D1064:$D1073,"*1_02*",H1064:H1073)+SUMIF($D1064:$D1073,"*2_02*",H1064:H1073)*H$88</f>
        <v>0</v>
      </c>
      <c r="I1107" s="43">
        <f>SUMIF($D1064:$D1073,"*1_02*",I1064:I1073)+SUMIF($D1064:$D1073,"*2_02*",I1064:I1073)*I$88</f>
        <v>0</v>
      </c>
      <c r="J1107" s="43">
        <f>SUMIF($D1064:$D1073,"*1_02*",J1064:J1073)+SUMIF($D1064:$D1073,"*2_02*",J1064:J1073)*J$88</f>
        <v>0</v>
      </c>
      <c r="K1107" s="43">
        <f>SUMIF($D1064:$D1073,"*1_02*",K1064:K1073)+SUMIF($D1064:$D1073,"*2_02*",K1064:K1073)*K$88</f>
        <v>0</v>
      </c>
      <c r="L1107" s="43">
        <f>SUMIF($D1064:$D1073,"*1_02*",L1064:L1073)+SUMIF($D1064:$D1073,"*2_02*",L1064:L1073)*L$88</f>
        <v>0</v>
      </c>
      <c r="M1107" s="43">
        <f>SUMIF($D1064:$D1073,"*1_02*",M1064:M1073)+SUMIF($D1064:$D1073,"*2_02*",M1064:M1073)*M$88</f>
        <v>0</v>
      </c>
      <c r="N1107" s="43">
        <f>SUMIF($D1064:$D1073,"*1_02*",N1064:N1073)+SUMIF($D1064:$D1073,"*2_02*",N1064:N1073)*N$88</f>
        <v>0</v>
      </c>
      <c r="O1107" s="43">
        <f>SUMIF($D1064:$D1073,"*1_02*",O1064:O1073)+SUMIF($D1064:$D1073,"*2_02*",O1064:O1073)*O$88</f>
        <v>0</v>
      </c>
      <c r="P1107" s="43">
        <f>SUMIF($D1064:$D1073,"*1_02*",P1064:P1073)+SUMIF($D1064:$D1073,"*2_02*",P1064:P1073)*P$88</f>
        <v>0</v>
      </c>
      <c r="Q1107" s="43">
        <f>SUMIF($D1064:$D1073,"*1_02*",Q1064:Q1073)+SUMIF($D1064:$D1073,"*2_02*",Q1064:Q1073)*Q$88</f>
        <v>0</v>
      </c>
      <c r="R1107" s="43"/>
      <c r="S1107" s="54">
        <f t="shared" si="1496"/>
        <v>0</v>
      </c>
    </row>
    <row r="1108" spans="1:19" hidden="1" outlineLevel="2" x14ac:dyDescent="0.2">
      <c r="A1108" t="str">
        <f ca="1">Language!A637</f>
        <v xml:space="preserve">    Коммерческие расходы</v>
      </c>
      <c r="C1108" s="5" t="str">
        <f t="shared" ca="1" si="1478"/>
        <v>руб.</v>
      </c>
      <c r="F1108" s="43">
        <f>SUMIF($D1079:$D1085,"*1_01*",F1079:F1085)+SUMIF($D1079:$D1085,"*2_01*",F1079:F1085)*F$88</f>
        <v>0</v>
      </c>
      <c r="G1108" s="43">
        <f>SUMIF($D1079:$D1085,"*1_01*",G1079:G1085)+SUMIF($D1079:$D1085,"*2_01*",G1079:G1085)*G$88</f>
        <v>0</v>
      </c>
      <c r="H1108" s="43">
        <f>SUMIF($D1079:$D1085,"*1_01*",H1079:H1085)+SUMIF($D1079:$D1085,"*2_01*",H1079:H1085)*H$88</f>
        <v>0</v>
      </c>
      <c r="I1108" s="43">
        <f>SUMIF($D1079:$D1085,"*1_01*",I1079:I1085)+SUMIF($D1079:$D1085,"*2_01*",I1079:I1085)*I$88</f>
        <v>0</v>
      </c>
      <c r="J1108" s="43">
        <f>SUMIF($D1079:$D1085,"*1_01*",J1079:J1085)+SUMIF($D1079:$D1085,"*2_01*",J1079:J1085)*J$88</f>
        <v>0</v>
      </c>
      <c r="K1108" s="43">
        <f>SUMIF($D1079:$D1085,"*1_01*",K1079:K1085)+SUMIF($D1079:$D1085,"*2_01*",K1079:K1085)*K$88</f>
        <v>0</v>
      </c>
      <c r="L1108" s="43">
        <f>SUMIF($D1079:$D1085,"*1_01*",L1079:L1085)+SUMIF($D1079:$D1085,"*2_01*",L1079:L1085)*L$88</f>
        <v>0</v>
      </c>
      <c r="M1108" s="43">
        <f>SUMIF($D1079:$D1085,"*1_01*",M1079:M1085)+SUMIF($D1079:$D1085,"*2_01*",M1079:M1085)*M$88</f>
        <v>0</v>
      </c>
      <c r="N1108" s="43">
        <f>SUMIF($D1079:$D1085,"*1_01*",N1079:N1085)+SUMIF($D1079:$D1085,"*2_01*",N1079:N1085)*N$88</f>
        <v>0</v>
      </c>
      <c r="O1108" s="43">
        <f>SUMIF($D1079:$D1085,"*1_01*",O1079:O1085)+SUMIF($D1079:$D1085,"*2_01*",O1079:O1085)*O$88</f>
        <v>0</v>
      </c>
      <c r="P1108" s="43">
        <f>SUMIF($D1079:$D1085,"*1_01*",P1079:P1085)+SUMIF($D1079:$D1085,"*2_01*",P1079:P1085)*P$88</f>
        <v>0</v>
      </c>
      <c r="Q1108" s="43">
        <f>SUMIF($D1079:$D1085,"*1_01*",Q1079:Q1085)+SUMIF($D1079:$D1085,"*2_01*",Q1079:Q1085)*Q$88</f>
        <v>0</v>
      </c>
      <c r="R1108" s="43"/>
      <c r="S1108" s="54">
        <f t="shared" si="1496"/>
        <v>0</v>
      </c>
    </row>
    <row r="1109" spans="1:19" hidden="1" outlineLevel="2" x14ac:dyDescent="0.2">
      <c r="A1109" t="str">
        <f ca="1">Language!A634</f>
        <v xml:space="preserve">        сумма без НДС</v>
      </c>
      <c r="C1109" s="5" t="str">
        <f t="shared" ca="1" si="1478"/>
        <v>руб.</v>
      </c>
      <c r="F1109" s="53">
        <f t="shared" ref="F1109:M1109" si="1513">F1108-F1110</f>
        <v>0</v>
      </c>
      <c r="G1109" s="53">
        <f t="shared" si="1513"/>
        <v>0</v>
      </c>
      <c r="H1109" s="53">
        <f t="shared" si="1513"/>
        <v>0</v>
      </c>
      <c r="I1109" s="53">
        <f t="shared" si="1513"/>
        <v>0</v>
      </c>
      <c r="J1109" s="53">
        <f t="shared" si="1513"/>
        <v>0</v>
      </c>
      <c r="K1109" s="53">
        <f t="shared" si="1513"/>
        <v>0</v>
      </c>
      <c r="L1109" s="53">
        <f t="shared" si="1513"/>
        <v>0</v>
      </c>
      <c r="M1109" s="53">
        <f t="shared" si="1513"/>
        <v>0</v>
      </c>
      <c r="N1109" s="53">
        <f t="shared" ref="N1109" si="1514">N1108-N1110</f>
        <v>0</v>
      </c>
      <c r="O1109" s="53">
        <f t="shared" ref="O1109:Q1109" si="1515">O1108-O1110</f>
        <v>0</v>
      </c>
      <c r="P1109" s="53">
        <f t="shared" ref="P1109:Q1109" si="1516">P1108-P1110</f>
        <v>0</v>
      </c>
      <c r="Q1109" s="53">
        <f t="shared" si="1516"/>
        <v>0</v>
      </c>
      <c r="R1109" s="43"/>
      <c r="S1109" s="54">
        <f t="shared" si="1496"/>
        <v>0</v>
      </c>
    </row>
    <row r="1110" spans="1:19" hidden="1" outlineLevel="2" x14ac:dyDescent="0.2">
      <c r="A1110" t="str">
        <f ca="1">Language!A635</f>
        <v xml:space="preserve">        НДС</v>
      </c>
      <c r="C1110" s="5" t="str">
        <f t="shared" ca="1" si="1478"/>
        <v>руб.</v>
      </c>
      <c r="F1110" s="43">
        <f>SUMIF($D1079:$D1085,"*1_02*",F1079:F1085)+SUMIF($D1079:$D1085,"*2_02*",F1079:F1085)*F$88</f>
        <v>0</v>
      </c>
      <c r="G1110" s="43">
        <f>SUMIF($D1079:$D1085,"*1_02*",G1079:G1085)+SUMIF($D1079:$D1085,"*2_02*",G1079:G1085)*G$88</f>
        <v>0</v>
      </c>
      <c r="H1110" s="43">
        <f>SUMIF($D1079:$D1085,"*1_02*",H1079:H1085)+SUMIF($D1079:$D1085,"*2_02*",H1079:H1085)*H$88</f>
        <v>0</v>
      </c>
      <c r="I1110" s="43">
        <f>SUMIF($D1079:$D1085,"*1_02*",I1079:I1085)+SUMIF($D1079:$D1085,"*2_02*",I1079:I1085)*I$88</f>
        <v>0</v>
      </c>
      <c r="J1110" s="43">
        <f>SUMIF($D1079:$D1085,"*1_02*",J1079:J1085)+SUMIF($D1079:$D1085,"*2_02*",J1079:J1085)*J$88</f>
        <v>0</v>
      </c>
      <c r="K1110" s="43">
        <f>SUMIF($D1079:$D1085,"*1_02*",K1079:K1085)+SUMIF($D1079:$D1085,"*2_02*",K1079:K1085)*K$88</f>
        <v>0</v>
      </c>
      <c r="L1110" s="43">
        <f>SUMIF($D1079:$D1085,"*1_02*",L1079:L1085)+SUMIF($D1079:$D1085,"*2_02*",L1079:L1085)*L$88</f>
        <v>0</v>
      </c>
      <c r="M1110" s="43">
        <f>SUMIF($D1079:$D1085,"*1_02*",M1079:M1085)+SUMIF($D1079:$D1085,"*2_02*",M1079:M1085)*M$88</f>
        <v>0</v>
      </c>
      <c r="N1110" s="43">
        <f>SUMIF($D1079:$D1085,"*1_02*",N1079:N1085)+SUMIF($D1079:$D1085,"*2_02*",N1079:N1085)*N$88</f>
        <v>0</v>
      </c>
      <c r="O1110" s="43">
        <f>SUMIF($D1079:$D1085,"*1_02*",O1079:O1085)+SUMIF($D1079:$D1085,"*2_02*",O1079:O1085)*O$88</f>
        <v>0</v>
      </c>
      <c r="P1110" s="43">
        <f>SUMIF($D1079:$D1085,"*1_02*",P1079:P1085)+SUMIF($D1079:$D1085,"*2_02*",P1079:P1085)*P$88</f>
        <v>0</v>
      </c>
      <c r="Q1110" s="43">
        <f>SUMIF($D1079:$D1085,"*1_02*",Q1079:Q1085)+SUMIF($D1079:$D1085,"*2_02*",Q1079:Q1085)*Q$88</f>
        <v>0</v>
      </c>
      <c r="R1110" s="43"/>
      <c r="S1110" s="54">
        <f t="shared" si="1496"/>
        <v>0</v>
      </c>
    </row>
    <row r="1111" spans="1:19" outlineLevel="1" x14ac:dyDescent="0.2">
      <c r="A1111" s="63"/>
      <c r="B1111" s="63"/>
      <c r="C1111" s="63"/>
      <c r="D1111" s="63"/>
      <c r="E1111" s="63"/>
      <c r="F1111" s="63"/>
      <c r="G1111" s="63"/>
      <c r="H1111" s="63"/>
      <c r="I1111" s="63"/>
      <c r="J1111" s="63"/>
      <c r="K1111" s="63"/>
      <c r="L1111" s="63"/>
      <c r="M1111" s="63"/>
      <c r="N1111" s="63"/>
      <c r="O1111" s="63"/>
      <c r="P1111" s="63"/>
      <c r="Q1111" s="63"/>
      <c r="R1111" s="63"/>
      <c r="S1111" s="64"/>
    </row>
    <row r="1112" spans="1:19" outlineLevel="1" x14ac:dyDescent="0.2">
      <c r="A1112" s="19"/>
      <c r="B1112" s="19"/>
      <c r="C1112" s="19"/>
      <c r="D1112" s="19"/>
      <c r="E1112" s="19"/>
      <c r="F1112" s="19"/>
      <c r="G1112" s="19"/>
      <c r="H1112" s="19"/>
      <c r="I1112" s="19"/>
      <c r="J1112" s="19"/>
      <c r="K1112" s="19"/>
      <c r="L1112" s="19"/>
      <c r="M1112" s="19"/>
      <c r="N1112" s="19"/>
      <c r="O1112" s="19"/>
      <c r="P1112" s="19"/>
      <c r="Q1112" s="19"/>
      <c r="R1112" s="19"/>
      <c r="S1112" s="22"/>
    </row>
    <row r="1113" spans="1:19" s="4" customFormat="1" ht="16" customHeight="1" thickBot="1" x14ac:dyDescent="0.25">
      <c r="A1113" s="166" t="str">
        <f ca="1">Language!A471</f>
        <v xml:space="preserve">         ОБОРОТНЫЙ КАПИТАЛ</v>
      </c>
      <c r="B1113" s="166"/>
      <c r="C1113" s="166"/>
      <c r="D1113" s="166"/>
      <c r="E1113" s="166"/>
      <c r="F1113" s="178" t="str">
        <f t="shared" ref="F1113:Q1113" si="1517">PeriodTitle</f>
        <v>4/ 2024</v>
      </c>
      <c r="G1113" s="178" t="str">
        <f t="shared" si="1517"/>
        <v>5/ 2024</v>
      </c>
      <c r="H1113" s="178" t="str">
        <f t="shared" si="1517"/>
        <v>6/ 2024</v>
      </c>
      <c r="I1113" s="178" t="str">
        <f t="shared" si="1517"/>
        <v>7/ 2024</v>
      </c>
      <c r="J1113" s="178" t="str">
        <f t="shared" si="1517"/>
        <v>8/ 2024</v>
      </c>
      <c r="K1113" s="178" t="str">
        <f t="shared" si="1517"/>
        <v>9/ 2024</v>
      </c>
      <c r="L1113" s="178" t="str">
        <f t="shared" si="1517"/>
        <v>10/ 2024</v>
      </c>
      <c r="M1113" s="178" t="str">
        <f t="shared" si="1517"/>
        <v>11/ 2024</v>
      </c>
      <c r="N1113" s="178" t="str">
        <f t="shared" si="1517"/>
        <v>12/ 2024</v>
      </c>
      <c r="O1113" s="178" t="str">
        <f t="shared" si="1517"/>
        <v>1/ 2025</v>
      </c>
      <c r="P1113" s="178" t="str">
        <f t="shared" si="1517"/>
        <v>2/ 2025</v>
      </c>
      <c r="Q1113" s="178" t="str">
        <f t="shared" si="1517"/>
        <v>3/ 2025</v>
      </c>
      <c r="R1113" s="178"/>
      <c r="S1113" s="195" t="str">
        <f ca="1">Language!$A$371</f>
        <v>ИТОГО</v>
      </c>
    </row>
    <row r="1114" spans="1:19" ht="10.5" outlineLevel="1" thickTop="1" x14ac:dyDescent="0.2"/>
    <row r="1115" spans="1:19" ht="10.5" outlineLevel="1" x14ac:dyDescent="0.25">
      <c r="A1115" s="35" t="str">
        <f ca="1">Language!A472</f>
        <v>ЗАПАСЫ</v>
      </c>
    </row>
    <row r="1116" spans="1:19" outlineLevel="1" x14ac:dyDescent="0.2">
      <c r="A1116" t="str">
        <f ca="1">Language!A473</f>
        <v>Запасы сырья и материалов</v>
      </c>
      <c r="C1116" s="5" t="str">
        <f ca="1">CUR_Main</f>
        <v>руб.</v>
      </c>
      <c r="D1116" s="16" t="s">
        <v>384</v>
      </c>
      <c r="E1116" s="53">
        <f t="shared" ref="E1116:M1116" si="1518">E1118+E1119</f>
        <v>0</v>
      </c>
      <c r="F1116" s="53">
        <f t="shared" si="1518"/>
        <v>0</v>
      </c>
      <c r="G1116" s="53">
        <f t="shared" si="1518"/>
        <v>0</v>
      </c>
      <c r="H1116" s="53">
        <f t="shared" si="1518"/>
        <v>0</v>
      </c>
      <c r="I1116" s="53">
        <f t="shared" si="1518"/>
        <v>0</v>
      </c>
      <c r="J1116" s="53">
        <f t="shared" si="1518"/>
        <v>0</v>
      </c>
      <c r="K1116" s="53">
        <f t="shared" si="1518"/>
        <v>0</v>
      </c>
      <c r="L1116" s="53">
        <f t="shared" si="1518"/>
        <v>0</v>
      </c>
      <c r="M1116" s="53">
        <f t="shared" si="1518"/>
        <v>0</v>
      </c>
      <c r="N1116" s="53">
        <f t="shared" ref="N1116" si="1519">N1118+N1119</f>
        <v>0</v>
      </c>
      <c r="O1116" s="53">
        <f t="shared" ref="O1116:Q1116" si="1520">O1118+O1119</f>
        <v>0</v>
      </c>
      <c r="P1116" s="53">
        <f t="shared" ref="P1116:Q1116" si="1521">P1118+P1119</f>
        <v>0</v>
      </c>
      <c r="Q1116" s="53">
        <f t="shared" si="1521"/>
        <v>0</v>
      </c>
    </row>
    <row r="1117" spans="1:19" outlineLevel="1" collapsed="1" x14ac:dyDescent="0.2">
      <c r="A1117" t="str">
        <f ca="1">Language!A474</f>
        <v xml:space="preserve">    среднее время хранения</v>
      </c>
      <c r="B1117" s="259">
        <v>0</v>
      </c>
      <c r="C1117" s="5" t="str">
        <f ca="1">Language!A38</f>
        <v>дн.</v>
      </c>
      <c r="D1117" s="16"/>
    </row>
    <row r="1118" spans="1:19" hidden="1" outlineLevel="2" x14ac:dyDescent="0.2">
      <c r="A1118" t="str">
        <f ca="1">Language!A567</f>
        <v xml:space="preserve">    запасы на основе периодов оборота</v>
      </c>
      <c r="B1118" s="50"/>
      <c r="C1118" s="5" t="str">
        <f ca="1">CUR_Main</f>
        <v>руб.</v>
      </c>
      <c r="D1118" s="16" t="s">
        <v>384</v>
      </c>
      <c r="E1118">
        <f>F50*CHOOSE($B$37,1,F$88)</f>
        <v>0</v>
      </c>
      <c r="F1118" s="43">
        <f>F842</f>
        <v>0</v>
      </c>
      <c r="G1118" s="43">
        <f>G842</f>
        <v>0</v>
      </c>
      <c r="H1118" s="43">
        <f>H842</f>
        <v>0</v>
      </c>
      <c r="I1118" s="43">
        <f>I842</f>
        <v>0</v>
      </c>
      <c r="J1118" s="43">
        <f>J842</f>
        <v>0</v>
      </c>
      <c r="K1118" s="43">
        <f>K842</f>
        <v>0</v>
      </c>
      <c r="L1118" s="43">
        <f>L842</f>
        <v>0</v>
      </c>
      <c r="M1118" s="43">
        <f>M842</f>
        <v>0</v>
      </c>
      <c r="N1118" s="43">
        <f>N842</f>
        <v>0</v>
      </c>
      <c r="O1118" s="43">
        <f>O842</f>
        <v>0</v>
      </c>
      <c r="P1118" s="43">
        <f>P842</f>
        <v>0</v>
      </c>
      <c r="Q1118" s="43">
        <f>Q842</f>
        <v>0</v>
      </c>
    </row>
    <row r="1119" spans="1:19" hidden="1" outlineLevel="2" x14ac:dyDescent="0.2">
      <c r="A1119" t="str">
        <f ca="1">Language!A568</f>
        <v xml:space="preserve">    запасы на основе графика оплаты</v>
      </c>
      <c r="B1119" s="50"/>
      <c r="C1119" s="5" t="str">
        <f ca="1">CUR_Main</f>
        <v>руб.</v>
      </c>
      <c r="D1119" s="16" t="s">
        <v>384</v>
      </c>
      <c r="F1119" s="43">
        <f>F843</f>
        <v>0</v>
      </c>
      <c r="G1119" s="43">
        <f>G843</f>
        <v>0</v>
      </c>
      <c r="H1119" s="43">
        <f>H843</f>
        <v>0</v>
      </c>
      <c r="I1119" s="43">
        <f>I843</f>
        <v>0</v>
      </c>
      <c r="J1119" s="43">
        <f>J843</f>
        <v>0</v>
      </c>
      <c r="K1119" s="43">
        <f>K843</f>
        <v>0</v>
      </c>
      <c r="L1119" s="43">
        <f>L843</f>
        <v>0</v>
      </c>
      <c r="M1119" s="43">
        <f>M843</f>
        <v>0</v>
      </c>
      <c r="N1119" s="43">
        <f>N843</f>
        <v>0</v>
      </c>
      <c r="O1119" s="43">
        <f>O843</f>
        <v>0</v>
      </c>
      <c r="P1119" s="43">
        <f>P843</f>
        <v>0</v>
      </c>
      <c r="Q1119" s="43">
        <f>Q843</f>
        <v>0</v>
      </c>
    </row>
    <row r="1120" spans="1:19" outlineLevel="1" x14ac:dyDescent="0.2">
      <c r="A1120" t="str">
        <f ca="1">Language!A475</f>
        <v>Незавершенное производство</v>
      </c>
      <c r="B1120" s="17"/>
      <c r="C1120" s="5" t="str">
        <f ca="1">CUR_Main</f>
        <v>руб.</v>
      </c>
      <c r="D1120" s="16" t="s">
        <v>384</v>
      </c>
      <c r="E1120" s="84">
        <f t="shared" ref="E1120:M1120" si="1522">E1122+E1123</f>
        <v>0</v>
      </c>
      <c r="F1120" s="84">
        <f t="shared" si="1522"/>
        <v>0</v>
      </c>
      <c r="G1120" s="84">
        <f t="shared" si="1522"/>
        <v>0</v>
      </c>
      <c r="H1120" s="84">
        <f t="shared" si="1522"/>
        <v>26.6175</v>
      </c>
      <c r="I1120" s="84">
        <f t="shared" si="1522"/>
        <v>133.08750000000001</v>
      </c>
      <c r="J1120" s="84">
        <f t="shared" si="1522"/>
        <v>266.17500000000001</v>
      </c>
      <c r="K1120" s="84">
        <f t="shared" si="1522"/>
        <v>532.35</v>
      </c>
      <c r="L1120" s="84">
        <f t="shared" si="1522"/>
        <v>798.52499999999998</v>
      </c>
      <c r="M1120" s="84">
        <f t="shared" si="1522"/>
        <v>1064.7</v>
      </c>
      <c r="N1120" s="84">
        <f t="shared" ref="N1120" si="1523">N1122+N1123</f>
        <v>1463.9625000000001</v>
      </c>
      <c r="O1120" s="84">
        <f t="shared" ref="O1120:Q1120" si="1524">O1122+O1123</f>
        <v>1996.3125</v>
      </c>
      <c r="P1120" s="84">
        <f t="shared" ref="P1120:Q1120" si="1525">P1122+P1123</f>
        <v>2395.5750000000003</v>
      </c>
      <c r="Q1120" s="84">
        <f t="shared" si="1525"/>
        <v>2661.7500000000005</v>
      </c>
    </row>
    <row r="1121" spans="1:19" outlineLevel="1" collapsed="1" x14ac:dyDescent="0.2">
      <c r="A1121" t="str">
        <f ca="1">Language!A476</f>
        <v xml:space="preserve">    длительность производственного цикла</v>
      </c>
      <c r="B1121" s="259">
        <v>60</v>
      </c>
      <c r="C1121" s="5" t="str">
        <f ca="1">Language!A38</f>
        <v>дн.</v>
      </c>
      <c r="D1121" s="16"/>
    </row>
    <row r="1122" spans="1:19" hidden="1" outlineLevel="2" x14ac:dyDescent="0.2">
      <c r="A1122" t="str">
        <f ca="1">Language!A567</f>
        <v xml:space="preserve">    запасы на основе периодов оборота</v>
      </c>
      <c r="B1122" s="50"/>
      <c r="C1122" s="5" t="str">
        <f ca="1">CUR_Main</f>
        <v>руб.</v>
      </c>
      <c r="D1122" s="16" t="s">
        <v>384</v>
      </c>
      <c r="E1122">
        <f>F51*CHOOSE($B$37,1,F$88)</f>
        <v>0</v>
      </c>
      <c r="F1122" s="43">
        <f>F850+F940</f>
        <v>0</v>
      </c>
      <c r="G1122" s="43">
        <f>G850+G940</f>
        <v>0</v>
      </c>
      <c r="H1122" s="43">
        <f>H850+H940</f>
        <v>26.6175</v>
      </c>
      <c r="I1122" s="43">
        <f>I850+I940</f>
        <v>133.08750000000001</v>
      </c>
      <c r="J1122" s="43">
        <f>J850+J940</f>
        <v>266.17500000000001</v>
      </c>
      <c r="K1122" s="43">
        <f>K850+K940</f>
        <v>532.35</v>
      </c>
      <c r="L1122" s="43">
        <f>L850+L940</f>
        <v>798.52499999999998</v>
      </c>
      <c r="M1122" s="43">
        <f>M850+M940</f>
        <v>1064.7</v>
      </c>
      <c r="N1122" s="43">
        <f>N850+N940</f>
        <v>1463.9625000000001</v>
      </c>
      <c r="O1122" s="43">
        <f>O850+O940</f>
        <v>1996.3125</v>
      </c>
      <c r="P1122" s="43">
        <f>P850+P940</f>
        <v>2395.5750000000003</v>
      </c>
      <c r="Q1122" s="43">
        <f>Q850+Q940</f>
        <v>2661.7500000000005</v>
      </c>
    </row>
    <row r="1123" spans="1:19" hidden="1" outlineLevel="2" x14ac:dyDescent="0.2">
      <c r="A1123" t="str">
        <f ca="1">Language!A568</f>
        <v xml:space="preserve">    запасы на основе графика оплаты</v>
      </c>
      <c r="B1123" s="50"/>
      <c r="C1123" s="5" t="str">
        <f ca="1">CUR_Main</f>
        <v>руб.</v>
      </c>
      <c r="D1123" s="16" t="s">
        <v>384</v>
      </c>
      <c r="F1123" s="43">
        <f>0</f>
        <v>0</v>
      </c>
      <c r="G1123" s="43">
        <f>0</f>
        <v>0</v>
      </c>
      <c r="H1123" s="43">
        <f>0</f>
        <v>0</v>
      </c>
      <c r="I1123" s="43">
        <f>0</f>
        <v>0</v>
      </c>
      <c r="J1123" s="43">
        <f>0</f>
        <v>0</v>
      </c>
      <c r="K1123" s="43">
        <f>0</f>
        <v>0</v>
      </c>
      <c r="L1123" s="43">
        <f>0</f>
        <v>0</v>
      </c>
      <c r="M1123" s="43">
        <f>0</f>
        <v>0</v>
      </c>
      <c r="N1123" s="43">
        <f>0</f>
        <v>0</v>
      </c>
      <c r="O1123" s="43">
        <f>0</f>
        <v>0</v>
      </c>
      <c r="P1123" s="43">
        <f>0</f>
        <v>0</v>
      </c>
      <c r="Q1123" s="43">
        <f>0</f>
        <v>0</v>
      </c>
    </row>
    <row r="1124" spans="1:19" outlineLevel="1" x14ac:dyDescent="0.2">
      <c r="A1124" t="str">
        <f ca="1">Language!A477</f>
        <v>Запасы готовой продукции</v>
      </c>
      <c r="B1124" s="17"/>
      <c r="C1124" s="5" t="str">
        <f ca="1">CUR_Main</f>
        <v>руб.</v>
      </c>
      <c r="D1124" s="16" t="s">
        <v>384</v>
      </c>
      <c r="E1124" s="84">
        <f t="shared" ref="E1124:M1124" si="1526">E1126+E1127</f>
        <v>0</v>
      </c>
      <c r="F1124" s="84">
        <f t="shared" si="1526"/>
        <v>0</v>
      </c>
      <c r="G1124" s="84">
        <f t="shared" si="1526"/>
        <v>0</v>
      </c>
      <c r="H1124" s="84">
        <f t="shared" si="1526"/>
        <v>0</v>
      </c>
      <c r="I1124" s="84">
        <f t="shared" si="1526"/>
        <v>0</v>
      </c>
      <c r="J1124" s="84">
        <f t="shared" si="1526"/>
        <v>0</v>
      </c>
      <c r="K1124" s="84">
        <f t="shared" si="1526"/>
        <v>0</v>
      </c>
      <c r="L1124" s="84">
        <f t="shared" si="1526"/>
        <v>0</v>
      </c>
      <c r="M1124" s="84">
        <f t="shared" si="1526"/>
        <v>0</v>
      </c>
      <c r="N1124" s="84">
        <f t="shared" ref="N1124" si="1527">N1126+N1127</f>
        <v>0</v>
      </c>
      <c r="O1124" s="84">
        <f t="shared" ref="O1124:Q1124" si="1528">O1126+O1127</f>
        <v>0</v>
      </c>
      <c r="P1124" s="84">
        <f t="shared" ref="P1124:Q1124" si="1529">P1126+P1127</f>
        <v>0</v>
      </c>
      <c r="Q1124" s="84">
        <f t="shared" si="1529"/>
        <v>0</v>
      </c>
    </row>
    <row r="1125" spans="1:19" outlineLevel="1" collapsed="1" x14ac:dyDescent="0.2">
      <c r="A1125" s="19" t="str">
        <f ca="1">Language!A480</f>
        <v xml:space="preserve">    среднее время хранения</v>
      </c>
      <c r="B1125" s="289">
        <v>0</v>
      </c>
      <c r="C1125" s="26" t="str">
        <f ca="1">Language!A38</f>
        <v>дн.</v>
      </c>
      <c r="D1125" s="46"/>
      <c r="E1125" s="19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65"/>
      <c r="Q1125" s="65"/>
      <c r="R1125" s="19"/>
      <c r="S1125" s="22"/>
    </row>
    <row r="1126" spans="1:19" hidden="1" outlineLevel="2" x14ac:dyDescent="0.2">
      <c r="A1126" s="19" t="str">
        <f ca="1">Language!A567</f>
        <v xml:space="preserve">    запасы на основе периодов оборота</v>
      </c>
      <c r="B1126" s="148"/>
      <c r="C1126" s="5" t="str">
        <f ca="1">CUR_Main</f>
        <v>руб.</v>
      </c>
      <c r="D1126" s="16" t="s">
        <v>384</v>
      </c>
      <c r="E1126" s="19">
        <f>F52*CHOOSE($B$37,1,F$88)</f>
        <v>0</v>
      </c>
      <c r="F1126" s="65">
        <f>(F838+F932)*NWC_T_Goods/PRJ_Step</f>
        <v>0</v>
      </c>
      <c r="G1126" s="65">
        <f>(G838+G932)*NWC_T_Goods/PRJ_Step</f>
        <v>0</v>
      </c>
      <c r="H1126" s="65">
        <f>(H838+H932)*NWC_T_Goods/PRJ_Step</f>
        <v>0</v>
      </c>
      <c r="I1126" s="65">
        <f>(I838+I932)*NWC_T_Goods/PRJ_Step</f>
        <v>0</v>
      </c>
      <c r="J1126" s="65">
        <f>(J838+J932)*NWC_T_Goods/PRJ_Step</f>
        <v>0</v>
      </c>
      <c r="K1126" s="65">
        <f>(K838+K932)*NWC_T_Goods/PRJ_Step</f>
        <v>0</v>
      </c>
      <c r="L1126" s="65">
        <f>(L838+L932)*NWC_T_Goods/PRJ_Step</f>
        <v>0</v>
      </c>
      <c r="M1126" s="65">
        <f>(M838+M932)*NWC_T_Goods/PRJ_Step</f>
        <v>0</v>
      </c>
      <c r="N1126" s="65">
        <f>(N838+N932)*NWC_T_Goods/PRJ_Step</f>
        <v>0</v>
      </c>
      <c r="O1126" s="65">
        <f>(O838+O932)*NWC_T_Goods/PRJ_Step</f>
        <v>0</v>
      </c>
      <c r="P1126" s="65">
        <f>(P838+P932)*NWC_T_Goods/PRJ_Step</f>
        <v>0</v>
      </c>
      <c r="Q1126" s="65">
        <f>(Q838+Q932)*NWC_T_Goods/PRJ_Step</f>
        <v>0</v>
      </c>
      <c r="R1126" s="19"/>
      <c r="S1126" s="22"/>
    </row>
    <row r="1127" spans="1:19" hidden="1" outlineLevel="2" x14ac:dyDescent="0.2">
      <c r="A1127" s="19" t="str">
        <f ca="1">Language!A568</f>
        <v xml:space="preserve">    запасы на основе графика оплаты</v>
      </c>
      <c r="B1127" s="50"/>
      <c r="C1127" s="5" t="str">
        <f ca="1">CUR_Main</f>
        <v>руб.</v>
      </c>
      <c r="D1127" s="16" t="s">
        <v>384</v>
      </c>
      <c r="E1127" s="19"/>
      <c r="F1127" s="65">
        <f>F939+F849</f>
        <v>0</v>
      </c>
      <c r="G1127" s="65">
        <f>G939+G849</f>
        <v>0</v>
      </c>
      <c r="H1127" s="65">
        <f>H939+H849</f>
        <v>0</v>
      </c>
      <c r="I1127" s="65">
        <f>I939+I849</f>
        <v>0</v>
      </c>
      <c r="J1127" s="65">
        <f>J939+J849</f>
        <v>0</v>
      </c>
      <c r="K1127" s="65">
        <f>K939+K849</f>
        <v>0</v>
      </c>
      <c r="L1127" s="65">
        <f>L939+L849</f>
        <v>0</v>
      </c>
      <c r="M1127" s="65">
        <f>M939+M849</f>
        <v>0</v>
      </c>
      <c r="N1127" s="65">
        <f>N939+N849</f>
        <v>0</v>
      </c>
      <c r="O1127" s="65">
        <f>O939+O849</f>
        <v>0</v>
      </c>
      <c r="P1127" s="65">
        <f>P939+P849</f>
        <v>0</v>
      </c>
      <c r="Q1127" s="65">
        <f>Q939+Q849</f>
        <v>0</v>
      </c>
      <c r="R1127" s="19"/>
      <c r="S1127" s="22"/>
    </row>
    <row r="1128" spans="1:19" outlineLevel="1" x14ac:dyDescent="0.2">
      <c r="A1128" s="63"/>
      <c r="B1128" s="63"/>
      <c r="C1128" s="63"/>
      <c r="D1128" s="60"/>
      <c r="E1128" s="63"/>
      <c r="F1128" s="121"/>
      <c r="G1128" s="121"/>
      <c r="H1128" s="121"/>
      <c r="I1128" s="121"/>
      <c r="J1128" s="121"/>
      <c r="K1128" s="121"/>
      <c r="L1128" s="121"/>
      <c r="M1128" s="121"/>
      <c r="N1128" s="121"/>
      <c r="O1128" s="121"/>
      <c r="P1128" s="121"/>
      <c r="Q1128" s="121"/>
      <c r="R1128" s="63"/>
      <c r="S1128" s="64"/>
    </row>
    <row r="1129" spans="1:19" ht="10.5" outlineLevel="1" x14ac:dyDescent="0.25">
      <c r="A1129" s="62" t="str">
        <f ca="1">Language!A481</f>
        <v>РАСЧЕТЫ С ПОКУПАТЕЛЯМИ</v>
      </c>
      <c r="B1129" s="19"/>
      <c r="C1129" s="19"/>
      <c r="D1129" s="46"/>
      <c r="E1129" s="19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65"/>
      <c r="Q1129" s="65"/>
      <c r="R1129" s="19"/>
      <c r="S1129" s="22"/>
    </row>
    <row r="1130" spans="1:19" outlineLevel="1" x14ac:dyDescent="0.2">
      <c r="A1130" t="str">
        <f ca="1">Language!A482</f>
        <v>Поступления денег от продаж:</v>
      </c>
      <c r="B1130" s="36" t="str">
        <f ca="1">Language!A522</f>
        <v>доля</v>
      </c>
      <c r="C1130" s="36" t="str">
        <f ca="1">Language!A523</f>
        <v>срок, дн.</v>
      </c>
      <c r="D1130" s="16"/>
      <c r="F1130" s="43"/>
      <c r="G1130" s="43"/>
      <c r="H1130" s="43"/>
      <c r="I1130" s="43"/>
      <c r="J1130" s="43"/>
      <c r="K1130" s="43"/>
      <c r="L1130" s="43"/>
      <c r="M1130" s="43"/>
      <c r="N1130" s="43"/>
      <c r="O1130" s="43"/>
      <c r="P1130" s="43"/>
      <c r="Q1130" s="43"/>
    </row>
    <row r="1131" spans="1:19" outlineLevel="1" x14ac:dyDescent="0.2">
      <c r="A1131" t="str">
        <f ca="1">Language!A483</f>
        <v xml:space="preserve">    немедленная оплата</v>
      </c>
      <c r="B1131" s="61">
        <v>1</v>
      </c>
      <c r="C1131" s="17" t="s">
        <v>382</v>
      </c>
      <c r="D1131" s="16"/>
      <c r="F1131" s="43"/>
      <c r="G1131" s="43"/>
      <c r="H1131" s="43"/>
      <c r="I1131" s="43"/>
      <c r="J1131" s="43"/>
      <c r="K1131" s="43"/>
      <c r="L1131" s="43"/>
      <c r="M1131" s="43"/>
      <c r="N1131" s="43"/>
      <c r="O1131" s="43"/>
      <c r="P1131" s="43"/>
      <c r="Q1131" s="43"/>
    </row>
    <row r="1132" spans="1:19" outlineLevel="1" x14ac:dyDescent="0.2">
      <c r="A1132" t="str">
        <f ca="1">Language!A484</f>
        <v xml:space="preserve">    продажи с предоплатой</v>
      </c>
      <c r="B1132" s="283">
        <v>1</v>
      </c>
      <c r="C1132" s="259">
        <v>0</v>
      </c>
      <c r="D1132" s="16"/>
      <c r="F1132" s="43"/>
      <c r="G1132" s="43"/>
      <c r="H1132" s="43"/>
      <c r="I1132" s="43"/>
      <c r="J1132" s="43"/>
      <c r="K1132" s="43"/>
      <c r="L1132" s="43"/>
      <c r="M1132" s="43"/>
      <c r="N1132" s="43"/>
      <c r="O1132" s="43"/>
      <c r="P1132" s="43"/>
      <c r="Q1132" s="43"/>
    </row>
    <row r="1133" spans="1:19" outlineLevel="1" x14ac:dyDescent="0.2">
      <c r="A1133" t="str">
        <f ca="1">Language!A485</f>
        <v xml:space="preserve">    продажи в кредит</v>
      </c>
      <c r="B1133" s="283">
        <v>0</v>
      </c>
      <c r="C1133" s="259">
        <v>60</v>
      </c>
      <c r="D1133" s="16"/>
      <c r="F1133" s="43"/>
      <c r="G1133" s="43"/>
      <c r="H1133" s="43"/>
      <c r="I1133" s="43"/>
      <c r="J1133" s="43"/>
      <c r="K1133" s="43"/>
      <c r="L1133" s="43"/>
      <c r="M1133" s="43"/>
      <c r="N1133" s="43"/>
      <c r="O1133" s="43"/>
      <c r="P1133" s="43"/>
      <c r="Q1133" s="43"/>
    </row>
    <row r="1134" spans="1:19" outlineLevel="1" collapsed="1" x14ac:dyDescent="0.2">
      <c r="A1134" t="str">
        <f ca="1">Language!A486</f>
        <v>Сумма счетов к получению</v>
      </c>
      <c r="C1134" s="5" t="str">
        <f t="shared" ref="C1134:C1139" ca="1" si="1530">CUR_Main</f>
        <v>руб.</v>
      </c>
      <c r="D1134" s="16" t="s">
        <v>384</v>
      </c>
      <c r="E1134" s="43">
        <f t="shared" ref="E1134:M1134" si="1531">E1135+E1136</f>
        <v>0</v>
      </c>
      <c r="F1134" s="43">
        <f t="shared" si="1531"/>
        <v>0</v>
      </c>
      <c r="G1134" s="43">
        <f t="shared" si="1531"/>
        <v>0</v>
      </c>
      <c r="H1134" s="43">
        <f t="shared" si="1531"/>
        <v>0</v>
      </c>
      <c r="I1134" s="43">
        <f t="shared" si="1531"/>
        <v>0</v>
      </c>
      <c r="J1134" s="43">
        <f t="shared" si="1531"/>
        <v>0</v>
      </c>
      <c r="K1134" s="43">
        <f t="shared" si="1531"/>
        <v>0</v>
      </c>
      <c r="L1134" s="43">
        <f t="shared" si="1531"/>
        <v>0</v>
      </c>
      <c r="M1134" s="43">
        <f t="shared" si="1531"/>
        <v>0</v>
      </c>
      <c r="N1134" s="43">
        <f t="shared" ref="N1134" si="1532">N1135+N1136</f>
        <v>0</v>
      </c>
      <c r="O1134" s="43">
        <f t="shared" ref="O1134:Q1134" si="1533">O1135+O1136</f>
        <v>0</v>
      </c>
      <c r="P1134" s="43">
        <f t="shared" ref="P1134:Q1134" si="1534">P1135+P1136</f>
        <v>0</v>
      </c>
      <c r="Q1134" s="43">
        <f t="shared" si="1534"/>
        <v>0</v>
      </c>
    </row>
    <row r="1135" spans="1:19" hidden="1" outlineLevel="2" x14ac:dyDescent="0.2">
      <c r="A1135" t="str">
        <f ca="1">Language!A487</f>
        <v xml:space="preserve">    на основе циклов оборачиваемости</v>
      </c>
      <c r="C1135" s="5" t="str">
        <f t="shared" ca="1" si="1530"/>
        <v>руб.</v>
      </c>
      <c r="D1135" s="16" t="s">
        <v>384</v>
      </c>
      <c r="E1135">
        <f>F53*CHOOSE($B$37,1,F$88)</f>
        <v>0</v>
      </c>
      <c r="F1135" s="43">
        <f>F642*NWC_T_Db_CrdK*NWC_T_Db_CrdT/PRJ_Step</f>
        <v>0</v>
      </c>
      <c r="G1135" s="43">
        <f>G642*NWC_T_Db_CrdK*NWC_T_Db_CrdT/PRJ_Step</f>
        <v>0</v>
      </c>
      <c r="H1135" s="43">
        <f>H642*NWC_T_Db_CrdK*NWC_T_Db_CrdT/PRJ_Step</f>
        <v>0</v>
      </c>
      <c r="I1135" s="43">
        <f>I642*NWC_T_Db_CrdK*NWC_T_Db_CrdT/PRJ_Step</f>
        <v>0</v>
      </c>
      <c r="J1135" s="43">
        <f>J642*NWC_T_Db_CrdK*NWC_T_Db_CrdT/PRJ_Step</f>
        <v>0</v>
      </c>
      <c r="K1135" s="43">
        <f>K642*NWC_T_Db_CrdK*NWC_T_Db_CrdT/PRJ_Step</f>
        <v>0</v>
      </c>
      <c r="L1135" s="43">
        <f>L642*NWC_T_Db_CrdK*NWC_T_Db_CrdT/PRJ_Step</f>
        <v>0</v>
      </c>
      <c r="M1135" s="43">
        <f>M642*NWC_T_Db_CrdK*NWC_T_Db_CrdT/PRJ_Step</f>
        <v>0</v>
      </c>
      <c r="N1135" s="43">
        <f>N642*NWC_T_Db_CrdK*NWC_T_Db_CrdT/PRJ_Step</f>
        <v>0</v>
      </c>
      <c r="O1135" s="43">
        <f>O642*NWC_T_Db_CrdK*NWC_T_Db_CrdT/PRJ_Step</f>
        <v>0</v>
      </c>
      <c r="P1135" s="43">
        <f>P642*NWC_T_Db_CrdK*NWC_T_Db_CrdT/PRJ_Step</f>
        <v>0</v>
      </c>
      <c r="Q1135" s="43">
        <f>Q642*NWC_T_Db_CrdK*NWC_T_Db_CrdT/PRJ_Step</f>
        <v>0</v>
      </c>
    </row>
    <row r="1136" spans="1:19" hidden="1" outlineLevel="2" x14ac:dyDescent="0.2">
      <c r="A1136" t="str">
        <f ca="1">Language!A488</f>
        <v xml:space="preserve">    в соответствии с графиком оплаты продукции</v>
      </c>
      <c r="C1136" s="5" t="str">
        <f t="shared" ca="1" si="1530"/>
        <v>руб.</v>
      </c>
      <c r="D1136" s="16" t="s">
        <v>384</v>
      </c>
      <c r="F1136" s="43">
        <f>F648</f>
        <v>0</v>
      </c>
      <c r="G1136" s="43">
        <f>G648</f>
        <v>0</v>
      </c>
      <c r="H1136" s="43">
        <f>H648</f>
        <v>0</v>
      </c>
      <c r="I1136" s="43">
        <f>I648</f>
        <v>0</v>
      </c>
      <c r="J1136" s="43">
        <f>J648</f>
        <v>0</v>
      </c>
      <c r="K1136" s="43">
        <f>K648</f>
        <v>0</v>
      </c>
      <c r="L1136" s="43">
        <f>L648</f>
        <v>0</v>
      </c>
      <c r="M1136" s="43">
        <f>M648</f>
        <v>0</v>
      </c>
      <c r="N1136" s="43">
        <f>N648</f>
        <v>0</v>
      </c>
      <c r="O1136" s="43">
        <f>O648</f>
        <v>0</v>
      </c>
      <c r="P1136" s="43">
        <f>P648</f>
        <v>0</v>
      </c>
      <c r="Q1136" s="43">
        <f>Q648</f>
        <v>0</v>
      </c>
    </row>
    <row r="1137" spans="1:19" outlineLevel="1" collapsed="1" x14ac:dyDescent="0.2">
      <c r="A1137" t="str">
        <f ca="1">Language!A489</f>
        <v>Сумма полученных авансов</v>
      </c>
      <c r="C1137" s="5" t="str">
        <f t="shared" ca="1" si="1530"/>
        <v>руб.</v>
      </c>
      <c r="D1137" s="46" t="s">
        <v>384</v>
      </c>
      <c r="E1137" s="43">
        <f t="shared" ref="E1137:M1137" si="1535">E1138+E1139</f>
        <v>0</v>
      </c>
      <c r="F1137" s="43">
        <f t="shared" si="1535"/>
        <v>0</v>
      </c>
      <c r="G1137" s="43">
        <f t="shared" si="1535"/>
        <v>0</v>
      </c>
      <c r="H1137" s="43">
        <f t="shared" si="1535"/>
        <v>0</v>
      </c>
      <c r="I1137" s="43">
        <f t="shared" si="1535"/>
        <v>0</v>
      </c>
      <c r="J1137" s="43">
        <f t="shared" si="1535"/>
        <v>0</v>
      </c>
      <c r="K1137" s="43">
        <f t="shared" si="1535"/>
        <v>0</v>
      </c>
      <c r="L1137" s="43">
        <f t="shared" si="1535"/>
        <v>0</v>
      </c>
      <c r="M1137" s="43">
        <f t="shared" si="1535"/>
        <v>0</v>
      </c>
      <c r="N1137" s="43">
        <f t="shared" ref="N1137" si="1536">N1138+N1139</f>
        <v>0</v>
      </c>
      <c r="O1137" s="43">
        <f t="shared" ref="O1137:Q1137" si="1537">O1138+O1139</f>
        <v>0</v>
      </c>
      <c r="P1137" s="43">
        <f t="shared" ref="P1137:Q1137" si="1538">P1138+P1139</f>
        <v>0</v>
      </c>
      <c r="Q1137" s="43">
        <f t="shared" si="1538"/>
        <v>0</v>
      </c>
    </row>
    <row r="1138" spans="1:19" hidden="1" outlineLevel="2" x14ac:dyDescent="0.2">
      <c r="A1138" t="str">
        <f ca="1">Language!A490</f>
        <v xml:space="preserve">    на основе циклов оборачиваемости (c НДС на аванс)</v>
      </c>
      <c r="C1138" s="5" t="str">
        <f t="shared" ca="1" si="1530"/>
        <v>руб.</v>
      </c>
      <c r="D1138" s="16" t="s">
        <v>384</v>
      </c>
      <c r="E1138">
        <f>F68*CHOOSE($B$37,1,F$88)</f>
        <v>0</v>
      </c>
      <c r="F1138" s="43">
        <f>F642*NWC_T_Db_AdvK*NWC_T_Db_AdvT/PRJ_Step</f>
        <v>0</v>
      </c>
      <c r="G1138" s="43">
        <f>G642*NWC_T_Db_AdvK*NWC_T_Db_AdvT/PRJ_Step</f>
        <v>0</v>
      </c>
      <c r="H1138" s="43">
        <f>H642*NWC_T_Db_AdvK*NWC_T_Db_AdvT/PRJ_Step</f>
        <v>0</v>
      </c>
      <c r="I1138" s="43">
        <f>I642*NWC_T_Db_AdvK*NWC_T_Db_AdvT/PRJ_Step</f>
        <v>0</v>
      </c>
      <c r="J1138" s="43">
        <f>J642*NWC_T_Db_AdvK*NWC_T_Db_AdvT/PRJ_Step</f>
        <v>0</v>
      </c>
      <c r="K1138" s="43">
        <f>K642*NWC_T_Db_AdvK*NWC_T_Db_AdvT/PRJ_Step</f>
        <v>0</v>
      </c>
      <c r="L1138" s="43">
        <f>L642*NWC_T_Db_AdvK*NWC_T_Db_AdvT/PRJ_Step</f>
        <v>0</v>
      </c>
      <c r="M1138" s="43">
        <f>M642*NWC_T_Db_AdvK*NWC_T_Db_AdvT/PRJ_Step</f>
        <v>0</v>
      </c>
      <c r="N1138" s="43">
        <f>N642*NWC_T_Db_AdvK*NWC_T_Db_AdvT/PRJ_Step</f>
        <v>0</v>
      </c>
      <c r="O1138" s="43">
        <f>O642*NWC_T_Db_AdvK*NWC_T_Db_AdvT/PRJ_Step</f>
        <v>0</v>
      </c>
      <c r="P1138" s="43">
        <f>P642*NWC_T_Db_AdvK*NWC_T_Db_AdvT/PRJ_Step</f>
        <v>0</v>
      </c>
      <c r="Q1138" s="43">
        <f>Q642*NWC_T_Db_AdvK*NWC_T_Db_AdvT/PRJ_Step</f>
        <v>0</v>
      </c>
    </row>
    <row r="1139" spans="1:19" hidden="1" outlineLevel="2" x14ac:dyDescent="0.2">
      <c r="A1139" s="19" t="str">
        <f ca="1">Language!A491</f>
        <v xml:space="preserve">    в соответствии с графиком оплаты продукции</v>
      </c>
      <c r="B1139" s="19"/>
      <c r="C1139" s="26" t="str">
        <f t="shared" ca="1" si="1530"/>
        <v>руб.</v>
      </c>
      <c r="D1139" s="46" t="s">
        <v>384</v>
      </c>
      <c r="E1139" s="19"/>
      <c r="F1139" s="65">
        <f>F649</f>
        <v>0</v>
      </c>
      <c r="G1139" s="65">
        <f>G649</f>
        <v>0</v>
      </c>
      <c r="H1139" s="65">
        <f>H649</f>
        <v>0</v>
      </c>
      <c r="I1139" s="65">
        <f>I649</f>
        <v>0</v>
      </c>
      <c r="J1139" s="65">
        <f>J649</f>
        <v>0</v>
      </c>
      <c r="K1139" s="65">
        <f>K649</f>
        <v>0</v>
      </c>
      <c r="L1139" s="65">
        <f>L649</f>
        <v>0</v>
      </c>
      <c r="M1139" s="65">
        <f>M649</f>
        <v>0</v>
      </c>
      <c r="N1139" s="65">
        <f>N649</f>
        <v>0</v>
      </c>
      <c r="O1139" s="65">
        <f>O649</f>
        <v>0</v>
      </c>
      <c r="P1139" s="65">
        <f>P649</f>
        <v>0</v>
      </c>
      <c r="Q1139" s="65">
        <f>Q649</f>
        <v>0</v>
      </c>
      <c r="R1139" s="19"/>
      <c r="S1139" s="22"/>
    </row>
    <row r="1140" spans="1:19" outlineLevel="1" x14ac:dyDescent="0.2">
      <c r="A1140" s="63"/>
      <c r="B1140" s="63"/>
      <c r="C1140" s="63"/>
      <c r="D1140" s="60"/>
      <c r="E1140" s="63"/>
      <c r="F1140" s="63"/>
      <c r="G1140" s="63"/>
      <c r="H1140" s="63"/>
      <c r="I1140" s="63"/>
      <c r="J1140" s="63"/>
      <c r="K1140" s="63"/>
      <c r="L1140" s="63"/>
      <c r="M1140" s="63"/>
      <c r="N1140" s="63"/>
      <c r="O1140" s="63"/>
      <c r="P1140" s="63"/>
      <c r="Q1140" s="63"/>
      <c r="R1140" s="63"/>
      <c r="S1140" s="64"/>
    </row>
    <row r="1141" spans="1:19" ht="10.5" outlineLevel="1" x14ac:dyDescent="0.25">
      <c r="A1141" s="35" t="str">
        <f ca="1">Language!A492</f>
        <v>РАСЧЕТЫ С ПОСТАВЩИКАМИ</v>
      </c>
      <c r="D1141" s="16"/>
    </row>
    <row r="1142" spans="1:19" outlineLevel="1" x14ac:dyDescent="0.2">
      <c r="A1142" t="str">
        <f ca="1">Language!A493</f>
        <v>Оплата материалов и комплектующих:</v>
      </c>
      <c r="B1142" s="36" t="str">
        <f ca="1">Language!A522</f>
        <v>доля</v>
      </c>
      <c r="C1142" s="36" t="str">
        <f ca="1">Language!A523</f>
        <v>срок, дн.</v>
      </c>
      <c r="D1142" s="16"/>
    </row>
    <row r="1143" spans="1:19" outlineLevel="1" x14ac:dyDescent="0.2">
      <c r="A1143" t="str">
        <f ca="1">Language!A494</f>
        <v xml:space="preserve">    немедленная оплата</v>
      </c>
      <c r="B1143" s="61">
        <f>1-NWC_T_Cr_AdvK-NWC_T_Cr_CrdK</f>
        <v>0</v>
      </c>
      <c r="C1143" s="17" t="s">
        <v>382</v>
      </c>
      <c r="D1143" s="16"/>
    </row>
    <row r="1144" spans="1:19" outlineLevel="1" x14ac:dyDescent="0.2">
      <c r="A1144" t="str">
        <f ca="1">Language!A495</f>
        <v xml:space="preserve">    авансовая оплата</v>
      </c>
      <c r="B1144" s="283">
        <v>0</v>
      </c>
      <c r="C1144" s="259">
        <v>0</v>
      </c>
      <c r="D1144" s="16"/>
    </row>
    <row r="1145" spans="1:19" outlineLevel="1" x14ac:dyDescent="0.2">
      <c r="A1145" t="str">
        <f ca="1">Language!A496</f>
        <v xml:space="preserve">    оплата в кредит</v>
      </c>
      <c r="B1145" s="283">
        <v>1</v>
      </c>
      <c r="C1145" s="259">
        <v>0</v>
      </c>
      <c r="D1145" s="16"/>
    </row>
    <row r="1146" spans="1:19" outlineLevel="1" collapsed="1" x14ac:dyDescent="0.2">
      <c r="A1146" t="str">
        <f ca="1">Language!A497</f>
        <v>Сумма счетов к оплате</v>
      </c>
      <c r="C1146" s="5" t="str">
        <f t="shared" ref="C1146:C1151" ca="1" si="1539">CUR_Main</f>
        <v>руб.</v>
      </c>
      <c r="D1146" s="16" t="s">
        <v>384</v>
      </c>
      <c r="E1146" s="43">
        <f t="shared" ref="E1146:M1146" si="1540">E1147+E1148</f>
        <v>0</v>
      </c>
      <c r="F1146" s="43">
        <f t="shared" si="1540"/>
        <v>0</v>
      </c>
      <c r="G1146" s="43">
        <f t="shared" si="1540"/>
        <v>0</v>
      </c>
      <c r="H1146" s="43">
        <f t="shared" si="1540"/>
        <v>0</v>
      </c>
      <c r="I1146" s="43">
        <f t="shared" si="1540"/>
        <v>0</v>
      </c>
      <c r="J1146" s="43">
        <f t="shared" si="1540"/>
        <v>0</v>
      </c>
      <c r="K1146" s="43">
        <f t="shared" si="1540"/>
        <v>0</v>
      </c>
      <c r="L1146" s="43">
        <f t="shared" si="1540"/>
        <v>0</v>
      </c>
      <c r="M1146" s="43">
        <f t="shared" si="1540"/>
        <v>0</v>
      </c>
      <c r="N1146" s="43">
        <f t="shared" ref="N1146" si="1541">N1147+N1148</f>
        <v>0</v>
      </c>
      <c r="O1146" s="43">
        <f t="shared" ref="O1146:Q1146" si="1542">O1147+O1148</f>
        <v>0</v>
      </c>
      <c r="P1146" s="43">
        <f t="shared" ref="P1146:Q1146" si="1543">P1147+P1148</f>
        <v>0</v>
      </c>
      <c r="Q1146" s="43">
        <f t="shared" si="1543"/>
        <v>0</v>
      </c>
    </row>
    <row r="1147" spans="1:19" hidden="1" outlineLevel="2" x14ac:dyDescent="0.2">
      <c r="A1147" t="str">
        <f ca="1">Language!A498</f>
        <v xml:space="preserve">    на основе циклов оборачиваемости</v>
      </c>
      <c r="C1147" s="5" t="str">
        <f t="shared" ca="1" si="1539"/>
        <v>руб.</v>
      </c>
      <c r="D1147" s="16" t="s">
        <v>384</v>
      </c>
      <c r="E1147">
        <f>F65*CHOOSE($B$37,1,F$88)</f>
        <v>0</v>
      </c>
      <c r="F1147" s="43">
        <f>(F837+F931+F1102+F1105+F1108)*NWC_T_Cr_CrdK*NWC_T_Cr_CrdT/PRJ_Step</f>
        <v>0</v>
      </c>
      <c r="G1147" s="43">
        <f>(G837+G931+G1102+G1105+G1108)*NWC_T_Cr_CrdK*NWC_T_Cr_CrdT/PRJ_Step</f>
        <v>0</v>
      </c>
      <c r="H1147" s="43">
        <f>(H837+H931+H1102+H1105+H1108)*NWC_T_Cr_CrdK*NWC_T_Cr_CrdT/PRJ_Step</f>
        <v>0</v>
      </c>
      <c r="I1147" s="43">
        <f>(I837+I931+I1102+I1105+I1108)*NWC_T_Cr_CrdK*NWC_T_Cr_CrdT/PRJ_Step</f>
        <v>0</v>
      </c>
      <c r="J1147" s="43">
        <f>(J837+J931+J1102+J1105+J1108)*NWC_T_Cr_CrdK*NWC_T_Cr_CrdT/PRJ_Step</f>
        <v>0</v>
      </c>
      <c r="K1147" s="43">
        <f>(K837+K931+K1102+K1105+K1108)*NWC_T_Cr_CrdK*NWC_T_Cr_CrdT/PRJ_Step</f>
        <v>0</v>
      </c>
      <c r="L1147" s="43">
        <f>(L837+L931+L1102+L1105+L1108)*NWC_T_Cr_CrdK*NWC_T_Cr_CrdT/PRJ_Step</f>
        <v>0</v>
      </c>
      <c r="M1147" s="43">
        <f>(M837+M931+M1102+M1105+M1108)*NWC_T_Cr_CrdK*NWC_T_Cr_CrdT/PRJ_Step</f>
        <v>0</v>
      </c>
      <c r="N1147" s="43">
        <f>(N837+N931+N1102+N1105+N1108)*NWC_T_Cr_CrdK*NWC_T_Cr_CrdT/PRJ_Step</f>
        <v>0</v>
      </c>
      <c r="O1147" s="43">
        <f>(O837+O931+O1102+O1105+O1108)*NWC_T_Cr_CrdK*NWC_T_Cr_CrdT/PRJ_Step</f>
        <v>0</v>
      </c>
      <c r="P1147" s="43">
        <f>(P837+P931+P1102+P1105+P1108)*NWC_T_Cr_CrdK*NWC_T_Cr_CrdT/PRJ_Step</f>
        <v>0</v>
      </c>
      <c r="Q1147" s="43">
        <f>(Q837+Q931+Q1102+Q1105+Q1108)*NWC_T_Cr_CrdK*NWC_T_Cr_CrdT/PRJ_Step</f>
        <v>0</v>
      </c>
    </row>
    <row r="1148" spans="1:19" hidden="1" outlineLevel="2" x14ac:dyDescent="0.2">
      <c r="A1148" t="str">
        <f ca="1">Language!A499</f>
        <v xml:space="preserve">    в соответствии с графиком оплаты затрат</v>
      </c>
      <c r="C1148" s="5" t="str">
        <f t="shared" ca="1" si="1539"/>
        <v>руб.</v>
      </c>
      <c r="D1148" s="16" t="s">
        <v>384</v>
      </c>
      <c r="F1148" s="106">
        <f>F846+F936</f>
        <v>0</v>
      </c>
      <c r="G1148" s="106">
        <f>G846+G936</f>
        <v>0</v>
      </c>
      <c r="H1148" s="106">
        <f>H846+H936</f>
        <v>0</v>
      </c>
      <c r="I1148" s="106">
        <f>I846+I936</f>
        <v>0</v>
      </c>
      <c r="J1148" s="106">
        <f>J846+J936</f>
        <v>0</v>
      </c>
      <c r="K1148" s="106">
        <f>K846+K936</f>
        <v>0</v>
      </c>
      <c r="L1148" s="106">
        <f>L846+L936</f>
        <v>0</v>
      </c>
      <c r="M1148" s="106">
        <f>M846+M936</f>
        <v>0</v>
      </c>
      <c r="N1148" s="106">
        <f>N846+N936</f>
        <v>0</v>
      </c>
      <c r="O1148" s="106">
        <f>O846+O936</f>
        <v>0</v>
      </c>
      <c r="P1148" s="106">
        <f>P846+P936</f>
        <v>0</v>
      </c>
      <c r="Q1148" s="106">
        <f>Q846+Q936</f>
        <v>0</v>
      </c>
    </row>
    <row r="1149" spans="1:19" outlineLevel="1" collapsed="1" x14ac:dyDescent="0.2">
      <c r="A1149" t="str">
        <f ca="1">Language!A500</f>
        <v>Сумма уплаченных авансов</v>
      </c>
      <c r="C1149" s="5" t="str">
        <f t="shared" ca="1" si="1539"/>
        <v>руб.</v>
      </c>
      <c r="D1149" s="16" t="s">
        <v>384</v>
      </c>
      <c r="E1149" s="106">
        <f t="shared" ref="E1149:M1149" si="1544">E1150+E1151</f>
        <v>0</v>
      </c>
      <c r="F1149" s="106">
        <f t="shared" si="1544"/>
        <v>0</v>
      </c>
      <c r="G1149" s="106">
        <f t="shared" si="1544"/>
        <v>0</v>
      </c>
      <c r="H1149" s="106">
        <f t="shared" si="1544"/>
        <v>0</v>
      </c>
      <c r="I1149" s="106">
        <f t="shared" si="1544"/>
        <v>0</v>
      </c>
      <c r="J1149" s="106">
        <f t="shared" si="1544"/>
        <v>0</v>
      </c>
      <c r="K1149" s="106">
        <f t="shared" si="1544"/>
        <v>0</v>
      </c>
      <c r="L1149" s="106">
        <f t="shared" si="1544"/>
        <v>0</v>
      </c>
      <c r="M1149" s="106">
        <f t="shared" si="1544"/>
        <v>0</v>
      </c>
      <c r="N1149" s="106">
        <f t="shared" ref="N1149" si="1545">N1150+N1151</f>
        <v>0</v>
      </c>
      <c r="O1149" s="106">
        <f t="shared" ref="O1149:Q1149" si="1546">O1150+O1151</f>
        <v>0</v>
      </c>
      <c r="P1149" s="106">
        <f t="shared" ref="P1149:Q1149" si="1547">P1150+P1151</f>
        <v>0</v>
      </c>
      <c r="Q1149" s="106">
        <f t="shared" si="1547"/>
        <v>0</v>
      </c>
    </row>
    <row r="1150" spans="1:19" hidden="1" outlineLevel="2" x14ac:dyDescent="0.2">
      <c r="A1150" t="str">
        <f ca="1">Language!A501</f>
        <v xml:space="preserve">    на основе циклов оборачиваемости</v>
      </c>
      <c r="C1150" s="5" t="str">
        <f t="shared" ca="1" si="1539"/>
        <v>руб.</v>
      </c>
      <c r="D1150" s="16" t="s">
        <v>384</v>
      </c>
      <c r="E1150">
        <f>F54*CHOOSE($B$37,1,F$88)</f>
        <v>0</v>
      </c>
      <c r="F1150" s="43">
        <f>(F837+F931+F1102+F1105+F1108)*NWC_T_Cr_AdvK*NWC_T_Cr_AdvT/PRJ_Step</f>
        <v>0</v>
      </c>
      <c r="G1150" s="43">
        <f>(G837+G931+G1102+G1105+G1108)*NWC_T_Cr_AdvK*NWC_T_Cr_AdvT/PRJ_Step</f>
        <v>0</v>
      </c>
      <c r="H1150" s="43">
        <f>(H837+H931+H1102+H1105+H1108)*NWC_T_Cr_AdvK*NWC_T_Cr_AdvT/PRJ_Step</f>
        <v>0</v>
      </c>
      <c r="I1150" s="43">
        <f>(I837+I931+I1102+I1105+I1108)*NWC_T_Cr_AdvK*NWC_T_Cr_AdvT/PRJ_Step</f>
        <v>0</v>
      </c>
      <c r="J1150" s="43">
        <f>(J837+J931+J1102+J1105+J1108)*NWC_T_Cr_AdvK*NWC_T_Cr_AdvT/PRJ_Step</f>
        <v>0</v>
      </c>
      <c r="K1150" s="43">
        <f>(K837+K931+K1102+K1105+K1108)*NWC_T_Cr_AdvK*NWC_T_Cr_AdvT/PRJ_Step</f>
        <v>0</v>
      </c>
      <c r="L1150" s="43">
        <f>(L837+L931+L1102+L1105+L1108)*NWC_T_Cr_AdvK*NWC_T_Cr_AdvT/PRJ_Step</f>
        <v>0</v>
      </c>
      <c r="M1150" s="43">
        <f>(M837+M931+M1102+M1105+M1108)*NWC_T_Cr_AdvK*NWC_T_Cr_AdvT/PRJ_Step</f>
        <v>0</v>
      </c>
      <c r="N1150" s="43">
        <f>(N837+N931+N1102+N1105+N1108)*NWC_T_Cr_AdvK*NWC_T_Cr_AdvT/PRJ_Step</f>
        <v>0</v>
      </c>
      <c r="O1150" s="43">
        <f>(O837+O931+O1102+O1105+O1108)*NWC_T_Cr_AdvK*NWC_T_Cr_AdvT/PRJ_Step</f>
        <v>0</v>
      </c>
      <c r="P1150" s="43">
        <f>(P837+P931+P1102+P1105+P1108)*NWC_T_Cr_AdvK*NWC_T_Cr_AdvT/PRJ_Step</f>
        <v>0</v>
      </c>
      <c r="Q1150" s="43">
        <f>(Q837+Q931+Q1102+Q1105+Q1108)*NWC_T_Cr_AdvK*NWC_T_Cr_AdvT/PRJ_Step</f>
        <v>0</v>
      </c>
    </row>
    <row r="1151" spans="1:19" hidden="1" outlineLevel="2" x14ac:dyDescent="0.2">
      <c r="A1151" s="27" t="str">
        <f ca="1">Language!A499</f>
        <v xml:space="preserve">    в соответствии с графиком оплаты затрат</v>
      </c>
      <c r="B1151" s="27"/>
      <c r="C1151" s="29" t="str">
        <f t="shared" ca="1" si="1539"/>
        <v>руб.</v>
      </c>
      <c r="D1151" s="16" t="s">
        <v>384</v>
      </c>
      <c r="E1151" s="27"/>
      <c r="F1151" s="142">
        <f>F847+F937</f>
        <v>0</v>
      </c>
      <c r="G1151" s="142">
        <f>G847+G937</f>
        <v>0</v>
      </c>
      <c r="H1151" s="142">
        <f>H847+H937</f>
        <v>0</v>
      </c>
      <c r="I1151" s="142">
        <f>I847+I937</f>
        <v>0</v>
      </c>
      <c r="J1151" s="142">
        <f>J847+J937</f>
        <v>0</v>
      </c>
      <c r="K1151" s="142">
        <f>K847+K937</f>
        <v>0</v>
      </c>
      <c r="L1151" s="142">
        <f>L847+L937</f>
        <v>0</v>
      </c>
      <c r="M1151" s="142">
        <f>M847+M937</f>
        <v>0</v>
      </c>
      <c r="N1151" s="142">
        <f>N847+N937</f>
        <v>0</v>
      </c>
      <c r="O1151" s="142">
        <f>O847+O937</f>
        <v>0</v>
      </c>
      <c r="P1151" s="142">
        <f>P847+P937</f>
        <v>0</v>
      </c>
      <c r="Q1151" s="142">
        <f>Q847+Q937</f>
        <v>0</v>
      </c>
      <c r="R1151" s="27"/>
      <c r="S1151" s="20"/>
    </row>
    <row r="1152" spans="1:19" outlineLevel="1" x14ac:dyDescent="0.2">
      <c r="D1152" s="60"/>
    </row>
    <row r="1153" spans="1:19" ht="10.5" outlineLevel="1" x14ac:dyDescent="0.25">
      <c r="A1153" s="35" t="str">
        <f ca="1">Language!A503</f>
        <v>РАСЧЕТЫ С БЮДЖЕТОМ</v>
      </c>
      <c r="C1153" s="5" t="str">
        <f t="shared" ref="C1153:C1158" ca="1" si="1548">CUR_Main</f>
        <v>руб.</v>
      </c>
      <c r="D1153" s="16"/>
      <c r="E1153">
        <f>F66*CHOOSE($B$37,1,F$88)</f>
        <v>0</v>
      </c>
      <c r="F1153" s="43">
        <f t="shared" ref="F1153:M1153" ca="1" si="1549">SUM(F1154:F1158)</f>
        <v>396480</v>
      </c>
      <c r="G1153" s="43">
        <f t="shared" ca="1" si="1549"/>
        <v>245280.00000000003</v>
      </c>
      <c r="H1153" s="43">
        <f t="shared" ca="1" si="1549"/>
        <v>269745.60000000003</v>
      </c>
      <c r="I1153" s="43">
        <f t="shared" ca="1" si="1549"/>
        <v>367608</v>
      </c>
      <c r="J1153" s="43">
        <f t="shared" ca="1" si="1549"/>
        <v>489936</v>
      </c>
      <c r="K1153" s="43">
        <f t="shared" ca="1" si="1549"/>
        <v>734592</v>
      </c>
      <c r="L1153" s="43">
        <f t="shared" ca="1" si="1549"/>
        <v>979248</v>
      </c>
      <c r="M1153" s="43">
        <f t="shared" ca="1" si="1549"/>
        <v>1223904</v>
      </c>
      <c r="N1153" s="43">
        <f t="shared" ref="N1153" ca="1" si="1550">SUM(N1154:N1158)</f>
        <v>1590888</v>
      </c>
      <c r="O1153" s="43">
        <f t="shared" ref="O1153:Q1153" ca="1" si="1551">SUM(O1154:O1158)</f>
        <v>2080200</v>
      </c>
      <c r="P1153" s="43">
        <f t="shared" ref="P1153:Q1153" ca="1" si="1552">SUM(P1154:P1158)</f>
        <v>2447184</v>
      </c>
      <c r="Q1153" s="43">
        <f t="shared" ca="1" si="1552"/>
        <v>2691840</v>
      </c>
    </row>
    <row r="1154" spans="1:19" outlineLevel="1" x14ac:dyDescent="0.2">
      <c r="A1154" t="str">
        <f ca="1">Language!A504</f>
        <v>По НДС</v>
      </c>
      <c r="C1154" s="5" t="str">
        <f t="shared" ca="1" si="1548"/>
        <v>руб.</v>
      </c>
      <c r="D1154" s="16" t="s">
        <v>384</v>
      </c>
      <c r="F1154" s="53">
        <f ca="1">F126*VAT_Period/PRJ_Step</f>
        <v>0</v>
      </c>
      <c r="G1154" s="53">
        <f ca="1">G126*VAT_Period/PRJ_Step</f>
        <v>0</v>
      </c>
      <c r="H1154" s="53">
        <f ca="1">H126*VAT_Period/PRJ_Step</f>
        <v>0</v>
      </c>
      <c r="I1154" s="53">
        <f ca="1">I126*VAT_Period/PRJ_Step</f>
        <v>0</v>
      </c>
      <c r="J1154" s="53">
        <f ca="1">J126*VAT_Period/PRJ_Step</f>
        <v>0</v>
      </c>
      <c r="K1154" s="53">
        <f ca="1">K126*VAT_Period/PRJ_Step</f>
        <v>0</v>
      </c>
      <c r="L1154" s="53">
        <f ca="1">L126*VAT_Period/PRJ_Step</f>
        <v>0</v>
      </c>
      <c r="M1154" s="53">
        <f ca="1">M126*VAT_Period/PRJ_Step</f>
        <v>0</v>
      </c>
      <c r="N1154" s="53">
        <f ca="1">N126*VAT_Period/PRJ_Step</f>
        <v>0</v>
      </c>
      <c r="O1154" s="53">
        <f ca="1">O126*VAT_Period/PRJ_Step</f>
        <v>0</v>
      </c>
      <c r="P1154" s="53">
        <f ca="1">P126*VAT_Period/PRJ_Step</f>
        <v>0</v>
      </c>
      <c r="Q1154" s="53">
        <f ca="1">Q126*VAT_Period/PRJ_Step</f>
        <v>0</v>
      </c>
    </row>
    <row r="1155" spans="1:19" outlineLevel="1" x14ac:dyDescent="0.2">
      <c r="A1155" t="str">
        <f ca="1">Language!A505</f>
        <v>По акцизам и экспортным пошлинам</v>
      </c>
      <c r="C1155" s="5" t="str">
        <f t="shared" ca="1" si="1548"/>
        <v>руб.</v>
      </c>
      <c r="D1155" s="16" t="s">
        <v>384</v>
      </c>
      <c r="F1155" s="53">
        <f>F107*$B107/PRJ_Step</f>
        <v>0</v>
      </c>
      <c r="G1155" s="53">
        <f>G107*$B107/PRJ_Step</f>
        <v>0</v>
      </c>
      <c r="H1155" s="53">
        <f>H107*$B107/PRJ_Step</f>
        <v>0</v>
      </c>
      <c r="I1155" s="53">
        <f>I107*$B107/PRJ_Step</f>
        <v>0</v>
      </c>
      <c r="J1155" s="53">
        <f>J107*$B107/PRJ_Step</f>
        <v>0</v>
      </c>
      <c r="K1155" s="53">
        <f>K107*$B107/PRJ_Step</f>
        <v>0</v>
      </c>
      <c r="L1155" s="53">
        <f>L107*$B107/PRJ_Step</f>
        <v>0</v>
      </c>
      <c r="M1155" s="53">
        <f>M107*$B107/PRJ_Step</f>
        <v>0</v>
      </c>
      <c r="N1155" s="53">
        <f>N107*$B107/PRJ_Step</f>
        <v>0</v>
      </c>
      <c r="O1155" s="53">
        <f>O107*$B107/PRJ_Step</f>
        <v>0</v>
      </c>
      <c r="P1155" s="53">
        <f>P107*$B107/PRJ_Step</f>
        <v>0</v>
      </c>
      <c r="Q1155" s="53">
        <f>Q107*$B107/PRJ_Step</f>
        <v>0</v>
      </c>
    </row>
    <row r="1156" spans="1:19" outlineLevel="1" x14ac:dyDescent="0.2">
      <c r="A1156" t="str">
        <f ca="1">Language!A506</f>
        <v>По импортным пошлинам</v>
      </c>
      <c r="C1156" s="5" t="str">
        <f t="shared" ca="1" si="1548"/>
        <v>руб.</v>
      </c>
      <c r="D1156" s="16" t="s">
        <v>384</v>
      </c>
      <c r="F1156" s="53">
        <f>F108*$B108/PRJ_Step</f>
        <v>0</v>
      </c>
      <c r="G1156" s="53">
        <f>G108*$B108/PRJ_Step</f>
        <v>0</v>
      </c>
      <c r="H1156" s="53">
        <f>H108*$B108/PRJ_Step</f>
        <v>0</v>
      </c>
      <c r="I1156" s="53">
        <f>I108*$B108/PRJ_Step</f>
        <v>0</v>
      </c>
      <c r="J1156" s="53">
        <f>J108*$B108/PRJ_Step</f>
        <v>0</v>
      </c>
      <c r="K1156" s="53">
        <f>K108*$B108/PRJ_Step</f>
        <v>0</v>
      </c>
      <c r="L1156" s="53">
        <f>L108*$B108/PRJ_Step</f>
        <v>0</v>
      </c>
      <c r="M1156" s="53">
        <f>M108*$B108/PRJ_Step</f>
        <v>0</v>
      </c>
      <c r="N1156" s="53">
        <f>N108*$B108/PRJ_Step</f>
        <v>0</v>
      </c>
      <c r="O1156" s="53">
        <f>O108*$B108/PRJ_Step</f>
        <v>0</v>
      </c>
      <c r="P1156" s="53">
        <f>P108*$B108/PRJ_Step</f>
        <v>0</v>
      </c>
      <c r="Q1156" s="53">
        <f>Q108*$B108/PRJ_Step</f>
        <v>0</v>
      </c>
    </row>
    <row r="1157" spans="1:19" outlineLevel="1" x14ac:dyDescent="0.2">
      <c r="A1157" t="str">
        <f ca="1">Language!A507</f>
        <v>По налогу на прибыль</v>
      </c>
      <c r="C1157" s="5" t="str">
        <f t="shared" ca="1" si="1548"/>
        <v>руб.</v>
      </c>
      <c r="D1157" s="16" t="s">
        <v>384</v>
      </c>
      <c r="F1157" s="53">
        <f ca="1">F173*$B172/PRJ_Step+F201*$B196/PRJ_Step+F215*$B214/PRJ_Step</f>
        <v>0</v>
      </c>
      <c r="G1157" s="53">
        <f ca="1">G173*$B172/PRJ_Step+G201*$B196/PRJ_Step+G215*$B214/PRJ_Step</f>
        <v>0</v>
      </c>
      <c r="H1157" s="53">
        <f ca="1">H173*$B172/PRJ_Step+H201*$B196/PRJ_Step+H215*$B214/PRJ_Step</f>
        <v>24465.599999999999</v>
      </c>
      <c r="I1157" s="53">
        <f ca="1">I173*$B172/PRJ_Step+I201*$B196/PRJ_Step+I215*$B214/PRJ_Step</f>
        <v>122328</v>
      </c>
      <c r="J1157" s="53">
        <f ca="1">J173*$B172/PRJ_Step+J201*$B196/PRJ_Step+J215*$B214/PRJ_Step</f>
        <v>244656</v>
      </c>
      <c r="K1157" s="53">
        <f ca="1">K173*$B172/PRJ_Step+K201*$B196/PRJ_Step+K215*$B214/PRJ_Step</f>
        <v>489312</v>
      </c>
      <c r="L1157" s="53">
        <f ca="1">L173*$B172/PRJ_Step+L201*$B196/PRJ_Step+L215*$B214/PRJ_Step</f>
        <v>733968</v>
      </c>
      <c r="M1157" s="53">
        <f ca="1">M173*$B172/PRJ_Step+M201*$B196/PRJ_Step+M215*$B214/PRJ_Step</f>
        <v>978624</v>
      </c>
      <c r="N1157" s="53">
        <f ca="1">N173*$B172/PRJ_Step+N201*$B196/PRJ_Step+N215*$B214/PRJ_Step</f>
        <v>1345608</v>
      </c>
      <c r="O1157" s="53">
        <f ca="1">O173*$B172/PRJ_Step+O201*$B196/PRJ_Step+O215*$B214/PRJ_Step</f>
        <v>1834920</v>
      </c>
      <c r="P1157" s="53">
        <f ca="1">P173*$B172/PRJ_Step+P201*$B196/PRJ_Step+P215*$B214/PRJ_Step</f>
        <v>2201904</v>
      </c>
      <c r="Q1157" s="53">
        <f ca="1">Q173*$B172/PRJ_Step+Q201*$B196/PRJ_Step+Q215*$B214/PRJ_Step</f>
        <v>2446560</v>
      </c>
    </row>
    <row r="1158" spans="1:19" outlineLevel="1" x14ac:dyDescent="0.2">
      <c r="A1158" s="27" t="str">
        <f ca="1">Language!A508</f>
        <v>По прочим налогам и платежам</v>
      </c>
      <c r="B1158" s="27"/>
      <c r="C1158" s="29" t="str">
        <f t="shared" ca="1" si="1548"/>
        <v>руб.</v>
      </c>
      <c r="D1158" s="16" t="s">
        <v>384</v>
      </c>
      <c r="E1158" s="27"/>
      <c r="F1158" s="53">
        <f ca="1">(F136*IF(($B136+$B141)&gt;0,($B136*$B139+$B141*$B142)/($B136+$B141),0)+F143*$B146+F148*$B150+F157*$B161+F204*$B206+F223*$B225)/PRJ_Step+SUMIF($D134:$D170,"*1_02*",F134:F170)</f>
        <v>396480</v>
      </c>
      <c r="G1158" s="53">
        <f ca="1">(G136*IF(($B136+$B141)&gt;0,($B136*$B139+$B141*$B142)/($B136+$B141),0)+G143*$B146+G148*$B150+G157*$B161+G204*$B206+G223*$B225)/PRJ_Step+SUMIF($D134:$D170,"*1_02*",G134:G170)</f>
        <v>245280.00000000003</v>
      </c>
      <c r="H1158" s="53">
        <f ca="1">(H136*IF(($B136+$B141)&gt;0,($B136*$B139+$B141*$B142)/($B136+$B141),0)+H143*$B146+H148*$B150+H157*$B161+H204*$B206+H223*$B225)/PRJ_Step+SUMIF($D134:$D170,"*1_02*",H134:H170)</f>
        <v>245280.00000000003</v>
      </c>
      <c r="I1158" s="53">
        <f ca="1">(I136*IF(($B136+$B141)&gt;0,($B136*$B139+$B141*$B142)/($B136+$B141),0)+I143*$B146+I148*$B150+I157*$B161+I204*$B206+I223*$B225)/PRJ_Step+SUMIF($D134:$D170,"*1_02*",I134:I170)</f>
        <v>245280.00000000003</v>
      </c>
      <c r="J1158" s="53">
        <f ca="1">(J136*IF(($B136+$B141)&gt;0,($B136*$B139+$B141*$B142)/($B136+$B141),0)+J143*$B146+J148*$B150+J157*$B161+J204*$B206+J223*$B225)/PRJ_Step+SUMIF($D134:$D170,"*1_02*",J134:J170)</f>
        <v>245280.00000000003</v>
      </c>
      <c r="K1158" s="53">
        <f ca="1">(K136*IF(($B136+$B141)&gt;0,($B136*$B139+$B141*$B142)/($B136+$B141),0)+K143*$B146+K148*$B150+K157*$B161+K204*$B206+K223*$B225)/PRJ_Step+SUMIF($D134:$D170,"*1_02*",K134:K170)</f>
        <v>245280.00000000003</v>
      </c>
      <c r="L1158" s="53">
        <f ca="1">(L136*IF(($B136+$B141)&gt;0,($B136*$B139+$B141*$B142)/($B136+$B141),0)+L143*$B146+L148*$B150+L157*$B161+L204*$B206+L223*$B225)/PRJ_Step+SUMIF($D134:$D170,"*1_02*",L134:L170)</f>
        <v>245280.00000000003</v>
      </c>
      <c r="M1158" s="53">
        <f ca="1">(M136*IF(($B136+$B141)&gt;0,($B136*$B139+$B141*$B142)/($B136+$B141),0)+M143*$B146+M148*$B150+M157*$B161+M204*$B206+M223*$B225)/PRJ_Step+SUMIF($D134:$D170,"*1_02*",M134:M170)</f>
        <v>245280.00000000003</v>
      </c>
      <c r="N1158" s="53">
        <f ca="1">(N136*IF(($B136+$B141)&gt;0,($B136*$B139+$B141*$B142)/($B136+$B141),0)+N143*$B146+N148*$B150+N157*$B161+N204*$B206+N223*$B225)/PRJ_Step+SUMIF($D134:$D170,"*1_02*",N134:N170)</f>
        <v>245280.00000000003</v>
      </c>
      <c r="O1158" s="53">
        <f ca="1">(O136*IF(($B136+$B141)&gt;0,($B136*$B139+$B141*$B142)/($B136+$B141),0)+O143*$B146+O148*$B150+O157*$B161+O204*$B206+O223*$B225)/PRJ_Step+SUMIF($D134:$D170,"*1_02*",O134:O170)</f>
        <v>245280.00000000003</v>
      </c>
      <c r="P1158" s="53">
        <f ca="1">(P136*IF(($B136+$B141)&gt;0,($B136*$B139+$B141*$B142)/($B136+$B141),0)+P143*$B146+P148*$B150+P157*$B161+P204*$B206+P223*$B225)/PRJ_Step+SUMIF($D134:$D170,"*1_02*",P134:P170)</f>
        <v>245280.00000000003</v>
      </c>
      <c r="Q1158" s="53">
        <f ca="1">(Q136*IF(($B136+$B141)&gt;0,($B136*$B139+$B141*$B142)/($B136+$B141),0)+Q143*$B146+Q148*$B150+Q157*$B161+Q204*$B206+Q223*$B225)/PRJ_Step+SUMIF($D134:$D170,"*1_02*",Q134:Q170)</f>
        <v>245280.00000000003</v>
      </c>
      <c r="R1158" s="27"/>
      <c r="S1158" s="20"/>
    </row>
    <row r="1159" spans="1:19" outlineLevel="1" x14ac:dyDescent="0.2">
      <c r="D1159" s="60"/>
      <c r="F1159" s="63"/>
      <c r="G1159" s="63"/>
      <c r="H1159" s="63"/>
      <c r="I1159" s="63"/>
      <c r="J1159" s="63"/>
      <c r="K1159" s="63"/>
      <c r="L1159" s="63"/>
      <c r="M1159" s="63"/>
      <c r="N1159" s="63"/>
      <c r="O1159" s="63"/>
      <c r="P1159" s="63"/>
      <c r="Q1159" s="63"/>
    </row>
    <row r="1160" spans="1:19" ht="10.5" outlineLevel="1" x14ac:dyDescent="0.25">
      <c r="A1160" s="35" t="str">
        <f ca="1">Language!A509</f>
        <v>РАСЧЕТЫ С ПЕРСОНАЛОМ</v>
      </c>
      <c r="D1160" s="16"/>
      <c r="F1160" s="19"/>
      <c r="G1160" s="19"/>
      <c r="H1160" s="19"/>
      <c r="I1160" s="19"/>
      <c r="J1160" s="19"/>
      <c r="K1160" s="19"/>
      <c r="L1160" s="19"/>
      <c r="M1160" s="19"/>
      <c r="N1160" s="19"/>
      <c r="O1160" s="19"/>
      <c r="P1160" s="19"/>
      <c r="Q1160" s="19"/>
    </row>
    <row r="1161" spans="1:19" outlineLevel="1" x14ac:dyDescent="0.2">
      <c r="A1161" t="str">
        <f ca="1">Language!A510</f>
        <v>Текущая задолженность по заработной плате</v>
      </c>
      <c r="C1161" s="5" t="str">
        <f ca="1">CUR_Main</f>
        <v>руб.</v>
      </c>
      <c r="D1161" s="16" t="s">
        <v>384</v>
      </c>
      <c r="E1161" s="43">
        <f>F67*CHOOSE($B$37,1,F$88)</f>
        <v>0</v>
      </c>
      <c r="F1161" s="43">
        <f>F1011*$B1162/PRJ_Step</f>
        <v>944000</v>
      </c>
      <c r="G1161" s="43">
        <f>G1011*$B1162/PRJ_Step</f>
        <v>584000</v>
      </c>
      <c r="H1161" s="43">
        <f>H1011*$B1162/PRJ_Step</f>
        <v>584000</v>
      </c>
      <c r="I1161" s="43">
        <f>I1011*$B1162/PRJ_Step</f>
        <v>584000</v>
      </c>
      <c r="J1161" s="43">
        <f>J1011*$B1162/PRJ_Step</f>
        <v>584000</v>
      </c>
      <c r="K1161" s="43">
        <f>K1011*$B1162/PRJ_Step</f>
        <v>584000</v>
      </c>
      <c r="L1161" s="43">
        <f>L1011*$B1162/PRJ_Step</f>
        <v>584000</v>
      </c>
      <c r="M1161" s="43">
        <f>M1011*$B1162/PRJ_Step</f>
        <v>584000</v>
      </c>
      <c r="N1161" s="43">
        <f>N1011*$B1162/PRJ_Step</f>
        <v>584000</v>
      </c>
      <c r="O1161" s="43">
        <f>O1011*$B1162/PRJ_Step</f>
        <v>584000</v>
      </c>
      <c r="P1161" s="43">
        <f>P1011*$B1162/PRJ_Step</f>
        <v>584000</v>
      </c>
      <c r="Q1161" s="43">
        <f>Q1011*$B1162/PRJ_Step</f>
        <v>584000</v>
      </c>
    </row>
    <row r="1162" spans="1:19" outlineLevel="1" x14ac:dyDescent="0.2">
      <c r="A1162" s="27" t="str">
        <f ca="1">Language!A511</f>
        <v xml:space="preserve">    частота выплаты заработной платы</v>
      </c>
      <c r="B1162" s="290">
        <v>30</v>
      </c>
      <c r="C1162" s="29" t="str">
        <f ca="1">Language!A38</f>
        <v>дн.</v>
      </c>
      <c r="D1162" s="16"/>
      <c r="E1162" s="27"/>
      <c r="F1162" s="27"/>
      <c r="G1162" s="27"/>
      <c r="H1162" s="27"/>
      <c r="I1162" s="27"/>
      <c r="J1162" s="27"/>
      <c r="K1162" s="27"/>
      <c r="L1162" s="27"/>
      <c r="M1162" s="27"/>
      <c r="N1162" s="27"/>
      <c r="O1162" s="27"/>
      <c r="P1162" s="27"/>
      <c r="Q1162" s="27"/>
      <c r="R1162" s="27"/>
      <c r="S1162" s="20"/>
    </row>
    <row r="1163" spans="1:19" outlineLevel="1" x14ac:dyDescent="0.2">
      <c r="D1163" s="60"/>
    </row>
    <row r="1164" spans="1:19" ht="10.5" outlineLevel="1" x14ac:dyDescent="0.25">
      <c r="A1164" s="35" t="str">
        <f ca="1">Language!A512</f>
        <v>РЕЗЕРВ ДЕНЕЖНЫХ СРЕДСТВ</v>
      </c>
      <c r="D1164" s="16"/>
    </row>
    <row r="1165" spans="1:19" outlineLevel="1" x14ac:dyDescent="0.2">
      <c r="A1165" t="str">
        <f ca="1">Language!A513</f>
        <v>Резерв средств на обеспечение текущих расчетов</v>
      </c>
      <c r="C1165" s="5" t="str">
        <f ca="1">CUR_Main</f>
        <v>руб.</v>
      </c>
      <c r="D1165" s="16" t="s">
        <v>384</v>
      </c>
      <c r="F1165" s="53">
        <f t="shared" ref="F1165:M1165" si="1553">IF($B1166=1,F1097*$B1167/PRJ_Step,0)</f>
        <v>692104</v>
      </c>
      <c r="G1165" s="53">
        <f t="shared" si="1553"/>
        <v>596344</v>
      </c>
      <c r="H1165" s="53">
        <f t="shared" si="1553"/>
        <v>596347.10537499993</v>
      </c>
      <c r="I1165" s="53">
        <f t="shared" si="1553"/>
        <v>596359.5268750001</v>
      </c>
      <c r="J1165" s="53">
        <f t="shared" si="1553"/>
        <v>596375.05375000008</v>
      </c>
      <c r="K1165" s="53">
        <f t="shared" si="1553"/>
        <v>596406.10749999993</v>
      </c>
      <c r="L1165" s="53">
        <f t="shared" si="1553"/>
        <v>596437.16125000012</v>
      </c>
      <c r="M1165" s="53">
        <f t="shared" si="1553"/>
        <v>596468.21499999997</v>
      </c>
      <c r="N1165" s="53">
        <f t="shared" ref="N1165" si="1554">IF($B1166=1,N1097*$B1167/PRJ_Step,0)</f>
        <v>596514.79562500003</v>
      </c>
      <c r="O1165" s="53">
        <f t="shared" ref="O1165:Q1165" si="1555">IF($B1166=1,O1097*$B1167/PRJ_Step,0)</f>
        <v>596576.90312499995</v>
      </c>
      <c r="P1165" s="53">
        <f t="shared" ref="P1165:Q1165" si="1556">IF($B1166=1,P1097*$B1167/PRJ_Step,0)</f>
        <v>596623.48375000001</v>
      </c>
      <c r="Q1165" s="53">
        <f t="shared" si="1556"/>
        <v>596654.53749999998</v>
      </c>
    </row>
    <row r="1166" spans="1:19" outlineLevel="1" x14ac:dyDescent="0.2">
      <c r="A1166" t="str">
        <f ca="1">Language!A514</f>
        <v xml:space="preserve">    создавать?</v>
      </c>
      <c r="B1166" s="255">
        <v>1</v>
      </c>
      <c r="C1166" s="11" t="str">
        <f ca="1">CHOOSE(B1166,Language!A524,Language!A525)</f>
        <v>Создавать резерв</v>
      </c>
      <c r="D1166" s="16"/>
    </row>
    <row r="1167" spans="1:19" outlineLevel="1" collapsed="1" x14ac:dyDescent="0.2">
      <c r="A1167" s="19" t="str">
        <f ca="1">Language!A515</f>
        <v xml:space="preserve">    покрытие потребности</v>
      </c>
      <c r="B1167" s="289">
        <v>7</v>
      </c>
      <c r="C1167" s="26" t="str">
        <f ca="1">Language!A38</f>
        <v>дн.</v>
      </c>
      <c r="D1167" s="46"/>
      <c r="E1167" s="19"/>
      <c r="F1167" s="19"/>
      <c r="G1167" s="19"/>
      <c r="H1167" s="19"/>
      <c r="I1167" s="19"/>
      <c r="J1167" s="19"/>
      <c r="K1167" s="19"/>
      <c r="L1167" s="19"/>
      <c r="M1167" s="19"/>
      <c r="N1167" s="19"/>
      <c r="O1167" s="19"/>
      <c r="P1167" s="19"/>
      <c r="Q1167" s="19"/>
      <c r="R1167" s="19"/>
      <c r="S1167" s="22"/>
    </row>
    <row r="1168" spans="1:19" hidden="1" outlineLevel="2" x14ac:dyDescent="0.2">
      <c r="A1168" s="24" t="str">
        <f ca="1">Language!A187</f>
        <v xml:space="preserve">         то же, в итоговой валюте</v>
      </c>
      <c r="B1168" s="19"/>
      <c r="C1168" s="5" t="str">
        <f ca="1">CUR_Report</f>
        <v>руб.</v>
      </c>
      <c r="D1168" s="16" t="s">
        <v>384</v>
      </c>
      <c r="E1168" s="19"/>
      <c r="F1168" s="53">
        <f t="shared" ref="F1168:M1168" si="1557">F1165/IF(CUR_I_Report=2,F$88,1)</f>
        <v>692104</v>
      </c>
      <c r="G1168" s="53">
        <f t="shared" si="1557"/>
        <v>596344</v>
      </c>
      <c r="H1168" s="53">
        <f t="shared" si="1557"/>
        <v>596347.10537499993</v>
      </c>
      <c r="I1168" s="53">
        <f t="shared" si="1557"/>
        <v>596359.5268750001</v>
      </c>
      <c r="J1168" s="53">
        <f t="shared" si="1557"/>
        <v>596375.05375000008</v>
      </c>
      <c r="K1168" s="53">
        <f t="shared" si="1557"/>
        <v>596406.10749999993</v>
      </c>
      <c r="L1168" s="53">
        <f t="shared" si="1557"/>
        <v>596437.16125000012</v>
      </c>
      <c r="M1168" s="53">
        <f t="shared" si="1557"/>
        <v>596468.21499999997</v>
      </c>
      <c r="N1168" s="53">
        <f t="shared" ref="N1168" si="1558">N1165/IF(CUR_I_Report=2,N$88,1)</f>
        <v>596514.79562500003</v>
      </c>
      <c r="O1168" s="53">
        <f t="shared" ref="O1168" si="1559">O1165/IF(CUR_I_Report=2,O$88,1)</f>
        <v>596576.90312499995</v>
      </c>
      <c r="P1168" s="53">
        <f t="shared" ref="P1168:Q1168" si="1560">P1165/IF(CUR_I_Report=2,P$88,1)</f>
        <v>596623.48375000001</v>
      </c>
      <c r="Q1168" s="53">
        <f t="shared" si="1560"/>
        <v>596654.53749999998</v>
      </c>
      <c r="R1168" s="19"/>
      <c r="S1168" s="66"/>
    </row>
    <row r="1169" spans="1:19" outlineLevel="1" x14ac:dyDescent="0.2">
      <c r="A1169" s="63"/>
      <c r="B1169" s="63"/>
      <c r="C1169" s="63"/>
      <c r="D1169" s="60"/>
      <c r="E1169" s="63"/>
      <c r="F1169" s="63"/>
      <c r="G1169" s="63"/>
      <c r="H1169" s="63"/>
      <c r="I1169" s="63"/>
      <c r="J1169" s="63"/>
      <c r="K1169" s="63"/>
      <c r="L1169" s="63"/>
      <c r="M1169" s="63"/>
      <c r="N1169" s="63"/>
      <c r="O1169" s="63"/>
      <c r="P1169" s="63"/>
      <c r="Q1169" s="63"/>
      <c r="R1169" s="63"/>
      <c r="S1169" s="64"/>
    </row>
    <row r="1170" spans="1:19" outlineLevel="1" x14ac:dyDescent="0.2">
      <c r="A1170" s="19" t="str">
        <f ca="1">Language!A516</f>
        <v>Итого текущих активов</v>
      </c>
      <c r="B1170" s="19"/>
      <c r="C1170" s="26" t="str">
        <f t="shared" ref="C1170:C1175" ca="1" si="1561">CUR_Main</f>
        <v>руб.</v>
      </c>
      <c r="D1170" s="46" t="s">
        <v>384</v>
      </c>
      <c r="E1170" s="111">
        <f t="shared" ref="E1170:M1170" si="1562">E1116+E1120+E1124+E1134+E1165+E1149</f>
        <v>0</v>
      </c>
      <c r="F1170" s="111">
        <f t="shared" si="1562"/>
        <v>692104</v>
      </c>
      <c r="G1170" s="111">
        <f t="shared" si="1562"/>
        <v>596344</v>
      </c>
      <c r="H1170" s="111">
        <f t="shared" si="1562"/>
        <v>596373.72287499998</v>
      </c>
      <c r="I1170" s="111">
        <f t="shared" si="1562"/>
        <v>596492.61437500012</v>
      </c>
      <c r="J1170" s="111">
        <f t="shared" si="1562"/>
        <v>596641.22875000013</v>
      </c>
      <c r="K1170" s="111">
        <f t="shared" si="1562"/>
        <v>596938.4574999999</v>
      </c>
      <c r="L1170" s="111">
        <f t="shared" si="1562"/>
        <v>597235.68625000014</v>
      </c>
      <c r="M1170" s="111">
        <f t="shared" si="1562"/>
        <v>597532.91499999992</v>
      </c>
      <c r="N1170" s="111">
        <f t="shared" ref="N1170" si="1563">N1116+N1120+N1124+N1134+N1165+N1149</f>
        <v>597978.75812500005</v>
      </c>
      <c r="O1170" s="111">
        <f t="shared" ref="O1170:Q1170" si="1564">O1116+O1120+O1124+O1134+O1165+O1149</f>
        <v>598573.21562499995</v>
      </c>
      <c r="P1170" s="111">
        <f t="shared" ref="P1170:Q1170" si="1565">P1116+P1120+P1124+P1134+P1165+P1149</f>
        <v>599019.05874999997</v>
      </c>
      <c r="Q1170" s="111">
        <f t="shared" si="1565"/>
        <v>599316.28749999998</v>
      </c>
      <c r="R1170" s="19"/>
      <c r="S1170" s="22"/>
    </row>
    <row r="1171" spans="1:19" outlineLevel="1" x14ac:dyDescent="0.2">
      <c r="A1171" s="19" t="str">
        <f ca="1">Language!A517</f>
        <v>Итого текущих обязательств</v>
      </c>
      <c r="B1171" s="19"/>
      <c r="C1171" s="26" t="str">
        <f t="shared" ca="1" si="1561"/>
        <v>руб.</v>
      </c>
      <c r="D1171" s="46" t="s">
        <v>384</v>
      </c>
      <c r="E1171" s="111">
        <f t="shared" ref="E1171:M1171" si="1566">E1146+E1153+E1161+E1137</f>
        <v>0</v>
      </c>
      <c r="F1171" s="111">
        <f t="shared" ca="1" si="1566"/>
        <v>1340480</v>
      </c>
      <c r="G1171" s="111">
        <f t="shared" ca="1" si="1566"/>
        <v>829280</v>
      </c>
      <c r="H1171" s="111">
        <f t="shared" ca="1" si="1566"/>
        <v>853745.60000000009</v>
      </c>
      <c r="I1171" s="111">
        <f t="shared" ca="1" si="1566"/>
        <v>951608</v>
      </c>
      <c r="J1171" s="111">
        <f t="shared" ca="1" si="1566"/>
        <v>1073936</v>
      </c>
      <c r="K1171" s="111">
        <f t="shared" ca="1" si="1566"/>
        <v>1318592</v>
      </c>
      <c r="L1171" s="111">
        <f t="shared" ca="1" si="1566"/>
        <v>1563248</v>
      </c>
      <c r="M1171" s="111">
        <f t="shared" ca="1" si="1566"/>
        <v>1807904</v>
      </c>
      <c r="N1171" s="111">
        <f t="shared" ref="N1171" ca="1" si="1567">N1146+N1153+N1161+N1137</f>
        <v>2174888</v>
      </c>
      <c r="O1171" s="111">
        <f t="shared" ref="O1171:Q1171" ca="1" si="1568">O1146+O1153+O1161+O1137</f>
        <v>2664200</v>
      </c>
      <c r="P1171" s="111">
        <f t="shared" ref="P1171:Q1171" ca="1" si="1569">P1146+P1153+P1161+P1137</f>
        <v>3031184</v>
      </c>
      <c r="Q1171" s="111">
        <f t="shared" ca="1" si="1569"/>
        <v>3275840</v>
      </c>
      <c r="R1171" s="19"/>
      <c r="S1171" s="22"/>
    </row>
    <row r="1172" spans="1:19" outlineLevel="1" x14ac:dyDescent="0.2">
      <c r="A1172" t="str">
        <f ca="1">Language!A518</f>
        <v>Оборотный капитал компании</v>
      </c>
      <c r="C1172" s="5" t="str">
        <f t="shared" ca="1" si="1561"/>
        <v>руб.</v>
      </c>
      <c r="D1172" s="16" t="s">
        <v>384</v>
      </c>
      <c r="E1172" s="53">
        <f t="shared" ref="E1172:M1172" si="1570">E1170-E1171</f>
        <v>0</v>
      </c>
      <c r="F1172" s="53">
        <f t="shared" ca="1" si="1570"/>
        <v>-648376</v>
      </c>
      <c r="G1172" s="53">
        <f t="shared" ca="1" si="1570"/>
        <v>-232936</v>
      </c>
      <c r="H1172" s="53">
        <f t="shared" ca="1" si="1570"/>
        <v>-257371.87712500012</v>
      </c>
      <c r="I1172" s="53">
        <f t="shared" ca="1" si="1570"/>
        <v>-355115.38562499988</v>
      </c>
      <c r="J1172" s="53">
        <f t="shared" ca="1" si="1570"/>
        <v>-477294.77124999987</v>
      </c>
      <c r="K1172" s="53">
        <f t="shared" ca="1" si="1570"/>
        <v>-721653.5425000001</v>
      </c>
      <c r="L1172" s="53">
        <f t="shared" ca="1" si="1570"/>
        <v>-966012.31374999986</v>
      </c>
      <c r="M1172" s="53">
        <f t="shared" ca="1" si="1570"/>
        <v>-1210371.085</v>
      </c>
      <c r="N1172" s="53">
        <f t="shared" ref="N1172" ca="1" si="1571">N1170-N1171</f>
        <v>-1576909.2418749998</v>
      </c>
      <c r="O1172" s="53">
        <f t="shared" ref="O1172:Q1172" ca="1" si="1572">O1170-O1171</f>
        <v>-2065626.784375</v>
      </c>
      <c r="P1172" s="53">
        <f t="shared" ref="P1172:Q1172" ca="1" si="1573">P1170-P1171</f>
        <v>-2432164.9412500001</v>
      </c>
      <c r="Q1172" s="53">
        <f t="shared" ca="1" si="1573"/>
        <v>-2676523.7124999999</v>
      </c>
    </row>
    <row r="1173" spans="1:19" ht="10.5" outlineLevel="1" x14ac:dyDescent="0.25">
      <c r="A1173" s="35" t="str">
        <f ca="1">Language!A519</f>
        <v>Изменение чистого оборотного капитала</v>
      </c>
      <c r="C1173" s="5" t="str">
        <f t="shared" ca="1" si="1561"/>
        <v>руб.</v>
      </c>
      <c r="D1173" s="59"/>
      <c r="F1173" s="56">
        <f t="shared" ref="F1173:Q1173" ca="1" si="1574">F1172-E1172</f>
        <v>-648376</v>
      </c>
      <c r="G1173" s="56">
        <f t="shared" ca="1" si="1574"/>
        <v>415440</v>
      </c>
      <c r="H1173" s="56">
        <f t="shared" ca="1" si="1574"/>
        <v>-24435.877125000115</v>
      </c>
      <c r="I1173" s="56">
        <f t="shared" ca="1" si="1574"/>
        <v>-97743.508499999763</v>
      </c>
      <c r="J1173" s="56">
        <f t="shared" ca="1" si="1574"/>
        <v>-122179.385625</v>
      </c>
      <c r="K1173" s="56">
        <f t="shared" ca="1" si="1574"/>
        <v>-244358.77125000022</v>
      </c>
      <c r="L1173" s="56">
        <f t="shared" ca="1" si="1574"/>
        <v>-244358.77124999976</v>
      </c>
      <c r="M1173" s="56">
        <f t="shared" ca="1" si="1574"/>
        <v>-244358.77125000011</v>
      </c>
      <c r="N1173" s="56">
        <f t="shared" ca="1" si="1574"/>
        <v>-366538.15687499987</v>
      </c>
      <c r="O1173" s="56">
        <f t="shared" ca="1" si="1574"/>
        <v>-488717.54250000021</v>
      </c>
      <c r="P1173" s="56">
        <f t="shared" ca="1" si="1574"/>
        <v>-366538.1568750001</v>
      </c>
      <c r="Q1173" s="56">
        <f t="shared" ca="1" si="1574"/>
        <v>-244358.77124999976</v>
      </c>
    </row>
    <row r="1174" spans="1:19" outlineLevel="1" x14ac:dyDescent="0.2">
      <c r="A1174" s="23" t="str">
        <f ca="1">Language!A520</f>
        <v>Прирост, учтенный в операционных денежных потоках</v>
      </c>
      <c r="C1174" s="5" t="str">
        <f t="shared" ca="1" si="1561"/>
        <v>руб.</v>
      </c>
      <c r="D1174" s="16"/>
      <c r="F1174" s="84">
        <f t="shared" ref="F1174:Q1174" si="1575">(F1136+F1119+F1127+F1123+F1151-F1139-F1148)-(E1136+E1119+E1127+E1123+E1151-E1139-E1148)</f>
        <v>0</v>
      </c>
      <c r="G1174" s="84">
        <f t="shared" si="1575"/>
        <v>0</v>
      </c>
      <c r="H1174" s="84">
        <f t="shared" si="1575"/>
        <v>0</v>
      </c>
      <c r="I1174" s="84">
        <f t="shared" si="1575"/>
        <v>0</v>
      </c>
      <c r="J1174" s="84">
        <f t="shared" si="1575"/>
        <v>0</v>
      </c>
      <c r="K1174" s="84">
        <f t="shared" si="1575"/>
        <v>0</v>
      </c>
      <c r="L1174" s="84">
        <f t="shared" si="1575"/>
        <v>0</v>
      </c>
      <c r="M1174" s="84">
        <f t="shared" si="1575"/>
        <v>0</v>
      </c>
      <c r="N1174" s="84">
        <f t="shared" si="1575"/>
        <v>0</v>
      </c>
      <c r="O1174" s="84">
        <f t="shared" si="1575"/>
        <v>0</v>
      </c>
      <c r="P1174" s="84">
        <f t="shared" si="1575"/>
        <v>0</v>
      </c>
      <c r="Q1174" s="84">
        <f t="shared" si="1575"/>
        <v>0</v>
      </c>
    </row>
    <row r="1175" spans="1:19" outlineLevel="1" x14ac:dyDescent="0.2">
      <c r="A1175" s="23" t="str">
        <f ca="1">Language!A521</f>
        <v>Инвестиции в чистый оборотный капитал</v>
      </c>
      <c r="C1175" s="5" t="str">
        <f t="shared" ca="1" si="1561"/>
        <v>руб.</v>
      </c>
      <c r="D1175" s="16"/>
      <c r="F1175" s="84">
        <f t="shared" ref="F1175:M1175" ca="1" si="1576">F1173-F1174</f>
        <v>-648376</v>
      </c>
      <c r="G1175" s="84">
        <f t="shared" ca="1" si="1576"/>
        <v>415440</v>
      </c>
      <c r="H1175" s="84">
        <f t="shared" ca="1" si="1576"/>
        <v>-24435.877125000115</v>
      </c>
      <c r="I1175" s="84">
        <f t="shared" ca="1" si="1576"/>
        <v>-97743.508499999763</v>
      </c>
      <c r="J1175" s="84">
        <f t="shared" ca="1" si="1576"/>
        <v>-122179.385625</v>
      </c>
      <c r="K1175" s="84">
        <f t="shared" ca="1" si="1576"/>
        <v>-244358.77125000022</v>
      </c>
      <c r="L1175" s="84">
        <f t="shared" ca="1" si="1576"/>
        <v>-244358.77124999976</v>
      </c>
      <c r="M1175" s="84">
        <f t="shared" ca="1" si="1576"/>
        <v>-244358.77125000011</v>
      </c>
      <c r="N1175" s="84">
        <f t="shared" ref="N1175" ca="1" si="1577">N1173-N1174</f>
        <v>-366538.15687499987</v>
      </c>
      <c r="O1175" s="84">
        <f t="shared" ref="O1175:Q1175" ca="1" si="1578">O1173-O1174</f>
        <v>-488717.54250000021</v>
      </c>
      <c r="P1175" s="84">
        <f t="shared" ref="P1175:Q1175" ca="1" si="1579">P1173-P1174</f>
        <v>-366538.1568750001</v>
      </c>
      <c r="Q1175" s="84">
        <f t="shared" ca="1" si="1579"/>
        <v>-244358.77124999976</v>
      </c>
    </row>
    <row r="1176" spans="1:19" outlineLevel="1" x14ac:dyDescent="0.2">
      <c r="A1176" s="63"/>
      <c r="B1176" s="63"/>
      <c r="C1176" s="63"/>
      <c r="D1176" s="63"/>
      <c r="E1176" s="63"/>
      <c r="F1176" s="63"/>
      <c r="G1176" s="63"/>
      <c r="H1176" s="63"/>
      <c r="I1176" s="63"/>
      <c r="J1176" s="63"/>
      <c r="K1176" s="63"/>
      <c r="L1176" s="63"/>
      <c r="M1176" s="63"/>
      <c r="N1176" s="63"/>
      <c r="O1176" s="63"/>
      <c r="P1176" s="63"/>
      <c r="Q1176" s="63"/>
      <c r="R1176" s="63"/>
      <c r="S1176" s="64"/>
    </row>
    <row r="1177" spans="1:19" outlineLevel="1" x14ac:dyDescent="0.2">
      <c r="A1177" s="19"/>
      <c r="B1177" s="19"/>
      <c r="C1177" s="19"/>
      <c r="D1177" s="19"/>
      <c r="E1177" s="19"/>
      <c r="F1177" s="19"/>
      <c r="G1177" s="19"/>
      <c r="H1177" s="19"/>
      <c r="I1177" s="19"/>
      <c r="J1177" s="19"/>
      <c r="K1177" s="19"/>
      <c r="L1177" s="19"/>
      <c r="M1177" s="19"/>
      <c r="N1177" s="19"/>
      <c r="O1177" s="19"/>
      <c r="P1177" s="19"/>
      <c r="Q1177" s="19"/>
      <c r="R1177" s="19"/>
      <c r="S1177" s="22"/>
    </row>
    <row r="1178" spans="1:19" s="4" customFormat="1" ht="16" customHeight="1" thickBot="1" x14ac:dyDescent="0.25">
      <c r="A1178" s="166" t="str">
        <f ca="1">Language!A640</f>
        <v xml:space="preserve">         СОБСТВЕННЫЙ КАПИТАЛ</v>
      </c>
      <c r="B1178" s="166"/>
      <c r="C1178" s="166"/>
      <c r="D1178" s="166"/>
      <c r="E1178" s="166"/>
      <c r="F1178" s="178" t="str">
        <f t="shared" ref="F1178:Q1178" si="1580">PeriodTitle</f>
        <v>4/ 2024</v>
      </c>
      <c r="G1178" s="178" t="str">
        <f t="shared" si="1580"/>
        <v>5/ 2024</v>
      </c>
      <c r="H1178" s="178" t="str">
        <f t="shared" si="1580"/>
        <v>6/ 2024</v>
      </c>
      <c r="I1178" s="178" t="str">
        <f t="shared" si="1580"/>
        <v>7/ 2024</v>
      </c>
      <c r="J1178" s="178" t="str">
        <f t="shared" si="1580"/>
        <v>8/ 2024</v>
      </c>
      <c r="K1178" s="178" t="str">
        <f t="shared" si="1580"/>
        <v>9/ 2024</v>
      </c>
      <c r="L1178" s="178" t="str">
        <f t="shared" si="1580"/>
        <v>10/ 2024</v>
      </c>
      <c r="M1178" s="178" t="str">
        <f t="shared" si="1580"/>
        <v>11/ 2024</v>
      </c>
      <c r="N1178" s="178" t="str">
        <f t="shared" si="1580"/>
        <v>12/ 2024</v>
      </c>
      <c r="O1178" s="178" t="str">
        <f t="shared" si="1580"/>
        <v>1/ 2025</v>
      </c>
      <c r="P1178" s="178" t="str">
        <f t="shared" si="1580"/>
        <v>2/ 2025</v>
      </c>
      <c r="Q1178" s="178" t="str">
        <f t="shared" si="1580"/>
        <v>3/ 2025</v>
      </c>
      <c r="R1178" s="166"/>
      <c r="S1178" s="195" t="str">
        <f ca="1">Language!A371</f>
        <v>ИТОГО</v>
      </c>
    </row>
    <row r="1179" spans="1:19" ht="10.5" outlineLevel="1" thickTop="1" x14ac:dyDescent="0.2"/>
    <row r="1180" spans="1:19" outlineLevel="1" collapsed="1" x14ac:dyDescent="0.2">
      <c r="A1180" t="str">
        <f ca="1">Language!A641</f>
        <v>Средства собственников</v>
      </c>
      <c r="C1180" s="5" t="str">
        <f ca="1">CUR_Main</f>
        <v>руб.</v>
      </c>
      <c r="F1180" s="270">
        <f t="shared" ref="F1180:M1180" si="1581">SUMIF($D1182:$D1186,"*1_01*",F1182:F1186)+SUMIF($D1182:$D1186,"*2_01*",F1182:F1186)*F$88</f>
        <v>0</v>
      </c>
      <c r="G1180" s="270">
        <f t="shared" si="1581"/>
        <v>0</v>
      </c>
      <c r="H1180" s="270">
        <f t="shared" si="1581"/>
        <v>0</v>
      </c>
      <c r="I1180" s="270">
        <f t="shared" si="1581"/>
        <v>0</v>
      </c>
      <c r="J1180" s="270">
        <f t="shared" si="1581"/>
        <v>0</v>
      </c>
      <c r="K1180" s="270">
        <f t="shared" si="1581"/>
        <v>0</v>
      </c>
      <c r="L1180" s="270">
        <f t="shared" si="1581"/>
        <v>0</v>
      </c>
      <c r="M1180" s="270">
        <f t="shared" si="1581"/>
        <v>0</v>
      </c>
      <c r="N1180" s="270">
        <f t="shared" ref="N1180" si="1582">SUMIF($D1182:$D1186,"*1_01*",N1182:N1186)+SUMIF($D1182:$D1186,"*2_01*",N1182:N1186)*N$88</f>
        <v>0</v>
      </c>
      <c r="O1180" s="270">
        <f t="shared" ref="O1180" si="1583">SUMIF($D1182:$D1186,"*1_01*",O1182:O1186)+SUMIF($D1182:$D1186,"*2_01*",O1182:O1186)*O$88</f>
        <v>0</v>
      </c>
      <c r="P1180" s="270">
        <f t="shared" ref="P1180:Q1180" si="1584">SUMIF($D1182:$D1186,"*1_01*",P1182:P1186)+SUMIF($D1182:$D1186,"*2_01*",P1182:P1186)*P$88</f>
        <v>0</v>
      </c>
      <c r="Q1180" s="270">
        <f t="shared" si="1584"/>
        <v>0</v>
      </c>
      <c r="S1180" s="54">
        <f>SUM(F1180:Q1180)</f>
        <v>0</v>
      </c>
    </row>
    <row r="1181" spans="1:19" s="48" customFormat="1" hidden="1" outlineLevel="2" x14ac:dyDescent="0.2">
      <c r="B1181" s="36" t="str">
        <f ca="1">Language!A$73</f>
        <v>Валюта</v>
      </c>
      <c r="C1181" s="73"/>
      <c r="F1181" s="84"/>
      <c r="G1181" s="84"/>
      <c r="H1181" s="84"/>
      <c r="I1181" s="84"/>
      <c r="J1181" s="84"/>
      <c r="K1181" s="84"/>
      <c r="L1181" s="84"/>
      <c r="M1181" s="84"/>
      <c r="N1181" s="84"/>
      <c r="O1181" s="84"/>
      <c r="P1181" s="84"/>
      <c r="Q1181" s="84"/>
      <c r="S1181" s="94"/>
    </row>
    <row r="1182" spans="1:19" hidden="1" outlineLevel="2" x14ac:dyDescent="0.2">
      <c r="A1182" s="274" t="str">
        <f ca="1">Language!A642</f>
        <v>Собственник 1</v>
      </c>
      <c r="B1182" s="255">
        <v>1</v>
      </c>
      <c r="C1182" s="17" t="str">
        <f ca="1">CHOOSE(B1182,CUR_Main,CUR_Foreign)</f>
        <v>руб.</v>
      </c>
      <c r="D1182" s="16" t="str">
        <f>TEXT(B1182,"0")&amp;"_01"</f>
        <v>1_01</v>
      </c>
      <c r="F1182" s="272">
        <v>0</v>
      </c>
      <c r="G1182" s="272">
        <v>0</v>
      </c>
      <c r="H1182" s="272">
        <v>0</v>
      </c>
      <c r="I1182" s="272">
        <v>0</v>
      </c>
      <c r="J1182" s="272">
        <v>0</v>
      </c>
      <c r="K1182" s="272">
        <v>0</v>
      </c>
      <c r="L1182" s="272">
        <v>0</v>
      </c>
      <c r="M1182" s="272">
        <v>0</v>
      </c>
      <c r="N1182" s="272">
        <v>0</v>
      </c>
      <c r="O1182" s="272">
        <v>0</v>
      </c>
      <c r="P1182" s="272">
        <v>0</v>
      </c>
      <c r="Q1182" s="272">
        <v>0</v>
      </c>
      <c r="S1182" s="54">
        <f>SUM(F1182:Q1182)</f>
        <v>0</v>
      </c>
    </row>
    <row r="1183" spans="1:19" hidden="1" outlineLevel="2" x14ac:dyDescent="0.2">
      <c r="A1183" s="274" t="str">
        <f ca="1">Language!A643</f>
        <v>Собственник 2</v>
      </c>
      <c r="B1183" s="255">
        <v>1</v>
      </c>
      <c r="C1183" s="17" t="str">
        <f ca="1">CHOOSE(B1183,CUR_Main,CUR_Foreign)</f>
        <v>руб.</v>
      </c>
      <c r="D1183" s="16" t="str">
        <f>TEXT(B1183,"0")&amp;"_01"</f>
        <v>1_01</v>
      </c>
      <c r="F1183" s="272">
        <v>0</v>
      </c>
      <c r="G1183" s="272">
        <v>0</v>
      </c>
      <c r="H1183" s="272">
        <v>0</v>
      </c>
      <c r="I1183" s="272">
        <v>0</v>
      </c>
      <c r="J1183" s="272">
        <v>0</v>
      </c>
      <c r="K1183" s="272">
        <v>0</v>
      </c>
      <c r="L1183" s="272">
        <v>0</v>
      </c>
      <c r="M1183" s="272">
        <v>0</v>
      </c>
      <c r="N1183" s="272">
        <v>0</v>
      </c>
      <c r="O1183" s="272">
        <v>0</v>
      </c>
      <c r="P1183" s="272">
        <v>0</v>
      </c>
      <c r="Q1183" s="272">
        <v>0</v>
      </c>
      <c r="S1183" s="54">
        <f>SUM(F1183:Q1183)</f>
        <v>0</v>
      </c>
    </row>
    <row r="1184" spans="1:19" hidden="1" outlineLevel="2" x14ac:dyDescent="0.2">
      <c r="A1184" s="274" t="str">
        <f ca="1">Language!A644</f>
        <v>Собственник 3</v>
      </c>
      <c r="B1184" s="255">
        <v>1</v>
      </c>
      <c r="C1184" s="17" t="str">
        <f ca="1">CHOOSE(B1184,CUR_Main,CUR_Foreign)</f>
        <v>руб.</v>
      </c>
      <c r="D1184" s="16" t="str">
        <f>TEXT(B1184,"0")&amp;"_01"</f>
        <v>1_01</v>
      </c>
      <c r="F1184" s="272">
        <v>0</v>
      </c>
      <c r="G1184" s="272">
        <v>0</v>
      </c>
      <c r="H1184" s="272">
        <v>0</v>
      </c>
      <c r="I1184" s="272">
        <v>0</v>
      </c>
      <c r="J1184" s="272">
        <v>0</v>
      </c>
      <c r="K1184" s="272">
        <v>0</v>
      </c>
      <c r="L1184" s="272">
        <v>0</v>
      </c>
      <c r="M1184" s="272">
        <v>0</v>
      </c>
      <c r="N1184" s="272">
        <v>0</v>
      </c>
      <c r="O1184" s="272">
        <v>0</v>
      </c>
      <c r="P1184" s="272">
        <v>0</v>
      </c>
      <c r="Q1184" s="272">
        <v>0</v>
      </c>
      <c r="S1184" s="54">
        <f>SUM(F1184:Q1184)</f>
        <v>0</v>
      </c>
    </row>
    <row r="1185" spans="1:19" hidden="1" outlineLevel="2" x14ac:dyDescent="0.2">
      <c r="A1185" s="274" t="str">
        <f ca="1">Language!A645</f>
        <v>Собственник 4</v>
      </c>
      <c r="B1185" s="255">
        <v>1</v>
      </c>
      <c r="C1185" s="17" t="str">
        <f ca="1">CHOOSE(B1185,CUR_Main,CUR_Foreign)</f>
        <v>руб.</v>
      </c>
      <c r="D1185" s="16" t="str">
        <f>TEXT(B1185,"0")&amp;"_01"</f>
        <v>1_01</v>
      </c>
      <c r="F1185" s="272">
        <v>0</v>
      </c>
      <c r="G1185" s="272">
        <v>0</v>
      </c>
      <c r="H1185" s="272">
        <v>0</v>
      </c>
      <c r="I1185" s="272">
        <v>0</v>
      </c>
      <c r="J1185" s="272">
        <v>0</v>
      </c>
      <c r="K1185" s="272">
        <v>0</v>
      </c>
      <c r="L1185" s="272">
        <v>0</v>
      </c>
      <c r="M1185" s="272">
        <v>0</v>
      </c>
      <c r="N1185" s="272">
        <v>0</v>
      </c>
      <c r="O1185" s="272">
        <v>0</v>
      </c>
      <c r="P1185" s="272">
        <v>0</v>
      </c>
      <c r="Q1185" s="272">
        <v>0</v>
      </c>
      <c r="S1185" s="54">
        <f>SUM(F1185:Q1185)</f>
        <v>0</v>
      </c>
    </row>
    <row r="1186" spans="1:19" hidden="1" outlineLevel="2" x14ac:dyDescent="0.2">
      <c r="A1186" s="274" t="str">
        <f ca="1">Language!A646</f>
        <v>Собственник 5</v>
      </c>
      <c r="B1186" s="255">
        <v>1</v>
      </c>
      <c r="C1186" s="17" t="str">
        <f ca="1">CHOOSE(B1186,CUR_Main,CUR_Foreign)</f>
        <v>руб.</v>
      </c>
      <c r="D1186" s="16" t="str">
        <f>TEXT(B1186,"0")&amp;"_01"</f>
        <v>1_01</v>
      </c>
      <c r="F1186" s="272">
        <v>0</v>
      </c>
      <c r="G1186" s="272">
        <v>0</v>
      </c>
      <c r="H1186" s="272">
        <v>0</v>
      </c>
      <c r="I1186" s="272">
        <v>0</v>
      </c>
      <c r="J1186" s="272">
        <v>0</v>
      </c>
      <c r="K1186" s="272">
        <v>0</v>
      </c>
      <c r="L1186" s="272">
        <v>0</v>
      </c>
      <c r="M1186" s="272">
        <v>0</v>
      </c>
      <c r="N1186" s="272">
        <v>0</v>
      </c>
      <c r="O1186" s="272">
        <v>0</v>
      </c>
      <c r="P1186" s="272">
        <v>0</v>
      </c>
      <c r="Q1186" s="272">
        <v>0</v>
      </c>
      <c r="S1186" s="54">
        <f>SUM(F1186:Q1186)</f>
        <v>0</v>
      </c>
    </row>
    <row r="1187" spans="1:19" outlineLevel="1" x14ac:dyDescent="0.2">
      <c r="B1187" s="36" t="str">
        <f ca="1">Language!A$73</f>
        <v>Валюта</v>
      </c>
    </row>
    <row r="1188" spans="1:19" outlineLevel="1" collapsed="1" x14ac:dyDescent="0.2">
      <c r="A1188" t="str">
        <f ca="1">Language!A647</f>
        <v>Средства от текущей деятельности</v>
      </c>
      <c r="B1188" s="255">
        <v>1</v>
      </c>
      <c r="C1188" s="17" t="str">
        <f ca="1">CHOOSE(B1188,CUR_Main,CUR_Foreign)</f>
        <v>руб.</v>
      </c>
      <c r="D1188" s="16"/>
      <c r="F1188" s="272">
        <v>0</v>
      </c>
      <c r="G1188" s="272">
        <v>0</v>
      </c>
      <c r="H1188" s="272">
        <v>0</v>
      </c>
      <c r="I1188" s="272">
        <v>0</v>
      </c>
      <c r="J1188" s="272">
        <v>0</v>
      </c>
      <c r="K1188" s="272">
        <v>0</v>
      </c>
      <c r="L1188" s="272">
        <v>0</v>
      </c>
      <c r="M1188" s="272">
        <v>0</v>
      </c>
      <c r="N1188" s="272">
        <v>0</v>
      </c>
      <c r="O1188" s="272">
        <v>0</v>
      </c>
      <c r="P1188" s="272">
        <v>0</v>
      </c>
      <c r="Q1188" s="272">
        <v>0</v>
      </c>
      <c r="S1188" s="54">
        <f>SUM(F1188:Q1188)</f>
        <v>0</v>
      </c>
    </row>
    <row r="1189" spans="1:19" s="48" customFormat="1" hidden="1" outlineLevel="2" x14ac:dyDescent="0.2">
      <c r="A1189" t="str">
        <f ca="1">Language!A648</f>
        <v xml:space="preserve">    то же, в основной валюте</v>
      </c>
      <c r="B1189" s="73"/>
      <c r="C1189" s="5" t="str">
        <f ca="1">CUR_Main</f>
        <v>руб.</v>
      </c>
      <c r="D1189" s="101"/>
      <c r="F1189" s="106">
        <f t="shared" ref="F1189:M1189" si="1585">F1188*IF($B1188=1,1,F$88)</f>
        <v>0</v>
      </c>
      <c r="G1189" s="106">
        <f t="shared" si="1585"/>
        <v>0</v>
      </c>
      <c r="H1189" s="106">
        <f t="shared" si="1585"/>
        <v>0</v>
      </c>
      <c r="I1189" s="106">
        <f t="shared" si="1585"/>
        <v>0</v>
      </c>
      <c r="J1189" s="106">
        <f t="shared" si="1585"/>
        <v>0</v>
      </c>
      <c r="K1189" s="106">
        <f t="shared" si="1585"/>
        <v>0</v>
      </c>
      <c r="L1189" s="106">
        <f t="shared" si="1585"/>
        <v>0</v>
      </c>
      <c r="M1189" s="106">
        <f t="shared" si="1585"/>
        <v>0</v>
      </c>
      <c r="N1189" s="106">
        <f t="shared" ref="N1189" si="1586">N1188*IF($B1188=1,1,N$88)</f>
        <v>0</v>
      </c>
      <c r="O1189" s="106">
        <f t="shared" ref="O1189" si="1587">O1188*IF($B1188=1,1,O$88)</f>
        <v>0</v>
      </c>
      <c r="P1189" s="106">
        <f t="shared" ref="P1189:Q1189" si="1588">P1188*IF($B1188=1,1,P$88)</f>
        <v>0</v>
      </c>
      <c r="Q1189" s="106">
        <f t="shared" si="1588"/>
        <v>0</v>
      </c>
      <c r="S1189" s="54">
        <f>SUM(F1189:Q1189)</f>
        <v>0</v>
      </c>
    </row>
    <row r="1190" spans="1:19" outlineLevel="1" x14ac:dyDescent="0.2">
      <c r="B1190" s="36" t="str">
        <f ca="1">Language!A$73</f>
        <v>Валюта</v>
      </c>
    </row>
    <row r="1191" spans="1:19" outlineLevel="1" collapsed="1" x14ac:dyDescent="0.2">
      <c r="A1191" s="52" t="str">
        <f ca="1">Language!A649</f>
        <v>Целевое финансирование</v>
      </c>
      <c r="B1191" s="255">
        <v>1</v>
      </c>
      <c r="C1191" s="17" t="str">
        <f ca="1">CHOOSE(B1191,CUR_Main,CUR_Foreign)</f>
        <v>руб.</v>
      </c>
      <c r="D1191" s="16"/>
      <c r="F1191" s="272">
        <v>0</v>
      </c>
      <c r="G1191" s="272">
        <v>0</v>
      </c>
      <c r="H1191" s="272">
        <v>0</v>
      </c>
      <c r="I1191" s="272">
        <v>0</v>
      </c>
      <c r="J1191" s="272">
        <v>0</v>
      </c>
      <c r="K1191" s="272">
        <v>0</v>
      </c>
      <c r="L1191" s="272">
        <v>0</v>
      </c>
      <c r="M1191" s="272">
        <v>0</v>
      </c>
      <c r="N1191" s="272">
        <v>0</v>
      </c>
      <c r="O1191" s="272">
        <v>0</v>
      </c>
      <c r="P1191" s="272">
        <v>0</v>
      </c>
      <c r="Q1191" s="272">
        <v>0</v>
      </c>
      <c r="S1191" s="54">
        <f>SUM(F1191:Q1191)</f>
        <v>0</v>
      </c>
    </row>
    <row r="1192" spans="1:19" s="48" customFormat="1" hidden="1" outlineLevel="2" x14ac:dyDescent="0.2">
      <c r="A1192" s="52" t="str">
        <f ca="1">Language!A648</f>
        <v xml:space="preserve">    то же, в основной валюте</v>
      </c>
      <c r="B1192" s="73"/>
      <c r="C1192" s="5" t="str">
        <f ca="1">CUR_Main</f>
        <v>руб.</v>
      </c>
      <c r="D1192" s="101"/>
      <c r="F1192" s="106">
        <f t="shared" ref="F1192:M1192" si="1589">F1191*IF($B1191=1,1,F$88)</f>
        <v>0</v>
      </c>
      <c r="G1192" s="106">
        <f t="shared" si="1589"/>
        <v>0</v>
      </c>
      <c r="H1192" s="106">
        <f t="shared" si="1589"/>
        <v>0</v>
      </c>
      <c r="I1192" s="106">
        <f t="shared" si="1589"/>
        <v>0</v>
      </c>
      <c r="J1192" s="106">
        <f t="shared" si="1589"/>
        <v>0</v>
      </c>
      <c r="K1192" s="106">
        <f t="shared" si="1589"/>
        <v>0</v>
      </c>
      <c r="L1192" s="106">
        <f t="shared" si="1589"/>
        <v>0</v>
      </c>
      <c r="M1192" s="106">
        <f t="shared" si="1589"/>
        <v>0</v>
      </c>
      <c r="N1192" s="106">
        <f t="shared" ref="N1192" si="1590">N1191*IF($B1191=1,1,N$88)</f>
        <v>0</v>
      </c>
      <c r="O1192" s="106">
        <f t="shared" ref="O1192" si="1591">O1191*IF($B1191=1,1,O$88)</f>
        <v>0</v>
      </c>
      <c r="P1192" s="106">
        <f t="shared" ref="P1192:Q1192" si="1592">P1191*IF($B1191=1,1,P$88)</f>
        <v>0</v>
      </c>
      <c r="Q1192" s="106">
        <f t="shared" si="1592"/>
        <v>0</v>
      </c>
      <c r="S1192" s="54">
        <f>SUM(F1192:Q1192)</f>
        <v>0</v>
      </c>
    </row>
    <row r="1193" spans="1:19" outlineLevel="1" x14ac:dyDescent="0.2"/>
    <row r="1194" spans="1:19" outlineLevel="1" x14ac:dyDescent="0.2">
      <c r="A1194" t="str">
        <f ca="1">Language!A650</f>
        <v>Средства от инвесторов строительства</v>
      </c>
      <c r="C1194" s="5" t="str">
        <f ca="1">CUR_Main</f>
        <v>руб.</v>
      </c>
      <c r="D1194" t="s">
        <v>188</v>
      </c>
      <c r="F1194" s="106">
        <f>0</f>
        <v>0</v>
      </c>
      <c r="G1194" s="106">
        <f>0</f>
        <v>0</v>
      </c>
      <c r="H1194" s="106">
        <f>0</f>
        <v>0</v>
      </c>
      <c r="I1194" s="106">
        <f>0</f>
        <v>0</v>
      </c>
      <c r="J1194" s="106">
        <f>0</f>
        <v>0</v>
      </c>
      <c r="K1194" s="106">
        <f>0</f>
        <v>0</v>
      </c>
      <c r="L1194" s="106">
        <f>0</f>
        <v>0</v>
      </c>
      <c r="M1194" s="106">
        <f>0</f>
        <v>0</v>
      </c>
      <c r="N1194" s="106">
        <f>0</f>
        <v>0</v>
      </c>
      <c r="O1194" s="106">
        <f>0</f>
        <v>0</v>
      </c>
      <c r="P1194" s="106">
        <f>0</f>
        <v>0</v>
      </c>
      <c r="Q1194" s="106">
        <f>0</f>
        <v>0</v>
      </c>
      <c r="S1194" s="54">
        <f>SUM(F1194:Q1194)</f>
        <v>0</v>
      </c>
    </row>
    <row r="1195" spans="1:19" outlineLevel="1" x14ac:dyDescent="0.2"/>
    <row r="1196" spans="1:19" s="11" customFormat="1" outlineLevel="1" x14ac:dyDescent="0.2">
      <c r="A1196" s="11" t="str">
        <f ca="1">Language!A651</f>
        <v>Справка: Остаток средств на счете (текущий проект)</v>
      </c>
      <c r="C1196" s="36" t="str">
        <f ca="1">CUR_Main</f>
        <v>руб.</v>
      </c>
      <c r="D1196" s="90" t="s">
        <v>384</v>
      </c>
      <c r="F1196" s="94">
        <f ca="1">F1458*IF(CUR_I_Report=2,F$88,1)</f>
        <v>41283.684478371404</v>
      </c>
      <c r="G1196" s="94">
        <f ca="1">G1458*IF(CUR_I_Report=2,G$88,1)</f>
        <v>52186.804602166172</v>
      </c>
      <c r="H1196" s="94">
        <f ca="1">H1458*IF(CUR_I_Report=2,H$88,1)</f>
        <v>41882.190303205512</v>
      </c>
      <c r="I1196" s="94">
        <f ca="1">I1458*IF(CUR_I_Report=2,I$88,1)</f>
        <v>31658.111742054811</v>
      </c>
      <c r="J1196" s="94">
        <f ca="1">J1458*IF(CUR_I_Report=2,J$88,1)</f>
        <v>20027.616109238239</v>
      </c>
      <c r="K1196" s="94">
        <f ca="1">K1458*IF(CUR_I_Report=2,K$88,1)</f>
        <v>239996.84876654632</v>
      </c>
      <c r="L1196" s="94">
        <f ca="1">L1458*IF(CUR_I_Report=2,L$88,1)</f>
        <v>378282.62228927377</v>
      </c>
      <c r="M1196" s="94">
        <f ca="1">M1458*IF(CUR_I_Report=2,M$88,1)</f>
        <v>632706.11513018364</v>
      </c>
      <c r="N1196" s="94">
        <f ca="1">N1458*IF(CUR_I_Report=2,N$88,1)</f>
        <v>1072443.4038233669</v>
      </c>
      <c r="O1196" s="94">
        <f ca="1">O1458*IF(CUR_I_Report=2,O$88,1)</f>
        <v>5028706.2840788569</v>
      </c>
      <c r="P1196" s="94">
        <f ca="1">P1458*IF(CUR_I_Report=2,P$88,1)</f>
        <v>14337118.653453857</v>
      </c>
      <c r="Q1196" s="94">
        <f ca="1">Q1458*IF(CUR_I_Report=2,Q$88,1)</f>
        <v>24800866.549703859</v>
      </c>
    </row>
    <row r="1197" spans="1:19" s="11" customFormat="1" outlineLevel="1" collapsed="1" x14ac:dyDescent="0.2">
      <c r="A1197" s="11" t="str">
        <f ca="1">Language!A653</f>
        <v>Справка: Остаток средств на счете (портфель проектов)</v>
      </c>
      <c r="C1197" s="5" t="str">
        <f ca="1">CUR_Main</f>
        <v>руб.</v>
      </c>
      <c r="D1197" s="16" t="s">
        <v>384</v>
      </c>
      <c r="F1197" s="94" t="e">
        <f ca="1">OFFSET(Портфель!$F331,0,MATCH(F$32,Портфель!$F$36:$Q$36,0)-1)*IF(CUR_I_Report=2,F$88,1)</f>
        <v>#N/A</v>
      </c>
      <c r="G1197" s="94" t="e">
        <f ca="1">OFFSET(Портфель!$F331,0,MATCH(G$32,Портфель!$F$36:$Q$36,0)-1)*IF(CUR_I_Report=2,G$88,1)</f>
        <v>#N/A</v>
      </c>
      <c r="H1197" s="94" t="e">
        <f ca="1">OFFSET(Портфель!$F331,0,MATCH(H$32,Портфель!$F$36:$Q$36,0)-1)*IF(CUR_I_Report=2,H$88,1)</f>
        <v>#N/A</v>
      </c>
      <c r="I1197" s="94" t="e">
        <f ca="1">OFFSET(Портфель!$F331,0,MATCH(I$32,Портфель!$F$36:$Q$36,0)-1)*IF(CUR_I_Report=2,I$88,1)</f>
        <v>#N/A</v>
      </c>
      <c r="J1197" s="94" t="e">
        <f ca="1">OFFSET(Портфель!$F331,0,MATCH(J$32,Портфель!$F$36:$Q$36,0)-1)*IF(CUR_I_Report=2,J$88,1)</f>
        <v>#N/A</v>
      </c>
      <c r="K1197" s="94" t="e">
        <f ca="1">OFFSET(Портфель!$F331,0,MATCH(K$32,Портфель!$F$36:$Q$36,0)-1)*IF(CUR_I_Report=2,K$88,1)</f>
        <v>#N/A</v>
      </c>
      <c r="L1197" s="94" t="e">
        <f ca="1">OFFSET(Портфель!$F331,0,MATCH(L$32,Портфель!$F$36:$Q$36,0)-1)*IF(CUR_I_Report=2,L$88,1)</f>
        <v>#N/A</v>
      </c>
      <c r="M1197" s="94" t="e">
        <f ca="1">OFFSET(Портфель!$F331,0,MATCH(M$32,Портфель!$F$36:$Q$36,0)-1)*IF(CUR_I_Report=2,M$88,1)</f>
        <v>#N/A</v>
      </c>
      <c r="N1197" s="94" t="e">
        <f ca="1">OFFSET(Портфель!$F331,0,MATCH(N$32,Портфель!$F$36:$Q$36,0)-1)*IF(CUR_I_Report=2,N$88,1)</f>
        <v>#N/A</v>
      </c>
      <c r="O1197" s="94" t="e">
        <f ca="1">OFFSET(Портфель!$F331,0,MATCH(O$32,Портфель!$F$36:$Q$36,0)-1)*IF(CUR_I_Report=2,O$88,1)</f>
        <v>#N/A</v>
      </c>
      <c r="P1197" s="94" t="e">
        <f ca="1">OFFSET(Портфель!$F331,0,MATCH(P$32,Портфель!$F$36:$Q$36,0)-1)*IF(CUR_I_Report=2,P$88,1)</f>
        <v>#N/A</v>
      </c>
      <c r="Q1197" s="94" t="e">
        <f ca="1">OFFSET(Портфель!$F331,0,MATCH(Q$32,Портфель!$F$36:$Q$36,0)-1)*IF(CUR_I_Report=2,Q$88,1)</f>
        <v>#N/A</v>
      </c>
    </row>
    <row r="1198" spans="1:19" s="11" customFormat="1" hidden="1" outlineLevel="2" x14ac:dyDescent="0.2">
      <c r="A1198" s="11" t="str">
        <f ca="1">Language!A652</f>
        <v>Справка: Остаток средств на счете (без учета операционной деятельности)</v>
      </c>
      <c r="C1198" s="36" t="str">
        <f ca="1">CUR_Main</f>
        <v>руб.</v>
      </c>
      <c r="D1198" s="90" t="s">
        <v>384</v>
      </c>
      <c r="F1198" s="94">
        <f ca="1">(F1458-F1433)*IF(CUR_I_Report=2,F$88,1)</f>
        <v>3007443.6844783714</v>
      </c>
      <c r="G1198" s="94">
        <f ca="1">(G1458-G1433)*IF(CUR_I_Report=2,G$88,1)</f>
        <v>2607946.8046021662</v>
      </c>
      <c r="H1198" s="94">
        <f ca="1">(H1458-H1433)*IF(CUR_I_Report=2,H$88,1)</f>
        <v>2469890.6990532055</v>
      </c>
      <c r="I1198" s="94">
        <f ca="1">(I1458-I1433)*IF(CUR_I_Report=2,I$88,1)</f>
        <v>1948660.6554920548</v>
      </c>
      <c r="J1198" s="94">
        <f ca="1">(J1458-J1433)*IF(CUR_I_Report=2,J$88,1)</f>
        <v>1298272.7036092381</v>
      </c>
      <c r="K1198" s="94">
        <f ca="1">(K1458-K1433)*IF(CUR_I_Report=2,K$88,1)</f>
        <v>240727.02376654613</v>
      </c>
      <c r="L1198" s="94">
        <f ca="1">(L1458-L1433)*IF(CUR_I_Report=2,L$88,1)</f>
        <v>-718264.92568481399</v>
      </c>
      <c r="M1198" s="94">
        <f ca="1">(M1458-M1433)*IF(CUR_I_Report=2,M$88,1)</f>
        <v>-1783463.1752985669</v>
      </c>
      <c r="N1198" s="94">
        <f ca="1">(N1458-N1433)*IF(CUR_I_Report=2,N$88,1)</f>
        <v>-3335862.6260717292</v>
      </c>
      <c r="O1198" s="94">
        <f ca="1">(O1458-O1433)*IF(CUR_I_Report=2,O$88,1)</f>
        <v>-1996895.5596711431</v>
      </c>
      <c r="P1198" s="94">
        <f ca="1">(P1458-P1433)*IF(CUR_I_Report=2,P$88,1)</f>
        <v>5395244.4409538563</v>
      </c>
      <c r="Q1198" s="94">
        <f ca="1">(Q1458-Q1433)*IF(CUR_I_Report=2,Q$88,1)</f>
        <v>14581477.424703859</v>
      </c>
    </row>
    <row r="1199" spans="1:19" outlineLevel="1" x14ac:dyDescent="0.2">
      <c r="A1199" s="63"/>
      <c r="B1199" s="63"/>
      <c r="C1199" s="63"/>
      <c r="D1199" s="63"/>
      <c r="E1199" s="63"/>
      <c r="F1199" s="63"/>
      <c r="G1199" s="63"/>
      <c r="H1199" s="63"/>
      <c r="I1199" s="63"/>
      <c r="J1199" s="63"/>
      <c r="K1199" s="63"/>
      <c r="L1199" s="63"/>
      <c r="M1199" s="63"/>
      <c r="N1199" s="63"/>
      <c r="O1199" s="63"/>
      <c r="P1199" s="63"/>
      <c r="Q1199" s="63"/>
      <c r="R1199" s="63"/>
      <c r="S1199" s="64"/>
    </row>
    <row r="1200" spans="1:19" outlineLevel="1" x14ac:dyDescent="0.2">
      <c r="A1200" s="19"/>
      <c r="B1200" s="19"/>
      <c r="C1200" s="19"/>
      <c r="D1200" s="19"/>
      <c r="E1200" s="19"/>
      <c r="F1200" s="19"/>
      <c r="G1200" s="19"/>
      <c r="H1200" s="19"/>
      <c r="I1200" s="19"/>
      <c r="J1200" s="19"/>
      <c r="K1200" s="19"/>
      <c r="L1200" s="19"/>
      <c r="M1200" s="19"/>
      <c r="N1200" s="19"/>
      <c r="O1200" s="19"/>
      <c r="P1200" s="19"/>
      <c r="Q1200" s="19"/>
      <c r="R1200" s="19"/>
      <c r="S1200" s="22"/>
    </row>
    <row r="1201" spans="1:19" s="4" customFormat="1" ht="16" customHeight="1" thickBot="1" x14ac:dyDescent="0.25">
      <c r="A1201" s="166" t="str">
        <f ca="1">Language!A654</f>
        <v xml:space="preserve">         КРЕДИТЫ</v>
      </c>
      <c r="B1201" s="166"/>
      <c r="C1201" s="166"/>
      <c r="D1201" s="166"/>
      <c r="E1201" s="166"/>
      <c r="F1201" s="178" t="str">
        <f t="shared" ref="F1201:Q1201" si="1593">PeriodTitle</f>
        <v>4/ 2024</v>
      </c>
      <c r="G1201" s="178" t="str">
        <f t="shared" si="1593"/>
        <v>5/ 2024</v>
      </c>
      <c r="H1201" s="178" t="str">
        <f t="shared" si="1593"/>
        <v>6/ 2024</v>
      </c>
      <c r="I1201" s="178" t="str">
        <f t="shared" si="1593"/>
        <v>7/ 2024</v>
      </c>
      <c r="J1201" s="178" t="str">
        <f t="shared" si="1593"/>
        <v>8/ 2024</v>
      </c>
      <c r="K1201" s="178" t="str">
        <f t="shared" si="1593"/>
        <v>9/ 2024</v>
      </c>
      <c r="L1201" s="178" t="str">
        <f t="shared" si="1593"/>
        <v>10/ 2024</v>
      </c>
      <c r="M1201" s="178" t="str">
        <f t="shared" si="1593"/>
        <v>11/ 2024</v>
      </c>
      <c r="N1201" s="178" t="str">
        <f t="shared" si="1593"/>
        <v>12/ 2024</v>
      </c>
      <c r="O1201" s="178" t="str">
        <f t="shared" si="1593"/>
        <v>1/ 2025</v>
      </c>
      <c r="P1201" s="178" t="str">
        <f t="shared" si="1593"/>
        <v>2/ 2025</v>
      </c>
      <c r="Q1201" s="178" t="str">
        <f t="shared" si="1593"/>
        <v>3/ 2025</v>
      </c>
      <c r="R1201" s="166"/>
      <c r="S1201" s="195" t="str">
        <f ca="1">Language!A371</f>
        <v>ИТОГО</v>
      </c>
    </row>
    <row r="1202" spans="1:19" ht="10.5" outlineLevel="1" thickTop="1" x14ac:dyDescent="0.2"/>
    <row r="1203" spans="1:19" ht="10.5" outlineLevel="1" x14ac:dyDescent="0.25">
      <c r="A1203" s="35" t="str">
        <f ca="1">Language!A683</f>
        <v>Существующие кредиты</v>
      </c>
    </row>
    <row r="1204" spans="1:19" outlineLevel="1" x14ac:dyDescent="0.2">
      <c r="A1204" t="str">
        <f ca="1">Language!A$657</f>
        <v>Годовая процентная ставка</v>
      </c>
      <c r="B1204" s="273">
        <v>0.15</v>
      </c>
      <c r="D1204" s="16" t="s">
        <v>2512</v>
      </c>
      <c r="F1204" s="108">
        <f>B1204</f>
        <v>0.15</v>
      </c>
      <c r="G1204" s="108">
        <f t="shared" ref="G1204:Q1204" si="1594">F1204</f>
        <v>0.15</v>
      </c>
      <c r="H1204" s="108">
        <f t="shared" si="1594"/>
        <v>0.15</v>
      </c>
      <c r="I1204" s="108">
        <f t="shared" si="1594"/>
        <v>0.15</v>
      </c>
      <c r="J1204" s="108">
        <f t="shared" si="1594"/>
        <v>0.15</v>
      </c>
      <c r="K1204" s="108">
        <f t="shared" si="1594"/>
        <v>0.15</v>
      </c>
      <c r="L1204" s="108">
        <f t="shared" si="1594"/>
        <v>0.15</v>
      </c>
      <c r="M1204" s="108">
        <f t="shared" si="1594"/>
        <v>0.15</v>
      </c>
      <c r="N1204" s="108">
        <f t="shared" si="1594"/>
        <v>0.15</v>
      </c>
      <c r="O1204" s="108">
        <f t="shared" si="1594"/>
        <v>0.15</v>
      </c>
      <c r="P1204" s="108">
        <f t="shared" si="1594"/>
        <v>0.15</v>
      </c>
      <c r="Q1204" s="108">
        <f t="shared" si="1594"/>
        <v>0.15</v>
      </c>
    </row>
    <row r="1205" spans="1:19" outlineLevel="1" x14ac:dyDescent="0.2">
      <c r="A1205" t="str">
        <f ca="1">Language!A$660</f>
        <v>Погашение основного долга</v>
      </c>
      <c r="C1205" s="5" t="str">
        <f ca="1">CUR_Main</f>
        <v>руб.</v>
      </c>
      <c r="D1205" s="16" t="s">
        <v>2367</v>
      </c>
      <c r="F1205" s="272">
        <v>0</v>
      </c>
      <c r="G1205" s="272">
        <v>0</v>
      </c>
      <c r="H1205" s="272">
        <v>0</v>
      </c>
      <c r="I1205" s="272">
        <v>0</v>
      </c>
      <c r="J1205" s="272">
        <v>0</v>
      </c>
      <c r="K1205" s="272">
        <v>0</v>
      </c>
      <c r="L1205" s="272">
        <v>0</v>
      </c>
      <c r="M1205" s="272">
        <v>0</v>
      </c>
      <c r="N1205" s="272">
        <v>0</v>
      </c>
      <c r="O1205" s="272">
        <v>0</v>
      </c>
      <c r="P1205" s="272">
        <v>0</v>
      </c>
      <c r="Q1205" s="272">
        <v>0</v>
      </c>
      <c r="S1205" s="54">
        <f>SUM(F1205:Q1205)</f>
        <v>0</v>
      </c>
    </row>
    <row r="1206" spans="1:19" outlineLevel="1" x14ac:dyDescent="0.2">
      <c r="A1206" t="str">
        <f ca="1">Language!A$662</f>
        <v>Выплаченные проценты</v>
      </c>
      <c r="C1206" s="5" t="str">
        <f ca="1">CUR_Main</f>
        <v>руб.</v>
      </c>
      <c r="D1206" s="16" t="s">
        <v>2369</v>
      </c>
      <c r="F1206" s="53">
        <f t="shared" ref="F1206:M1206" si="1595">F1209</f>
        <v>0</v>
      </c>
      <c r="G1206" s="53">
        <f t="shared" si="1595"/>
        <v>0</v>
      </c>
      <c r="H1206" s="53">
        <f t="shared" si="1595"/>
        <v>0</v>
      </c>
      <c r="I1206" s="53">
        <f t="shared" si="1595"/>
        <v>0</v>
      </c>
      <c r="J1206" s="53">
        <f t="shared" si="1595"/>
        <v>0</v>
      </c>
      <c r="K1206" s="53">
        <f t="shared" si="1595"/>
        <v>0</v>
      </c>
      <c r="L1206" s="53">
        <f t="shared" si="1595"/>
        <v>0</v>
      </c>
      <c r="M1206" s="53">
        <f t="shared" si="1595"/>
        <v>0</v>
      </c>
      <c r="N1206" s="53">
        <f t="shared" ref="N1206" si="1596">N1209</f>
        <v>0</v>
      </c>
      <c r="O1206" s="53">
        <f t="shared" ref="O1206:Q1206" si="1597">O1209</f>
        <v>0</v>
      </c>
      <c r="P1206" s="53">
        <f t="shared" ref="P1206:Q1206" si="1598">P1209</f>
        <v>0</v>
      </c>
      <c r="Q1206" s="53">
        <f t="shared" si="1598"/>
        <v>0</v>
      </c>
      <c r="S1206" s="54">
        <f>SUM(F1206:Q1206)</f>
        <v>0</v>
      </c>
    </row>
    <row r="1207" spans="1:19" outlineLevel="1" collapsed="1" x14ac:dyDescent="0.2">
      <c r="A1207" t="str">
        <f ca="1">Language!A$664</f>
        <v>Задолженность на конец текущего периода</v>
      </c>
      <c r="C1207" s="5" t="str">
        <f ca="1">CUR_Main</f>
        <v>руб.</v>
      </c>
      <c r="D1207" s="16" t="s">
        <v>2371</v>
      </c>
      <c r="F1207" s="53">
        <f>E1207-F1205+IF(D64="1_19",F64,F64*F88)</f>
        <v>0</v>
      </c>
      <c r="G1207" s="53">
        <f t="shared" ref="G1207:R1207" si="1599">F1207-G1205</f>
        <v>0</v>
      </c>
      <c r="H1207" s="53">
        <f t="shared" si="1599"/>
        <v>0</v>
      </c>
      <c r="I1207" s="53">
        <f t="shared" si="1599"/>
        <v>0</v>
      </c>
      <c r="J1207" s="53">
        <f t="shared" si="1599"/>
        <v>0</v>
      </c>
      <c r="K1207" s="53">
        <f t="shared" si="1599"/>
        <v>0</v>
      </c>
      <c r="L1207" s="53">
        <f t="shared" si="1599"/>
        <v>0</v>
      </c>
      <c r="M1207" s="53">
        <f t="shared" si="1599"/>
        <v>0</v>
      </c>
      <c r="N1207" s="53">
        <f t="shared" si="1599"/>
        <v>0</v>
      </c>
      <c r="O1207" s="53">
        <f t="shared" si="1599"/>
        <v>0</v>
      </c>
      <c r="P1207" s="53">
        <f t="shared" si="1599"/>
        <v>0</v>
      </c>
      <c r="Q1207" s="53">
        <f t="shared" si="1599"/>
        <v>0</v>
      </c>
      <c r="R1207" s="243">
        <f t="shared" si="1599"/>
        <v>0</v>
      </c>
    </row>
    <row r="1208" spans="1:19" hidden="1" outlineLevel="2" x14ac:dyDescent="0.2">
      <c r="A1208" t="str">
        <f ca="1">Language!A$667</f>
        <v xml:space="preserve">    проценты, выплачиваемые из прибыли</v>
      </c>
      <c r="C1208" s="5" t="str">
        <f ca="1">CUR_Main</f>
        <v>руб.</v>
      </c>
      <c r="D1208" s="16" t="s">
        <v>2370</v>
      </c>
      <c r="F1208" s="84">
        <f t="shared" ref="F1208:M1208" si="1600">F1207*MAX((F1204-F$98)*PRJ_Step/360,0)</f>
        <v>0</v>
      </c>
      <c r="G1208" s="84">
        <f t="shared" si="1600"/>
        <v>0</v>
      </c>
      <c r="H1208" s="84">
        <f t="shared" si="1600"/>
        <v>0</v>
      </c>
      <c r="I1208" s="84">
        <f t="shared" si="1600"/>
        <v>0</v>
      </c>
      <c r="J1208" s="84">
        <f t="shared" si="1600"/>
        <v>0</v>
      </c>
      <c r="K1208" s="84">
        <f t="shared" si="1600"/>
        <v>0</v>
      </c>
      <c r="L1208" s="84">
        <f t="shared" si="1600"/>
        <v>0</v>
      </c>
      <c r="M1208" s="84">
        <f t="shared" si="1600"/>
        <v>0</v>
      </c>
      <c r="N1208" s="84">
        <f t="shared" ref="N1208" si="1601">N1207*MAX((N1204-N$98)*PRJ_Step/360,0)</f>
        <v>0</v>
      </c>
      <c r="O1208" s="84">
        <f t="shared" ref="O1208" si="1602">O1207*MAX((O1204-O$98)*PRJ_Step/360,0)</f>
        <v>0</v>
      </c>
      <c r="P1208" s="84">
        <f t="shared" ref="P1208:Q1208" si="1603">P1207*MAX((P1204-P$98)*PRJ_Step/360,0)</f>
        <v>0</v>
      </c>
      <c r="Q1208" s="84">
        <f t="shared" si="1603"/>
        <v>0</v>
      </c>
      <c r="R1208" s="244"/>
      <c r="S1208" s="54">
        <f>SUM(F1208:Q1208)</f>
        <v>0</v>
      </c>
    </row>
    <row r="1209" spans="1:19" hidden="1" outlineLevel="2" x14ac:dyDescent="0.2">
      <c r="A1209" t="str">
        <f ca="1">Language!A$661</f>
        <v>Начисленные проценты</v>
      </c>
      <c r="C1209" s="5" t="str">
        <f ca="1">CUR_Main</f>
        <v>руб.</v>
      </c>
      <c r="D1209" s="16" t="s">
        <v>2368</v>
      </c>
      <c r="F1209" s="43">
        <f t="shared" ref="F1209:M1209" si="1604">F1207*F1204*PRJ_Step/360</f>
        <v>0</v>
      </c>
      <c r="G1209" s="43">
        <f t="shared" si="1604"/>
        <v>0</v>
      </c>
      <c r="H1209" s="43">
        <f t="shared" si="1604"/>
        <v>0</v>
      </c>
      <c r="I1209" s="43">
        <f t="shared" si="1604"/>
        <v>0</v>
      </c>
      <c r="J1209" s="43">
        <f t="shared" si="1604"/>
        <v>0</v>
      </c>
      <c r="K1209" s="43">
        <f t="shared" si="1604"/>
        <v>0</v>
      </c>
      <c r="L1209" s="43">
        <f t="shared" si="1604"/>
        <v>0</v>
      </c>
      <c r="M1209" s="43">
        <f t="shared" si="1604"/>
        <v>0</v>
      </c>
      <c r="N1209" s="43">
        <f t="shared" ref="N1209" si="1605">N1207*N1204*PRJ_Step/360</f>
        <v>0</v>
      </c>
      <c r="O1209" s="43">
        <f t="shared" ref="O1209:Q1209" si="1606">O1207*O1204*PRJ_Step/360</f>
        <v>0</v>
      </c>
      <c r="P1209" s="43">
        <f t="shared" ref="P1209:Q1209" si="1607">P1207*P1204*PRJ_Step/360</f>
        <v>0</v>
      </c>
      <c r="Q1209" s="43">
        <f t="shared" si="1607"/>
        <v>0</v>
      </c>
      <c r="S1209" s="54">
        <f>SUM(F1209:Q1209)</f>
        <v>0</v>
      </c>
    </row>
    <row r="1210" spans="1:19" outlineLevel="1" x14ac:dyDescent="0.2">
      <c r="A1210" s="63"/>
      <c r="B1210" s="63"/>
      <c r="C1210" s="63"/>
      <c r="D1210" s="63"/>
      <c r="E1210" s="63"/>
      <c r="F1210" s="63"/>
      <c r="G1210" s="63"/>
      <c r="H1210" s="63"/>
      <c r="I1210" s="63"/>
      <c r="J1210" s="63"/>
      <c r="K1210" s="63"/>
      <c r="L1210" s="63"/>
      <c r="M1210" s="63"/>
      <c r="N1210" s="63"/>
      <c r="O1210" s="63"/>
      <c r="P1210" s="63"/>
      <c r="Q1210" s="63"/>
      <c r="R1210" s="304"/>
      <c r="S1210" s="64"/>
    </row>
    <row r="1211" spans="1:19" ht="10.5" outlineLevel="1" x14ac:dyDescent="0.25">
      <c r="A1211" s="62" t="str">
        <f ca="1">Language!A684</f>
        <v>Новые кредиты</v>
      </c>
      <c r="B1211" s="19"/>
      <c r="C1211" s="19"/>
      <c r="D1211" s="19">
        <v>2</v>
      </c>
      <c r="E1211" s="19">
        <v>14</v>
      </c>
      <c r="F1211" s="19"/>
      <c r="G1211" s="19"/>
      <c r="H1211" s="19"/>
      <c r="I1211" s="19"/>
      <c r="J1211" s="19"/>
      <c r="K1211" s="19"/>
      <c r="L1211" s="19"/>
      <c r="M1211" s="19"/>
      <c r="N1211" s="19"/>
      <c r="O1211" s="19"/>
      <c r="P1211" s="19"/>
      <c r="Q1211" s="19"/>
      <c r="R1211" s="305"/>
      <c r="S1211" s="22"/>
    </row>
    <row r="1212" spans="1:19" outlineLevel="1" x14ac:dyDescent="0.2">
      <c r="A1212" s="263" t="s">
        <v>2679</v>
      </c>
      <c r="B1212" s="19"/>
      <c r="C1212" s="19"/>
      <c r="D1212" s="19"/>
      <c r="E1212" s="19"/>
      <c r="F1212" s="19"/>
      <c r="G1212" s="19"/>
      <c r="H1212" s="19"/>
      <c r="I1212" s="19"/>
      <c r="J1212" s="19"/>
      <c r="K1212" s="19"/>
      <c r="L1212" s="19"/>
      <c r="M1212" s="19"/>
      <c r="N1212" s="19"/>
      <c r="O1212" s="19"/>
      <c r="P1212" s="19"/>
      <c r="Q1212" s="19"/>
      <c r="R1212" s="305"/>
      <c r="S1212" s="22"/>
    </row>
    <row r="1213" spans="1:19" outlineLevel="1" x14ac:dyDescent="0.2">
      <c r="A1213" s="19" t="str">
        <f ca="1">Language!A$655</f>
        <v>Тип кредита</v>
      </c>
      <c r="B1213" s="261">
        <v>2</v>
      </c>
      <c r="C1213" s="306" t="str">
        <f ca="1">OFFSET(Language!A$677,B1213-1,0)</f>
        <v>Инвестиционный кредит</v>
      </c>
      <c r="D1213" s="19"/>
      <c r="E1213" s="19"/>
      <c r="F1213" s="19"/>
      <c r="G1213" s="19"/>
      <c r="H1213" s="19"/>
      <c r="I1213" s="19"/>
      <c r="J1213" s="19"/>
      <c r="K1213" s="19"/>
      <c r="L1213" s="19"/>
      <c r="M1213" s="19"/>
      <c r="N1213" s="19"/>
      <c r="O1213" s="19"/>
      <c r="P1213" s="19"/>
      <c r="Q1213" s="19"/>
      <c r="R1213" s="305"/>
      <c r="S1213" s="22"/>
    </row>
    <row r="1214" spans="1:19" outlineLevel="1" x14ac:dyDescent="0.2">
      <c r="A1214" s="19" t="str">
        <f ca="1">Language!A$656</f>
        <v>Валюта кредита</v>
      </c>
      <c r="B1214" s="261">
        <v>1</v>
      </c>
      <c r="C1214" s="307" t="str">
        <f ca="1">CHOOSE(B1214,CUR_Main,CUR_Foreign)</f>
        <v>руб.</v>
      </c>
      <c r="D1214" s="19"/>
      <c r="E1214" s="19"/>
      <c r="F1214" s="19"/>
      <c r="G1214" s="19"/>
      <c r="H1214" s="19"/>
      <c r="I1214" s="19"/>
      <c r="J1214" s="19"/>
      <c r="K1214" s="19"/>
      <c r="L1214" s="19"/>
      <c r="M1214" s="19"/>
      <c r="N1214" s="19"/>
      <c r="O1214" s="19"/>
      <c r="P1214" s="19"/>
      <c r="Q1214" s="19"/>
      <c r="R1214" s="305"/>
      <c r="S1214" s="22"/>
    </row>
    <row r="1215" spans="1:19" outlineLevel="1" x14ac:dyDescent="0.2">
      <c r="A1215" t="str">
        <f ca="1">Language!A$657</f>
        <v>Годовая процентная ставка</v>
      </c>
      <c r="B1215" s="273">
        <v>0.21</v>
      </c>
      <c r="D1215" s="16" t="s">
        <v>2512</v>
      </c>
      <c r="F1215" s="108">
        <f>B1215</f>
        <v>0.21</v>
      </c>
      <c r="G1215" s="108">
        <f t="shared" ref="G1215:Q1215" si="1608">F1215</f>
        <v>0.21</v>
      </c>
      <c r="H1215" s="108">
        <f t="shared" si="1608"/>
        <v>0.21</v>
      </c>
      <c r="I1215" s="108">
        <f t="shared" si="1608"/>
        <v>0.21</v>
      </c>
      <c r="J1215" s="108">
        <f t="shared" si="1608"/>
        <v>0.21</v>
      </c>
      <c r="K1215" s="108">
        <f t="shared" si="1608"/>
        <v>0.21</v>
      </c>
      <c r="L1215" s="108">
        <f t="shared" si="1608"/>
        <v>0.21</v>
      </c>
      <c r="M1215" s="108">
        <f t="shared" si="1608"/>
        <v>0.21</v>
      </c>
      <c r="N1215" s="108">
        <f t="shared" si="1608"/>
        <v>0.21</v>
      </c>
      <c r="O1215" s="108">
        <f t="shared" si="1608"/>
        <v>0.21</v>
      </c>
      <c r="P1215" s="108">
        <f t="shared" si="1608"/>
        <v>0.21</v>
      </c>
      <c r="Q1215" s="108">
        <f t="shared" si="1608"/>
        <v>0.21</v>
      </c>
      <c r="R1215" s="244"/>
    </row>
    <row r="1216" spans="1:19" outlineLevel="1" x14ac:dyDescent="0.2">
      <c r="A1216" t="str">
        <f ca="1">Language!A$658</f>
        <v>Отсрочка выплаты процентов</v>
      </c>
      <c r="B1216" s="255">
        <v>6</v>
      </c>
      <c r="C1216" s="17" t="str">
        <f ca="1">PRJ_Step_SName</f>
        <v>мес.</v>
      </c>
      <c r="E1216">
        <v>110</v>
      </c>
      <c r="R1216" s="244"/>
    </row>
    <row r="1217" spans="1:19" outlineLevel="1" x14ac:dyDescent="0.2">
      <c r="D1217" s="16" t="s">
        <v>2517</v>
      </c>
      <c r="R1217" s="244"/>
    </row>
    <row r="1218" spans="1:19" outlineLevel="1" x14ac:dyDescent="0.2">
      <c r="A1218" t="str">
        <f ca="1">Language!A$659</f>
        <v>Поступление денег от кредита</v>
      </c>
      <c r="C1218" s="17" t="str">
        <f ca="1">CHOOSE(B1214,CUR_Main,CUR_Foreign)</f>
        <v>руб.</v>
      </c>
      <c r="D1218" s="16" t="str">
        <f>TEXT(B1213,"0") &amp; "/" &amp; TEXT(B1214,"0") &amp; "_00"</f>
        <v>2/1_00</v>
      </c>
      <c r="F1218" s="272">
        <v>2359067.6844783714</v>
      </c>
      <c r="G1218" s="272">
        <v>2982103.1201237948</v>
      </c>
      <c r="H1218" s="272">
        <v>2393268.0173260393</v>
      </c>
      <c r="I1218" s="272">
        <v>1809034.9566888495</v>
      </c>
      <c r="J1218" s="272">
        <v>1144435.2062421832</v>
      </c>
      <c r="K1218" s="272">
        <v>0</v>
      </c>
      <c r="L1218" s="272">
        <v>0</v>
      </c>
      <c r="M1218" s="272">
        <v>0</v>
      </c>
      <c r="N1218" s="272">
        <v>0</v>
      </c>
      <c r="O1218" s="272">
        <v>0</v>
      </c>
      <c r="P1218" s="272">
        <v>0</v>
      </c>
      <c r="Q1218" s="272">
        <v>0</v>
      </c>
      <c r="R1218" s="244"/>
      <c r="S1218" s="54">
        <f>SUM(F1218:Q1218)</f>
        <v>10687908.984859239</v>
      </c>
    </row>
    <row r="1219" spans="1:19" outlineLevel="1" x14ac:dyDescent="0.2">
      <c r="A1219" t="str">
        <f ca="1">Language!A$660</f>
        <v>Погашение основного долга</v>
      </c>
      <c r="C1219" s="5" t="str">
        <f ca="1">CHOOSE(B1214,CUR_Main,CUR_Foreign)</f>
        <v>руб.</v>
      </c>
      <c r="D1219" s="16" t="str">
        <f>TEXT(B1213,"0") &amp; "/" &amp; TEXT(B1214,"0")&amp;"_01"</f>
        <v>2/1_01</v>
      </c>
      <c r="F1219" s="272">
        <v>0</v>
      </c>
      <c r="G1219" s="272">
        <v>0</v>
      </c>
      <c r="H1219" s="272">
        <v>0</v>
      </c>
      <c r="I1219" s="272">
        <v>0</v>
      </c>
      <c r="J1219" s="272">
        <v>0</v>
      </c>
      <c r="K1219" s="272">
        <v>23659.363592692334</v>
      </c>
      <c r="L1219" s="272">
        <v>1202620.5457013601</v>
      </c>
      <c r="M1219" s="272">
        <v>2406104.568837841</v>
      </c>
      <c r="N1219" s="272">
        <v>4335106.8980769133</v>
      </c>
      <c r="O1219" s="272">
        <v>3558056.5059945099</v>
      </c>
      <c r="P1219" s="272">
        <v>0</v>
      </c>
      <c r="Q1219" s="272">
        <v>0</v>
      </c>
      <c r="R1219" s="244"/>
      <c r="S1219" s="54">
        <f>SUM(F1219:Q1219)</f>
        <v>11525547.882203316</v>
      </c>
    </row>
    <row r="1220" spans="1:19" outlineLevel="1" x14ac:dyDescent="0.2">
      <c r="A1220" t="str">
        <f ca="1">Language!A$662</f>
        <v>Выплаченные проценты</v>
      </c>
      <c r="C1220" s="5" t="str">
        <f ca="1">CHOOSE(B1214,CUR_Main,CUR_Foreign)</f>
        <v>руб.</v>
      </c>
      <c r="D1220" s="16" t="str">
        <f>TEXT(B1213,"0") &amp; "/" &amp; TEXT(B1214,"0")&amp;"_03"</f>
        <v>2/1_03</v>
      </c>
      <c r="F1220" s="53">
        <f t="shared" ref="F1220:M1220" si="1609">IF(F$29&gt;=(F1223+$B1216),F1222*F1215*PRJ_Step/360,0)</f>
        <v>0</v>
      </c>
      <c r="G1220" s="53">
        <f t="shared" si="1609"/>
        <v>0</v>
      </c>
      <c r="H1220" s="53">
        <f t="shared" si="1609"/>
        <v>0</v>
      </c>
      <c r="I1220" s="53">
        <f t="shared" si="1609"/>
        <v>0</v>
      </c>
      <c r="J1220" s="53">
        <f t="shared" si="1609"/>
        <v>0</v>
      </c>
      <c r="K1220" s="53">
        <f t="shared" si="1609"/>
        <v>0</v>
      </c>
      <c r="L1220" s="53">
        <f t="shared" si="1609"/>
        <v>180237.18952591211</v>
      </c>
      <c r="M1220" s="53">
        <f t="shared" si="1609"/>
        <v>138130.35957124989</v>
      </c>
      <c r="N1220" s="53">
        <f t="shared" ref="N1220" si="1610">IF(N$29&gt;=(N1223+$B1216),N1222*N1215*PRJ_Step/360,0)</f>
        <v>62265.988854903924</v>
      </c>
      <c r="O1220" s="53">
        <f t="shared" ref="O1220" si="1611">IF(O$29&gt;=(O1223+$B1216),O1222*O1215*PRJ_Step/360,0)</f>
        <v>0</v>
      </c>
      <c r="P1220" s="53">
        <f t="shared" ref="P1220:Q1220" si="1612">IF(P$29&gt;=(P1223+$B1216),P1222*P1215*PRJ_Step/360,0)</f>
        <v>0</v>
      </c>
      <c r="Q1220" s="53">
        <f t="shared" si="1612"/>
        <v>0</v>
      </c>
      <c r="R1220" s="244"/>
      <c r="S1220" s="54">
        <f>SUM(F1220:Q1220)</f>
        <v>380633.53795206588</v>
      </c>
    </row>
    <row r="1221" spans="1:19" outlineLevel="1" collapsed="1" x14ac:dyDescent="0.2">
      <c r="A1221" t="str">
        <f ca="1">Language!A$664</f>
        <v>Задолженность на конец текущего периода</v>
      </c>
      <c r="C1221" s="5" t="str">
        <f ca="1">CHOOSE(B1214,CUR_Main,CUR_Foreign)</f>
        <v>руб.</v>
      </c>
      <c r="D1221" t="str">
        <f>TEXT(B1213,"0") &amp; "/" &amp; TEXT(B1214,"0")&amp;"_04"&amp;";int_end"</f>
        <v>2/1_04;int_end</v>
      </c>
      <c r="F1221" s="43">
        <f t="shared" ref="F1221:Q1221" si="1613">E1221+F1218-F1219+IF(F$29&lt;(F1223+$B1216),F1222*F1215*PRJ_Step/360,0)</f>
        <v>2400351.3689567428</v>
      </c>
      <c r="G1221" s="43">
        <f t="shared" si="1613"/>
        <v>5476647.4426394468</v>
      </c>
      <c r="H1221" s="43">
        <f t="shared" si="1613"/>
        <v>8007638.9805148821</v>
      </c>
      <c r="I1221" s="43">
        <f t="shared" si="1613"/>
        <v>9988465.7311047968</v>
      </c>
      <c r="J1221" s="43">
        <f t="shared" si="1613"/>
        <v>11327726.703750553</v>
      </c>
      <c r="K1221" s="43">
        <f t="shared" si="1613"/>
        <v>11501888.518610623</v>
      </c>
      <c r="L1221" s="43">
        <f t="shared" si="1613"/>
        <v>10299267.972909262</v>
      </c>
      <c r="M1221" s="43">
        <f t="shared" si="1613"/>
        <v>7893163.4040714214</v>
      </c>
      <c r="N1221" s="43">
        <f t="shared" si="1613"/>
        <v>3558056.505994508</v>
      </c>
      <c r="O1221" s="43">
        <f t="shared" si="1613"/>
        <v>-1.862645149230957E-9</v>
      </c>
      <c r="P1221" s="43">
        <f t="shared" si="1613"/>
        <v>-1.862645149230957E-9</v>
      </c>
      <c r="Q1221" s="43">
        <f t="shared" si="1613"/>
        <v>-1.862645149230957E-9</v>
      </c>
    </row>
    <row r="1222" spans="1:19" hidden="1" outlineLevel="2" x14ac:dyDescent="0.2">
      <c r="A1222" t="str">
        <f ca="1">Language!A$663</f>
        <v>Задолженность на начало текущего периода</v>
      </c>
      <c r="C1222" s="5" t="str">
        <f ca="1">CHOOSE(B1214,CUR_Main,CUR_Foreign)</f>
        <v>руб.</v>
      </c>
      <c r="D1222" s="16" t="s">
        <v>384</v>
      </c>
      <c r="F1222" s="53">
        <f t="shared" ref="F1222:R1222" si="1614">E1222+F1218-F1219+IF(F$29&lt;=(F1223+$B1216),E1222*F1215*PRJ_Step/360,0)</f>
        <v>2359067.6844783714</v>
      </c>
      <c r="G1222" s="53">
        <f t="shared" si="1614"/>
        <v>5382454.489080538</v>
      </c>
      <c r="H1222" s="53">
        <f t="shared" si="1614"/>
        <v>7869915.459965487</v>
      </c>
      <c r="I1222" s="53">
        <f t="shared" si="1614"/>
        <v>9816673.9372037333</v>
      </c>
      <c r="J1222" s="53">
        <f t="shared" si="1614"/>
        <v>11132900.937346982</v>
      </c>
      <c r="K1222" s="53">
        <f t="shared" si="1614"/>
        <v>11304067.340157863</v>
      </c>
      <c r="L1222" s="53">
        <f t="shared" si="1614"/>
        <v>10299267.972909264</v>
      </c>
      <c r="M1222" s="53">
        <f t="shared" si="1614"/>
        <v>7893163.4040714232</v>
      </c>
      <c r="N1222" s="53">
        <f t="shared" si="1614"/>
        <v>3558056.5059945099</v>
      </c>
      <c r="O1222" s="53">
        <f t="shared" si="1614"/>
        <v>0</v>
      </c>
      <c r="P1222" s="53">
        <f t="shared" si="1614"/>
        <v>0</v>
      </c>
      <c r="Q1222" s="53">
        <f t="shared" si="1614"/>
        <v>0</v>
      </c>
      <c r="R1222" s="243">
        <f t="shared" si="1614"/>
        <v>0</v>
      </c>
    </row>
    <row r="1223" spans="1:19" hidden="1" outlineLevel="2" x14ac:dyDescent="0.2">
      <c r="A1223" t="str">
        <f ca="1">Language!A$666</f>
        <v xml:space="preserve">    интервал, в котором впервые взят кредит</v>
      </c>
      <c r="C1223" s="5"/>
      <c r="D1223" s="16" t="str">
        <f>TEXT(B1213,"0") &amp; "/" &amp; TEXT(B1214,"0")&amp;"_06"&amp;";int_end"</f>
        <v>2/1_06;int_end</v>
      </c>
      <c r="F1223" s="53">
        <f>IF(AND(E1223=0,F1218&lt;&gt;0,SUM($E1218:E1218)=0),F$29,E1223)</f>
        <v>1</v>
      </c>
      <c r="G1223" s="53">
        <f>IF(AND(F1223=0,G1218&lt;&gt;0,SUM($E1218:F1218)=0),G$29,F1223)</f>
        <v>1</v>
      </c>
      <c r="H1223" s="53">
        <f>IF(AND(G1223=0,H1218&lt;&gt;0,SUM($E1218:G1218)=0),H$29,G1223)</f>
        <v>1</v>
      </c>
      <c r="I1223" s="53">
        <f>IF(AND(H1223=0,I1218&lt;&gt;0,SUM($E1218:H1218)=0),I$29,H1223)</f>
        <v>1</v>
      </c>
      <c r="J1223" s="53">
        <f>IF(AND(I1223=0,J1218&lt;&gt;0,SUM($E1218:I1218)=0),J$29,I1223)</f>
        <v>1</v>
      </c>
      <c r="K1223" s="53">
        <f>IF(AND(J1223=0,K1218&lt;&gt;0,SUM($E1218:J1218)=0),K$29,J1223)</f>
        <v>1</v>
      </c>
      <c r="L1223" s="53">
        <f>IF(AND(K1223=0,L1218&lt;&gt;0,SUM($E1218:K1218)=0),L$29,K1223)</f>
        <v>1</v>
      </c>
      <c r="M1223" s="53">
        <f>IF(AND(L1223=0,M1218&lt;&gt;0,SUM($E1218:L1218)=0),M$29,L1223)</f>
        <v>1</v>
      </c>
      <c r="N1223" s="53">
        <f>IF(AND(M1223=0,N1218&lt;&gt;0,SUM($E1218:M1218)=0),N$29,M1223)</f>
        <v>1</v>
      </c>
      <c r="O1223" s="53">
        <f>IF(AND(N1223=0,O1218&lt;&gt;0,SUM($E1218:N1218)=0),O$29,N1223)</f>
        <v>1</v>
      </c>
      <c r="P1223" s="53">
        <f>IF(AND(O1223=0,P1218&lt;&gt;0,SUM($E1218:O1218)=0),P$29,O1223)</f>
        <v>1</v>
      </c>
      <c r="Q1223" s="53">
        <f>IF(AND(P1223=0,Q1218&lt;&gt;0,SUM($E1218:P1218)=0),Q$29,P1223)</f>
        <v>1</v>
      </c>
      <c r="R1223" s="244"/>
    </row>
    <row r="1224" spans="1:19" hidden="1" outlineLevel="2" x14ac:dyDescent="0.2">
      <c r="A1224" t="str">
        <f ca="1">Language!A$667</f>
        <v xml:space="preserve">    проценты, выплачиваемые из прибыли</v>
      </c>
      <c r="C1224" s="5" t="str">
        <f ca="1">CHOOSE(B1214,CUR_Main,CUR_Foreign)</f>
        <v>руб.</v>
      </c>
      <c r="D1224" s="16" t="str">
        <f>TEXT(B1213,"0") &amp; "/" &amp; TEXT(B1214,"0")&amp;"_07"</f>
        <v>2/1_07</v>
      </c>
      <c r="F1224" s="84">
        <f t="shared" ref="F1224:Q1224" si="1615">IF(AND(F$29&gt;=(F1223+$B1216),F$29&gt;$B$404),F1222*MAX((F1215-IF($B1214=1,F$98,F$99))*PRJ_Step/360,0),0)</f>
        <v>0</v>
      </c>
      <c r="G1224" s="84">
        <f t="shared" si="1615"/>
        <v>0</v>
      </c>
      <c r="H1224" s="84">
        <f t="shared" si="1615"/>
        <v>0</v>
      </c>
      <c r="I1224" s="84">
        <f t="shared" si="1615"/>
        <v>0</v>
      </c>
      <c r="J1224" s="84">
        <f t="shared" si="1615"/>
        <v>0</v>
      </c>
      <c r="K1224" s="84">
        <f t="shared" si="1615"/>
        <v>0</v>
      </c>
      <c r="L1224" s="84">
        <f t="shared" si="1615"/>
        <v>29181.259256576224</v>
      </c>
      <c r="M1224" s="84">
        <f t="shared" si="1615"/>
        <v>22363.962978202348</v>
      </c>
      <c r="N1224" s="84">
        <f t="shared" si="1615"/>
        <v>10081.160100317769</v>
      </c>
      <c r="O1224" s="84">
        <f t="shared" si="1615"/>
        <v>0</v>
      </c>
      <c r="P1224" s="84">
        <f t="shared" si="1615"/>
        <v>0</v>
      </c>
      <c r="Q1224" s="84">
        <f t="shared" si="1615"/>
        <v>0</v>
      </c>
      <c r="R1224" s="244"/>
      <c r="S1224" s="54">
        <f>SUM(F1224:Q1224)</f>
        <v>61626.382335096343</v>
      </c>
    </row>
    <row r="1225" spans="1:19" hidden="1" outlineLevel="2" x14ac:dyDescent="0.2">
      <c r="A1225" t="str">
        <f ca="1">Language!A$661</f>
        <v>Начисленные проценты</v>
      </c>
      <c r="C1225" s="5" t="str">
        <f ca="1">CHOOSE(B1214,CUR_Main,CUR_Foreign)</f>
        <v>руб.</v>
      </c>
      <c r="D1225" t="str">
        <f>TEXT(B1213,"0") &amp; "/" &amp; TEXT(B1214,"0")&amp;"_02"</f>
        <v>2/1_02</v>
      </c>
      <c r="F1225" s="43">
        <f t="shared" ref="F1225:M1225" si="1616">F1222*F1215*PRJ_Step/360</f>
        <v>41283.684478371499</v>
      </c>
      <c r="G1225" s="43">
        <f t="shared" si="1616"/>
        <v>94192.953558909416</v>
      </c>
      <c r="H1225" s="43">
        <f t="shared" si="1616"/>
        <v>137723.52054939602</v>
      </c>
      <c r="I1225" s="43">
        <f t="shared" si="1616"/>
        <v>171791.79390106534</v>
      </c>
      <c r="J1225" s="43">
        <f t="shared" si="1616"/>
        <v>194825.76640357217</v>
      </c>
      <c r="K1225" s="43">
        <f t="shared" si="1616"/>
        <v>197821.1784527626</v>
      </c>
      <c r="L1225" s="43">
        <f t="shared" si="1616"/>
        <v>180237.18952591211</v>
      </c>
      <c r="M1225" s="43">
        <f t="shared" si="1616"/>
        <v>138130.35957124989</v>
      </c>
      <c r="N1225" s="43">
        <f t="shared" ref="N1225" si="1617">N1222*N1215*PRJ_Step/360</f>
        <v>62265.988854903924</v>
      </c>
      <c r="O1225" s="43">
        <f t="shared" ref="O1225:Q1225" si="1618">O1222*O1215*PRJ_Step/360</f>
        <v>0</v>
      </c>
      <c r="P1225" s="43">
        <f t="shared" ref="P1225:Q1225" si="1619">P1222*P1215*PRJ_Step/360</f>
        <v>0</v>
      </c>
      <c r="Q1225" s="43">
        <f t="shared" si="1619"/>
        <v>0</v>
      </c>
      <c r="R1225" s="244"/>
      <c r="S1225" s="54">
        <f>SUM(F1225:Q1225)</f>
        <v>1218272.4352961429</v>
      </c>
    </row>
    <row r="1226" spans="1:19" ht="10.5" outlineLevel="1" x14ac:dyDescent="0.25">
      <c r="A1226" s="35" t="str">
        <f ca="1">Language!A669</f>
        <v xml:space="preserve"> = Итого: Поступления от кредитов</v>
      </c>
      <c r="C1226" s="5" t="str">
        <f t="shared" ref="C1226:C1234" ca="1" si="1620">CUR_Main</f>
        <v>руб.</v>
      </c>
      <c r="E1226" s="43">
        <f>IF(D64="1_19",F64,F64*F88)</f>
        <v>0</v>
      </c>
      <c r="F1226" s="56">
        <f>SUMIF($D1203:$D1225,"*1_00*",F1203:F1225)+SUMIF($D1203:$D1225,"*2_00*",F1203:F1225)*F$88</f>
        <v>2359067.6844783714</v>
      </c>
      <c r="G1226" s="56">
        <f>SUMIF($D1203:$D1225,"*1_00*",G1203:G1225)+SUMIF($D1203:$D1225,"*2_00*",G1203:G1225)*G$88</f>
        <v>2982103.1201237948</v>
      </c>
      <c r="H1226" s="56">
        <f>SUMIF($D1203:$D1225,"*1_00*",H1203:H1225)+SUMIF($D1203:$D1225,"*2_00*",H1203:H1225)*H$88</f>
        <v>2393268.0173260393</v>
      </c>
      <c r="I1226" s="56">
        <f>SUMIF($D1203:$D1225,"*1_00*",I1203:I1225)+SUMIF($D1203:$D1225,"*2_00*",I1203:I1225)*I$88</f>
        <v>1809034.9566888495</v>
      </c>
      <c r="J1226" s="56">
        <f>SUMIF($D1203:$D1225,"*1_00*",J1203:J1225)+SUMIF($D1203:$D1225,"*2_00*",J1203:J1225)*J$88</f>
        <v>1144435.2062421832</v>
      </c>
      <c r="K1226" s="56">
        <f>SUMIF($D1203:$D1225,"*1_00*",K1203:K1225)+SUMIF($D1203:$D1225,"*2_00*",K1203:K1225)*K$88</f>
        <v>0</v>
      </c>
      <c r="L1226" s="56">
        <f>SUMIF($D1203:$D1225,"*1_00*",L1203:L1225)+SUMIF($D1203:$D1225,"*2_00*",L1203:L1225)*L$88</f>
        <v>0</v>
      </c>
      <c r="M1226" s="56">
        <f>SUMIF($D1203:$D1225,"*1_00*",M1203:M1225)+SUMIF($D1203:$D1225,"*2_00*",M1203:M1225)*M$88</f>
        <v>0</v>
      </c>
      <c r="N1226" s="56">
        <f>SUMIF($D1203:$D1225,"*1_00*",N1203:N1225)+SUMIF($D1203:$D1225,"*2_00*",N1203:N1225)*N$88</f>
        <v>0</v>
      </c>
      <c r="O1226" s="56">
        <f>SUMIF($D1203:$D1225,"*1_00*",O1203:O1225)+SUMIF($D1203:$D1225,"*2_00*",O1203:O1225)*O$88</f>
        <v>0</v>
      </c>
      <c r="P1226" s="56">
        <f>SUMIF($D1203:$D1225,"*1_00*",P1203:P1225)+SUMIF($D1203:$D1225,"*2_00*",P1203:P1225)*P$88</f>
        <v>0</v>
      </c>
      <c r="Q1226" s="56">
        <f>SUMIF($D1203:$D1225,"*1_00*",Q1203:Q1225)+SUMIF($D1203:$D1225,"*2_00*",Q1203:Q1225)*Q$88</f>
        <v>0</v>
      </c>
      <c r="R1226" s="244"/>
      <c r="S1226" s="57">
        <f t="shared" ref="S1226:S1231" si="1621">SUM(F1226:Q1226)</f>
        <v>10687908.984859239</v>
      </c>
    </row>
    <row r="1227" spans="1:19" ht="10.5" outlineLevel="1" x14ac:dyDescent="0.25">
      <c r="A1227" s="35" t="str">
        <f ca="1">Language!A670</f>
        <v xml:space="preserve"> = Итого: Погашение кредитов</v>
      </c>
      <c r="C1227" s="5" t="str">
        <f t="shared" ca="1" si="1620"/>
        <v>руб.</v>
      </c>
      <c r="F1227" s="58">
        <f>SUMIF($D1203:$D1225,"*1_01*",F1203:F1225)+SUMIF($D1203:$D1225,"*2_01*",F1203:F1225)*F$88</f>
        <v>0</v>
      </c>
      <c r="G1227" s="58">
        <f>SUMIF($D1203:$D1225,"*1_01*",G1203:G1225)+SUMIF($D1203:$D1225,"*2_01*",G1203:G1225)*G$88</f>
        <v>0</v>
      </c>
      <c r="H1227" s="58">
        <f>SUMIF($D1203:$D1225,"*1_01*",H1203:H1225)+SUMIF($D1203:$D1225,"*2_01*",H1203:H1225)*H$88</f>
        <v>0</v>
      </c>
      <c r="I1227" s="58">
        <f>SUMIF($D1203:$D1225,"*1_01*",I1203:I1225)+SUMIF($D1203:$D1225,"*2_01*",I1203:I1225)*I$88</f>
        <v>0</v>
      </c>
      <c r="J1227" s="58">
        <f>SUMIF($D1203:$D1225,"*1_01*",J1203:J1225)+SUMIF($D1203:$D1225,"*2_01*",J1203:J1225)*J$88</f>
        <v>0</v>
      </c>
      <c r="K1227" s="58">
        <f>SUMIF($D1203:$D1225,"*1_01*",K1203:K1225)+SUMIF($D1203:$D1225,"*2_01*",K1203:K1225)*K$88</f>
        <v>23659.363592692334</v>
      </c>
      <c r="L1227" s="58">
        <f>SUMIF($D1203:$D1225,"*1_01*",L1203:L1225)+SUMIF($D1203:$D1225,"*2_01*",L1203:L1225)*L$88</f>
        <v>1202620.5457013601</v>
      </c>
      <c r="M1227" s="58">
        <f>SUMIF($D1203:$D1225,"*1_01*",M1203:M1225)+SUMIF($D1203:$D1225,"*2_01*",M1203:M1225)*M$88</f>
        <v>2406104.568837841</v>
      </c>
      <c r="N1227" s="58">
        <f>SUMIF($D1203:$D1225,"*1_01*",N1203:N1225)+SUMIF($D1203:$D1225,"*2_01*",N1203:N1225)*N$88</f>
        <v>4335106.8980769133</v>
      </c>
      <c r="O1227" s="58">
        <f>SUMIF($D1203:$D1225,"*1_01*",O1203:O1225)+SUMIF($D1203:$D1225,"*2_01*",O1203:O1225)*O$88</f>
        <v>3558056.5059945099</v>
      </c>
      <c r="P1227" s="58">
        <f>SUMIF($D1203:$D1225,"*1_01*",P1203:P1225)+SUMIF($D1203:$D1225,"*2_01*",P1203:P1225)*P$88</f>
        <v>0</v>
      </c>
      <c r="Q1227" s="58">
        <f>SUMIF($D1203:$D1225,"*1_01*",Q1203:Q1225)+SUMIF($D1203:$D1225,"*2_01*",Q1203:Q1225)*Q$88</f>
        <v>0</v>
      </c>
      <c r="R1227" s="244"/>
      <c r="S1227" s="57">
        <f t="shared" si="1621"/>
        <v>11525547.882203316</v>
      </c>
    </row>
    <row r="1228" spans="1:19" ht="10.5" outlineLevel="1" x14ac:dyDescent="0.25">
      <c r="A1228" s="35" t="str">
        <f ca="1">Language!A672</f>
        <v xml:space="preserve"> = Итого: Выплата процентов</v>
      </c>
      <c r="C1228" s="5" t="str">
        <f t="shared" ca="1" si="1620"/>
        <v>руб.</v>
      </c>
      <c r="F1228" s="58">
        <f>SUMIF($D1203:$D1225,"*1_03*",F1203:F1225)+SUMIF($D1203:$D1225,"*2_03*",F1203:F1225)*F$88</f>
        <v>0</v>
      </c>
      <c r="G1228" s="58">
        <f>SUMIF($D1203:$D1225,"*1_03*",G1203:G1225)+SUMIF($D1203:$D1225,"*2_03*",G1203:G1225)*G$88</f>
        <v>0</v>
      </c>
      <c r="H1228" s="58">
        <f>SUMIF($D1203:$D1225,"*1_03*",H1203:H1225)+SUMIF($D1203:$D1225,"*2_03*",H1203:H1225)*H$88</f>
        <v>0</v>
      </c>
      <c r="I1228" s="58">
        <f>SUMIF($D1203:$D1225,"*1_03*",I1203:I1225)+SUMIF($D1203:$D1225,"*2_03*",I1203:I1225)*I$88</f>
        <v>0</v>
      </c>
      <c r="J1228" s="58">
        <f>SUMIF($D1203:$D1225,"*1_03*",J1203:J1225)+SUMIF($D1203:$D1225,"*2_03*",J1203:J1225)*J$88</f>
        <v>0</v>
      </c>
      <c r="K1228" s="58">
        <f>SUMIF($D1203:$D1225,"*1_03*",K1203:K1225)+SUMIF($D1203:$D1225,"*2_03*",K1203:K1225)*K$88</f>
        <v>0</v>
      </c>
      <c r="L1228" s="58">
        <f>SUMIF($D1203:$D1225,"*1_03*",L1203:L1225)+SUMIF($D1203:$D1225,"*2_03*",L1203:L1225)*L$88</f>
        <v>180237.18952591211</v>
      </c>
      <c r="M1228" s="58">
        <f>SUMIF($D1203:$D1225,"*1_03*",M1203:M1225)+SUMIF($D1203:$D1225,"*2_03*",M1203:M1225)*M$88</f>
        <v>138130.35957124989</v>
      </c>
      <c r="N1228" s="58">
        <f>SUMIF($D1203:$D1225,"*1_03*",N1203:N1225)+SUMIF($D1203:$D1225,"*2_03*",N1203:N1225)*N$88</f>
        <v>62265.988854903924</v>
      </c>
      <c r="O1228" s="58">
        <f>SUMIF($D1203:$D1225,"*1_03*",O1203:O1225)+SUMIF($D1203:$D1225,"*2_03*",O1203:O1225)*O$88</f>
        <v>0</v>
      </c>
      <c r="P1228" s="58">
        <f>SUMIF($D1203:$D1225,"*1_03*",P1203:P1225)+SUMIF($D1203:$D1225,"*2_03*",P1203:P1225)*P$88</f>
        <v>0</v>
      </c>
      <c r="Q1228" s="58">
        <f>SUMIF($D1203:$D1225,"*1_03*",Q1203:Q1225)+SUMIF($D1203:$D1225,"*2_03*",Q1203:Q1225)*Q$88</f>
        <v>0</v>
      </c>
      <c r="R1228" s="244"/>
      <c r="S1228" s="57">
        <f t="shared" si="1621"/>
        <v>380633.53795206588</v>
      </c>
    </row>
    <row r="1229" spans="1:19" outlineLevel="1" x14ac:dyDescent="0.2">
      <c r="A1229" t="str">
        <f ca="1">Language!A667</f>
        <v xml:space="preserve">    проценты, выплачиваемые из прибыли</v>
      </c>
      <c r="C1229" s="5" t="str">
        <f t="shared" ca="1" si="1620"/>
        <v>руб.</v>
      </c>
      <c r="F1229" s="109">
        <f>SUMIF($D1203:$D1225,"*1_07*",F1203:F1225)+SUMIF($D1203:$D1225,"*2_07*",F1203:F1225)*F$88</f>
        <v>0</v>
      </c>
      <c r="G1229" s="109">
        <f>SUMIF($D1203:$D1225,"*1_07*",G1203:G1225)+SUMIF($D1203:$D1225,"*2_07*",G1203:G1225)*G$88</f>
        <v>0</v>
      </c>
      <c r="H1229" s="109">
        <f>SUMIF($D1203:$D1225,"*1_07*",H1203:H1225)+SUMIF($D1203:$D1225,"*2_07*",H1203:H1225)*H$88</f>
        <v>0</v>
      </c>
      <c r="I1229" s="109">
        <f>SUMIF($D1203:$D1225,"*1_07*",I1203:I1225)+SUMIF($D1203:$D1225,"*2_07*",I1203:I1225)*I$88</f>
        <v>0</v>
      </c>
      <c r="J1229" s="109">
        <f>SUMIF($D1203:$D1225,"*1_07*",J1203:J1225)+SUMIF($D1203:$D1225,"*2_07*",J1203:J1225)*J$88</f>
        <v>0</v>
      </c>
      <c r="K1229" s="109">
        <f>SUMIF($D1203:$D1225,"*1_07*",K1203:K1225)+SUMIF($D1203:$D1225,"*2_07*",K1203:K1225)*K$88</f>
        <v>0</v>
      </c>
      <c r="L1229" s="109">
        <f>SUMIF($D1203:$D1225,"*1_07*",L1203:L1225)+SUMIF($D1203:$D1225,"*2_07*",L1203:L1225)*L$88</f>
        <v>29181.259256576224</v>
      </c>
      <c r="M1229" s="109">
        <f>SUMIF($D1203:$D1225,"*1_07*",M1203:M1225)+SUMIF($D1203:$D1225,"*2_07*",M1203:M1225)*M$88</f>
        <v>22363.962978202348</v>
      </c>
      <c r="N1229" s="109">
        <f>SUMIF($D1203:$D1225,"*1_07*",N1203:N1225)+SUMIF($D1203:$D1225,"*2_07*",N1203:N1225)*N$88</f>
        <v>10081.160100317769</v>
      </c>
      <c r="O1229" s="109">
        <f>SUMIF($D1203:$D1225,"*1_07*",O1203:O1225)+SUMIF($D1203:$D1225,"*2_07*",O1203:O1225)*O$88</f>
        <v>0</v>
      </c>
      <c r="P1229" s="109">
        <f>SUMIF($D1203:$D1225,"*1_07*",P1203:P1225)+SUMIF($D1203:$D1225,"*2_07*",P1203:P1225)*P$88</f>
        <v>0</v>
      </c>
      <c r="Q1229" s="109">
        <f>SUMIF($D1203:$D1225,"*1_07*",Q1203:Q1225)+SUMIF($D1203:$D1225,"*2_07*",Q1203:Q1225)*Q$88</f>
        <v>0</v>
      </c>
      <c r="R1229" s="244"/>
      <c r="S1229" s="54">
        <f t="shared" si="1621"/>
        <v>61626.382335096343</v>
      </c>
    </row>
    <row r="1230" spans="1:19" ht="10.5" outlineLevel="1" x14ac:dyDescent="0.25">
      <c r="A1230" s="35" t="str">
        <f ca="1">Language!A671</f>
        <v xml:space="preserve"> = Итого: Начисление процентов</v>
      </c>
      <c r="C1230" s="5" t="str">
        <f ca="1">CUR_Main</f>
        <v>руб.</v>
      </c>
      <c r="F1230" s="58">
        <f>SUMIF($D1203:$D1225,"*1_02*",F1203:F1225)+SUMIF($D1203:$D1225,"*2_02*",F1203:F1225)*F$88</f>
        <v>41283.684478371499</v>
      </c>
      <c r="G1230" s="58">
        <f>SUMIF($D1203:$D1225,"*1_02*",G1203:G1225)+SUMIF($D1203:$D1225,"*2_02*",G1203:G1225)*G$88</f>
        <v>94192.953558909416</v>
      </c>
      <c r="H1230" s="58">
        <f>SUMIF($D1203:$D1225,"*1_02*",H1203:H1225)+SUMIF($D1203:$D1225,"*2_02*",H1203:H1225)*H$88</f>
        <v>137723.52054939602</v>
      </c>
      <c r="I1230" s="58">
        <f>SUMIF($D1203:$D1225,"*1_02*",I1203:I1225)+SUMIF($D1203:$D1225,"*2_02*",I1203:I1225)*I$88</f>
        <v>171791.79390106534</v>
      </c>
      <c r="J1230" s="58">
        <f>SUMIF($D1203:$D1225,"*1_02*",J1203:J1225)+SUMIF($D1203:$D1225,"*2_02*",J1203:J1225)*J$88</f>
        <v>194825.76640357217</v>
      </c>
      <c r="K1230" s="58">
        <f>SUMIF($D1203:$D1225,"*1_02*",K1203:K1225)+SUMIF($D1203:$D1225,"*2_02*",K1203:K1225)*K$88</f>
        <v>197821.1784527626</v>
      </c>
      <c r="L1230" s="58">
        <f>SUMIF($D1203:$D1225,"*1_02*",L1203:L1225)+SUMIF($D1203:$D1225,"*2_02*",L1203:L1225)*L$88</f>
        <v>180237.18952591211</v>
      </c>
      <c r="M1230" s="58">
        <f>SUMIF($D1203:$D1225,"*1_02*",M1203:M1225)+SUMIF($D1203:$D1225,"*2_02*",M1203:M1225)*M$88</f>
        <v>138130.35957124989</v>
      </c>
      <c r="N1230" s="58">
        <f>SUMIF($D1203:$D1225,"*1_02*",N1203:N1225)+SUMIF($D1203:$D1225,"*2_02*",N1203:N1225)*N$88</f>
        <v>62265.988854903924</v>
      </c>
      <c r="O1230" s="58">
        <f>SUMIF($D1203:$D1225,"*1_02*",O1203:O1225)+SUMIF($D1203:$D1225,"*2_02*",O1203:O1225)*O$88</f>
        <v>0</v>
      </c>
      <c r="P1230" s="58">
        <f>SUMIF($D1203:$D1225,"*1_02*",P1203:P1225)+SUMIF($D1203:$D1225,"*2_02*",P1203:P1225)*P$88</f>
        <v>0</v>
      </c>
      <c r="Q1230" s="58">
        <f>SUMIF($D1203:$D1225,"*1_02*",Q1203:Q1225)+SUMIF($D1203:$D1225,"*2_02*",Q1203:Q1225)*Q$88</f>
        <v>0</v>
      </c>
      <c r="R1230" s="244"/>
      <c r="S1230" s="57">
        <f t="shared" si="1621"/>
        <v>1218272.4352961429</v>
      </c>
    </row>
    <row r="1231" spans="1:19" outlineLevel="1" x14ac:dyDescent="0.2">
      <c r="A1231" s="23" t="str">
        <f ca="1">Language!A685</f>
        <v xml:space="preserve">    проценты по новым инвестиционным кредитам</v>
      </c>
      <c r="C1231" s="5" t="str">
        <f ca="1">CUR_Main</f>
        <v>руб.</v>
      </c>
      <c r="F1231" s="109">
        <f>SUMIF($D1211:$D1225,"*2/1_02*",F1211:F1225)+SUMIF($D1211:$D1225,"*2/2_02*",F1211:F1225)*F$88+SUMIF($D1211:$D1225,"*3/1_02*",F1211:F1225)+SUMIF($D1211:$D1225,"*3/2_02*",F1211:F1225)*F$88+SUMIF($D1211:$D1225,"*4/1_02*",F1211:F1225)+SUMIF($D1211:$D1225,"*4/2_02*",F1211:F1225)*F$88</f>
        <v>41283.684478371499</v>
      </c>
      <c r="G1231" s="109">
        <f>SUMIF($D1211:$D1225,"*2/1_02*",G1211:G1225)+SUMIF($D1211:$D1225,"*2/2_02*",G1211:G1225)*G$88+SUMIF($D1211:$D1225,"*3/1_02*",G1211:G1225)+SUMIF($D1211:$D1225,"*3/2_02*",G1211:G1225)*G$88+SUMIF($D1211:$D1225,"*4/1_02*",G1211:G1225)+SUMIF($D1211:$D1225,"*4/2_02*",G1211:G1225)*G$88</f>
        <v>94192.953558909416</v>
      </c>
      <c r="H1231" s="109">
        <f>SUMIF($D1211:$D1225,"*2/1_02*",H1211:H1225)+SUMIF($D1211:$D1225,"*2/2_02*",H1211:H1225)*H$88+SUMIF($D1211:$D1225,"*3/1_02*",H1211:H1225)+SUMIF($D1211:$D1225,"*3/2_02*",H1211:H1225)*H$88+SUMIF($D1211:$D1225,"*4/1_02*",H1211:H1225)+SUMIF($D1211:$D1225,"*4/2_02*",H1211:H1225)*H$88</f>
        <v>137723.52054939602</v>
      </c>
      <c r="I1231" s="109">
        <f>SUMIF($D1211:$D1225,"*2/1_02*",I1211:I1225)+SUMIF($D1211:$D1225,"*2/2_02*",I1211:I1225)*I$88+SUMIF($D1211:$D1225,"*3/1_02*",I1211:I1225)+SUMIF($D1211:$D1225,"*3/2_02*",I1211:I1225)*I$88+SUMIF($D1211:$D1225,"*4/1_02*",I1211:I1225)+SUMIF($D1211:$D1225,"*4/2_02*",I1211:I1225)*I$88</f>
        <v>171791.79390106534</v>
      </c>
      <c r="J1231" s="109">
        <f>SUMIF($D1211:$D1225,"*2/1_02*",J1211:J1225)+SUMIF($D1211:$D1225,"*2/2_02*",J1211:J1225)*J$88+SUMIF($D1211:$D1225,"*3/1_02*",J1211:J1225)+SUMIF($D1211:$D1225,"*3/2_02*",J1211:J1225)*J$88+SUMIF($D1211:$D1225,"*4/1_02*",J1211:J1225)+SUMIF($D1211:$D1225,"*4/2_02*",J1211:J1225)*J$88</f>
        <v>194825.76640357217</v>
      </c>
      <c r="K1231" s="109">
        <f>SUMIF($D1211:$D1225,"*2/1_02*",K1211:K1225)+SUMIF($D1211:$D1225,"*2/2_02*",K1211:K1225)*K$88+SUMIF($D1211:$D1225,"*3/1_02*",K1211:K1225)+SUMIF($D1211:$D1225,"*3/2_02*",K1211:K1225)*K$88+SUMIF($D1211:$D1225,"*4/1_02*",K1211:K1225)+SUMIF($D1211:$D1225,"*4/2_02*",K1211:K1225)*K$88</f>
        <v>197821.1784527626</v>
      </c>
      <c r="L1231" s="109">
        <f>SUMIF($D1211:$D1225,"*2/1_02*",L1211:L1225)+SUMIF($D1211:$D1225,"*2/2_02*",L1211:L1225)*L$88+SUMIF($D1211:$D1225,"*3/1_02*",L1211:L1225)+SUMIF($D1211:$D1225,"*3/2_02*",L1211:L1225)*L$88+SUMIF($D1211:$D1225,"*4/1_02*",L1211:L1225)+SUMIF($D1211:$D1225,"*4/2_02*",L1211:L1225)*L$88</f>
        <v>180237.18952591211</v>
      </c>
      <c r="M1231" s="109">
        <f>SUMIF($D1211:$D1225,"*2/1_02*",M1211:M1225)+SUMIF($D1211:$D1225,"*2/2_02*",M1211:M1225)*M$88+SUMIF($D1211:$D1225,"*3/1_02*",M1211:M1225)+SUMIF($D1211:$D1225,"*3/2_02*",M1211:M1225)*M$88+SUMIF($D1211:$D1225,"*4/1_02*",M1211:M1225)+SUMIF($D1211:$D1225,"*4/2_02*",M1211:M1225)*M$88</f>
        <v>138130.35957124989</v>
      </c>
      <c r="N1231" s="109">
        <f>SUMIF($D1211:$D1225,"*2/1_02*",N1211:N1225)+SUMIF($D1211:$D1225,"*2/2_02*",N1211:N1225)*N$88+SUMIF($D1211:$D1225,"*3/1_02*",N1211:N1225)+SUMIF($D1211:$D1225,"*3/2_02*",N1211:N1225)*N$88+SUMIF($D1211:$D1225,"*4/1_02*",N1211:N1225)+SUMIF($D1211:$D1225,"*4/2_02*",N1211:N1225)*N$88</f>
        <v>62265.988854903924</v>
      </c>
      <c r="O1231" s="109">
        <f>SUMIF($D1211:$D1225,"*2/1_02*",O1211:O1225)+SUMIF($D1211:$D1225,"*2/2_02*",O1211:O1225)*O$88+SUMIF($D1211:$D1225,"*3/1_02*",O1211:O1225)+SUMIF($D1211:$D1225,"*3/2_02*",O1211:O1225)*O$88+SUMIF($D1211:$D1225,"*4/1_02*",O1211:O1225)+SUMIF($D1211:$D1225,"*4/2_02*",O1211:O1225)*O$88</f>
        <v>0</v>
      </c>
      <c r="P1231" s="109">
        <f>SUMIF($D1211:$D1225,"*2/1_02*",P1211:P1225)+SUMIF($D1211:$D1225,"*2/2_02*",P1211:P1225)*P$88+SUMIF($D1211:$D1225,"*3/1_02*",P1211:P1225)+SUMIF($D1211:$D1225,"*3/2_02*",P1211:P1225)*P$88+SUMIF($D1211:$D1225,"*4/1_02*",P1211:P1225)+SUMIF($D1211:$D1225,"*4/2_02*",P1211:P1225)*P$88</f>
        <v>0</v>
      </c>
      <c r="Q1231" s="109">
        <f>SUMIF($D1211:$D1225,"*2/1_02*",Q1211:Q1225)+SUMIF($D1211:$D1225,"*2/2_02*",Q1211:Q1225)*Q$88+SUMIF($D1211:$D1225,"*3/1_02*",Q1211:Q1225)+SUMIF($D1211:$D1225,"*3/2_02*",Q1211:Q1225)*Q$88+SUMIF($D1211:$D1225,"*4/1_02*",Q1211:Q1225)+SUMIF($D1211:$D1225,"*4/2_02*",Q1211:Q1225)*Q$88</f>
        <v>0</v>
      </c>
      <c r="R1231" s="244"/>
      <c r="S1231" s="54">
        <f t="shared" si="1621"/>
        <v>1218272.4352961429</v>
      </c>
    </row>
    <row r="1232" spans="1:19" ht="10.5" outlineLevel="1" x14ac:dyDescent="0.25">
      <c r="A1232" s="35" t="str">
        <f ca="1">Language!A674</f>
        <v xml:space="preserve"> = Итого: Задолженность по кредитам</v>
      </c>
      <c r="C1232" s="5" t="str">
        <f t="shared" ca="1" si="1620"/>
        <v>руб.</v>
      </c>
      <c r="D1232" s="16" t="s">
        <v>384</v>
      </c>
      <c r="E1232" s="43">
        <f>E1226</f>
        <v>0</v>
      </c>
      <c r="F1232" s="58">
        <f>SUMIF($D1203:$D1225,"*1_04*",F1203:F1225)+SUMIF($D1203:$D1225,"*2_04*",F1203:F1225)*F$88</f>
        <v>2400351.3689567428</v>
      </c>
      <c r="G1232" s="58">
        <f>SUMIF($D1203:$D1225,"*1_04*",G1203:G1225)+SUMIF($D1203:$D1225,"*2_04*",G1203:G1225)*G$88</f>
        <v>5476647.4426394468</v>
      </c>
      <c r="H1232" s="58">
        <f>SUMIF($D1203:$D1225,"*1_04*",H1203:H1225)+SUMIF($D1203:$D1225,"*2_04*",H1203:H1225)*H$88</f>
        <v>8007638.9805148821</v>
      </c>
      <c r="I1232" s="58">
        <f>SUMIF($D1203:$D1225,"*1_04*",I1203:I1225)+SUMIF($D1203:$D1225,"*2_04*",I1203:I1225)*I$88</f>
        <v>9988465.7311047968</v>
      </c>
      <c r="J1232" s="58">
        <f>SUMIF($D1203:$D1225,"*1_04*",J1203:J1225)+SUMIF($D1203:$D1225,"*2_04*",J1203:J1225)*J$88</f>
        <v>11327726.703750553</v>
      </c>
      <c r="K1232" s="58">
        <f>SUMIF($D1203:$D1225,"*1_04*",K1203:K1225)+SUMIF($D1203:$D1225,"*2_04*",K1203:K1225)*K$88</f>
        <v>11501888.518610623</v>
      </c>
      <c r="L1232" s="58">
        <f>SUMIF($D1203:$D1225,"*1_04*",L1203:L1225)+SUMIF($D1203:$D1225,"*2_04*",L1203:L1225)*L$88</f>
        <v>10299267.972909262</v>
      </c>
      <c r="M1232" s="58">
        <f>SUMIF($D1203:$D1225,"*1_04*",M1203:M1225)+SUMIF($D1203:$D1225,"*2_04*",M1203:M1225)*M$88</f>
        <v>7893163.4040714214</v>
      </c>
      <c r="N1232" s="58">
        <f>SUMIF($D1203:$D1225,"*1_04*",N1203:N1225)+SUMIF($D1203:$D1225,"*2_04*",N1203:N1225)*N$88</f>
        <v>3558056.505994508</v>
      </c>
      <c r="O1232" s="58">
        <f>SUMIF($D1203:$D1225,"*1_04*",O1203:O1225)+SUMIF($D1203:$D1225,"*2_04*",O1203:O1225)*O$88</f>
        <v>-1.862645149230957E-9</v>
      </c>
      <c r="P1232" s="58">
        <f>SUMIF($D1203:$D1225,"*1_04*",P1203:P1225)+SUMIF($D1203:$D1225,"*2_04*",P1203:P1225)*P$88</f>
        <v>-1.862645149230957E-9</v>
      </c>
      <c r="Q1232" s="58">
        <f>SUMIF($D1203:$D1225,"*1_04*",Q1203:Q1225)+SUMIF($D1203:$D1225,"*2_04*",Q1203:Q1225)*Q$88</f>
        <v>-1.862645149230957E-9</v>
      </c>
      <c r="R1232" s="245">
        <f>SUMIF($D1203:$D1225,"*1_04*",R1203:R1225)+SUMIF($D1203:$D1225,"*2_04*",R1203:R1225)*Q$88</f>
        <v>0</v>
      </c>
      <c r="S1232" s="57"/>
    </row>
    <row r="1233" spans="1:19" outlineLevel="1" x14ac:dyDescent="0.2">
      <c r="A1233" t="str">
        <f ca="1">Language!A675</f>
        <v xml:space="preserve">    задолженность по кредитам на оборотный капитал</v>
      </c>
      <c r="C1233" s="5" t="str">
        <f t="shared" ca="1" si="1620"/>
        <v>руб.</v>
      </c>
      <c r="D1233" s="16" t="s">
        <v>384</v>
      </c>
      <c r="F1233" s="53">
        <f>SUMIF($D1203:$D1225,"*1/1_04*",F1203:F1225)+SUMIF($D1203:$D1225,"*1/2_04*",F1203:F1225)*F$88</f>
        <v>0</v>
      </c>
      <c r="G1233" s="53">
        <f>SUMIF($D1203:$D1225,"*1/1_04*",G1203:G1225)+SUMIF($D1203:$D1225,"*1/2_04*",G1203:G1225)*G$88</f>
        <v>0</v>
      </c>
      <c r="H1233" s="53">
        <f>SUMIF($D1203:$D1225,"*1/1_04*",H1203:H1225)+SUMIF($D1203:$D1225,"*1/2_04*",H1203:H1225)*H$88</f>
        <v>0</v>
      </c>
      <c r="I1233" s="53">
        <f>SUMIF($D1203:$D1225,"*1/1_04*",I1203:I1225)+SUMIF($D1203:$D1225,"*1/2_04*",I1203:I1225)*I$88</f>
        <v>0</v>
      </c>
      <c r="J1233" s="53">
        <f>SUMIF($D1203:$D1225,"*1/1_04*",J1203:J1225)+SUMIF($D1203:$D1225,"*1/2_04*",J1203:J1225)*J$88</f>
        <v>0</v>
      </c>
      <c r="K1233" s="53">
        <f>SUMIF($D1203:$D1225,"*1/1_04*",K1203:K1225)+SUMIF($D1203:$D1225,"*1/2_04*",K1203:K1225)*K$88</f>
        <v>0</v>
      </c>
      <c r="L1233" s="53">
        <f>SUMIF($D1203:$D1225,"*1/1_04*",L1203:L1225)+SUMIF($D1203:$D1225,"*1/2_04*",L1203:L1225)*L$88</f>
        <v>0</v>
      </c>
      <c r="M1233" s="53">
        <f>SUMIF($D1203:$D1225,"*1/1_04*",M1203:M1225)+SUMIF($D1203:$D1225,"*1/2_04*",M1203:M1225)*M$88</f>
        <v>0</v>
      </c>
      <c r="N1233" s="53">
        <f>SUMIF($D1203:$D1225,"*1/1_04*",N1203:N1225)+SUMIF($D1203:$D1225,"*1/2_04*",N1203:N1225)*N$88</f>
        <v>0</v>
      </c>
      <c r="O1233" s="53">
        <f>SUMIF($D1203:$D1225,"*1/1_04*",O1203:O1225)+SUMIF($D1203:$D1225,"*1/2_04*",O1203:O1225)*O$88</f>
        <v>0</v>
      </c>
      <c r="P1233" s="53">
        <f>SUMIF($D1203:$D1225,"*1/1_04*",P1203:P1225)+SUMIF($D1203:$D1225,"*1/2_04*",P1203:P1225)*P$88</f>
        <v>0</v>
      </c>
      <c r="Q1233" s="53">
        <f>SUMIF($D1203:$D1225,"*1/1_04*",Q1203:Q1225)+SUMIF($D1203:$D1225,"*1/2_04*",Q1203:Q1225)*Q$88</f>
        <v>0</v>
      </c>
      <c r="R1233" s="243">
        <f>SUMIF($D1203:$D1225,"*1/1_04*",R1203:R1225)+SUMIF($D1203:$D1225,"*1/2_04*",R1203:R1225)*Q$88</f>
        <v>0</v>
      </c>
    </row>
    <row r="1234" spans="1:19" outlineLevel="1" x14ac:dyDescent="0.2">
      <c r="A1234" t="str">
        <f ca="1">Language!A676</f>
        <v xml:space="preserve">    задолженность по инвестиционным кредитам</v>
      </c>
      <c r="C1234" s="5" t="str">
        <f t="shared" ca="1" si="1620"/>
        <v>руб.</v>
      </c>
      <c r="D1234" s="16" t="s">
        <v>384</v>
      </c>
      <c r="F1234" s="43">
        <f t="shared" ref="F1234:R1234" si="1622">F1232-F1233</f>
        <v>2400351.3689567428</v>
      </c>
      <c r="G1234" s="43">
        <f t="shared" si="1622"/>
        <v>5476647.4426394468</v>
      </c>
      <c r="H1234" s="43">
        <f t="shared" si="1622"/>
        <v>8007638.9805148821</v>
      </c>
      <c r="I1234" s="43">
        <f t="shared" si="1622"/>
        <v>9988465.7311047968</v>
      </c>
      <c r="J1234" s="43">
        <f t="shared" si="1622"/>
        <v>11327726.703750553</v>
      </c>
      <c r="K1234" s="43">
        <f t="shared" si="1622"/>
        <v>11501888.518610623</v>
      </c>
      <c r="L1234" s="43">
        <f t="shared" si="1622"/>
        <v>10299267.972909262</v>
      </c>
      <c r="M1234" s="43">
        <f t="shared" si="1622"/>
        <v>7893163.4040714214</v>
      </c>
      <c r="N1234" s="43">
        <f t="shared" ref="N1234" si="1623">N1232-N1233</f>
        <v>3558056.505994508</v>
      </c>
      <c r="O1234" s="43">
        <f t="shared" ref="O1234:Q1234" si="1624">O1232-O1233</f>
        <v>-1.862645149230957E-9</v>
      </c>
      <c r="P1234" s="43">
        <f t="shared" ref="P1234:Q1234" si="1625">P1232-P1233</f>
        <v>-1.862645149230957E-9</v>
      </c>
      <c r="Q1234" s="43">
        <f t="shared" si="1625"/>
        <v>-1.862645149230957E-9</v>
      </c>
      <c r="R1234" s="246">
        <f t="shared" si="1622"/>
        <v>0</v>
      </c>
    </row>
    <row r="1235" spans="1:19" outlineLevel="1" collapsed="1" x14ac:dyDescent="0.2">
      <c r="A1235" s="19"/>
      <c r="B1235" s="19"/>
      <c r="C1235" s="19"/>
      <c r="D1235" s="19"/>
      <c r="E1235" s="19"/>
      <c r="F1235" s="19"/>
      <c r="G1235" s="19"/>
      <c r="H1235" s="19"/>
      <c r="I1235" s="19"/>
      <c r="J1235" s="19"/>
      <c r="K1235" s="19"/>
      <c r="L1235" s="19"/>
      <c r="M1235" s="19"/>
      <c r="N1235" s="19"/>
      <c r="O1235" s="19"/>
      <c r="P1235" s="19"/>
      <c r="Q1235" s="19"/>
      <c r="R1235" s="19"/>
      <c r="S1235" s="22"/>
    </row>
    <row r="1236" spans="1:19" hidden="1" outlineLevel="2" x14ac:dyDescent="0.2">
      <c r="A1236" s="11" t="str">
        <f ca="1">Language!A681</f>
        <v>Общий коэффициент покрытия долга</v>
      </c>
      <c r="B1236" s="11"/>
      <c r="C1236" s="36" t="str">
        <f ca="1">Language!A682</f>
        <v>разы</v>
      </c>
      <c r="D1236" s="16" t="s">
        <v>176</v>
      </c>
      <c r="E1236" s="11"/>
      <c r="F1236" s="214" t="str">
        <f t="shared" ref="F1236:M1236" si="1626">F1680</f>
        <v>-</v>
      </c>
      <c r="G1236" s="214" t="str">
        <f t="shared" si="1626"/>
        <v>-</v>
      </c>
      <c r="H1236" s="214" t="str">
        <f t="shared" si="1626"/>
        <v>-</v>
      </c>
      <c r="I1236" s="214" t="str">
        <f t="shared" si="1626"/>
        <v>-</v>
      </c>
      <c r="J1236" s="214" t="str">
        <f t="shared" si="1626"/>
        <v>-</v>
      </c>
      <c r="K1236" s="214">
        <f t="shared" ca="1" si="1626"/>
        <v>10.29734359910044</v>
      </c>
      <c r="L1236" s="214">
        <f t="shared" ca="1" si="1626"/>
        <v>1.1000000000000001</v>
      </c>
      <c r="M1236" s="214">
        <f t="shared" ca="1" si="1626"/>
        <v>1.1000000000000003</v>
      </c>
      <c r="N1236" s="214">
        <f t="shared" ref="N1236" ca="1" si="1627">N1680</f>
        <v>1.1000000000000003</v>
      </c>
      <c r="O1236" s="214">
        <f t="shared" ref="O1236:Q1236" ca="1" si="1628">O1680</f>
        <v>2.1119168213293111</v>
      </c>
      <c r="P1236" s="214" t="str">
        <f t="shared" ref="P1236:Q1236" si="1629">P1680</f>
        <v>-</v>
      </c>
      <c r="Q1236" s="214" t="str">
        <f t="shared" si="1629"/>
        <v>-</v>
      </c>
      <c r="R1236" s="11"/>
    </row>
    <row r="1237" spans="1:19" hidden="1" outlineLevel="2" x14ac:dyDescent="0.2">
      <c r="A1237" s="11" t="str">
        <f ca="1">Language!A651</f>
        <v>Справка: Остаток средств на счете (текущий проект)</v>
      </c>
      <c r="B1237" s="11"/>
      <c r="C1237" s="5" t="str">
        <f ca="1">CUR_Main</f>
        <v>руб.</v>
      </c>
      <c r="D1237" s="16" t="s">
        <v>384</v>
      </c>
      <c r="E1237" s="11"/>
      <c r="F1237" s="94">
        <f t="shared" ref="F1237:M1237" ca="1" si="1630">F1458*IF(CUR_I_Report=2,F$88,1)</f>
        <v>41283.684478371404</v>
      </c>
      <c r="G1237" s="94">
        <f t="shared" ca="1" si="1630"/>
        <v>52186.804602166172</v>
      </c>
      <c r="H1237" s="94">
        <f t="shared" ca="1" si="1630"/>
        <v>41882.190303205512</v>
      </c>
      <c r="I1237" s="94">
        <f t="shared" ca="1" si="1630"/>
        <v>31658.111742054811</v>
      </c>
      <c r="J1237" s="94">
        <f t="shared" ca="1" si="1630"/>
        <v>20027.616109238239</v>
      </c>
      <c r="K1237" s="94">
        <f t="shared" ca="1" si="1630"/>
        <v>239996.84876654632</v>
      </c>
      <c r="L1237" s="94">
        <f t="shared" ca="1" si="1630"/>
        <v>378282.62228927377</v>
      </c>
      <c r="M1237" s="94">
        <f t="shared" ca="1" si="1630"/>
        <v>632706.11513018364</v>
      </c>
      <c r="N1237" s="94">
        <f t="shared" ref="N1237" ca="1" si="1631">N1458*IF(CUR_I_Report=2,N$88,1)</f>
        <v>1072443.4038233669</v>
      </c>
      <c r="O1237" s="94">
        <f t="shared" ref="O1237" ca="1" si="1632">O1458*IF(CUR_I_Report=2,O$88,1)</f>
        <v>5028706.2840788569</v>
      </c>
      <c r="P1237" s="94">
        <f t="shared" ref="P1237:Q1237" ca="1" si="1633">P1458*IF(CUR_I_Report=2,P$88,1)</f>
        <v>14337118.653453857</v>
      </c>
      <c r="Q1237" s="94">
        <f t="shared" ca="1" si="1633"/>
        <v>24800866.549703859</v>
      </c>
      <c r="R1237" s="11"/>
    </row>
    <row r="1238" spans="1:19" hidden="1" outlineLevel="2" x14ac:dyDescent="0.2">
      <c r="A1238" s="11" t="str">
        <f ca="1">Language!A653</f>
        <v>Справка: Остаток средств на счете (портфель проектов)</v>
      </c>
      <c r="B1238" s="11"/>
      <c r="C1238" s="5" t="str">
        <f ca="1">CUR_Main</f>
        <v>руб.</v>
      </c>
      <c r="D1238" s="16" t="s">
        <v>384</v>
      </c>
      <c r="E1238" s="11"/>
      <c r="F1238" s="94" t="e">
        <f ca="1">OFFSET(Портфель!$F331,0,MATCH(F$32,Портфель!$F$36:$Q$36,0)-1)*IF(CUR_I_Report=2,F$88,1)</f>
        <v>#N/A</v>
      </c>
      <c r="G1238" s="94" t="e">
        <f ca="1">OFFSET(Портфель!$F331,0,MATCH(G$32,Портфель!$F$36:$Q$36,0)-1)*IF(CUR_I_Report=2,G$88,1)</f>
        <v>#N/A</v>
      </c>
      <c r="H1238" s="94" t="e">
        <f ca="1">OFFSET(Портфель!$F331,0,MATCH(H$32,Портфель!$F$36:$Q$36,0)-1)*IF(CUR_I_Report=2,H$88,1)</f>
        <v>#N/A</v>
      </c>
      <c r="I1238" s="94" t="e">
        <f ca="1">OFFSET(Портфель!$F331,0,MATCH(I$32,Портфель!$F$36:$Q$36,0)-1)*IF(CUR_I_Report=2,I$88,1)</f>
        <v>#N/A</v>
      </c>
      <c r="J1238" s="94" t="e">
        <f ca="1">OFFSET(Портфель!$F331,0,MATCH(J$32,Портфель!$F$36:$Q$36,0)-1)*IF(CUR_I_Report=2,J$88,1)</f>
        <v>#N/A</v>
      </c>
      <c r="K1238" s="94" t="e">
        <f ca="1">OFFSET(Портфель!$F331,0,MATCH(K$32,Портфель!$F$36:$Q$36,0)-1)*IF(CUR_I_Report=2,K$88,1)</f>
        <v>#N/A</v>
      </c>
      <c r="L1238" s="94" t="e">
        <f ca="1">OFFSET(Портфель!$F331,0,MATCH(L$32,Портфель!$F$36:$Q$36,0)-1)*IF(CUR_I_Report=2,L$88,1)</f>
        <v>#N/A</v>
      </c>
      <c r="M1238" s="94" t="e">
        <f ca="1">OFFSET(Портфель!$F331,0,MATCH(M$32,Портфель!$F$36:$Q$36,0)-1)*IF(CUR_I_Report=2,M$88,1)</f>
        <v>#N/A</v>
      </c>
      <c r="N1238" s="94" t="e">
        <f ca="1">OFFSET(Портфель!$F331,0,MATCH(N$32,Портфель!$F$36:$Q$36,0)-1)*IF(CUR_I_Report=2,N$88,1)</f>
        <v>#N/A</v>
      </c>
      <c r="O1238" s="94" t="e">
        <f ca="1">OFFSET(Портфель!$F331,0,MATCH(O$32,Портфель!$F$36:$Q$36,0)-1)*IF(CUR_I_Report=2,O$88,1)</f>
        <v>#N/A</v>
      </c>
      <c r="P1238" s="94" t="e">
        <f ca="1">OFFSET(Портфель!$F331,0,MATCH(P$32,Портфель!$F$36:$Q$36,0)-1)*IF(CUR_I_Report=2,P$88,1)</f>
        <v>#N/A</v>
      </c>
      <c r="Q1238" s="94" t="e">
        <f ca="1">OFFSET(Портфель!$F331,0,MATCH(Q$32,Портфель!$F$36:$Q$36,0)-1)*IF(CUR_I_Report=2,Q$88,1)</f>
        <v>#N/A</v>
      </c>
      <c r="R1238" s="11"/>
    </row>
    <row r="1239" spans="1:19" hidden="1" outlineLevel="2" x14ac:dyDescent="0.2">
      <c r="A1239" s="11" t="str">
        <f ca="1">Language!A652</f>
        <v>Справка: Остаток средств на счете (без учета операционной деятельности)</v>
      </c>
      <c r="B1239" s="11"/>
      <c r="C1239" s="5" t="str">
        <f ca="1">CUR_Main</f>
        <v>руб.</v>
      </c>
      <c r="D1239" s="16" t="s">
        <v>384</v>
      </c>
      <c r="E1239" s="11"/>
      <c r="F1239" s="94">
        <f t="shared" ref="F1239:M1239" ca="1" si="1634">(F1458-F1433)*IF(CUR_I_Report=2,F$88,1)</f>
        <v>3007443.6844783714</v>
      </c>
      <c r="G1239" s="94">
        <f t="shared" ca="1" si="1634"/>
        <v>2607946.8046021662</v>
      </c>
      <c r="H1239" s="94">
        <f t="shared" ca="1" si="1634"/>
        <v>2469890.6990532055</v>
      </c>
      <c r="I1239" s="94">
        <f t="shared" ca="1" si="1634"/>
        <v>1948660.6554920548</v>
      </c>
      <c r="J1239" s="94">
        <f t="shared" ca="1" si="1634"/>
        <v>1298272.7036092381</v>
      </c>
      <c r="K1239" s="94">
        <f t="shared" ca="1" si="1634"/>
        <v>240727.02376654613</v>
      </c>
      <c r="L1239" s="94">
        <f t="shared" ca="1" si="1634"/>
        <v>-718264.92568481399</v>
      </c>
      <c r="M1239" s="94">
        <f t="shared" ca="1" si="1634"/>
        <v>-1783463.1752985669</v>
      </c>
      <c r="N1239" s="94">
        <f t="shared" ref="N1239" ca="1" si="1635">(N1458-N1433)*IF(CUR_I_Report=2,N$88,1)</f>
        <v>-3335862.6260717292</v>
      </c>
      <c r="O1239" s="94">
        <f t="shared" ref="O1239" ca="1" si="1636">(O1458-O1433)*IF(CUR_I_Report=2,O$88,1)</f>
        <v>-1996895.5596711431</v>
      </c>
      <c r="P1239" s="94">
        <f t="shared" ref="P1239:Q1239" ca="1" si="1637">(P1458-P1433)*IF(CUR_I_Report=2,P$88,1)</f>
        <v>5395244.4409538563</v>
      </c>
      <c r="Q1239" s="94">
        <f t="shared" ca="1" si="1637"/>
        <v>14581477.424703859</v>
      </c>
      <c r="R1239" s="11"/>
    </row>
    <row r="1240" spans="1:19" outlineLevel="1" x14ac:dyDescent="0.2">
      <c r="A1240" s="63"/>
      <c r="B1240" s="63"/>
      <c r="C1240" s="63"/>
      <c r="D1240" s="63"/>
      <c r="E1240" s="63"/>
      <c r="F1240" s="63"/>
      <c r="G1240" s="63"/>
      <c r="H1240" s="63"/>
      <c r="I1240" s="63"/>
      <c r="J1240" s="63"/>
      <c r="K1240" s="63"/>
      <c r="L1240" s="63"/>
      <c r="M1240" s="63"/>
      <c r="N1240" s="63"/>
      <c r="O1240" s="63"/>
      <c r="P1240" s="63"/>
      <c r="Q1240" s="63"/>
      <c r="R1240" s="63"/>
      <c r="S1240" s="64"/>
    </row>
    <row r="1241" spans="1:19" outlineLevel="1" x14ac:dyDescent="0.2">
      <c r="A1241" s="22" t="str">
        <f ca="1">Language!A$1007 &amp; ", " &amp; Проект!CUR_Report</f>
        <v>График: Остаток задолженности по кредитам, руб.</v>
      </c>
      <c r="B1241" s="149"/>
      <c r="C1241" s="22"/>
      <c r="D1241" s="22"/>
      <c r="E1241" s="22"/>
      <c r="F1241" s="118"/>
      <c r="G1241" s="118"/>
      <c r="H1241" s="118"/>
      <c r="I1241" s="118"/>
      <c r="J1241" s="118"/>
      <c r="K1241" s="118"/>
      <c r="L1241" s="118"/>
      <c r="M1241" s="118"/>
      <c r="N1241" s="118"/>
      <c r="O1241" s="118"/>
      <c r="P1241" s="118"/>
      <c r="Q1241" s="118"/>
      <c r="R1241" s="22"/>
      <c r="S1241" s="22"/>
    </row>
    <row r="1242" spans="1:19" outlineLevel="1" x14ac:dyDescent="0.2">
      <c r="A1242" s="22"/>
      <c r="B1242" s="149"/>
      <c r="C1242" s="22"/>
      <c r="D1242" s="22"/>
      <c r="E1242" s="22"/>
      <c r="F1242" s="118"/>
      <c r="G1242" s="118"/>
      <c r="H1242" s="118"/>
      <c r="I1242" s="118"/>
      <c r="J1242" s="118"/>
      <c r="K1242" s="118"/>
      <c r="L1242" s="118"/>
      <c r="M1242" s="118"/>
      <c r="N1242" s="118"/>
      <c r="O1242" s="118"/>
      <c r="P1242" s="118"/>
      <c r="Q1242" s="118"/>
      <c r="R1242" s="22"/>
      <c r="S1242" s="22"/>
    </row>
    <row r="1243" spans="1:19" outlineLevel="1" collapsed="1" x14ac:dyDescent="0.2">
      <c r="A1243" s="22"/>
      <c r="B1243" s="149"/>
      <c r="C1243" s="22"/>
      <c r="D1243" s="22"/>
      <c r="E1243" s="22"/>
      <c r="F1243" s="118"/>
      <c r="G1243" s="118"/>
      <c r="H1243" s="118"/>
      <c r="I1243" s="118"/>
      <c r="J1243" s="118"/>
      <c r="K1243" s="118"/>
      <c r="L1243" s="118"/>
      <c r="M1243" s="118"/>
      <c r="N1243" s="118"/>
      <c r="O1243" s="118"/>
      <c r="P1243" s="118"/>
      <c r="Q1243" s="118"/>
      <c r="R1243" s="22"/>
      <c r="S1243" s="22"/>
    </row>
    <row r="1244" spans="1:19" hidden="1" outlineLevel="2" x14ac:dyDescent="0.2">
      <c r="A1244" s="22"/>
      <c r="B1244" s="149"/>
      <c r="C1244" s="22"/>
      <c r="D1244" s="22"/>
      <c r="E1244" s="22"/>
      <c r="F1244" s="118"/>
      <c r="G1244" s="118"/>
      <c r="H1244" s="118"/>
      <c r="I1244" s="118"/>
      <c r="J1244" s="118"/>
      <c r="K1244" s="118"/>
      <c r="L1244" s="118"/>
      <c r="M1244" s="118"/>
      <c r="N1244" s="118"/>
      <c r="O1244" s="118"/>
      <c r="P1244" s="118"/>
      <c r="Q1244" s="118"/>
      <c r="R1244" s="22"/>
      <c r="S1244" s="22"/>
    </row>
    <row r="1245" spans="1:19" hidden="1" outlineLevel="2" x14ac:dyDescent="0.2">
      <c r="A1245" s="22"/>
      <c r="B1245" s="149"/>
      <c r="C1245" s="22"/>
      <c r="D1245" s="22"/>
      <c r="E1245" s="22"/>
      <c r="F1245" s="118"/>
      <c r="G1245" s="118"/>
      <c r="H1245" s="118"/>
      <c r="I1245" s="118"/>
      <c r="J1245" s="118"/>
      <c r="K1245" s="118"/>
      <c r="L1245" s="118"/>
      <c r="M1245" s="118"/>
      <c r="N1245" s="118"/>
      <c r="O1245" s="118"/>
      <c r="P1245" s="118"/>
      <c r="Q1245" s="118"/>
      <c r="R1245" s="22"/>
      <c r="S1245" s="22"/>
    </row>
    <row r="1246" spans="1:19" hidden="1" outlineLevel="2" x14ac:dyDescent="0.2">
      <c r="A1246" s="22"/>
      <c r="B1246" s="149"/>
      <c r="C1246" s="22"/>
      <c r="D1246" s="22"/>
      <c r="E1246" s="22"/>
      <c r="F1246" s="118"/>
      <c r="G1246" s="118"/>
      <c r="H1246" s="118"/>
      <c r="I1246" s="118"/>
      <c r="J1246" s="118"/>
      <c r="K1246" s="118"/>
      <c r="L1246" s="118"/>
      <c r="M1246" s="118"/>
      <c r="N1246" s="118"/>
      <c r="O1246" s="118"/>
      <c r="P1246" s="118"/>
      <c r="Q1246" s="118"/>
      <c r="R1246" s="22"/>
      <c r="S1246" s="22"/>
    </row>
    <row r="1247" spans="1:19" outlineLevel="1" collapsed="1" x14ac:dyDescent="0.2">
      <c r="A1247" s="22"/>
      <c r="B1247" s="149"/>
      <c r="C1247" s="22"/>
      <c r="D1247" s="22"/>
      <c r="E1247" s="22"/>
      <c r="F1247" s="118"/>
      <c r="G1247" s="118"/>
      <c r="H1247" s="118"/>
      <c r="I1247" s="118"/>
      <c r="J1247" s="118"/>
      <c r="K1247" s="118"/>
      <c r="L1247" s="118"/>
      <c r="M1247" s="118"/>
      <c r="N1247" s="118"/>
      <c r="O1247" s="118"/>
      <c r="P1247" s="118"/>
      <c r="Q1247" s="118"/>
      <c r="R1247" s="22"/>
      <c r="S1247" s="22"/>
    </row>
    <row r="1248" spans="1:19" hidden="1" outlineLevel="2" x14ac:dyDescent="0.2">
      <c r="A1248" s="22"/>
      <c r="B1248" s="149"/>
      <c r="C1248" s="22"/>
      <c r="D1248" s="22"/>
      <c r="E1248" s="22"/>
      <c r="F1248" s="118"/>
      <c r="G1248" s="118"/>
      <c r="H1248" s="118"/>
      <c r="I1248" s="118"/>
      <c r="J1248" s="118"/>
      <c r="K1248" s="118"/>
      <c r="L1248" s="118"/>
      <c r="M1248" s="118"/>
      <c r="N1248" s="118"/>
      <c r="O1248" s="118"/>
      <c r="P1248" s="118"/>
      <c r="Q1248" s="118"/>
      <c r="R1248" s="22"/>
      <c r="S1248" s="22"/>
    </row>
    <row r="1249" spans="1:19" hidden="1" outlineLevel="2" x14ac:dyDescent="0.2">
      <c r="A1249" s="22"/>
      <c r="B1249" s="149"/>
      <c r="C1249" s="22"/>
      <c r="D1249" s="22"/>
      <c r="E1249" s="22"/>
      <c r="F1249" s="118"/>
      <c r="G1249" s="118"/>
      <c r="H1249" s="118"/>
      <c r="I1249" s="118"/>
      <c r="J1249" s="118"/>
      <c r="K1249" s="118"/>
      <c r="L1249" s="118"/>
      <c r="M1249" s="118"/>
      <c r="N1249" s="118"/>
      <c r="O1249" s="118"/>
      <c r="P1249" s="118"/>
      <c r="Q1249" s="118"/>
      <c r="R1249" s="22"/>
      <c r="S1249" s="22"/>
    </row>
    <row r="1250" spans="1:19" outlineLevel="1" x14ac:dyDescent="0.2">
      <c r="A1250" s="22"/>
      <c r="B1250" s="149"/>
      <c r="C1250" s="22"/>
      <c r="D1250" s="22"/>
      <c r="E1250" s="22"/>
      <c r="F1250" s="118"/>
      <c r="G1250" s="118"/>
      <c r="H1250" s="118"/>
      <c r="I1250" s="118"/>
      <c r="J1250" s="118"/>
      <c r="K1250" s="118"/>
      <c r="L1250" s="118"/>
      <c r="M1250" s="118"/>
      <c r="N1250" s="118"/>
      <c r="O1250" s="118"/>
      <c r="P1250" s="118"/>
      <c r="Q1250" s="118"/>
      <c r="R1250" s="22"/>
      <c r="S1250" s="22"/>
    </row>
    <row r="1251" spans="1:19" s="11" customFormat="1" outlineLevel="1" x14ac:dyDescent="0.2">
      <c r="A1251" s="22"/>
      <c r="B1251" s="149"/>
      <c r="C1251" s="22"/>
      <c r="D1251" s="22"/>
      <c r="E1251" s="22"/>
      <c r="F1251" s="118"/>
      <c r="G1251" s="118"/>
      <c r="H1251" s="118"/>
      <c r="I1251" s="118"/>
      <c r="J1251" s="118"/>
      <c r="K1251" s="118"/>
      <c r="L1251" s="118"/>
      <c r="M1251" s="118"/>
      <c r="N1251" s="118"/>
      <c r="O1251" s="118"/>
      <c r="P1251" s="118"/>
      <c r="Q1251" s="118"/>
      <c r="R1251" s="22"/>
      <c r="S1251" s="22"/>
    </row>
    <row r="1252" spans="1:19" s="11" customFormat="1" outlineLevel="1" x14ac:dyDescent="0.2">
      <c r="A1252" s="22"/>
      <c r="B1252" s="149"/>
      <c r="C1252" s="22"/>
      <c r="D1252" s="22"/>
      <c r="E1252" s="22"/>
      <c r="F1252" s="118"/>
      <c r="G1252" s="118"/>
      <c r="H1252" s="118"/>
      <c r="I1252" s="118"/>
      <c r="J1252" s="118"/>
      <c r="K1252" s="118"/>
      <c r="L1252" s="118"/>
      <c r="M1252" s="118"/>
      <c r="N1252" s="118"/>
      <c r="O1252" s="118"/>
      <c r="P1252" s="118"/>
      <c r="Q1252" s="118"/>
      <c r="R1252" s="22"/>
      <c r="S1252" s="22"/>
    </row>
    <row r="1253" spans="1:19" s="11" customFormat="1" outlineLevel="1" collapsed="1" x14ac:dyDescent="0.2">
      <c r="A1253" s="22"/>
      <c r="B1253" s="149"/>
      <c r="C1253" s="22"/>
      <c r="D1253" s="22"/>
      <c r="E1253" s="22"/>
      <c r="F1253" s="118"/>
      <c r="G1253" s="118"/>
      <c r="H1253" s="118"/>
      <c r="I1253" s="118"/>
      <c r="J1253" s="118"/>
      <c r="K1253" s="118"/>
      <c r="L1253" s="118"/>
      <c r="M1253" s="118"/>
      <c r="N1253" s="118"/>
      <c r="O1253" s="118"/>
      <c r="P1253" s="118"/>
      <c r="Q1253" s="118"/>
      <c r="R1253" s="22"/>
      <c r="S1253" s="22"/>
    </row>
    <row r="1254" spans="1:19" s="11" customFormat="1" hidden="1" outlineLevel="2" x14ac:dyDescent="0.2">
      <c r="A1254" s="22"/>
      <c r="B1254" s="149"/>
      <c r="C1254" s="22"/>
      <c r="D1254" s="22"/>
      <c r="E1254" s="22"/>
      <c r="F1254" s="118"/>
      <c r="G1254" s="118"/>
      <c r="H1254" s="118"/>
      <c r="I1254" s="118"/>
      <c r="J1254" s="118"/>
      <c r="K1254" s="118"/>
      <c r="L1254" s="118"/>
      <c r="M1254" s="118"/>
      <c r="N1254" s="118"/>
      <c r="O1254" s="118"/>
      <c r="P1254" s="118"/>
      <c r="Q1254" s="118"/>
      <c r="R1254" s="22"/>
      <c r="S1254" s="22"/>
    </row>
    <row r="1255" spans="1:19" outlineLevel="1" x14ac:dyDescent="0.2">
      <c r="A1255" s="22"/>
      <c r="B1255" s="149"/>
      <c r="C1255" s="22"/>
      <c r="D1255" s="22"/>
      <c r="E1255" s="22"/>
      <c r="F1255" s="118"/>
      <c r="G1255" s="118"/>
      <c r="H1255" s="118"/>
      <c r="I1255" s="118"/>
      <c r="J1255" s="118"/>
      <c r="K1255" s="118"/>
      <c r="L1255" s="118"/>
      <c r="M1255" s="118"/>
      <c r="N1255" s="118"/>
      <c r="O1255" s="118"/>
      <c r="P1255" s="118"/>
      <c r="Q1255" s="118"/>
      <c r="R1255" s="22"/>
      <c r="S1255" s="22"/>
    </row>
    <row r="1256" spans="1:19" s="11" customFormat="1" outlineLevel="1" collapsed="1" x14ac:dyDescent="0.2">
      <c r="A1256" s="22"/>
      <c r="B1256" s="149"/>
      <c r="C1256" s="22"/>
      <c r="D1256" s="22"/>
      <c r="E1256" s="22"/>
      <c r="F1256" s="118"/>
      <c r="G1256" s="118"/>
      <c r="H1256" s="118"/>
      <c r="I1256" s="118"/>
      <c r="J1256" s="118"/>
      <c r="K1256" s="118"/>
      <c r="L1256" s="118"/>
      <c r="M1256" s="118"/>
      <c r="N1256" s="118"/>
      <c r="O1256" s="118"/>
      <c r="P1256" s="118"/>
      <c r="Q1256" s="118"/>
      <c r="R1256" s="22"/>
      <c r="S1256" s="22"/>
    </row>
    <row r="1257" spans="1:19" s="11" customFormat="1" hidden="1" outlineLevel="2" x14ac:dyDescent="0.2">
      <c r="A1257" s="22"/>
      <c r="B1257" s="149"/>
      <c r="C1257" s="22"/>
      <c r="D1257" s="22"/>
      <c r="E1257" s="22"/>
      <c r="F1257" s="118"/>
      <c r="G1257" s="118"/>
      <c r="H1257" s="118"/>
      <c r="I1257" s="118"/>
      <c r="J1257" s="118"/>
      <c r="K1257" s="118"/>
      <c r="L1257" s="118"/>
      <c r="M1257" s="118"/>
      <c r="N1257" s="118"/>
      <c r="O1257" s="118"/>
      <c r="P1257" s="118"/>
      <c r="Q1257" s="118"/>
      <c r="R1257" s="22"/>
      <c r="S1257" s="22"/>
    </row>
    <row r="1258" spans="1:19" s="11" customFormat="1" hidden="1" outlineLevel="2" x14ac:dyDescent="0.2">
      <c r="A1258" s="22"/>
      <c r="B1258" s="149"/>
      <c r="C1258" s="22"/>
      <c r="D1258" s="22"/>
      <c r="E1258" s="22"/>
      <c r="F1258" s="118"/>
      <c r="G1258" s="118"/>
      <c r="H1258" s="118"/>
      <c r="I1258" s="118"/>
      <c r="J1258" s="118"/>
      <c r="K1258" s="118"/>
      <c r="L1258" s="118"/>
      <c r="M1258" s="118"/>
      <c r="N1258" s="118"/>
      <c r="O1258" s="118"/>
      <c r="P1258" s="118"/>
      <c r="Q1258" s="118"/>
      <c r="R1258" s="22"/>
      <c r="S1258" s="22"/>
    </row>
    <row r="1259" spans="1:19" s="11" customFormat="1" hidden="1" outlineLevel="2" x14ac:dyDescent="0.2">
      <c r="A1259" s="22"/>
      <c r="B1259" s="149"/>
      <c r="C1259" s="22"/>
      <c r="D1259" s="22"/>
      <c r="E1259" s="22"/>
      <c r="F1259" s="118"/>
      <c r="G1259" s="118"/>
      <c r="H1259" s="118"/>
      <c r="I1259" s="118"/>
      <c r="J1259" s="118"/>
      <c r="K1259" s="118"/>
      <c r="L1259" s="118"/>
      <c r="M1259" s="118"/>
      <c r="N1259" s="118"/>
      <c r="O1259" s="118"/>
      <c r="P1259" s="118"/>
      <c r="Q1259" s="118"/>
      <c r="R1259" s="22"/>
      <c r="S1259" s="22"/>
    </row>
    <row r="1260" spans="1:19" s="11" customFormat="1" hidden="1" outlineLevel="2" x14ac:dyDescent="0.2">
      <c r="A1260" s="22"/>
      <c r="B1260" s="149"/>
      <c r="C1260" s="22"/>
      <c r="D1260" s="22"/>
      <c r="E1260" s="22"/>
      <c r="F1260" s="118"/>
      <c r="G1260" s="118"/>
      <c r="H1260" s="118"/>
      <c r="I1260" s="118"/>
      <c r="J1260" s="118"/>
      <c r="K1260" s="118"/>
      <c r="L1260" s="118"/>
      <c r="M1260" s="118"/>
      <c r="N1260" s="118"/>
      <c r="O1260" s="118"/>
      <c r="P1260" s="118"/>
      <c r="Q1260" s="118"/>
      <c r="R1260" s="22"/>
      <c r="S1260" s="22"/>
    </row>
    <row r="1261" spans="1:19" s="11" customFormat="1" hidden="1" outlineLevel="2" x14ac:dyDescent="0.2">
      <c r="A1261" s="22"/>
      <c r="B1261" s="149"/>
      <c r="C1261" s="22"/>
      <c r="D1261" s="22"/>
      <c r="E1261" s="22"/>
      <c r="F1261" s="118"/>
      <c r="G1261" s="118"/>
      <c r="H1261" s="118"/>
      <c r="I1261" s="118"/>
      <c r="J1261" s="118"/>
      <c r="K1261" s="118"/>
      <c r="L1261" s="118"/>
      <c r="M1261" s="118"/>
      <c r="N1261" s="118"/>
      <c r="O1261" s="118"/>
      <c r="P1261" s="118"/>
      <c r="Q1261" s="118"/>
      <c r="R1261" s="22"/>
      <c r="S1261" s="22"/>
    </row>
    <row r="1262" spans="1:19" s="11" customFormat="1" hidden="1" outlineLevel="2" x14ac:dyDescent="0.2">
      <c r="A1262" s="22"/>
      <c r="B1262" s="149"/>
      <c r="C1262" s="22"/>
      <c r="D1262" s="22"/>
      <c r="E1262" s="22"/>
      <c r="F1262" s="118"/>
      <c r="G1262" s="118"/>
      <c r="H1262" s="118"/>
      <c r="I1262" s="118"/>
      <c r="J1262" s="118"/>
      <c r="K1262" s="118"/>
      <c r="L1262" s="118"/>
      <c r="M1262" s="118"/>
      <c r="N1262" s="118"/>
      <c r="O1262" s="118"/>
      <c r="P1262" s="118"/>
      <c r="Q1262" s="118"/>
      <c r="R1262" s="22"/>
      <c r="S1262" s="22"/>
    </row>
    <row r="1263" spans="1:19" s="11" customFormat="1" hidden="1" outlineLevel="2" x14ac:dyDescent="0.2">
      <c r="A1263" s="22"/>
      <c r="B1263" s="149"/>
      <c r="C1263" s="22"/>
      <c r="D1263" s="22"/>
      <c r="E1263" s="22"/>
      <c r="F1263" s="118"/>
      <c r="G1263" s="118"/>
      <c r="H1263" s="118"/>
      <c r="I1263" s="118"/>
      <c r="J1263" s="118"/>
      <c r="K1263" s="118"/>
      <c r="L1263" s="118"/>
      <c r="M1263" s="118"/>
      <c r="N1263" s="118"/>
      <c r="O1263" s="118"/>
      <c r="P1263" s="118"/>
      <c r="Q1263" s="118"/>
      <c r="R1263" s="22"/>
      <c r="S1263" s="22"/>
    </row>
    <row r="1264" spans="1:19" s="11" customFormat="1" hidden="1" outlineLevel="2" x14ac:dyDescent="0.2">
      <c r="A1264" s="22"/>
      <c r="B1264" s="149"/>
      <c r="C1264" s="22"/>
      <c r="D1264" s="22"/>
      <c r="E1264" s="22"/>
      <c r="F1264" s="118"/>
      <c r="G1264" s="118"/>
      <c r="H1264" s="118"/>
      <c r="I1264" s="118"/>
      <c r="J1264" s="118"/>
      <c r="K1264" s="118"/>
      <c r="L1264" s="118"/>
      <c r="M1264" s="118"/>
      <c r="N1264" s="118"/>
      <c r="O1264" s="118"/>
      <c r="P1264" s="118"/>
      <c r="Q1264" s="118"/>
      <c r="R1264" s="22"/>
      <c r="S1264" s="22"/>
    </row>
    <row r="1265" spans="1:19" s="11" customFormat="1" hidden="1" outlineLevel="2" x14ac:dyDescent="0.2">
      <c r="A1265" s="22"/>
      <c r="B1265" s="149"/>
      <c r="C1265" s="22"/>
      <c r="D1265" s="22"/>
      <c r="E1265" s="22"/>
      <c r="F1265" s="118"/>
      <c r="G1265" s="118"/>
      <c r="H1265" s="118"/>
      <c r="I1265" s="118"/>
      <c r="J1265" s="118"/>
      <c r="K1265" s="118"/>
      <c r="L1265" s="118"/>
      <c r="M1265" s="118"/>
      <c r="N1265" s="118"/>
      <c r="O1265" s="118"/>
      <c r="P1265" s="118"/>
      <c r="Q1265" s="118"/>
      <c r="R1265" s="22"/>
      <c r="S1265" s="22"/>
    </row>
    <row r="1266" spans="1:19" s="11" customFormat="1" hidden="1" outlineLevel="2" x14ac:dyDescent="0.2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</row>
    <row r="1267" spans="1:19" s="11" customFormat="1" ht="10.5" hidden="1" outlineLevel="2" thickBot="1" x14ac:dyDescent="0.25">
      <c r="A1267" s="166" t="str">
        <f ca="1">Language!A$686</f>
        <v xml:space="preserve">         СВОДНЫЙ ОТЧЕТ ОБ ИНВЕСТИЦИЯХ В ПРОЕКТ</v>
      </c>
      <c r="B1267" s="166"/>
      <c r="C1267" s="166"/>
      <c r="D1267" s="166"/>
      <c r="E1267" s="166"/>
      <c r="F1267" s="178" t="str">
        <f t="shared" ref="F1267:Q1267" si="1638">PeriodTitle</f>
        <v>4/ 2024</v>
      </c>
      <c r="G1267" s="178" t="str">
        <f t="shared" si="1638"/>
        <v>5/ 2024</v>
      </c>
      <c r="H1267" s="178" t="str">
        <f t="shared" si="1638"/>
        <v>6/ 2024</v>
      </c>
      <c r="I1267" s="178" t="str">
        <f t="shared" si="1638"/>
        <v>7/ 2024</v>
      </c>
      <c r="J1267" s="178" t="str">
        <f t="shared" si="1638"/>
        <v>8/ 2024</v>
      </c>
      <c r="K1267" s="178" t="str">
        <f t="shared" si="1638"/>
        <v>9/ 2024</v>
      </c>
      <c r="L1267" s="178" t="str">
        <f t="shared" si="1638"/>
        <v>10/ 2024</v>
      </c>
      <c r="M1267" s="178" t="str">
        <f t="shared" si="1638"/>
        <v>11/ 2024</v>
      </c>
      <c r="N1267" s="178" t="str">
        <f t="shared" si="1638"/>
        <v>12/ 2024</v>
      </c>
      <c r="O1267" s="178" t="str">
        <f t="shared" si="1638"/>
        <v>1/ 2025</v>
      </c>
      <c r="P1267" s="178" t="str">
        <f t="shared" si="1638"/>
        <v>2/ 2025</v>
      </c>
      <c r="Q1267" s="178" t="str">
        <f t="shared" si="1638"/>
        <v>3/ 2025</v>
      </c>
      <c r="R1267" s="166"/>
      <c r="S1267" s="195" t="str">
        <f ca="1">Language!A$371</f>
        <v>ИТОГО</v>
      </c>
    </row>
    <row r="1268" spans="1:19" s="11" customFormat="1" hidden="1" outlineLevel="2" x14ac:dyDescent="0.2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</row>
    <row r="1269" spans="1:19" s="11" customFormat="1" ht="10.5" hidden="1" outlineLevel="2" x14ac:dyDescent="0.25">
      <c r="A1269" s="35" t="str">
        <f ca="1">Language!A$687</f>
        <v>Потребность в инвестициях</v>
      </c>
      <c r="B1269"/>
      <c r="C1269" s="5" t="str">
        <f ca="1">CUR_Report</f>
        <v>руб.</v>
      </c>
      <c r="D1269"/>
      <c r="E1269"/>
      <c r="F1269" s="58">
        <f t="shared" ref="F1269:M1269" ca="1" si="1639">SUM(F1271:F1277)</f>
        <v>-648376</v>
      </c>
      <c r="G1269" s="58">
        <f t="shared" ca="1" si="1639"/>
        <v>415440</v>
      </c>
      <c r="H1269" s="58">
        <f t="shared" ca="1" si="1639"/>
        <v>-24435.877125000115</v>
      </c>
      <c r="I1269" s="58">
        <f t="shared" ca="1" si="1639"/>
        <v>-97743.508499999763</v>
      </c>
      <c r="J1269" s="58">
        <f t="shared" ca="1" si="1639"/>
        <v>-122179.385625</v>
      </c>
      <c r="K1269" s="58">
        <f t="shared" ca="1" si="1639"/>
        <v>-244358.77125000022</v>
      </c>
      <c r="L1269" s="58">
        <f t="shared" ca="1" si="1639"/>
        <v>-244358.77124999976</v>
      </c>
      <c r="M1269" s="58">
        <f t="shared" ca="1" si="1639"/>
        <v>-244358.77125000011</v>
      </c>
      <c r="N1269" s="58">
        <f t="shared" ref="N1269" ca="1" si="1640">SUM(N1271:N1277)</f>
        <v>-366538.15687499987</v>
      </c>
      <c r="O1269" s="58">
        <f t="shared" ref="O1269:Q1269" ca="1" si="1641">SUM(O1271:O1277)</f>
        <v>-488717.54250000021</v>
      </c>
      <c r="P1269" s="58">
        <f t="shared" ref="P1269:Q1269" ca="1" si="1642">SUM(P1271:P1277)</f>
        <v>-366538.1568750001</v>
      </c>
      <c r="Q1269" s="58">
        <f t="shared" ca="1" si="1642"/>
        <v>-244358.77124999976</v>
      </c>
      <c r="R1269" s="43"/>
      <c r="S1269" s="57">
        <f ca="1">SUM(F1269:Q1269)</f>
        <v>-2676523.7124999999</v>
      </c>
    </row>
    <row r="1270" spans="1:19" s="11" customFormat="1" hidden="1" outlineLevel="2" x14ac:dyDescent="0.2">
      <c r="A1270"/>
      <c r="B1270"/>
      <c r="C1270"/>
      <c r="D1270"/>
      <c r="E1270"/>
      <c r="F1270" s="43"/>
      <c r="G1270" s="43"/>
      <c r="H1270" s="43"/>
      <c r="I1270" s="43"/>
      <c r="J1270" s="43"/>
      <c r="K1270" s="43"/>
      <c r="L1270" s="43"/>
      <c r="M1270" s="43"/>
      <c r="N1270" s="43"/>
      <c r="O1270" s="43"/>
      <c r="P1270" s="43"/>
      <c r="Q1270" s="43"/>
      <c r="R1270" s="43"/>
      <c r="S1270" s="54"/>
    </row>
    <row r="1271" spans="1:19" s="11" customFormat="1" hidden="1" outlineLevel="2" x14ac:dyDescent="0.2">
      <c r="A1271" t="str">
        <f ca="1">Language!A$691</f>
        <v>Инвестиции в здания и сооружения</v>
      </c>
      <c r="B1271"/>
      <c r="C1271" s="5" t="str">
        <f t="shared" ref="C1271:C1277" ca="1" si="1643">CUR_Report</f>
        <v>руб.</v>
      </c>
      <c r="D1271"/>
      <c r="E1271"/>
      <c r="F1271" s="43">
        <f>F436/IF(CUR_I_Report=2,F$88,1)</f>
        <v>0</v>
      </c>
      <c r="G1271" s="43">
        <f>G436/IF(CUR_I_Report=2,G$88,1)</f>
        <v>0</v>
      </c>
      <c r="H1271" s="43">
        <f>H436/IF(CUR_I_Report=2,H$88,1)</f>
        <v>0</v>
      </c>
      <c r="I1271" s="43">
        <f>I436/IF(CUR_I_Report=2,I$88,1)</f>
        <v>0</v>
      </c>
      <c r="J1271" s="43">
        <f>J436/IF(CUR_I_Report=2,J$88,1)</f>
        <v>0</v>
      </c>
      <c r="K1271" s="43">
        <f>K436/IF(CUR_I_Report=2,K$88,1)</f>
        <v>0</v>
      </c>
      <c r="L1271" s="43">
        <f>L436/IF(CUR_I_Report=2,L$88,1)</f>
        <v>0</v>
      </c>
      <c r="M1271" s="43">
        <f>M436/IF(CUR_I_Report=2,M$88,1)</f>
        <v>0</v>
      </c>
      <c r="N1271" s="43">
        <f>N436/IF(CUR_I_Report=2,N$88,1)</f>
        <v>0</v>
      </c>
      <c r="O1271" s="43">
        <f>O436/IF(CUR_I_Report=2,O$88,1)</f>
        <v>0</v>
      </c>
      <c r="P1271" s="43">
        <f>P436/IF(CUR_I_Report=2,P$88,1)</f>
        <v>0</v>
      </c>
      <c r="Q1271" s="43">
        <f>Q436/IF(CUR_I_Report=2,Q$88,1)</f>
        <v>0</v>
      </c>
      <c r="R1271" s="43"/>
      <c r="S1271" s="54">
        <f t="shared" ref="S1271:S1277" si="1644">SUM(F1271:Q1271)</f>
        <v>0</v>
      </c>
    </row>
    <row r="1272" spans="1:19" s="11" customFormat="1" hidden="1" outlineLevel="2" x14ac:dyDescent="0.2">
      <c r="A1272" t="str">
        <f ca="1">Language!A$688</f>
        <v>Инвестиции в земельные участки</v>
      </c>
      <c r="B1272"/>
      <c r="C1272" s="5" t="str">
        <f t="shared" ca="1" si="1643"/>
        <v>руб.</v>
      </c>
      <c r="D1272"/>
      <c r="E1272"/>
      <c r="F1272" s="43">
        <f>F428/IF(CUR_I_Report=2,F$88,1)</f>
        <v>0</v>
      </c>
      <c r="G1272" s="43">
        <f>G428/IF(CUR_I_Report=2,G$88,1)</f>
        <v>0</v>
      </c>
      <c r="H1272" s="43">
        <f>H428/IF(CUR_I_Report=2,H$88,1)</f>
        <v>0</v>
      </c>
      <c r="I1272" s="43">
        <f>I428/IF(CUR_I_Report=2,I$88,1)</f>
        <v>0</v>
      </c>
      <c r="J1272" s="43">
        <f>J428/IF(CUR_I_Report=2,J$88,1)</f>
        <v>0</v>
      </c>
      <c r="K1272" s="43">
        <f>K428/IF(CUR_I_Report=2,K$88,1)</f>
        <v>0</v>
      </c>
      <c r="L1272" s="43">
        <f>L428/IF(CUR_I_Report=2,L$88,1)</f>
        <v>0</v>
      </c>
      <c r="M1272" s="43">
        <f>M428/IF(CUR_I_Report=2,M$88,1)</f>
        <v>0</v>
      </c>
      <c r="N1272" s="43">
        <f>N428/IF(CUR_I_Report=2,N$88,1)</f>
        <v>0</v>
      </c>
      <c r="O1272" s="43">
        <f>O428/IF(CUR_I_Report=2,O$88,1)</f>
        <v>0</v>
      </c>
      <c r="P1272" s="43">
        <f>P428/IF(CUR_I_Report=2,P$88,1)</f>
        <v>0</v>
      </c>
      <c r="Q1272" s="43">
        <f>Q428/IF(CUR_I_Report=2,Q$88,1)</f>
        <v>0</v>
      </c>
      <c r="R1272" s="43"/>
      <c r="S1272" s="54">
        <f t="shared" si="1644"/>
        <v>0</v>
      </c>
    </row>
    <row r="1273" spans="1:19" s="11" customFormat="1" hidden="1" outlineLevel="2" x14ac:dyDescent="0.2">
      <c r="A1273" t="str">
        <f ca="1">Language!A$689</f>
        <v>Инвестиции в нематериальные активы</v>
      </c>
      <c r="B1273"/>
      <c r="C1273" s="5" t="str">
        <f t="shared" ca="1" si="1643"/>
        <v>руб.</v>
      </c>
      <c r="D1273"/>
      <c r="E1273"/>
      <c r="F1273" s="43">
        <f>F463/IF(CUR_I_Report=2,F$88,1)</f>
        <v>0</v>
      </c>
      <c r="G1273" s="43">
        <f>G463/IF(CUR_I_Report=2,G$88,1)</f>
        <v>0</v>
      </c>
      <c r="H1273" s="43">
        <f>H463/IF(CUR_I_Report=2,H$88,1)</f>
        <v>0</v>
      </c>
      <c r="I1273" s="43">
        <f>I463/IF(CUR_I_Report=2,I$88,1)</f>
        <v>0</v>
      </c>
      <c r="J1273" s="43">
        <f>J463/IF(CUR_I_Report=2,J$88,1)</f>
        <v>0</v>
      </c>
      <c r="K1273" s="43">
        <f>K463/IF(CUR_I_Report=2,K$88,1)</f>
        <v>0</v>
      </c>
      <c r="L1273" s="43">
        <f>L463/IF(CUR_I_Report=2,L$88,1)</f>
        <v>0</v>
      </c>
      <c r="M1273" s="43">
        <f>M463/IF(CUR_I_Report=2,M$88,1)</f>
        <v>0</v>
      </c>
      <c r="N1273" s="43">
        <f>N463/IF(CUR_I_Report=2,N$88,1)</f>
        <v>0</v>
      </c>
      <c r="O1273" s="43">
        <f>O463/IF(CUR_I_Report=2,O$88,1)</f>
        <v>0</v>
      </c>
      <c r="P1273" s="43">
        <f>P463/IF(CUR_I_Report=2,P$88,1)</f>
        <v>0</v>
      </c>
      <c r="Q1273" s="43">
        <f>Q463/IF(CUR_I_Report=2,Q$88,1)</f>
        <v>0</v>
      </c>
      <c r="R1273" s="43"/>
      <c r="S1273" s="54">
        <f t="shared" si="1644"/>
        <v>0</v>
      </c>
    </row>
    <row r="1274" spans="1:19" s="11" customFormat="1" hidden="1" outlineLevel="2" x14ac:dyDescent="0.2">
      <c r="A1274" t="str">
        <f ca="1">Language!A$690</f>
        <v>Инвестиции в финансовые активы</v>
      </c>
      <c r="B1274"/>
      <c r="C1274" s="5" t="str">
        <f t="shared" ca="1" si="1643"/>
        <v>руб.</v>
      </c>
      <c r="D1274"/>
      <c r="E1274"/>
      <c r="F1274" s="43">
        <f>F475/IF(CUR_I_Report=2,F$88,1)</f>
        <v>0</v>
      </c>
      <c r="G1274" s="43">
        <f>G475/IF(CUR_I_Report=2,G$88,1)</f>
        <v>0</v>
      </c>
      <c r="H1274" s="43">
        <f>H475/IF(CUR_I_Report=2,H$88,1)</f>
        <v>0</v>
      </c>
      <c r="I1274" s="43">
        <f>I475/IF(CUR_I_Report=2,I$88,1)</f>
        <v>0</v>
      </c>
      <c r="J1274" s="43">
        <f>J475/IF(CUR_I_Report=2,J$88,1)</f>
        <v>0</v>
      </c>
      <c r="K1274" s="43">
        <f>K475/IF(CUR_I_Report=2,K$88,1)</f>
        <v>0</v>
      </c>
      <c r="L1274" s="43">
        <f>L475/IF(CUR_I_Report=2,L$88,1)</f>
        <v>0</v>
      </c>
      <c r="M1274" s="43">
        <f>M475/IF(CUR_I_Report=2,M$88,1)</f>
        <v>0</v>
      </c>
      <c r="N1274" s="43">
        <f>N475/IF(CUR_I_Report=2,N$88,1)</f>
        <v>0</v>
      </c>
      <c r="O1274" s="43">
        <f>O475/IF(CUR_I_Report=2,O$88,1)</f>
        <v>0</v>
      </c>
      <c r="P1274" s="43">
        <f>P475/IF(CUR_I_Report=2,P$88,1)</f>
        <v>0</v>
      </c>
      <c r="Q1274" s="43">
        <f>Q475/IF(CUR_I_Report=2,Q$88,1)</f>
        <v>0</v>
      </c>
      <c r="R1274" s="43"/>
      <c r="S1274" s="54">
        <f t="shared" si="1644"/>
        <v>0</v>
      </c>
    </row>
    <row r="1275" spans="1:19" s="11" customFormat="1" hidden="1" outlineLevel="2" x14ac:dyDescent="0.2">
      <c r="A1275" t="str">
        <f ca="1">Language!A$692</f>
        <v>Инвестиции в оборудование и прочие активы</v>
      </c>
      <c r="B1275"/>
      <c r="C1275" s="5" t="str">
        <f t="shared" ca="1" si="1643"/>
        <v>руб.</v>
      </c>
      <c r="D1275"/>
      <c r="E1275"/>
      <c r="F1275" s="43">
        <f>F450/IF(CUR_I_Report=2,F$88,1)</f>
        <v>0</v>
      </c>
      <c r="G1275" s="43">
        <f>G450/IF(CUR_I_Report=2,G$88,1)</f>
        <v>0</v>
      </c>
      <c r="H1275" s="43">
        <f>H450/IF(CUR_I_Report=2,H$88,1)</f>
        <v>0</v>
      </c>
      <c r="I1275" s="43">
        <f>I450/IF(CUR_I_Report=2,I$88,1)</f>
        <v>0</v>
      </c>
      <c r="J1275" s="43">
        <f>J450/IF(CUR_I_Report=2,J$88,1)</f>
        <v>0</v>
      </c>
      <c r="K1275" s="43">
        <f>K450/IF(CUR_I_Report=2,K$88,1)</f>
        <v>0</v>
      </c>
      <c r="L1275" s="43">
        <f>L450/IF(CUR_I_Report=2,L$88,1)</f>
        <v>0</v>
      </c>
      <c r="M1275" s="43">
        <f>M450/IF(CUR_I_Report=2,M$88,1)</f>
        <v>0</v>
      </c>
      <c r="N1275" s="43">
        <f>N450/IF(CUR_I_Report=2,N$88,1)</f>
        <v>0</v>
      </c>
      <c r="O1275" s="43">
        <f>O450/IF(CUR_I_Report=2,O$88,1)</f>
        <v>0</v>
      </c>
      <c r="P1275" s="43">
        <f>P450/IF(CUR_I_Report=2,P$88,1)</f>
        <v>0</v>
      </c>
      <c r="Q1275" s="43">
        <f>Q450/IF(CUR_I_Report=2,Q$88,1)</f>
        <v>0</v>
      </c>
      <c r="R1275" s="43"/>
      <c r="S1275" s="54">
        <f t="shared" si="1644"/>
        <v>0</v>
      </c>
    </row>
    <row r="1276" spans="1:19" s="11" customFormat="1" hidden="1" outlineLevel="2" x14ac:dyDescent="0.2">
      <c r="A1276" t="str">
        <f ca="1">Language!A$694</f>
        <v>Оплата расходов будущих периодов</v>
      </c>
      <c r="B1276"/>
      <c r="C1276" s="5" t="str">
        <f t="shared" ca="1" si="1643"/>
        <v>руб.</v>
      </c>
      <c r="D1276"/>
      <c r="E1276"/>
      <c r="F1276" s="43">
        <f>F486/IF(CUR_I_Report=2,F$88,1)</f>
        <v>0</v>
      </c>
      <c r="G1276" s="43">
        <f>G486/IF(CUR_I_Report=2,G$88,1)</f>
        <v>0</v>
      </c>
      <c r="H1276" s="43">
        <f>H486/IF(CUR_I_Report=2,H$88,1)</f>
        <v>0</v>
      </c>
      <c r="I1276" s="43">
        <f>I486/IF(CUR_I_Report=2,I$88,1)</f>
        <v>0</v>
      </c>
      <c r="J1276" s="43">
        <f>J486/IF(CUR_I_Report=2,J$88,1)</f>
        <v>0</v>
      </c>
      <c r="K1276" s="43">
        <f>K486/IF(CUR_I_Report=2,K$88,1)</f>
        <v>0</v>
      </c>
      <c r="L1276" s="43">
        <f>L486/IF(CUR_I_Report=2,L$88,1)</f>
        <v>0</v>
      </c>
      <c r="M1276" s="43">
        <f>M486/IF(CUR_I_Report=2,M$88,1)</f>
        <v>0</v>
      </c>
      <c r="N1276" s="43">
        <f>N486/IF(CUR_I_Report=2,N$88,1)</f>
        <v>0</v>
      </c>
      <c r="O1276" s="43">
        <f>O486/IF(CUR_I_Report=2,O$88,1)</f>
        <v>0</v>
      </c>
      <c r="P1276" s="43">
        <f>P486/IF(CUR_I_Report=2,P$88,1)</f>
        <v>0</v>
      </c>
      <c r="Q1276" s="43">
        <f>Q486/IF(CUR_I_Report=2,Q$88,1)</f>
        <v>0</v>
      </c>
      <c r="R1276" s="43"/>
      <c r="S1276" s="54">
        <f t="shared" si="1644"/>
        <v>0</v>
      </c>
    </row>
    <row r="1277" spans="1:19" s="11" customFormat="1" hidden="1" outlineLevel="2" x14ac:dyDescent="0.2">
      <c r="A1277" t="str">
        <f ca="1">Language!A$695</f>
        <v>Прирост чистого оборотного капитала</v>
      </c>
      <c r="B1277"/>
      <c r="C1277" s="5" t="str">
        <f t="shared" ca="1" si="1643"/>
        <v>руб.</v>
      </c>
      <c r="D1277"/>
      <c r="E1277"/>
      <c r="F1277" s="106">
        <f ca="1">F1175/IF(CUR_I_Report=2,F$88,1)</f>
        <v>-648376</v>
      </c>
      <c r="G1277" s="106">
        <f ca="1">G1175/IF(CUR_I_Report=2,G$88,1)</f>
        <v>415440</v>
      </c>
      <c r="H1277" s="106">
        <f ca="1">H1175/IF(CUR_I_Report=2,H$88,1)</f>
        <v>-24435.877125000115</v>
      </c>
      <c r="I1277" s="106">
        <f ca="1">I1175/IF(CUR_I_Report=2,I$88,1)</f>
        <v>-97743.508499999763</v>
      </c>
      <c r="J1277" s="106">
        <f ca="1">J1175/IF(CUR_I_Report=2,J$88,1)</f>
        <v>-122179.385625</v>
      </c>
      <c r="K1277" s="106">
        <f ca="1">K1175/IF(CUR_I_Report=2,K$88,1)</f>
        <v>-244358.77125000022</v>
      </c>
      <c r="L1277" s="106">
        <f ca="1">L1175/IF(CUR_I_Report=2,L$88,1)</f>
        <v>-244358.77124999976</v>
      </c>
      <c r="M1277" s="106">
        <f ca="1">M1175/IF(CUR_I_Report=2,M$88,1)</f>
        <v>-244358.77125000011</v>
      </c>
      <c r="N1277" s="106">
        <f ca="1">N1175/IF(CUR_I_Report=2,N$88,1)</f>
        <v>-366538.15687499987</v>
      </c>
      <c r="O1277" s="106">
        <f ca="1">O1175/IF(CUR_I_Report=2,O$88,1)</f>
        <v>-488717.54250000021</v>
      </c>
      <c r="P1277" s="106">
        <f ca="1">P1175/IF(CUR_I_Report=2,P$88,1)</f>
        <v>-366538.1568750001</v>
      </c>
      <c r="Q1277" s="106">
        <f ca="1">Q1175/IF(CUR_I_Report=2,Q$88,1)</f>
        <v>-244358.77124999976</v>
      </c>
      <c r="R1277" s="43"/>
      <c r="S1277" s="54">
        <f t="shared" ca="1" si="1644"/>
        <v>-2676523.7124999999</v>
      </c>
    </row>
    <row r="1278" spans="1:19" s="11" customFormat="1" hidden="1" outlineLevel="2" x14ac:dyDescent="0.2">
      <c r="A1278"/>
      <c r="B1278"/>
      <c r="C1278"/>
      <c r="D1278"/>
      <c r="E1278"/>
      <c r="F1278" s="43"/>
      <c r="G1278" s="43"/>
      <c r="H1278" s="43"/>
      <c r="I1278" s="43"/>
      <c r="J1278" s="43"/>
      <c r="K1278" s="43"/>
      <c r="L1278" s="43"/>
      <c r="M1278" s="43"/>
      <c r="N1278" s="43"/>
      <c r="O1278" s="43"/>
      <c r="P1278" s="43"/>
      <c r="Q1278" s="43"/>
      <c r="R1278" s="43"/>
      <c r="S1278" s="54"/>
    </row>
    <row r="1279" spans="1:19" s="11" customFormat="1" ht="10.5" hidden="1" outlineLevel="2" x14ac:dyDescent="0.25">
      <c r="A1279" s="35" t="str">
        <f ca="1">Language!A$696</f>
        <v>Привлечение финансирования</v>
      </c>
      <c r="B1279"/>
      <c r="C1279" s="5" t="str">
        <f ca="1">CUR_Report</f>
        <v>руб.</v>
      </c>
      <c r="D1279"/>
      <c r="E1279"/>
      <c r="F1279" s="58">
        <f t="shared" ref="F1279:M1279" si="1645">SUM(F1281:F1285)</f>
        <v>2359067.6844783714</v>
      </c>
      <c r="G1279" s="58">
        <f t="shared" si="1645"/>
        <v>2982103.1201237948</v>
      </c>
      <c r="H1279" s="58">
        <f t="shared" si="1645"/>
        <v>2393268.0173260393</v>
      </c>
      <c r="I1279" s="58">
        <f t="shared" si="1645"/>
        <v>1809034.9566888495</v>
      </c>
      <c r="J1279" s="58">
        <f t="shared" si="1645"/>
        <v>1144435.2062421832</v>
      </c>
      <c r="K1279" s="58">
        <f t="shared" si="1645"/>
        <v>0</v>
      </c>
      <c r="L1279" s="58">
        <f t="shared" si="1645"/>
        <v>0</v>
      </c>
      <c r="M1279" s="58">
        <f t="shared" si="1645"/>
        <v>0</v>
      </c>
      <c r="N1279" s="58">
        <f t="shared" ref="N1279" si="1646">SUM(N1281:N1285)</f>
        <v>0</v>
      </c>
      <c r="O1279" s="58">
        <f t="shared" ref="O1279:Q1279" si="1647">SUM(O1281:O1285)</f>
        <v>0</v>
      </c>
      <c r="P1279" s="58">
        <f t="shared" ref="P1279:Q1279" si="1648">SUM(P1281:P1285)</f>
        <v>0</v>
      </c>
      <c r="Q1279" s="58">
        <f t="shared" si="1648"/>
        <v>0</v>
      </c>
      <c r="R1279" s="43"/>
      <c r="S1279" s="57">
        <f>SUM(F1279:Q1279)</f>
        <v>10687908.984859239</v>
      </c>
    </row>
    <row r="1280" spans="1:19" s="11" customFormat="1" outlineLevel="1" x14ac:dyDescent="0.2">
      <c r="A1280"/>
      <c r="B1280"/>
      <c r="C1280"/>
      <c r="D1280"/>
      <c r="E1280"/>
      <c r="F1280" s="43"/>
      <c r="G1280" s="43"/>
      <c r="H1280" s="43"/>
      <c r="I1280" s="43"/>
      <c r="J1280" s="43"/>
      <c r="K1280" s="43"/>
      <c r="L1280" s="43"/>
      <c r="M1280" s="43"/>
      <c r="N1280" s="43"/>
      <c r="O1280" s="43"/>
      <c r="P1280" s="43"/>
      <c r="Q1280" s="43"/>
      <c r="R1280" s="43"/>
      <c r="S1280" s="54"/>
    </row>
    <row r="1281" spans="1:19" outlineLevel="1" x14ac:dyDescent="0.2">
      <c r="A1281" t="str">
        <f ca="1">Language!A$641</f>
        <v>Средства собственников</v>
      </c>
      <c r="C1281" s="5" t="str">
        <f ca="1">CUR_Report</f>
        <v>руб.</v>
      </c>
      <c r="F1281" s="43">
        <f>F1180/IF(CUR_I_Report=2,F$88,1)</f>
        <v>0</v>
      </c>
      <c r="G1281" s="43">
        <f>G1180/IF(CUR_I_Report=2,G$88,1)</f>
        <v>0</v>
      </c>
      <c r="H1281" s="43">
        <f>H1180/IF(CUR_I_Report=2,H$88,1)</f>
        <v>0</v>
      </c>
      <c r="I1281" s="43">
        <f>I1180/IF(CUR_I_Report=2,I$88,1)</f>
        <v>0</v>
      </c>
      <c r="J1281" s="43">
        <f>J1180/IF(CUR_I_Report=2,J$88,1)</f>
        <v>0</v>
      </c>
      <c r="K1281" s="43">
        <f>K1180/IF(CUR_I_Report=2,K$88,1)</f>
        <v>0</v>
      </c>
      <c r="L1281" s="43">
        <f>L1180/IF(CUR_I_Report=2,L$88,1)</f>
        <v>0</v>
      </c>
      <c r="M1281" s="43">
        <f>M1180/IF(CUR_I_Report=2,M$88,1)</f>
        <v>0</v>
      </c>
      <c r="N1281" s="43">
        <f>N1180/IF(CUR_I_Report=2,N$88,1)</f>
        <v>0</v>
      </c>
      <c r="O1281" s="43">
        <f>O1180/IF(CUR_I_Report=2,O$88,1)</f>
        <v>0</v>
      </c>
      <c r="P1281" s="43">
        <f>P1180/IF(CUR_I_Report=2,P$88,1)</f>
        <v>0</v>
      </c>
      <c r="Q1281" s="43">
        <f>Q1180/IF(CUR_I_Report=2,Q$88,1)</f>
        <v>0</v>
      </c>
      <c r="R1281" s="43"/>
      <c r="S1281" s="54">
        <f>SUM(F1281:Q1281)</f>
        <v>0</v>
      </c>
    </row>
    <row r="1282" spans="1:19" s="4" customFormat="1" ht="16" customHeight="1" x14ac:dyDescent="0.2">
      <c r="A1282" t="str">
        <f ca="1">Language!A$647</f>
        <v>Средства от текущей деятельности</v>
      </c>
      <c r="B1282"/>
      <c r="C1282" s="5" t="str">
        <f ca="1">CUR_Report</f>
        <v>руб.</v>
      </c>
      <c r="D1282"/>
      <c r="E1282"/>
      <c r="F1282" s="43">
        <f>F1188*IF($B1188=1,1,F$88)/IF(CUR_I_Report=2,F$88,1)</f>
        <v>0</v>
      </c>
      <c r="G1282" s="43">
        <f>G1188*IF($B1188=1,1,G$88)/IF(CUR_I_Report=2,G$88,1)</f>
        <v>0</v>
      </c>
      <c r="H1282" s="43">
        <f>H1188*IF($B1188=1,1,H$88)/IF(CUR_I_Report=2,H$88,1)</f>
        <v>0</v>
      </c>
      <c r="I1282" s="43">
        <f>I1188*IF($B1188=1,1,I$88)/IF(CUR_I_Report=2,I$88,1)</f>
        <v>0</v>
      </c>
      <c r="J1282" s="43">
        <f>J1188*IF($B1188=1,1,J$88)/IF(CUR_I_Report=2,J$88,1)</f>
        <v>0</v>
      </c>
      <c r="K1282" s="43">
        <f>K1188*IF($B1188=1,1,K$88)/IF(CUR_I_Report=2,K$88,1)</f>
        <v>0</v>
      </c>
      <c r="L1282" s="43">
        <f>L1188*IF($B1188=1,1,L$88)/IF(CUR_I_Report=2,L$88,1)</f>
        <v>0</v>
      </c>
      <c r="M1282" s="43">
        <f>M1188*IF($B1188=1,1,M$88)/IF(CUR_I_Report=2,M$88,1)</f>
        <v>0</v>
      </c>
      <c r="N1282" s="43">
        <f>N1188*IF($B1188=1,1,N$88)/IF(CUR_I_Report=2,N$88,1)</f>
        <v>0</v>
      </c>
      <c r="O1282" s="43">
        <f>O1188*IF($B1188=1,1,O$88)/IF(CUR_I_Report=2,O$88,1)</f>
        <v>0</v>
      </c>
      <c r="P1282" s="43">
        <f>P1188*IF($B1188=1,1,P$88)/IF(CUR_I_Report=2,P$88,1)</f>
        <v>0</v>
      </c>
      <c r="Q1282" s="43">
        <f>Q1188*IF($B1188=1,1,Q$88)/IF(CUR_I_Report=2,Q$88,1)</f>
        <v>0</v>
      </c>
      <c r="R1282" s="43"/>
      <c r="S1282" s="54">
        <f>SUM(F1282:Q1282)</f>
        <v>0</v>
      </c>
    </row>
    <row r="1283" spans="1:19" outlineLevel="1" x14ac:dyDescent="0.2">
      <c r="A1283" t="str">
        <f ca="1">Language!A$649</f>
        <v>Целевое финансирование</v>
      </c>
      <c r="C1283" s="5" t="str">
        <f ca="1">CUR_Report</f>
        <v>руб.</v>
      </c>
      <c r="F1283" s="43">
        <f>F1191*IF($B1191=1,1,F$88)/IF(CUR_I_Report=2,F$88,1)</f>
        <v>0</v>
      </c>
      <c r="G1283" s="43">
        <f>G1191*IF($B1191=1,1,G$88)/IF(CUR_I_Report=2,G$88,1)</f>
        <v>0</v>
      </c>
      <c r="H1283" s="43">
        <f>H1191*IF($B1191=1,1,H$88)/IF(CUR_I_Report=2,H$88,1)</f>
        <v>0</v>
      </c>
      <c r="I1283" s="43">
        <f>I1191*IF($B1191=1,1,I$88)/IF(CUR_I_Report=2,I$88,1)</f>
        <v>0</v>
      </c>
      <c r="J1283" s="43">
        <f>J1191*IF($B1191=1,1,J$88)/IF(CUR_I_Report=2,J$88,1)</f>
        <v>0</v>
      </c>
      <c r="K1283" s="43">
        <f>K1191*IF($B1191=1,1,K$88)/IF(CUR_I_Report=2,K$88,1)</f>
        <v>0</v>
      </c>
      <c r="L1283" s="43">
        <f>L1191*IF($B1191=1,1,L$88)/IF(CUR_I_Report=2,L$88,1)</f>
        <v>0</v>
      </c>
      <c r="M1283" s="43">
        <f>M1191*IF($B1191=1,1,M$88)/IF(CUR_I_Report=2,M$88,1)</f>
        <v>0</v>
      </c>
      <c r="N1283" s="43">
        <f>N1191*IF($B1191=1,1,N$88)/IF(CUR_I_Report=2,N$88,1)</f>
        <v>0</v>
      </c>
      <c r="O1283" s="43">
        <f>O1191*IF($B1191=1,1,O$88)/IF(CUR_I_Report=2,O$88,1)</f>
        <v>0</v>
      </c>
      <c r="P1283" s="43">
        <f>P1191*IF($B1191=1,1,P$88)/IF(CUR_I_Report=2,P$88,1)</f>
        <v>0</v>
      </c>
      <c r="Q1283" s="43">
        <f>Q1191*IF($B1191=1,1,Q$88)/IF(CUR_I_Report=2,Q$88,1)</f>
        <v>0</v>
      </c>
      <c r="R1283" s="43"/>
      <c r="S1283" s="54">
        <f>SUM(F1283:Q1283)</f>
        <v>0</v>
      </c>
    </row>
    <row r="1284" spans="1:19" outlineLevel="1" x14ac:dyDescent="0.2">
      <c r="A1284" t="str">
        <f ca="1">Language!A$650</f>
        <v>Средства от инвесторов строительства</v>
      </c>
      <c r="C1284" s="5" t="str">
        <f ca="1">CUR_Report</f>
        <v>руб.</v>
      </c>
      <c r="F1284" s="43">
        <f>F1194/IF(CUR_I_Report=2,F$88,1)</f>
        <v>0</v>
      </c>
      <c r="G1284" s="43">
        <f>G1194/IF(CUR_I_Report=2,G$88,1)</f>
        <v>0</v>
      </c>
      <c r="H1284" s="43">
        <f>H1194/IF(CUR_I_Report=2,H$88,1)</f>
        <v>0</v>
      </c>
      <c r="I1284" s="43">
        <f>I1194/IF(CUR_I_Report=2,I$88,1)</f>
        <v>0</v>
      </c>
      <c r="J1284" s="43">
        <f>J1194/IF(CUR_I_Report=2,J$88,1)</f>
        <v>0</v>
      </c>
      <c r="K1284" s="43">
        <f>K1194/IF(CUR_I_Report=2,K$88,1)</f>
        <v>0</v>
      </c>
      <c r="L1284" s="43">
        <f>L1194/IF(CUR_I_Report=2,L$88,1)</f>
        <v>0</v>
      </c>
      <c r="M1284" s="43">
        <f>M1194/IF(CUR_I_Report=2,M$88,1)</f>
        <v>0</v>
      </c>
      <c r="N1284" s="43">
        <f>N1194/IF(CUR_I_Report=2,N$88,1)</f>
        <v>0</v>
      </c>
      <c r="O1284" s="43">
        <f>O1194/IF(CUR_I_Report=2,O$88,1)</f>
        <v>0</v>
      </c>
      <c r="P1284" s="43">
        <f>P1194/IF(CUR_I_Report=2,P$88,1)</f>
        <v>0</v>
      </c>
      <c r="Q1284" s="43">
        <f>Q1194/IF(CUR_I_Report=2,Q$88,1)</f>
        <v>0</v>
      </c>
      <c r="R1284" s="43"/>
      <c r="S1284" s="54">
        <f>SUM(F1284:Q1284)</f>
        <v>0</v>
      </c>
    </row>
    <row r="1285" spans="1:19" outlineLevel="1" x14ac:dyDescent="0.2">
      <c r="A1285" t="str">
        <f ca="1">Language!A$659</f>
        <v>Поступление денег от кредита</v>
      </c>
      <c r="C1285" s="5" t="str">
        <f ca="1">CUR_Report</f>
        <v>руб.</v>
      </c>
      <c r="F1285" s="43">
        <f t="shared" ref="F1285:M1285" si="1649">F1226/IF(CUR_I_Report=2,F$88,1)</f>
        <v>2359067.6844783714</v>
      </c>
      <c r="G1285" s="43">
        <f t="shared" si="1649"/>
        <v>2982103.1201237948</v>
      </c>
      <c r="H1285" s="43">
        <f t="shared" si="1649"/>
        <v>2393268.0173260393</v>
      </c>
      <c r="I1285" s="43">
        <f t="shared" si="1649"/>
        <v>1809034.9566888495</v>
      </c>
      <c r="J1285" s="43">
        <f t="shared" si="1649"/>
        <v>1144435.2062421832</v>
      </c>
      <c r="K1285" s="43">
        <f t="shared" si="1649"/>
        <v>0</v>
      </c>
      <c r="L1285" s="43">
        <f t="shared" si="1649"/>
        <v>0</v>
      </c>
      <c r="M1285" s="43">
        <f t="shared" si="1649"/>
        <v>0</v>
      </c>
      <c r="N1285" s="43">
        <f t="shared" ref="N1285" si="1650">N1226/IF(CUR_I_Report=2,N$88,1)</f>
        <v>0</v>
      </c>
      <c r="O1285" s="43">
        <f t="shared" ref="O1285" si="1651">O1226/IF(CUR_I_Report=2,O$88,1)</f>
        <v>0</v>
      </c>
      <c r="P1285" s="43">
        <f t="shared" ref="P1285:Q1285" si="1652">P1226/IF(CUR_I_Report=2,P$88,1)</f>
        <v>0</v>
      </c>
      <c r="Q1285" s="43">
        <f t="shared" si="1652"/>
        <v>0</v>
      </c>
      <c r="R1285" s="43"/>
      <c r="S1285" s="54">
        <f>SUM(F1285:Q1285)</f>
        <v>10687908.984859239</v>
      </c>
    </row>
    <row r="1286" spans="1:19" outlineLevel="1" x14ac:dyDescent="0.2">
      <c r="F1286" s="43"/>
      <c r="G1286" s="43"/>
      <c r="H1286" s="43"/>
      <c r="I1286" s="43"/>
      <c r="J1286" s="43"/>
      <c r="K1286" s="43"/>
      <c r="L1286" s="43"/>
      <c r="M1286" s="43"/>
      <c r="N1286" s="43"/>
      <c r="O1286" s="43"/>
      <c r="P1286" s="43"/>
      <c r="Q1286" s="43"/>
      <c r="R1286" s="43"/>
      <c r="S1286" s="54"/>
    </row>
    <row r="1287" spans="1:19" ht="12" customHeight="1" outlineLevel="1" x14ac:dyDescent="0.25">
      <c r="A1287" s="35" t="str">
        <f ca="1">Language!A$697</f>
        <v>Возврат финансирования</v>
      </c>
      <c r="C1287" s="5" t="str">
        <f ca="1">CUR_Report</f>
        <v>руб.</v>
      </c>
      <c r="F1287" s="58">
        <f t="shared" ref="F1287:M1287" ca="1" si="1653">SUM(F1289:F1292)</f>
        <v>0</v>
      </c>
      <c r="G1287" s="58">
        <f t="shared" ca="1" si="1653"/>
        <v>0</v>
      </c>
      <c r="H1287" s="58">
        <f t="shared" ca="1" si="1653"/>
        <v>0</v>
      </c>
      <c r="I1287" s="58">
        <f t="shared" ca="1" si="1653"/>
        <v>0</v>
      </c>
      <c r="J1287" s="58">
        <f t="shared" ca="1" si="1653"/>
        <v>0</v>
      </c>
      <c r="K1287" s="58">
        <f t="shared" ca="1" si="1653"/>
        <v>23659.363592692334</v>
      </c>
      <c r="L1287" s="58">
        <f t="shared" ca="1" si="1653"/>
        <v>1382857.7352272721</v>
      </c>
      <c r="M1287" s="58">
        <f t="shared" ca="1" si="1653"/>
        <v>2544234.9284090907</v>
      </c>
      <c r="N1287" s="58">
        <f t="shared" ref="N1287" ca="1" si="1654">SUM(N1289:N1292)</f>
        <v>4397372.886931817</v>
      </c>
      <c r="O1287" s="58">
        <f t="shared" ref="O1287:Q1287" ca="1" si="1655">SUM(O1289:O1292)</f>
        <v>3558056.5059945099</v>
      </c>
      <c r="P1287" s="58">
        <f t="shared" ref="P1287:Q1287" ca="1" si="1656">SUM(P1289:P1292)</f>
        <v>0</v>
      </c>
      <c r="Q1287" s="58">
        <f t="shared" ca="1" si="1656"/>
        <v>0</v>
      </c>
      <c r="R1287" s="43"/>
      <c r="S1287" s="57">
        <f ca="1">SUM(F1287:Q1287)</f>
        <v>11906181.420155382</v>
      </c>
    </row>
    <row r="1288" spans="1:19" outlineLevel="1" x14ac:dyDescent="0.2">
      <c r="F1288" s="43"/>
      <c r="G1288" s="43"/>
      <c r="H1288" s="43"/>
      <c r="I1288" s="43"/>
      <c r="J1288" s="43"/>
      <c r="K1288" s="43"/>
      <c r="L1288" s="43"/>
      <c r="M1288" s="43"/>
      <c r="N1288" s="43"/>
      <c r="O1288" s="43"/>
      <c r="P1288" s="43"/>
      <c r="Q1288" s="43"/>
      <c r="R1288" s="43"/>
      <c r="S1288" s="54"/>
    </row>
    <row r="1289" spans="1:19" outlineLevel="1" x14ac:dyDescent="0.2">
      <c r="A1289" t="str">
        <f ca="1">Language!A$662</f>
        <v>Выплаченные проценты</v>
      </c>
      <c r="C1289" s="5" t="str">
        <f ca="1">CUR_Report</f>
        <v>руб.</v>
      </c>
      <c r="F1289" s="43">
        <f t="shared" ref="F1289:M1289" si="1657">F1228/IF(CUR_I_Report=2,F$88,1)</f>
        <v>0</v>
      </c>
      <c r="G1289" s="43">
        <f t="shared" si="1657"/>
        <v>0</v>
      </c>
      <c r="H1289" s="43">
        <f t="shared" si="1657"/>
        <v>0</v>
      </c>
      <c r="I1289" s="43">
        <f t="shared" si="1657"/>
        <v>0</v>
      </c>
      <c r="J1289" s="43">
        <f t="shared" si="1657"/>
        <v>0</v>
      </c>
      <c r="K1289" s="43">
        <f t="shared" si="1657"/>
        <v>0</v>
      </c>
      <c r="L1289" s="43">
        <f t="shared" si="1657"/>
        <v>180237.18952591211</v>
      </c>
      <c r="M1289" s="43">
        <f t="shared" si="1657"/>
        <v>138130.35957124989</v>
      </c>
      <c r="N1289" s="43">
        <f t="shared" ref="N1289" si="1658">N1228/IF(CUR_I_Report=2,N$88,1)</f>
        <v>62265.988854903924</v>
      </c>
      <c r="O1289" s="43">
        <f t="shared" ref="O1289" si="1659">O1228/IF(CUR_I_Report=2,O$88,1)</f>
        <v>0</v>
      </c>
      <c r="P1289" s="43">
        <f t="shared" ref="P1289:Q1289" si="1660">P1228/IF(CUR_I_Report=2,P$88,1)</f>
        <v>0</v>
      </c>
      <c r="Q1289" s="43">
        <f t="shared" si="1660"/>
        <v>0</v>
      </c>
      <c r="R1289" s="43"/>
      <c r="S1289" s="54">
        <f>SUM(F1289:Q1289)</f>
        <v>380633.53795206588</v>
      </c>
    </row>
    <row r="1290" spans="1:19" outlineLevel="1" x14ac:dyDescent="0.2">
      <c r="A1290" t="str">
        <f ca="1">Language!A$698</f>
        <v>Дивиденды</v>
      </c>
      <c r="C1290" s="5" t="str">
        <f ca="1">CUR_Report</f>
        <v>руб.</v>
      </c>
      <c r="F1290" s="106">
        <f t="shared" ref="F1290:M1290" ca="1" si="1661">F1385/IF(CUR_I_Report=2,F$88,1)</f>
        <v>0</v>
      </c>
      <c r="G1290" s="106">
        <f t="shared" ca="1" si="1661"/>
        <v>0</v>
      </c>
      <c r="H1290" s="106">
        <f t="shared" ca="1" si="1661"/>
        <v>0</v>
      </c>
      <c r="I1290" s="106">
        <f t="shared" ca="1" si="1661"/>
        <v>0</v>
      </c>
      <c r="J1290" s="106">
        <f t="shared" ca="1" si="1661"/>
        <v>0</v>
      </c>
      <c r="K1290" s="106">
        <f t="shared" ca="1" si="1661"/>
        <v>0</v>
      </c>
      <c r="L1290" s="106">
        <f t="shared" ca="1" si="1661"/>
        <v>0</v>
      </c>
      <c r="M1290" s="106">
        <f t="shared" ca="1" si="1661"/>
        <v>0</v>
      </c>
      <c r="N1290" s="106">
        <f t="shared" ref="N1290" ca="1" si="1662">N1385/IF(CUR_I_Report=2,N$88,1)</f>
        <v>0</v>
      </c>
      <c r="O1290" s="106">
        <f t="shared" ref="O1290" ca="1" si="1663">O1385/IF(CUR_I_Report=2,O$88,1)</f>
        <v>0</v>
      </c>
      <c r="P1290" s="106">
        <f t="shared" ref="P1290:Q1290" ca="1" si="1664">P1385/IF(CUR_I_Report=2,P$88,1)</f>
        <v>0</v>
      </c>
      <c r="Q1290" s="106">
        <f t="shared" ca="1" si="1664"/>
        <v>0</v>
      </c>
      <c r="R1290" s="43"/>
      <c r="S1290" s="54"/>
    </row>
    <row r="1291" spans="1:19" outlineLevel="1" x14ac:dyDescent="0.2">
      <c r="A1291" s="48" t="str">
        <f ca="1">Language!A$699</f>
        <v>Лизинговые платежи</v>
      </c>
      <c r="C1291" s="5" t="str">
        <f ca="1">CUR_Report</f>
        <v>руб.</v>
      </c>
      <c r="F1291" s="43">
        <f ca="1">F525/IF(CUR_I_Report=2,F$88,1)</f>
        <v>0</v>
      </c>
      <c r="G1291" s="43">
        <f ca="1">G525/IF(CUR_I_Report=2,G$88,1)</f>
        <v>0</v>
      </c>
      <c r="H1291" s="43">
        <f ca="1">H525/IF(CUR_I_Report=2,H$88,1)</f>
        <v>0</v>
      </c>
      <c r="I1291" s="43">
        <f ca="1">I525/IF(CUR_I_Report=2,I$88,1)</f>
        <v>0</v>
      </c>
      <c r="J1291" s="43">
        <f ca="1">J525/IF(CUR_I_Report=2,J$88,1)</f>
        <v>0</v>
      </c>
      <c r="K1291" s="43">
        <f ca="1">K525/IF(CUR_I_Report=2,K$88,1)</f>
        <v>0</v>
      </c>
      <c r="L1291" s="43">
        <f ca="1">L525/IF(CUR_I_Report=2,L$88,1)</f>
        <v>0</v>
      </c>
      <c r="M1291" s="43">
        <f ca="1">M525/IF(CUR_I_Report=2,M$88,1)</f>
        <v>0</v>
      </c>
      <c r="N1291" s="43">
        <f ca="1">N525/IF(CUR_I_Report=2,N$88,1)</f>
        <v>0</v>
      </c>
      <c r="O1291" s="43">
        <f ca="1">O525/IF(CUR_I_Report=2,O$88,1)</f>
        <v>0</v>
      </c>
      <c r="P1291" s="43">
        <f ca="1">P525/IF(CUR_I_Report=2,P$88,1)</f>
        <v>0</v>
      </c>
      <c r="Q1291" s="43">
        <f ca="1">Q525/IF(CUR_I_Report=2,Q$88,1)</f>
        <v>0</v>
      </c>
      <c r="R1291" s="43"/>
      <c r="S1291" s="54">
        <f ca="1">SUM(F1291:Q1291)</f>
        <v>0</v>
      </c>
    </row>
    <row r="1292" spans="1:19" outlineLevel="1" x14ac:dyDescent="0.2">
      <c r="A1292" s="48" t="str">
        <f ca="1">Language!A$700</f>
        <v>Возврат кредитов</v>
      </c>
      <c r="C1292" s="5" t="str">
        <f ca="1">CUR_Report</f>
        <v>руб.</v>
      </c>
      <c r="F1292" s="43">
        <f t="shared" ref="F1292:M1292" si="1665">F1227/IF(CUR_I_Report=2,F$88,1)</f>
        <v>0</v>
      </c>
      <c r="G1292" s="43">
        <f t="shared" si="1665"/>
        <v>0</v>
      </c>
      <c r="H1292" s="43">
        <f t="shared" si="1665"/>
        <v>0</v>
      </c>
      <c r="I1292" s="43">
        <f t="shared" si="1665"/>
        <v>0</v>
      </c>
      <c r="J1292" s="43">
        <f t="shared" si="1665"/>
        <v>0</v>
      </c>
      <c r="K1292" s="43">
        <f t="shared" si="1665"/>
        <v>23659.363592692334</v>
      </c>
      <c r="L1292" s="43">
        <f t="shared" si="1665"/>
        <v>1202620.5457013601</v>
      </c>
      <c r="M1292" s="43">
        <f t="shared" si="1665"/>
        <v>2406104.568837841</v>
      </c>
      <c r="N1292" s="43">
        <f t="shared" ref="N1292" si="1666">N1227/IF(CUR_I_Report=2,N$88,1)</f>
        <v>4335106.8980769133</v>
      </c>
      <c r="O1292" s="43">
        <f t="shared" ref="O1292" si="1667">O1227/IF(CUR_I_Report=2,O$88,1)</f>
        <v>3558056.5059945099</v>
      </c>
      <c r="P1292" s="43">
        <f t="shared" ref="P1292:Q1292" si="1668">P1227/IF(CUR_I_Report=2,P$88,1)</f>
        <v>0</v>
      </c>
      <c r="Q1292" s="43">
        <f t="shared" si="1668"/>
        <v>0</v>
      </c>
      <c r="R1292" s="43"/>
      <c r="S1292" s="54">
        <f>SUM(F1292:Q1292)</f>
        <v>11525547.882203316</v>
      </c>
    </row>
    <row r="1293" spans="1:19" outlineLevel="1" x14ac:dyDescent="0.2">
      <c r="F1293" s="43"/>
      <c r="G1293" s="43"/>
      <c r="H1293" s="43"/>
      <c r="I1293" s="43"/>
      <c r="J1293" s="43"/>
      <c r="K1293" s="43"/>
      <c r="L1293" s="43"/>
      <c r="M1293" s="43"/>
      <c r="N1293" s="43"/>
      <c r="O1293" s="43"/>
      <c r="P1293" s="43"/>
      <c r="Q1293" s="43"/>
      <c r="R1293" s="43"/>
      <c r="S1293" s="54"/>
    </row>
    <row r="1294" spans="1:19" outlineLevel="1" x14ac:dyDescent="0.2">
      <c r="A1294" s="11" t="str">
        <f ca="1">Language!A$651</f>
        <v>Справка: Остаток средств на счете (текущий проект)</v>
      </c>
      <c r="B1294" s="11"/>
      <c r="C1294" s="36" t="str">
        <f ca="1">CUR_Report</f>
        <v>руб.</v>
      </c>
      <c r="D1294" s="16" t="s">
        <v>384</v>
      </c>
      <c r="E1294" s="11"/>
      <c r="F1294" s="94">
        <f t="shared" ref="F1294:M1294" ca="1" si="1669">F1458</f>
        <v>41283.684478371404</v>
      </c>
      <c r="G1294" s="94">
        <f t="shared" ca="1" si="1669"/>
        <v>52186.804602166172</v>
      </c>
      <c r="H1294" s="94">
        <f t="shared" ca="1" si="1669"/>
        <v>41882.190303205512</v>
      </c>
      <c r="I1294" s="94">
        <f t="shared" ca="1" si="1669"/>
        <v>31658.111742054811</v>
      </c>
      <c r="J1294" s="94">
        <f t="shared" ca="1" si="1669"/>
        <v>20027.616109238239</v>
      </c>
      <c r="K1294" s="94">
        <f t="shared" ca="1" si="1669"/>
        <v>239996.84876654632</v>
      </c>
      <c r="L1294" s="94">
        <f t="shared" ca="1" si="1669"/>
        <v>378282.62228927377</v>
      </c>
      <c r="M1294" s="94">
        <f t="shared" ca="1" si="1669"/>
        <v>632706.11513018364</v>
      </c>
      <c r="N1294" s="94">
        <f t="shared" ref="N1294" ca="1" si="1670">N1458</f>
        <v>1072443.4038233669</v>
      </c>
      <c r="O1294" s="94">
        <f t="shared" ref="O1294:Q1294" ca="1" si="1671">O1458</f>
        <v>5028706.2840788569</v>
      </c>
      <c r="P1294" s="94">
        <f t="shared" ref="P1294:Q1294" ca="1" si="1672">P1458</f>
        <v>14337118.653453857</v>
      </c>
      <c r="Q1294" s="94">
        <f t="shared" ca="1" si="1672"/>
        <v>24800866.549703859</v>
      </c>
      <c r="R1294" s="54"/>
      <c r="S1294" s="54"/>
    </row>
    <row r="1295" spans="1:19" outlineLevel="1" x14ac:dyDescent="0.2">
      <c r="A1295" s="11" t="str">
        <f ca="1">Language!A$652</f>
        <v>Справка: Остаток средств на счете (без учета операционной деятельности)</v>
      </c>
      <c r="B1295" s="11"/>
      <c r="C1295" s="36" t="str">
        <f ca="1">CUR_Report</f>
        <v>руб.</v>
      </c>
      <c r="D1295" s="16" t="s">
        <v>384</v>
      </c>
      <c r="E1295" s="11"/>
      <c r="F1295" s="94">
        <f t="shared" ref="F1295:M1295" ca="1" si="1673">(F1458-F1433)*IF(CUR_I_Report=2,F$88,1)</f>
        <v>3007443.6844783714</v>
      </c>
      <c r="G1295" s="94">
        <f t="shared" ca="1" si="1673"/>
        <v>2607946.8046021662</v>
      </c>
      <c r="H1295" s="94">
        <f t="shared" ca="1" si="1673"/>
        <v>2469890.6990532055</v>
      </c>
      <c r="I1295" s="94">
        <f t="shared" ca="1" si="1673"/>
        <v>1948660.6554920548</v>
      </c>
      <c r="J1295" s="94">
        <f t="shared" ca="1" si="1673"/>
        <v>1298272.7036092381</v>
      </c>
      <c r="K1295" s="94">
        <f t="shared" ca="1" si="1673"/>
        <v>240727.02376654613</v>
      </c>
      <c r="L1295" s="94">
        <f t="shared" ca="1" si="1673"/>
        <v>-718264.92568481399</v>
      </c>
      <c r="M1295" s="94">
        <f t="shared" ca="1" si="1673"/>
        <v>-1783463.1752985669</v>
      </c>
      <c r="N1295" s="94">
        <f t="shared" ref="N1295" ca="1" si="1674">(N1458-N1433)*IF(CUR_I_Report=2,N$88,1)</f>
        <v>-3335862.6260717292</v>
      </c>
      <c r="O1295" s="94">
        <f t="shared" ref="O1295" ca="1" si="1675">(O1458-O1433)*IF(CUR_I_Report=2,O$88,1)</f>
        <v>-1996895.5596711431</v>
      </c>
      <c r="P1295" s="94">
        <f t="shared" ref="P1295:Q1295" ca="1" si="1676">(P1458-P1433)*IF(CUR_I_Report=2,P$88,1)</f>
        <v>5395244.4409538563</v>
      </c>
      <c r="Q1295" s="94">
        <f t="shared" ca="1" si="1676"/>
        <v>14581477.424703859</v>
      </c>
      <c r="R1295" s="54"/>
      <c r="S1295" s="54"/>
    </row>
    <row r="1296" spans="1:19" outlineLevel="1" x14ac:dyDescent="0.2">
      <c r="A1296" s="11" t="str">
        <f ca="1">Language!A$701</f>
        <v>Минимальный остаток средств на счете</v>
      </c>
      <c r="B1296" s="196">
        <f ca="1">MIN(F1294:Q1294)</f>
        <v>20027.616109238239</v>
      </c>
      <c r="C1296" s="36" t="str">
        <f ca="1">CUR_Report</f>
        <v>руб.</v>
      </c>
      <c r="D1296" s="11"/>
      <c r="E1296" s="11"/>
      <c r="F1296" s="11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</row>
    <row r="1297" spans="1:19" outlineLevel="1" x14ac:dyDescent="0.2">
      <c r="A1297" s="63"/>
      <c r="B1297" s="63"/>
      <c r="C1297" s="63"/>
      <c r="D1297" s="63"/>
      <c r="E1297" s="63"/>
      <c r="F1297" s="63"/>
      <c r="G1297" s="63"/>
      <c r="H1297" s="63"/>
      <c r="I1297" s="63"/>
      <c r="J1297" s="63"/>
      <c r="K1297" s="63"/>
      <c r="L1297" s="63"/>
      <c r="M1297" s="63"/>
      <c r="N1297" s="63"/>
      <c r="O1297" s="63"/>
      <c r="P1297" s="63"/>
      <c r="Q1297" s="63"/>
      <c r="R1297" s="63"/>
      <c r="S1297" s="64"/>
    </row>
    <row r="1298" spans="1:19" outlineLevel="1" x14ac:dyDescent="0.2">
      <c r="A1298" s="19"/>
      <c r="B1298" s="19"/>
      <c r="C1298" s="19"/>
      <c r="D1298" s="19"/>
      <c r="E1298" s="19"/>
      <c r="F1298" s="19"/>
      <c r="G1298" s="19"/>
      <c r="H1298" s="19"/>
      <c r="I1298" s="19"/>
      <c r="J1298" s="19"/>
      <c r="K1298" s="19"/>
      <c r="L1298" s="19"/>
      <c r="M1298" s="19"/>
      <c r="N1298" s="19"/>
      <c r="O1298" s="19"/>
      <c r="P1298" s="19"/>
      <c r="Q1298" s="19"/>
      <c r="R1298" s="19"/>
      <c r="S1298" s="22"/>
    </row>
    <row r="1299" spans="1:19" ht="10.5" outlineLevel="1" thickBot="1" x14ac:dyDescent="0.25">
      <c r="A1299" s="166" t="str">
        <f ca="1">Language!A702</f>
        <v xml:space="preserve">         ОТЧЕТ О ПРИБЫЛЯХ И УБЫТКАХ</v>
      </c>
      <c r="B1299" s="166"/>
      <c r="C1299" s="166"/>
      <c r="D1299" s="166"/>
      <c r="E1299" s="166"/>
      <c r="F1299" s="178" t="str">
        <f t="shared" ref="F1299:Q1299" si="1677">PeriodTitle</f>
        <v>4/ 2024</v>
      </c>
      <c r="G1299" s="178" t="str">
        <f t="shared" si="1677"/>
        <v>5/ 2024</v>
      </c>
      <c r="H1299" s="178" t="str">
        <f t="shared" si="1677"/>
        <v>6/ 2024</v>
      </c>
      <c r="I1299" s="178" t="str">
        <f t="shared" si="1677"/>
        <v>7/ 2024</v>
      </c>
      <c r="J1299" s="178" t="str">
        <f t="shared" si="1677"/>
        <v>8/ 2024</v>
      </c>
      <c r="K1299" s="178" t="str">
        <f t="shared" si="1677"/>
        <v>9/ 2024</v>
      </c>
      <c r="L1299" s="178" t="str">
        <f t="shared" si="1677"/>
        <v>10/ 2024</v>
      </c>
      <c r="M1299" s="178" t="str">
        <f t="shared" si="1677"/>
        <v>11/ 2024</v>
      </c>
      <c r="N1299" s="178" t="str">
        <f t="shared" si="1677"/>
        <v>12/ 2024</v>
      </c>
      <c r="O1299" s="178" t="str">
        <f t="shared" si="1677"/>
        <v>1/ 2025</v>
      </c>
      <c r="P1299" s="178" t="str">
        <f t="shared" si="1677"/>
        <v>2/ 2025</v>
      </c>
      <c r="Q1299" s="178" t="str">
        <f t="shared" si="1677"/>
        <v>3/ 2025</v>
      </c>
      <c r="R1299" s="166"/>
      <c r="S1299" s="195" t="str">
        <f ca="1">Language!A$371</f>
        <v>ИТОГО</v>
      </c>
    </row>
    <row r="1300" spans="1:19" ht="10.5" outlineLevel="1" thickTop="1" x14ac:dyDescent="0.2"/>
    <row r="1301" spans="1:19" ht="10.5" outlineLevel="1" x14ac:dyDescent="0.25">
      <c r="A1301" s="35" t="str">
        <f ca="1">Language!A703</f>
        <v>Выручка (нетто)</v>
      </c>
      <c r="C1301" s="5" t="str">
        <f ca="1">CUR_Report</f>
        <v>руб.</v>
      </c>
      <c r="F1301" s="56">
        <f>(F643-F644)/IF(CUR_I_Report=2,F$88,1)</f>
        <v>0</v>
      </c>
      <c r="G1301" s="56">
        <f>(G643-G644)/IF(CUR_I_Report=2,G$88,1)</f>
        <v>0</v>
      </c>
      <c r="H1301" s="56">
        <f>(H643-H644)/IF(CUR_I_Report=2,H$88,1)</f>
        <v>135920</v>
      </c>
      <c r="I1301" s="56">
        <f>(I643-I644)/IF(CUR_I_Report=2,I$88,1)</f>
        <v>679600</v>
      </c>
      <c r="J1301" s="56">
        <f>(J643-J644)/IF(CUR_I_Report=2,J$88,1)</f>
        <v>1359200</v>
      </c>
      <c r="K1301" s="56">
        <f>(K643-K644)/IF(CUR_I_Report=2,K$88,1)</f>
        <v>2718400</v>
      </c>
      <c r="L1301" s="56">
        <f>(L643-L644)/IF(CUR_I_Report=2,L$88,1)</f>
        <v>4077600</v>
      </c>
      <c r="M1301" s="56">
        <f>(M643-M644)/IF(CUR_I_Report=2,M$88,1)</f>
        <v>5436800</v>
      </c>
      <c r="N1301" s="56">
        <f>(N643-N644)/IF(CUR_I_Report=2,N$88,1)</f>
        <v>7475600</v>
      </c>
      <c r="O1301" s="56">
        <f>(O643-O644)/IF(CUR_I_Report=2,O$88,1)</f>
        <v>10194000</v>
      </c>
      <c r="P1301" s="56">
        <f>(P643-P644)/IF(CUR_I_Report=2,P$88,1)</f>
        <v>12232800</v>
      </c>
      <c r="Q1301" s="56">
        <f>(Q643-Q644)/IF(CUR_I_Report=2,Q$88,1)</f>
        <v>13592000</v>
      </c>
      <c r="R1301" s="43"/>
      <c r="S1301" s="57">
        <f>SUM(F1301:Q1301)</f>
        <v>57901920</v>
      </c>
    </row>
    <row r="1302" spans="1:19" ht="10.5" outlineLevel="1" x14ac:dyDescent="0.25">
      <c r="A1302" s="35" t="str">
        <f ca="1">Language!A704</f>
        <v>Себестоимость</v>
      </c>
      <c r="C1302" s="5" t="str">
        <f ca="1">CUR_Report</f>
        <v>руб.</v>
      </c>
      <c r="F1302" s="58">
        <f t="shared" ref="F1302:M1302" ca="1" si="1678">SUM(F1304:F1309)</f>
        <v>2468200</v>
      </c>
      <c r="G1302" s="58">
        <f t="shared" ca="1" si="1678"/>
        <v>2057800</v>
      </c>
      <c r="H1302" s="58">
        <f t="shared" ca="1" si="1678"/>
        <v>2057813.3087500001</v>
      </c>
      <c r="I1302" s="58">
        <f t="shared" ca="1" si="1678"/>
        <v>2057866.54375</v>
      </c>
      <c r="J1302" s="58">
        <f t="shared" ca="1" si="1678"/>
        <v>2057933.0874999999</v>
      </c>
      <c r="K1302" s="58">
        <f t="shared" ca="1" si="1678"/>
        <v>2058066.175</v>
      </c>
      <c r="L1302" s="58">
        <f t="shared" ca="1" si="1678"/>
        <v>2058199.2625</v>
      </c>
      <c r="M1302" s="58">
        <f t="shared" ca="1" si="1678"/>
        <v>2058332.35</v>
      </c>
      <c r="N1302" s="58">
        <f t="shared" ref="N1302" ca="1" si="1679">SUM(N1304:N1309)</f>
        <v>2058531.98125</v>
      </c>
      <c r="O1302" s="58">
        <f t="shared" ref="O1302:Q1302" ca="1" si="1680">SUM(O1304:O1309)</f>
        <v>2058798.15625</v>
      </c>
      <c r="P1302" s="58">
        <f t="shared" ref="P1302:Q1302" ca="1" si="1681">SUM(P1304:P1309)</f>
        <v>2058997.7875000001</v>
      </c>
      <c r="Q1302" s="58">
        <f t="shared" ca="1" si="1681"/>
        <v>2059130.875</v>
      </c>
      <c r="R1302" s="43"/>
      <c r="S1302" s="57">
        <f ca="1">SUM(F1302:Q1302)</f>
        <v>25109669.5275</v>
      </c>
    </row>
    <row r="1303" spans="1:19" outlineLevel="1" x14ac:dyDescent="0.2">
      <c r="A1303" s="23" t="str">
        <f ca="1">Language!A705</f>
        <v>в том числе</v>
      </c>
      <c r="F1303" s="43"/>
      <c r="G1303" s="43"/>
      <c r="H1303" s="43"/>
      <c r="I1303" s="43"/>
      <c r="J1303" s="43"/>
      <c r="K1303" s="43"/>
      <c r="L1303" s="43"/>
      <c r="M1303" s="43"/>
      <c r="N1303" s="43"/>
      <c r="O1303" s="43"/>
      <c r="P1303" s="43"/>
      <c r="Q1303" s="43"/>
      <c r="R1303" s="43"/>
      <c r="S1303" s="54"/>
    </row>
    <row r="1304" spans="1:19" outlineLevel="1" x14ac:dyDescent="0.2">
      <c r="A1304" s="23" t="str">
        <f ca="1">Language!A706</f>
        <v xml:space="preserve">    Сырье и материалы</v>
      </c>
      <c r="C1304" s="5" t="str">
        <f t="shared" ref="C1304:C1324" ca="1" si="1682">CUR_Report</f>
        <v>руб.</v>
      </c>
      <c r="F1304" s="53">
        <f>F848/IF(CUR_I_Report=2,F$88,1)</f>
        <v>0</v>
      </c>
      <c r="G1304" s="53">
        <f>G848/IF(CUR_I_Report=2,G$88,1)</f>
        <v>0</v>
      </c>
      <c r="H1304" s="53">
        <f>H848/IF(CUR_I_Report=2,H$88,1)</f>
        <v>13.30875</v>
      </c>
      <c r="I1304" s="53">
        <f>I848/IF(CUR_I_Report=2,I$88,1)</f>
        <v>66.543750000000003</v>
      </c>
      <c r="J1304" s="53">
        <f>J848/IF(CUR_I_Report=2,J$88,1)</f>
        <v>133.08750000000001</v>
      </c>
      <c r="K1304" s="53">
        <f>K848/IF(CUR_I_Report=2,K$88,1)</f>
        <v>266.17500000000001</v>
      </c>
      <c r="L1304" s="53">
        <f>L848/IF(CUR_I_Report=2,L$88,1)</f>
        <v>399.26249999999999</v>
      </c>
      <c r="M1304" s="53">
        <f>M848/IF(CUR_I_Report=2,M$88,1)</f>
        <v>532.35</v>
      </c>
      <c r="N1304" s="53">
        <f>N848/IF(CUR_I_Report=2,N$88,1)</f>
        <v>731.98125000000005</v>
      </c>
      <c r="O1304" s="53">
        <f>O848/IF(CUR_I_Report=2,O$88,1)</f>
        <v>998.15625</v>
      </c>
      <c r="P1304" s="53">
        <f>P848/IF(CUR_I_Report=2,P$88,1)</f>
        <v>1197.7875000000001</v>
      </c>
      <c r="Q1304" s="53">
        <f>Q848/IF(CUR_I_Report=2,Q$88,1)</f>
        <v>1330.8750000000002</v>
      </c>
      <c r="R1304" s="43"/>
      <c r="S1304" s="54">
        <f t="shared" ref="S1304:S1324" si="1683">SUM(F1304:Q1304)</f>
        <v>5669.5275000000001</v>
      </c>
    </row>
    <row r="1305" spans="1:19" outlineLevel="1" x14ac:dyDescent="0.2">
      <c r="A1305" s="23" t="str">
        <f ca="1">Language!A707</f>
        <v xml:space="preserve">    Прочие переменные расходы</v>
      </c>
      <c r="C1305" s="5" t="str">
        <f t="shared" ca="1" si="1682"/>
        <v>руб.</v>
      </c>
      <c r="F1305" s="53">
        <f>F938/IF(CUR_I_Report=2,F$88,1)</f>
        <v>0</v>
      </c>
      <c r="G1305" s="53">
        <f>G938/IF(CUR_I_Report=2,G$88,1)</f>
        <v>0</v>
      </c>
      <c r="H1305" s="53">
        <f>H938/IF(CUR_I_Report=2,H$88,1)</f>
        <v>0</v>
      </c>
      <c r="I1305" s="53">
        <f>I938/IF(CUR_I_Report=2,I$88,1)</f>
        <v>0</v>
      </c>
      <c r="J1305" s="53">
        <f>J938/IF(CUR_I_Report=2,J$88,1)</f>
        <v>0</v>
      </c>
      <c r="K1305" s="53">
        <f>K938/IF(CUR_I_Report=2,K$88,1)</f>
        <v>0</v>
      </c>
      <c r="L1305" s="53">
        <f>L938/IF(CUR_I_Report=2,L$88,1)</f>
        <v>0</v>
      </c>
      <c r="M1305" s="53">
        <f>M938/IF(CUR_I_Report=2,M$88,1)</f>
        <v>0</v>
      </c>
      <c r="N1305" s="53">
        <f>N938/IF(CUR_I_Report=2,N$88,1)</f>
        <v>0</v>
      </c>
      <c r="O1305" s="53">
        <f>O938/IF(CUR_I_Report=2,O$88,1)</f>
        <v>0</v>
      </c>
      <c r="P1305" s="53">
        <f>P938/IF(CUR_I_Report=2,P$88,1)</f>
        <v>0</v>
      </c>
      <c r="Q1305" s="53">
        <f>Q938/IF(CUR_I_Report=2,Q$88,1)</f>
        <v>0</v>
      </c>
      <c r="R1305" s="43"/>
      <c r="S1305" s="54">
        <f t="shared" si="1683"/>
        <v>0</v>
      </c>
    </row>
    <row r="1306" spans="1:19" outlineLevel="1" x14ac:dyDescent="0.2">
      <c r="A1306" s="23" t="str">
        <f ca="1">Language!A708</f>
        <v xml:space="preserve">    Оплата производственного персонала</v>
      </c>
      <c r="C1306" s="5" t="str">
        <f t="shared" ca="1" si="1682"/>
        <v>руб.</v>
      </c>
      <c r="F1306" s="53">
        <f>(F1012+F1013+F1018+F1019)/IF(CUR_I_Report=2,F$88,1)</f>
        <v>718200</v>
      </c>
      <c r="G1306" s="53">
        <f>(G1012+G1013+G1018+G1019)/IF(CUR_I_Report=2,G$88,1)</f>
        <v>307800</v>
      </c>
      <c r="H1306" s="53">
        <f>(H1012+H1013+H1018+H1019)/IF(CUR_I_Report=2,H$88,1)</f>
        <v>307800</v>
      </c>
      <c r="I1306" s="53">
        <f>(I1012+I1013+I1018+I1019)/IF(CUR_I_Report=2,I$88,1)</f>
        <v>307800</v>
      </c>
      <c r="J1306" s="53">
        <f>(J1012+J1013+J1018+J1019)/IF(CUR_I_Report=2,J$88,1)</f>
        <v>307800</v>
      </c>
      <c r="K1306" s="53">
        <f>(K1012+K1013+K1018+K1019)/IF(CUR_I_Report=2,K$88,1)</f>
        <v>307800</v>
      </c>
      <c r="L1306" s="53">
        <f>(L1012+L1013+L1018+L1019)/IF(CUR_I_Report=2,L$88,1)</f>
        <v>307800</v>
      </c>
      <c r="M1306" s="53">
        <f>(M1012+M1013+M1018+M1019)/IF(CUR_I_Report=2,M$88,1)</f>
        <v>307800</v>
      </c>
      <c r="N1306" s="53">
        <f>(N1012+N1013+N1018+N1019)/IF(CUR_I_Report=2,N$88,1)</f>
        <v>307800</v>
      </c>
      <c r="O1306" s="53">
        <f>(O1012+O1013+O1018+O1019)/IF(CUR_I_Report=2,O$88,1)</f>
        <v>307800</v>
      </c>
      <c r="P1306" s="53">
        <f>(P1012+P1013+P1018+P1019)/IF(CUR_I_Report=2,P$88,1)</f>
        <v>307800</v>
      </c>
      <c r="Q1306" s="53">
        <f>(Q1012+Q1013+Q1018+Q1019)/IF(CUR_I_Report=2,Q$88,1)</f>
        <v>307800</v>
      </c>
      <c r="R1306" s="43"/>
      <c r="S1306" s="54">
        <f t="shared" si="1683"/>
        <v>4104000</v>
      </c>
    </row>
    <row r="1307" spans="1:19" outlineLevel="1" x14ac:dyDescent="0.2">
      <c r="A1307" s="23" t="str">
        <f ca="1">Language!A709</f>
        <v xml:space="preserve">    Лизинговые платежи</v>
      </c>
      <c r="C1307" s="5" t="str">
        <f t="shared" ca="1" si="1682"/>
        <v>руб.</v>
      </c>
      <c r="F1307" s="53">
        <f ca="1">F1093/IF(CUR_I_Report=2,F$88,1)</f>
        <v>0</v>
      </c>
      <c r="G1307" s="53">
        <f ca="1">G1093/IF(CUR_I_Report=2,G$88,1)</f>
        <v>0</v>
      </c>
      <c r="H1307" s="53">
        <f ca="1">H1093/IF(CUR_I_Report=2,H$88,1)</f>
        <v>0</v>
      </c>
      <c r="I1307" s="53">
        <f ca="1">I1093/IF(CUR_I_Report=2,I$88,1)</f>
        <v>0</v>
      </c>
      <c r="J1307" s="53">
        <f ca="1">J1093/IF(CUR_I_Report=2,J$88,1)</f>
        <v>0</v>
      </c>
      <c r="K1307" s="53">
        <f ca="1">K1093/IF(CUR_I_Report=2,K$88,1)</f>
        <v>0</v>
      </c>
      <c r="L1307" s="53">
        <f ca="1">L1093/IF(CUR_I_Report=2,L$88,1)</f>
        <v>0</v>
      </c>
      <c r="M1307" s="53">
        <f ca="1">M1093/IF(CUR_I_Report=2,M$88,1)</f>
        <v>0</v>
      </c>
      <c r="N1307" s="53">
        <f ca="1">N1093/IF(CUR_I_Report=2,N$88,1)</f>
        <v>0</v>
      </c>
      <c r="O1307" s="53">
        <f ca="1">O1093/IF(CUR_I_Report=2,O$88,1)</f>
        <v>0</v>
      </c>
      <c r="P1307" s="53">
        <f ca="1">P1093/IF(CUR_I_Report=2,P$88,1)</f>
        <v>0</v>
      </c>
      <c r="Q1307" s="53">
        <f ca="1">Q1093/IF(CUR_I_Report=2,Q$88,1)</f>
        <v>0</v>
      </c>
      <c r="R1307" s="43"/>
      <c r="S1307" s="54">
        <f t="shared" ca="1" si="1683"/>
        <v>0</v>
      </c>
    </row>
    <row r="1308" spans="1:19" outlineLevel="1" x14ac:dyDescent="0.2">
      <c r="A1308" s="23" t="str">
        <f ca="1">Language!A710</f>
        <v xml:space="preserve">    Прочие производственные расходы</v>
      </c>
      <c r="C1308" s="5" t="str">
        <f t="shared" ca="1" si="1682"/>
        <v>руб.</v>
      </c>
      <c r="F1308" s="53">
        <f>F1092/IF(CUR_I_Report=2,F$88,1)</f>
        <v>1750000</v>
      </c>
      <c r="G1308" s="53">
        <f>G1092/IF(CUR_I_Report=2,G$88,1)</f>
        <v>1750000</v>
      </c>
      <c r="H1308" s="53">
        <f>H1092/IF(CUR_I_Report=2,H$88,1)</f>
        <v>1750000</v>
      </c>
      <c r="I1308" s="53">
        <f>I1092/IF(CUR_I_Report=2,I$88,1)</f>
        <v>1750000</v>
      </c>
      <c r="J1308" s="53">
        <f>J1092/IF(CUR_I_Report=2,J$88,1)</f>
        <v>1750000</v>
      </c>
      <c r="K1308" s="53">
        <f>K1092/IF(CUR_I_Report=2,K$88,1)</f>
        <v>1750000</v>
      </c>
      <c r="L1308" s="53">
        <f>L1092/IF(CUR_I_Report=2,L$88,1)</f>
        <v>1750000</v>
      </c>
      <c r="M1308" s="53">
        <f>M1092/IF(CUR_I_Report=2,M$88,1)</f>
        <v>1750000</v>
      </c>
      <c r="N1308" s="53">
        <f>N1092/IF(CUR_I_Report=2,N$88,1)</f>
        <v>1750000</v>
      </c>
      <c r="O1308" s="53">
        <f>O1092/IF(CUR_I_Report=2,O$88,1)</f>
        <v>1750000</v>
      </c>
      <c r="P1308" s="53">
        <f>P1092/IF(CUR_I_Report=2,P$88,1)</f>
        <v>1750000</v>
      </c>
      <c r="Q1308" s="53">
        <f>Q1092/IF(CUR_I_Report=2,Q$88,1)</f>
        <v>1750000</v>
      </c>
      <c r="R1308" s="43"/>
      <c r="S1308" s="54">
        <f t="shared" si="1683"/>
        <v>21000000</v>
      </c>
    </row>
    <row r="1309" spans="1:19" s="11" customFormat="1" outlineLevel="1" collapsed="1" x14ac:dyDescent="0.2">
      <c r="A1309" t="str">
        <f ca="1">Language!A724</f>
        <v xml:space="preserve">    Амортизация</v>
      </c>
      <c r="B1309"/>
      <c r="C1309" s="5" t="str">
        <f ca="1">CUR_Report</f>
        <v>руб.</v>
      </c>
      <c r="D1309"/>
      <c r="E1309"/>
      <c r="F1309" s="53">
        <f ca="1">F1094/IF(CUR_I_Report=2,F$88,1)</f>
        <v>0</v>
      </c>
      <c r="G1309" s="53">
        <f ca="1">G1094/IF(CUR_I_Report=2,G$88,1)</f>
        <v>0</v>
      </c>
      <c r="H1309" s="53">
        <f ca="1">H1094/IF(CUR_I_Report=2,H$88,1)</f>
        <v>0</v>
      </c>
      <c r="I1309" s="53">
        <f ca="1">I1094/IF(CUR_I_Report=2,I$88,1)</f>
        <v>0</v>
      </c>
      <c r="J1309" s="53">
        <f ca="1">J1094/IF(CUR_I_Report=2,J$88,1)</f>
        <v>0</v>
      </c>
      <c r="K1309" s="53">
        <f ca="1">K1094/IF(CUR_I_Report=2,K$88,1)</f>
        <v>0</v>
      </c>
      <c r="L1309" s="53">
        <f ca="1">L1094/IF(CUR_I_Report=2,L$88,1)</f>
        <v>0</v>
      </c>
      <c r="M1309" s="53">
        <f ca="1">M1094/IF(CUR_I_Report=2,M$88,1)</f>
        <v>0</v>
      </c>
      <c r="N1309" s="53">
        <f ca="1">N1094/IF(CUR_I_Report=2,N$88,1)</f>
        <v>0</v>
      </c>
      <c r="O1309" s="53">
        <f ca="1">O1094/IF(CUR_I_Report=2,O$88,1)</f>
        <v>0</v>
      </c>
      <c r="P1309" s="53">
        <f ca="1">P1094/IF(CUR_I_Report=2,P$88,1)</f>
        <v>0</v>
      </c>
      <c r="Q1309" s="53">
        <f ca="1">Q1094/IF(CUR_I_Report=2,Q$88,1)</f>
        <v>0</v>
      </c>
      <c r="R1309" s="43"/>
      <c r="S1309" s="54">
        <f t="shared" ca="1" si="1683"/>
        <v>0</v>
      </c>
    </row>
    <row r="1310" spans="1:19" s="11" customFormat="1" ht="10.5" hidden="1" outlineLevel="2" x14ac:dyDescent="0.25">
      <c r="A1310" s="35" t="str">
        <f ca="1">Language!A711</f>
        <v>Валовая прибыль</v>
      </c>
      <c r="B1310"/>
      <c r="C1310" s="5" t="str">
        <f t="shared" ca="1" si="1682"/>
        <v>руб.</v>
      </c>
      <c r="D1310"/>
      <c r="E1310"/>
      <c r="F1310" s="58">
        <f t="shared" ref="F1310:M1310" ca="1" si="1684">F1301-F1302</f>
        <v>-2468200</v>
      </c>
      <c r="G1310" s="58">
        <f t="shared" ca="1" si="1684"/>
        <v>-2057800</v>
      </c>
      <c r="H1310" s="58">
        <f t="shared" ca="1" si="1684"/>
        <v>-1921893.3087500001</v>
      </c>
      <c r="I1310" s="58">
        <f t="shared" ca="1" si="1684"/>
        <v>-1378266.54375</v>
      </c>
      <c r="J1310" s="58">
        <f t="shared" ca="1" si="1684"/>
        <v>-698733.08749999991</v>
      </c>
      <c r="K1310" s="58">
        <f t="shared" ca="1" si="1684"/>
        <v>660333.82499999995</v>
      </c>
      <c r="L1310" s="58">
        <f t="shared" ca="1" si="1684"/>
        <v>2019400.7375</v>
      </c>
      <c r="M1310" s="58">
        <f t="shared" ca="1" si="1684"/>
        <v>3378467.65</v>
      </c>
      <c r="N1310" s="58">
        <f t="shared" ref="N1310" ca="1" si="1685">N1301-N1302</f>
        <v>5417068.0187499998</v>
      </c>
      <c r="O1310" s="58">
        <f t="shared" ref="O1310:Q1310" ca="1" si="1686">O1301-O1302</f>
        <v>8135201.84375</v>
      </c>
      <c r="P1310" s="58">
        <f t="shared" ref="P1310:Q1310" ca="1" si="1687">P1301-P1302</f>
        <v>10173802.2125</v>
      </c>
      <c r="Q1310" s="58">
        <f t="shared" ca="1" si="1687"/>
        <v>11532869.125</v>
      </c>
      <c r="R1310" s="43"/>
      <c r="S1310" s="57">
        <f t="shared" ca="1" si="1683"/>
        <v>32792250.4725</v>
      </c>
    </row>
    <row r="1311" spans="1:19" s="11" customFormat="1" outlineLevel="1" x14ac:dyDescent="0.2">
      <c r="A1311" s="23" t="str">
        <f ca="1">Language!A712</f>
        <v>Оплата административного и коммерческого персонала</v>
      </c>
      <c r="B1311"/>
      <c r="C1311" s="5" t="str">
        <f t="shared" ca="1" si="1682"/>
        <v>руб.</v>
      </c>
      <c r="D1311"/>
      <c r="E1311"/>
      <c r="F1311" s="53">
        <f>(F1014+F1015+F1020+F1021)/IF(CUR_I_Report=2,F$88,1)</f>
        <v>357960</v>
      </c>
      <c r="G1311" s="53">
        <f>(G1014+G1015+G1020+G1021)/IF(CUR_I_Report=2,G$88,1)</f>
        <v>357960</v>
      </c>
      <c r="H1311" s="53">
        <f>(H1014+H1015+H1020+H1021)/IF(CUR_I_Report=2,H$88,1)</f>
        <v>357960</v>
      </c>
      <c r="I1311" s="53">
        <f>(I1014+I1015+I1020+I1021)/IF(CUR_I_Report=2,I$88,1)</f>
        <v>357960</v>
      </c>
      <c r="J1311" s="53">
        <f>(J1014+J1015+J1020+J1021)/IF(CUR_I_Report=2,J$88,1)</f>
        <v>357960</v>
      </c>
      <c r="K1311" s="53">
        <f>(K1014+K1015+K1020+K1021)/IF(CUR_I_Report=2,K$88,1)</f>
        <v>357960</v>
      </c>
      <c r="L1311" s="53">
        <f>(L1014+L1015+L1020+L1021)/IF(CUR_I_Report=2,L$88,1)</f>
        <v>357960</v>
      </c>
      <c r="M1311" s="53">
        <f>(M1014+M1015+M1020+M1021)/IF(CUR_I_Report=2,M$88,1)</f>
        <v>357960</v>
      </c>
      <c r="N1311" s="53">
        <f>(N1014+N1015+N1020+N1021)/IF(CUR_I_Report=2,N$88,1)</f>
        <v>357960</v>
      </c>
      <c r="O1311" s="53">
        <f>(O1014+O1015+O1020+O1021)/IF(CUR_I_Report=2,O$88,1)</f>
        <v>357960</v>
      </c>
      <c r="P1311" s="53">
        <f>(P1014+P1015+P1020+P1021)/IF(CUR_I_Report=2,P$88,1)</f>
        <v>357960</v>
      </c>
      <c r="Q1311" s="53">
        <f>(Q1014+Q1015+Q1020+Q1021)/IF(CUR_I_Report=2,Q$88,1)</f>
        <v>357960</v>
      </c>
      <c r="R1311" s="43"/>
      <c r="S1311" s="54">
        <f t="shared" si="1683"/>
        <v>4295520</v>
      </c>
    </row>
    <row r="1312" spans="1:19" outlineLevel="1" x14ac:dyDescent="0.2">
      <c r="A1312" s="23" t="str">
        <f ca="1">Language!A713</f>
        <v>Административные расходы</v>
      </c>
      <c r="C1312" s="5" t="str">
        <f t="shared" ca="1" si="1682"/>
        <v>руб.</v>
      </c>
      <c r="F1312" s="53">
        <f>F1096/IF(CUR_I_Report=2,F$88,1)</f>
        <v>140000</v>
      </c>
      <c r="G1312" s="53">
        <f>G1096/IF(CUR_I_Report=2,G$88,1)</f>
        <v>140000</v>
      </c>
      <c r="H1312" s="53">
        <f>H1096/IF(CUR_I_Report=2,H$88,1)</f>
        <v>140000</v>
      </c>
      <c r="I1312" s="53">
        <f>I1096/IF(CUR_I_Report=2,I$88,1)</f>
        <v>140000</v>
      </c>
      <c r="J1312" s="53">
        <f>J1096/IF(CUR_I_Report=2,J$88,1)</f>
        <v>140000</v>
      </c>
      <c r="K1312" s="53">
        <f>K1096/IF(CUR_I_Report=2,K$88,1)</f>
        <v>140000</v>
      </c>
      <c r="L1312" s="53">
        <f>L1096/IF(CUR_I_Report=2,L$88,1)</f>
        <v>140000</v>
      </c>
      <c r="M1312" s="53">
        <f>M1096/IF(CUR_I_Report=2,M$88,1)</f>
        <v>140000</v>
      </c>
      <c r="N1312" s="53">
        <f>N1096/IF(CUR_I_Report=2,N$88,1)</f>
        <v>140000</v>
      </c>
      <c r="O1312" s="53">
        <f>O1096/IF(CUR_I_Report=2,O$88,1)</f>
        <v>140000</v>
      </c>
      <c r="P1312" s="53">
        <f>P1096/IF(CUR_I_Report=2,P$88,1)</f>
        <v>140000</v>
      </c>
      <c r="Q1312" s="53">
        <f>Q1096/IF(CUR_I_Report=2,Q$88,1)</f>
        <v>140000</v>
      </c>
      <c r="R1312" s="43"/>
      <c r="S1312" s="54">
        <f t="shared" si="1683"/>
        <v>1680000</v>
      </c>
    </row>
    <row r="1313" spans="1:19" outlineLevel="1" x14ac:dyDescent="0.2">
      <c r="A1313" s="23" t="str">
        <f ca="1">Language!A714</f>
        <v>Коммерческие расходы</v>
      </c>
      <c r="C1313" s="5" t="str">
        <f t="shared" ca="1" si="1682"/>
        <v>руб.</v>
      </c>
      <c r="F1313" s="53">
        <f>F1095/IF(CUR_I_Report=2,F$88,1)</f>
        <v>0</v>
      </c>
      <c r="G1313" s="53">
        <f>G1095/IF(CUR_I_Report=2,G$88,1)</f>
        <v>0</v>
      </c>
      <c r="H1313" s="53">
        <f>H1095/IF(CUR_I_Report=2,H$88,1)</f>
        <v>0</v>
      </c>
      <c r="I1313" s="53">
        <f>I1095/IF(CUR_I_Report=2,I$88,1)</f>
        <v>0</v>
      </c>
      <c r="J1313" s="53">
        <f>J1095/IF(CUR_I_Report=2,J$88,1)</f>
        <v>0</v>
      </c>
      <c r="K1313" s="53">
        <f>K1095/IF(CUR_I_Report=2,K$88,1)</f>
        <v>0</v>
      </c>
      <c r="L1313" s="53">
        <f>L1095/IF(CUR_I_Report=2,L$88,1)</f>
        <v>0</v>
      </c>
      <c r="M1313" s="53">
        <f>M1095/IF(CUR_I_Report=2,M$88,1)</f>
        <v>0</v>
      </c>
      <c r="N1313" s="53">
        <f>N1095/IF(CUR_I_Report=2,N$88,1)</f>
        <v>0</v>
      </c>
      <c r="O1313" s="53">
        <f>O1095/IF(CUR_I_Report=2,O$88,1)</f>
        <v>0</v>
      </c>
      <c r="P1313" s="53">
        <f>P1095/IF(CUR_I_Report=2,P$88,1)</f>
        <v>0</v>
      </c>
      <c r="Q1313" s="53">
        <f>Q1095/IF(CUR_I_Report=2,Q$88,1)</f>
        <v>0</v>
      </c>
      <c r="R1313" s="43"/>
      <c r="S1313" s="54">
        <f t="shared" si="1683"/>
        <v>0</v>
      </c>
    </row>
    <row r="1314" spans="1:19" s="4" customFormat="1" ht="16" customHeight="1" x14ac:dyDescent="0.2">
      <c r="A1314" t="str">
        <f ca="1">Language!A726</f>
        <v>Проценты</v>
      </c>
      <c r="B1314"/>
      <c r="C1314" s="5" t="str">
        <f ca="1">CUR_Report</f>
        <v>руб.</v>
      </c>
      <c r="D1314"/>
      <c r="E1314"/>
      <c r="F1314" s="84">
        <f>(F1230-F403)/IF(CUR_I_Report=2,F$88,1)</f>
        <v>41283.684478371499</v>
      </c>
      <c r="G1314" s="84">
        <f>(G1230-G403)/IF(CUR_I_Report=2,G$88,1)</f>
        <v>94192.953558909416</v>
      </c>
      <c r="H1314" s="84">
        <f>(H1230-H403)/IF(CUR_I_Report=2,H$88,1)</f>
        <v>137723.52054939602</v>
      </c>
      <c r="I1314" s="84">
        <f>(I1230-I403)/IF(CUR_I_Report=2,I$88,1)</f>
        <v>171791.79390106534</v>
      </c>
      <c r="J1314" s="84">
        <f>(J1230-J403)/IF(CUR_I_Report=2,J$88,1)</f>
        <v>194825.76640357217</v>
      </c>
      <c r="K1314" s="84">
        <f>(K1230-K403)/IF(CUR_I_Report=2,K$88,1)</f>
        <v>197821.1784527626</v>
      </c>
      <c r="L1314" s="84">
        <f>(L1230-L403)/IF(CUR_I_Report=2,L$88,1)</f>
        <v>180237.18952591211</v>
      </c>
      <c r="M1314" s="84">
        <f>(M1230-M403)/IF(CUR_I_Report=2,M$88,1)</f>
        <v>138130.35957124989</v>
      </c>
      <c r="N1314" s="84">
        <f>(N1230-N403)/IF(CUR_I_Report=2,N$88,1)</f>
        <v>62265.988854903924</v>
      </c>
      <c r="O1314" s="84">
        <f>(O1230-O403)/IF(CUR_I_Report=2,O$88,1)</f>
        <v>0</v>
      </c>
      <c r="P1314" s="84">
        <f>(P1230-P403)/IF(CUR_I_Report=2,P$88,1)</f>
        <v>0</v>
      </c>
      <c r="Q1314" s="84">
        <f>(Q1230-Q403)/IF(CUR_I_Report=2,Q$88,1)</f>
        <v>0</v>
      </c>
      <c r="R1314" s="43"/>
      <c r="S1314" s="54">
        <f t="shared" si="1683"/>
        <v>1218272.4352961429</v>
      </c>
    </row>
    <row r="1315" spans="1:19" outlineLevel="1" x14ac:dyDescent="0.2">
      <c r="A1315" t="str">
        <f ca="1">Language!A719</f>
        <v>Прибыль / убыток от строительной деятельности</v>
      </c>
      <c r="C1315" s="5" t="str">
        <f ca="1">CUR_Report</f>
        <v>руб.</v>
      </c>
      <c r="F1315" s="53">
        <f>F448/IF(CUR_I_Report=2,F$88,1)</f>
        <v>0</v>
      </c>
      <c r="G1315" s="53">
        <f>G448/IF(CUR_I_Report=2,G$88,1)</f>
        <v>0</v>
      </c>
      <c r="H1315" s="53">
        <f>H448/IF(CUR_I_Report=2,H$88,1)</f>
        <v>0</v>
      </c>
      <c r="I1315" s="53">
        <f>I448/IF(CUR_I_Report=2,I$88,1)</f>
        <v>0</v>
      </c>
      <c r="J1315" s="53">
        <f>J448/IF(CUR_I_Report=2,J$88,1)</f>
        <v>0</v>
      </c>
      <c r="K1315" s="53">
        <f>K448/IF(CUR_I_Report=2,K$88,1)</f>
        <v>0</v>
      </c>
      <c r="L1315" s="53">
        <f>L448/IF(CUR_I_Report=2,L$88,1)</f>
        <v>0</v>
      </c>
      <c r="M1315" s="53">
        <f>M448/IF(CUR_I_Report=2,M$88,1)</f>
        <v>0</v>
      </c>
      <c r="N1315" s="53">
        <f>N448/IF(CUR_I_Report=2,N$88,1)</f>
        <v>0</v>
      </c>
      <c r="O1315" s="53">
        <f>O448/IF(CUR_I_Report=2,O$88,1)</f>
        <v>0</v>
      </c>
      <c r="P1315" s="53">
        <f>P448/IF(CUR_I_Report=2,P$88,1)</f>
        <v>0</v>
      </c>
      <c r="Q1315" s="53">
        <f>Q448/IF(CUR_I_Report=2,Q$88,1)</f>
        <v>0</v>
      </c>
      <c r="R1315" s="43"/>
      <c r="S1315" s="54">
        <f t="shared" si="1683"/>
        <v>0</v>
      </c>
    </row>
    <row r="1316" spans="1:19" outlineLevel="1" x14ac:dyDescent="0.2">
      <c r="A1316" s="23" t="str">
        <f ca="1">Language!A715</f>
        <v>Налоги, кроме налога на прибыль</v>
      </c>
      <c r="C1316" s="5" t="str">
        <f t="shared" ca="1" si="1682"/>
        <v>руб.</v>
      </c>
      <c r="F1316" s="53">
        <f ca="1">(F1091+F157+F162)/IF(CUR_I_Report=2,F$88,1)</f>
        <v>0</v>
      </c>
      <c r="G1316" s="53">
        <f ca="1">(G1091+G157+G162)/IF(CUR_I_Report=2,G$88,1)</f>
        <v>0</v>
      </c>
      <c r="H1316" s="53">
        <f ca="1">(H1091+H157+H162)/IF(CUR_I_Report=2,H$88,1)</f>
        <v>0</v>
      </c>
      <c r="I1316" s="53">
        <f ca="1">(I1091+I157+I162)/IF(CUR_I_Report=2,I$88,1)</f>
        <v>0</v>
      </c>
      <c r="J1316" s="53">
        <f ca="1">(J1091+J157+J162)/IF(CUR_I_Report=2,J$88,1)</f>
        <v>0</v>
      </c>
      <c r="K1316" s="53">
        <f ca="1">(K1091+K157+K162)/IF(CUR_I_Report=2,K$88,1)</f>
        <v>0</v>
      </c>
      <c r="L1316" s="53">
        <f ca="1">(L1091+L157+L162)/IF(CUR_I_Report=2,L$88,1)</f>
        <v>0</v>
      </c>
      <c r="M1316" s="53">
        <f ca="1">(M1091+M157+M162)/IF(CUR_I_Report=2,M$88,1)</f>
        <v>0</v>
      </c>
      <c r="N1316" s="53">
        <f ca="1">(N1091+N157+N162)/IF(CUR_I_Report=2,N$88,1)</f>
        <v>0</v>
      </c>
      <c r="O1316" s="53">
        <f ca="1">(O1091+O157+O162)/IF(CUR_I_Report=2,O$88,1)</f>
        <v>0</v>
      </c>
      <c r="P1316" s="53">
        <f ca="1">(P1091+P157+P162)/IF(CUR_I_Report=2,P$88,1)</f>
        <v>0</v>
      </c>
      <c r="Q1316" s="53">
        <f ca="1">(Q1091+Q157+Q162)/IF(CUR_I_Report=2,Q$88,1)</f>
        <v>0</v>
      </c>
      <c r="R1316" s="43"/>
      <c r="S1316" s="54">
        <f t="shared" ca="1" si="1683"/>
        <v>0</v>
      </c>
    </row>
    <row r="1317" spans="1:19" ht="10.5" outlineLevel="1" collapsed="1" x14ac:dyDescent="0.25">
      <c r="A1317" s="35" t="str">
        <f ca="1">Language!A716</f>
        <v>Прибыль (убыток) от операционной деятельности</v>
      </c>
      <c r="C1317" s="5" t="str">
        <f t="shared" ca="1" si="1682"/>
        <v>руб.</v>
      </c>
      <c r="F1317" s="58">
        <f t="shared" ref="F1317:M1317" ca="1" si="1688">F1310-F1311-F1312-F1313-F1314+F1315-F1316</f>
        <v>-3007443.6844783714</v>
      </c>
      <c r="G1317" s="58">
        <f t="shared" ca="1" si="1688"/>
        <v>-2649952.9535589092</v>
      </c>
      <c r="H1317" s="58">
        <f t="shared" ca="1" si="1688"/>
        <v>-2557576.8292993959</v>
      </c>
      <c r="I1317" s="58">
        <f t="shared" ca="1" si="1688"/>
        <v>-2048018.3376510653</v>
      </c>
      <c r="J1317" s="58">
        <f t="shared" ca="1" si="1688"/>
        <v>-1391518.8539035721</v>
      </c>
      <c r="K1317" s="58">
        <f t="shared" ca="1" si="1688"/>
        <v>-35447.353452762647</v>
      </c>
      <c r="L1317" s="58">
        <f t="shared" ca="1" si="1688"/>
        <v>1341203.547974088</v>
      </c>
      <c r="M1317" s="58">
        <f t="shared" ca="1" si="1688"/>
        <v>2742377.2904287502</v>
      </c>
      <c r="N1317" s="58">
        <f t="shared" ref="N1317" ca="1" si="1689">N1310-N1311-N1312-N1313-N1314+N1315-N1316</f>
        <v>4856842.0298950961</v>
      </c>
      <c r="O1317" s="58">
        <f t="shared" ref="O1317:Q1317" ca="1" si="1690">O1310-O1311-O1312-O1313-O1314+O1315-O1316</f>
        <v>7637241.84375</v>
      </c>
      <c r="P1317" s="58">
        <f t="shared" ref="P1317:Q1317" ca="1" si="1691">P1310-P1311-P1312-P1313-P1314+P1315-P1316</f>
        <v>9675842.2125000004</v>
      </c>
      <c r="Q1317" s="58">
        <f t="shared" ca="1" si="1691"/>
        <v>11034909.125</v>
      </c>
      <c r="R1317" s="43"/>
      <c r="S1317" s="57">
        <f t="shared" ca="1" si="1683"/>
        <v>25598458.03720386</v>
      </c>
    </row>
    <row r="1318" spans="1:19" hidden="1" outlineLevel="2" x14ac:dyDescent="0.2">
      <c r="A1318" t="str">
        <f ca="1">Language!A718</f>
        <v>Прибыль / убыток от реализации внеоборотных активов</v>
      </c>
      <c r="C1318" s="5" t="str">
        <f t="shared" ca="1" si="1682"/>
        <v>руб.</v>
      </c>
      <c r="F1318" s="53">
        <f>(F447+F435+F473+F484+F461+F245+F236+F254+F263+F276)/IF(CUR_I_Report=2,F$88,1)</f>
        <v>0</v>
      </c>
      <c r="G1318" s="53">
        <f>(G447+G435+G473+G484+G461+G245+G236+G254+G263+G276)/IF(CUR_I_Report=2,G$88,1)</f>
        <v>0</v>
      </c>
      <c r="H1318" s="53">
        <f>(H447+H435+H473+H484+H461+H245+H236+H254+H263+H276)/IF(CUR_I_Report=2,H$88,1)</f>
        <v>0</v>
      </c>
      <c r="I1318" s="53">
        <f>(I447+I435+I473+I484+I461+I245+I236+I254+I263+I276)/IF(CUR_I_Report=2,I$88,1)</f>
        <v>0</v>
      </c>
      <c r="J1318" s="53">
        <f>(J447+J435+J473+J484+J461+J245+J236+J254+J263+J276)/IF(CUR_I_Report=2,J$88,1)</f>
        <v>0</v>
      </c>
      <c r="K1318" s="53">
        <f>(K447+K435+K473+K484+K461+K245+K236+K254+K263+K276)/IF(CUR_I_Report=2,K$88,1)</f>
        <v>0</v>
      </c>
      <c r="L1318" s="53">
        <f>(L447+L435+L473+L484+L461+L245+L236+L254+L263+L276)/IF(CUR_I_Report=2,L$88,1)</f>
        <v>0</v>
      </c>
      <c r="M1318" s="53">
        <f>(M447+M435+M473+M484+M461+M245+M236+M254+M263+M276)/IF(CUR_I_Report=2,M$88,1)</f>
        <v>0</v>
      </c>
      <c r="N1318" s="53">
        <f>(N447+N435+N473+N484+N461+N245+N236+N254+N263+N276)/IF(CUR_I_Report=2,N$88,1)</f>
        <v>0</v>
      </c>
      <c r="O1318" s="53">
        <f>(O447+O435+O473+O484+O461+O245+O236+O254+O263+O276)/IF(CUR_I_Report=2,O$88,1)</f>
        <v>0</v>
      </c>
      <c r="P1318" s="53">
        <f>(P447+P435+P473+P484+P461+P245+P236+P254+P263+P276)/IF(CUR_I_Report=2,P$88,1)</f>
        <v>0</v>
      </c>
      <c r="Q1318" s="53">
        <f>(Q447+Q435+Q473+Q484+Q461+Q245+Q236+Q254+Q263+Q276)/IF(CUR_I_Report=2,Q$88,1)</f>
        <v>0</v>
      </c>
      <c r="R1318" s="43"/>
      <c r="S1318" s="54">
        <f t="shared" si="1683"/>
        <v>0</v>
      </c>
    </row>
    <row r="1319" spans="1:19" hidden="1" outlineLevel="2" x14ac:dyDescent="0.2">
      <c r="A1319" t="str">
        <f ca="1">Language!A720</f>
        <v>Курсовые разницы</v>
      </c>
      <c r="C1319" s="5" t="str">
        <f t="shared" ca="1" si="1682"/>
        <v>руб.</v>
      </c>
      <c r="F1319" s="84">
        <f t="shared" ref="F1319:M1319" si="1692">F1384/IF(CUR_I_Report=2,F$88,1)</f>
        <v>9.4587448984384537E-11</v>
      </c>
      <c r="G1319" s="84">
        <f t="shared" si="1692"/>
        <v>6.3300831243395805E-10</v>
      </c>
      <c r="H1319" s="84">
        <f t="shared" si="1692"/>
        <v>-2.9103830456733704E-11</v>
      </c>
      <c r="I1319" s="84">
        <f t="shared" si="1692"/>
        <v>9.3132257461547852E-10</v>
      </c>
      <c r="J1319" s="84">
        <f t="shared" si="1692"/>
        <v>-4.6566128730773926E-10</v>
      </c>
      <c r="K1319" s="84">
        <f t="shared" si="1692"/>
        <v>6.9849193096160889E-10</v>
      </c>
      <c r="L1319" s="84">
        <f t="shared" si="1692"/>
        <v>-5.8207660913467407E-11</v>
      </c>
      <c r="M1319" s="84">
        <f t="shared" si="1692"/>
        <v>-8.7311491370201111E-10</v>
      </c>
      <c r="N1319" s="84">
        <f t="shared" ref="N1319" si="1693">N1384/IF(CUR_I_Report=2,N$88,1)</f>
        <v>9.8953023552894592E-10</v>
      </c>
      <c r="O1319" s="84">
        <f t="shared" ref="O1319" si="1694">O1384/IF(CUR_I_Report=2,O$88,1)</f>
        <v>0</v>
      </c>
      <c r="P1319" s="84">
        <f t="shared" ref="P1319:Q1319" si="1695">P1384/IF(CUR_I_Report=2,P$88,1)</f>
        <v>0</v>
      </c>
      <c r="Q1319" s="84">
        <f t="shared" si="1695"/>
        <v>0</v>
      </c>
      <c r="R1319" s="43"/>
      <c r="S1319" s="54">
        <f t="shared" si="1683"/>
        <v>1.9208528101444244E-9</v>
      </c>
    </row>
    <row r="1320" spans="1:19" hidden="1" outlineLevel="2" x14ac:dyDescent="0.2">
      <c r="A1320" t="str">
        <f ca="1">Language!A721</f>
        <v>Прочие доходы</v>
      </c>
      <c r="C1320" s="5" t="str">
        <f ca="1">CUR_Report</f>
        <v>руб.</v>
      </c>
      <c r="F1320" s="106">
        <f ca="1">(F274+F478+F1379*CHOOSE($B1379,1,F$88))/IF(CUR_I_Report=2,F$88,1)</f>
        <v>0</v>
      </c>
      <c r="G1320" s="106">
        <f ca="1">(G274+G478+G1379*CHOOSE($B1379,1,G$88))/IF(CUR_I_Report=2,G$88,1)</f>
        <v>0</v>
      </c>
      <c r="H1320" s="106">
        <f ca="1">(H274+H478+H1379*CHOOSE($B1379,1,H$88))/IF(CUR_I_Report=2,H$88,1)</f>
        <v>0</v>
      </c>
      <c r="I1320" s="106">
        <f ca="1">(I274+I478+I1379*CHOOSE($B1379,1,I$88))/IF(CUR_I_Report=2,I$88,1)</f>
        <v>0</v>
      </c>
      <c r="J1320" s="106">
        <f ca="1">(J274+J478+J1379*CHOOSE($B1379,1,J$88))/IF(CUR_I_Report=2,J$88,1)</f>
        <v>0</v>
      </c>
      <c r="K1320" s="106">
        <f ca="1">(K274+K478+K1379*CHOOSE($B1379,1,K$88))/IF(CUR_I_Report=2,K$88,1)</f>
        <v>0</v>
      </c>
      <c r="L1320" s="106">
        <f ca="1">(L274+L478+L1379*CHOOSE($B1379,1,L$88))/IF(CUR_I_Report=2,L$88,1)</f>
        <v>0</v>
      </c>
      <c r="M1320" s="106">
        <f ca="1">(M274+M478+M1379*CHOOSE($B1379,1,M$88))/IF(CUR_I_Report=2,M$88,1)</f>
        <v>0</v>
      </c>
      <c r="N1320" s="106">
        <f ca="1">(N274+N478+N1379*CHOOSE($B1379,1,N$88))/IF(CUR_I_Report=2,N$88,1)</f>
        <v>0</v>
      </c>
      <c r="O1320" s="106">
        <f ca="1">(O274+O478+O1379*CHOOSE($B1379,1,O$88))/IF(CUR_I_Report=2,O$88,1)</f>
        <v>0</v>
      </c>
      <c r="P1320" s="106">
        <f ca="1">(P274+P478+P1379*CHOOSE($B1379,1,P$88))/IF(CUR_I_Report=2,P$88,1)</f>
        <v>0</v>
      </c>
      <c r="Q1320" s="106">
        <f ca="1">(Q274+Q478+Q1379*CHOOSE($B1379,1,Q$88))/IF(CUR_I_Report=2,Q$88,1)</f>
        <v>0</v>
      </c>
      <c r="R1320" s="43"/>
      <c r="S1320" s="54">
        <f t="shared" ca="1" si="1683"/>
        <v>0</v>
      </c>
    </row>
    <row r="1321" spans="1:19" hidden="1" outlineLevel="2" x14ac:dyDescent="0.2">
      <c r="A1321" t="str">
        <f ca="1">Language!A722</f>
        <v>Прочие расходы</v>
      </c>
      <c r="C1321" s="5" t="str">
        <f ca="1">CUR_Report</f>
        <v>руб.</v>
      </c>
      <c r="F1321" s="106">
        <f t="shared" ref="F1321:M1321" si="1696">F1381*CHOOSE($B1381,1,F$88)/IF(CUR_I_Report=2,F$88,1)</f>
        <v>0</v>
      </c>
      <c r="G1321" s="106">
        <f t="shared" si="1696"/>
        <v>0</v>
      </c>
      <c r="H1321" s="106">
        <f t="shared" si="1696"/>
        <v>0</v>
      </c>
      <c r="I1321" s="106">
        <f t="shared" si="1696"/>
        <v>0</v>
      </c>
      <c r="J1321" s="106">
        <f t="shared" si="1696"/>
        <v>0</v>
      </c>
      <c r="K1321" s="106">
        <f t="shared" si="1696"/>
        <v>0</v>
      </c>
      <c r="L1321" s="106">
        <f t="shared" si="1696"/>
        <v>0</v>
      </c>
      <c r="M1321" s="106">
        <f t="shared" si="1696"/>
        <v>0</v>
      </c>
      <c r="N1321" s="106">
        <f t="shared" ref="N1321" si="1697">N1381*CHOOSE($B1381,1,N$88)/IF(CUR_I_Report=2,N$88,1)</f>
        <v>0</v>
      </c>
      <c r="O1321" s="106">
        <f t="shared" ref="O1321" si="1698">O1381*CHOOSE($B1381,1,O$88)/IF(CUR_I_Report=2,O$88,1)</f>
        <v>0</v>
      </c>
      <c r="P1321" s="106">
        <f t="shared" ref="P1321:Q1321" si="1699">P1381*CHOOSE($B1381,1,P$88)/IF(CUR_I_Report=2,P$88,1)</f>
        <v>0</v>
      </c>
      <c r="Q1321" s="106">
        <f t="shared" si="1699"/>
        <v>0</v>
      </c>
      <c r="R1321" s="43"/>
      <c r="S1321" s="54">
        <f t="shared" si="1683"/>
        <v>0</v>
      </c>
    </row>
    <row r="1322" spans="1:19" ht="10.5" hidden="1" outlineLevel="2" x14ac:dyDescent="0.25">
      <c r="A1322" s="35" t="str">
        <f ca="1">Language!A727</f>
        <v>Прибыль до налогообложения</v>
      </c>
      <c r="C1322" s="5" t="str">
        <f t="shared" ca="1" si="1682"/>
        <v>руб.</v>
      </c>
      <c r="F1322" s="58">
        <f t="shared" ref="F1322:M1322" ca="1" si="1700">F1317+F1318+F1319+F1320-F1321</f>
        <v>-3007443.6844783714</v>
      </c>
      <c r="G1322" s="58">
        <f t="shared" ca="1" si="1700"/>
        <v>-2649952.9535589088</v>
      </c>
      <c r="H1322" s="58">
        <f t="shared" ca="1" si="1700"/>
        <v>-2557576.8292993959</v>
      </c>
      <c r="I1322" s="58">
        <f t="shared" ca="1" si="1700"/>
        <v>-2048018.3376510644</v>
      </c>
      <c r="J1322" s="58">
        <f t="shared" ca="1" si="1700"/>
        <v>-1391518.8539035725</v>
      </c>
      <c r="K1322" s="58">
        <f t="shared" ca="1" si="1700"/>
        <v>-35447.353452761949</v>
      </c>
      <c r="L1322" s="58">
        <f t="shared" ca="1" si="1700"/>
        <v>1341203.547974088</v>
      </c>
      <c r="M1322" s="58">
        <f t="shared" ca="1" si="1700"/>
        <v>2742377.2904287493</v>
      </c>
      <c r="N1322" s="58">
        <f t="shared" ref="N1322" ca="1" si="1701">N1317+N1318+N1319+N1320-N1321</f>
        <v>4856842.029895097</v>
      </c>
      <c r="O1322" s="58">
        <f t="shared" ref="O1322:Q1322" ca="1" si="1702">O1317+O1318+O1319+O1320-O1321</f>
        <v>7637241.84375</v>
      </c>
      <c r="P1322" s="58">
        <f t="shared" ref="P1322:Q1322" ca="1" si="1703">P1317+P1318+P1319+P1320-P1321</f>
        <v>9675842.2125000004</v>
      </c>
      <c r="Q1322" s="58">
        <f t="shared" ca="1" si="1703"/>
        <v>11034909.125</v>
      </c>
      <c r="R1322" s="43"/>
      <c r="S1322" s="57">
        <f t="shared" ca="1" si="1683"/>
        <v>25598458.03720386</v>
      </c>
    </row>
    <row r="1323" spans="1:19" hidden="1" outlineLevel="2" x14ac:dyDescent="0.2">
      <c r="A1323" t="str">
        <f ca="1">Language!A728</f>
        <v>Налог на прибыль</v>
      </c>
      <c r="C1323" s="5" t="str">
        <f t="shared" ca="1" si="1682"/>
        <v>руб.</v>
      </c>
      <c r="F1323" s="84">
        <f ca="1">(F173+F201+F215)/IF(CUR_I_Report=2,F$88,1)</f>
        <v>0</v>
      </c>
      <c r="G1323" s="84">
        <f ca="1">(G173+G201+G215)/IF(CUR_I_Report=2,G$88,1)</f>
        <v>0</v>
      </c>
      <c r="H1323" s="84">
        <f ca="1">(H173+H201+H215)/IF(CUR_I_Report=2,H$88,1)</f>
        <v>8155.2</v>
      </c>
      <c r="I1323" s="84">
        <f ca="1">(I173+I201+I215)/IF(CUR_I_Report=2,I$88,1)</f>
        <v>40776</v>
      </c>
      <c r="J1323" s="84">
        <f ca="1">(J173+J201+J215)/IF(CUR_I_Report=2,J$88,1)</f>
        <v>81552</v>
      </c>
      <c r="K1323" s="84">
        <f ca="1">(K173+K201+K215)/IF(CUR_I_Report=2,K$88,1)</f>
        <v>163104</v>
      </c>
      <c r="L1323" s="84">
        <f ca="1">(L173+L201+L215)/IF(CUR_I_Report=2,L$88,1)</f>
        <v>244656</v>
      </c>
      <c r="M1323" s="84">
        <f ca="1">(M173+M201+M215)/IF(CUR_I_Report=2,M$88,1)</f>
        <v>326208</v>
      </c>
      <c r="N1323" s="84">
        <f ca="1">(N173+N201+N215)/IF(CUR_I_Report=2,N$88,1)</f>
        <v>448536</v>
      </c>
      <c r="O1323" s="84">
        <f ca="1">(O173+O201+O215)/IF(CUR_I_Report=2,O$88,1)</f>
        <v>611640</v>
      </c>
      <c r="P1323" s="84">
        <f ca="1">(P173+P201+P215)/IF(CUR_I_Report=2,P$88,1)</f>
        <v>733968</v>
      </c>
      <c r="Q1323" s="84">
        <f ca="1">(Q173+Q201+Q215)/IF(CUR_I_Report=2,Q$88,1)</f>
        <v>815520</v>
      </c>
      <c r="R1323" s="43"/>
      <c r="S1323" s="54">
        <f t="shared" ca="1" si="1683"/>
        <v>3474115.2</v>
      </c>
    </row>
    <row r="1324" spans="1:19" ht="10.5" hidden="1" outlineLevel="2" x14ac:dyDescent="0.25">
      <c r="A1324" s="35" t="str">
        <f ca="1">Language!A729</f>
        <v>Чистая прибыль (убыток)</v>
      </c>
      <c r="C1324" s="5" t="str">
        <f t="shared" ca="1" si="1682"/>
        <v>руб.</v>
      </c>
      <c r="F1324" s="58">
        <f t="shared" ref="F1324:M1324" ca="1" si="1704">F1322-F1323</f>
        <v>-3007443.6844783714</v>
      </c>
      <c r="G1324" s="58">
        <f t="shared" ca="1" si="1704"/>
        <v>-2649952.9535589088</v>
      </c>
      <c r="H1324" s="58">
        <f t="shared" ca="1" si="1704"/>
        <v>-2565732.0292993961</v>
      </c>
      <c r="I1324" s="58">
        <f t="shared" ca="1" si="1704"/>
        <v>-2088794.3376510644</v>
      </c>
      <c r="J1324" s="58">
        <f t="shared" ca="1" si="1704"/>
        <v>-1473070.8539035725</v>
      </c>
      <c r="K1324" s="58">
        <f t="shared" ca="1" si="1704"/>
        <v>-198551.35345276195</v>
      </c>
      <c r="L1324" s="58">
        <f t="shared" ca="1" si="1704"/>
        <v>1096547.547974088</v>
      </c>
      <c r="M1324" s="58">
        <f t="shared" ca="1" si="1704"/>
        <v>2416169.2904287493</v>
      </c>
      <c r="N1324" s="58">
        <f t="shared" ref="N1324" ca="1" si="1705">N1322-N1323</f>
        <v>4408306.029895097</v>
      </c>
      <c r="O1324" s="58">
        <f t="shared" ref="O1324:Q1324" ca="1" si="1706">O1322-O1323</f>
        <v>7025601.84375</v>
      </c>
      <c r="P1324" s="58">
        <f t="shared" ref="P1324:Q1324" ca="1" si="1707">P1322-P1323</f>
        <v>8941874.2125000004</v>
      </c>
      <c r="Q1324" s="58">
        <f t="shared" ca="1" si="1707"/>
        <v>10219389.125</v>
      </c>
      <c r="R1324" s="43"/>
      <c r="S1324" s="57">
        <f t="shared" ca="1" si="1683"/>
        <v>22124342.83720386</v>
      </c>
    </row>
    <row r="1325" spans="1:19" outlineLevel="1" x14ac:dyDescent="0.2">
      <c r="A1325" s="63"/>
      <c r="B1325" s="63"/>
      <c r="C1325" s="63"/>
      <c r="D1325" s="63"/>
      <c r="E1325" s="63"/>
      <c r="F1325" s="63"/>
      <c r="G1325" s="63"/>
      <c r="H1325" s="63"/>
      <c r="I1325" s="63"/>
      <c r="J1325" s="63"/>
      <c r="K1325" s="63"/>
      <c r="L1325" s="63"/>
      <c r="M1325" s="63"/>
      <c r="N1325" s="63"/>
      <c r="O1325" s="63"/>
      <c r="P1325" s="63"/>
      <c r="Q1325" s="63"/>
      <c r="R1325" s="63"/>
      <c r="S1325" s="64"/>
    </row>
    <row r="1326" spans="1:19" outlineLevel="1" x14ac:dyDescent="0.2">
      <c r="A1326" s="22" t="str">
        <f ca="1">Language!A$730 &amp; ", " &amp; Проект!CUR_Report</f>
        <v>График: Выручка, руб.</v>
      </c>
      <c r="B1326" s="19"/>
      <c r="C1326" s="19"/>
      <c r="D1326" s="19"/>
      <c r="E1326" s="19"/>
      <c r="F1326" s="19"/>
      <c r="G1326" s="19"/>
      <c r="H1326" s="19"/>
      <c r="I1326" s="19"/>
      <c r="J1326" s="19"/>
      <c r="K1326" s="19"/>
      <c r="L1326" s="19"/>
      <c r="M1326" s="19"/>
      <c r="N1326" s="19"/>
      <c r="O1326" s="19"/>
      <c r="P1326" s="19"/>
      <c r="Q1326" s="19"/>
      <c r="R1326" s="19"/>
      <c r="S1326" s="22"/>
    </row>
    <row r="1327" spans="1:19" outlineLevel="1" x14ac:dyDescent="0.2">
      <c r="A1327" s="19"/>
      <c r="B1327" s="19"/>
      <c r="C1327" s="19"/>
      <c r="D1327" s="19"/>
      <c r="E1327" s="19"/>
      <c r="F1327" s="19"/>
      <c r="G1327" s="19"/>
      <c r="H1327" s="19"/>
      <c r="I1327" s="19"/>
      <c r="J1327" s="19"/>
      <c r="K1327" s="19"/>
      <c r="L1327" s="19"/>
      <c r="M1327" s="19"/>
      <c r="N1327" s="19"/>
      <c r="O1327" s="19"/>
      <c r="P1327" s="19"/>
      <c r="Q1327" s="19"/>
      <c r="R1327" s="19"/>
      <c r="S1327" s="22"/>
    </row>
    <row r="1328" spans="1:19" outlineLevel="1" x14ac:dyDescent="0.2">
      <c r="A1328" s="19"/>
      <c r="B1328" s="19"/>
      <c r="C1328" s="19"/>
      <c r="D1328" s="19"/>
      <c r="E1328" s="19"/>
      <c r="F1328" s="19"/>
      <c r="G1328" s="19"/>
      <c r="H1328" s="19"/>
      <c r="I1328" s="19"/>
      <c r="J1328" s="19"/>
      <c r="K1328" s="19"/>
      <c r="L1328" s="19"/>
      <c r="M1328" s="19"/>
      <c r="N1328" s="19"/>
      <c r="O1328" s="19"/>
      <c r="P1328" s="19"/>
      <c r="Q1328" s="19"/>
      <c r="R1328" s="19"/>
      <c r="S1328" s="22"/>
    </row>
    <row r="1329" spans="1:19" outlineLevel="1" x14ac:dyDescent="0.2">
      <c r="A1329" s="19"/>
      <c r="B1329" s="19"/>
      <c r="C1329" s="19"/>
      <c r="D1329" s="19"/>
      <c r="E1329" s="19"/>
      <c r="F1329" s="19"/>
      <c r="G1329" s="19"/>
      <c r="H1329" s="19"/>
      <c r="I1329" s="19"/>
      <c r="J1329" s="19"/>
      <c r="K1329" s="19"/>
      <c r="L1329" s="19"/>
      <c r="M1329" s="19"/>
      <c r="N1329" s="19"/>
      <c r="O1329" s="19"/>
      <c r="P1329" s="19"/>
      <c r="Q1329" s="19"/>
      <c r="R1329" s="19"/>
      <c r="S1329" s="22"/>
    </row>
    <row r="1330" spans="1:19" outlineLevel="1" x14ac:dyDescent="0.2">
      <c r="A1330" s="19"/>
      <c r="B1330" s="19"/>
      <c r="C1330" s="19"/>
      <c r="D1330" s="19"/>
      <c r="E1330" s="19"/>
      <c r="F1330" s="19"/>
      <c r="G1330" s="19"/>
      <c r="H1330" s="19"/>
      <c r="I1330" s="19"/>
      <c r="J1330" s="19"/>
      <c r="K1330" s="19"/>
      <c r="L1330" s="19"/>
      <c r="M1330" s="19"/>
      <c r="N1330" s="19"/>
      <c r="O1330" s="19"/>
      <c r="P1330" s="19"/>
      <c r="Q1330" s="19"/>
      <c r="R1330" s="19"/>
      <c r="S1330" s="22"/>
    </row>
    <row r="1331" spans="1:19" outlineLevel="1" x14ac:dyDescent="0.2">
      <c r="A1331" s="19"/>
      <c r="B1331" s="19"/>
      <c r="C1331" s="19"/>
      <c r="D1331" s="19"/>
      <c r="E1331" s="19"/>
      <c r="F1331" s="19"/>
      <c r="G1331" s="19"/>
      <c r="H1331" s="19"/>
      <c r="I1331" s="19"/>
      <c r="J1331" s="19"/>
      <c r="K1331" s="19"/>
      <c r="L1331" s="19"/>
      <c r="M1331" s="19"/>
      <c r="N1331" s="19"/>
      <c r="O1331" s="19"/>
      <c r="P1331" s="19"/>
      <c r="Q1331" s="19"/>
      <c r="R1331" s="19"/>
      <c r="S1331" s="22"/>
    </row>
    <row r="1332" spans="1:19" outlineLevel="1" x14ac:dyDescent="0.2">
      <c r="A1332" s="19"/>
      <c r="B1332" s="19"/>
      <c r="C1332" s="19"/>
      <c r="D1332" s="19"/>
      <c r="E1332" s="19"/>
      <c r="F1332" s="19"/>
      <c r="G1332" s="19"/>
      <c r="H1332" s="19"/>
      <c r="I1332" s="19"/>
      <c r="J1332" s="19"/>
      <c r="K1332" s="19"/>
      <c r="L1332" s="19"/>
      <c r="M1332" s="19"/>
      <c r="N1332" s="19"/>
      <c r="O1332" s="19"/>
      <c r="P1332" s="19"/>
      <c r="Q1332" s="19"/>
      <c r="R1332" s="19"/>
      <c r="S1332" s="22"/>
    </row>
    <row r="1333" spans="1:19" outlineLevel="1" x14ac:dyDescent="0.2">
      <c r="A1333" s="19"/>
      <c r="B1333" s="19"/>
      <c r="C1333" s="19"/>
      <c r="D1333" s="19"/>
      <c r="E1333" s="19"/>
      <c r="F1333" s="19"/>
      <c r="G1333" s="19"/>
      <c r="H1333" s="19"/>
      <c r="I1333" s="19"/>
      <c r="J1333" s="19"/>
      <c r="K1333" s="19"/>
      <c r="L1333" s="19"/>
      <c r="M1333" s="19"/>
      <c r="N1333" s="19"/>
      <c r="O1333" s="19"/>
      <c r="P1333" s="19"/>
      <c r="Q1333" s="19"/>
      <c r="R1333" s="19"/>
      <c r="S1333" s="22"/>
    </row>
    <row r="1334" spans="1:19" outlineLevel="1" x14ac:dyDescent="0.2">
      <c r="A1334" s="19"/>
      <c r="B1334" s="19"/>
      <c r="C1334" s="19"/>
      <c r="D1334" s="19"/>
      <c r="E1334" s="19"/>
      <c r="F1334" s="19"/>
      <c r="G1334" s="19"/>
      <c r="H1334" s="19"/>
      <c r="I1334" s="19"/>
      <c r="J1334" s="19"/>
      <c r="K1334" s="19"/>
      <c r="L1334" s="19"/>
      <c r="M1334" s="19"/>
      <c r="N1334" s="19"/>
      <c r="O1334" s="19"/>
      <c r="P1334" s="19"/>
      <c r="Q1334" s="19"/>
      <c r="R1334" s="19"/>
      <c r="S1334" s="22"/>
    </row>
    <row r="1335" spans="1:19" outlineLevel="1" x14ac:dyDescent="0.2">
      <c r="A1335" s="19"/>
      <c r="B1335" s="19"/>
      <c r="C1335" s="19"/>
      <c r="D1335" s="19"/>
      <c r="E1335" s="19"/>
      <c r="F1335" s="19"/>
      <c r="G1335" s="19"/>
      <c r="H1335" s="19"/>
      <c r="I1335" s="19"/>
      <c r="J1335" s="19"/>
      <c r="K1335" s="19"/>
      <c r="L1335" s="19"/>
      <c r="M1335" s="19"/>
      <c r="N1335" s="19"/>
      <c r="O1335" s="19"/>
      <c r="P1335" s="19"/>
      <c r="Q1335" s="19"/>
      <c r="R1335" s="19"/>
      <c r="S1335" s="22"/>
    </row>
    <row r="1336" spans="1:19" outlineLevel="1" x14ac:dyDescent="0.2">
      <c r="A1336" s="19"/>
      <c r="B1336" s="19"/>
      <c r="C1336" s="19"/>
      <c r="D1336" s="19"/>
      <c r="E1336" s="19"/>
      <c r="F1336" s="19"/>
      <c r="G1336" s="19"/>
      <c r="H1336" s="19"/>
      <c r="I1336" s="19"/>
      <c r="J1336" s="19"/>
      <c r="K1336" s="19"/>
      <c r="L1336" s="19"/>
      <c r="M1336" s="19"/>
      <c r="N1336" s="19"/>
      <c r="O1336" s="19"/>
      <c r="P1336" s="19"/>
      <c r="Q1336" s="19"/>
      <c r="R1336" s="19"/>
      <c r="S1336" s="22"/>
    </row>
    <row r="1337" spans="1:19" outlineLevel="1" x14ac:dyDescent="0.2">
      <c r="A1337" s="19"/>
      <c r="B1337" s="19"/>
      <c r="C1337" s="19"/>
      <c r="D1337" s="19"/>
      <c r="E1337" s="19"/>
      <c r="F1337" s="19"/>
      <c r="G1337" s="19"/>
      <c r="H1337" s="19"/>
      <c r="I1337" s="19"/>
      <c r="J1337" s="19"/>
      <c r="K1337" s="19"/>
      <c r="L1337" s="19"/>
      <c r="M1337" s="19"/>
      <c r="N1337" s="19"/>
      <c r="O1337" s="19"/>
      <c r="P1337" s="19"/>
      <c r="Q1337" s="19"/>
      <c r="R1337" s="19"/>
      <c r="S1337" s="22"/>
    </row>
    <row r="1338" spans="1:19" outlineLevel="1" x14ac:dyDescent="0.2">
      <c r="A1338" s="19"/>
      <c r="B1338" s="19"/>
      <c r="C1338" s="19"/>
      <c r="D1338" s="19"/>
      <c r="E1338" s="19"/>
      <c r="F1338" s="19"/>
      <c r="G1338" s="19"/>
      <c r="H1338" s="19"/>
      <c r="I1338" s="19"/>
      <c r="J1338" s="19"/>
      <c r="K1338" s="19"/>
      <c r="L1338" s="19"/>
      <c r="M1338" s="19"/>
      <c r="N1338" s="19"/>
      <c r="O1338" s="19"/>
      <c r="P1338" s="19"/>
      <c r="Q1338" s="19"/>
      <c r="R1338" s="19"/>
      <c r="S1338" s="22"/>
    </row>
    <row r="1339" spans="1:19" outlineLevel="1" x14ac:dyDescent="0.2">
      <c r="A1339" s="19"/>
      <c r="B1339" s="19"/>
      <c r="C1339" s="19"/>
      <c r="D1339" s="19"/>
      <c r="E1339" s="19"/>
      <c r="F1339" s="19"/>
      <c r="G1339" s="19"/>
      <c r="H1339" s="19"/>
      <c r="I1339" s="19"/>
      <c r="J1339" s="19"/>
      <c r="K1339" s="19"/>
      <c r="L1339" s="19"/>
      <c r="M1339" s="19"/>
      <c r="N1339" s="19"/>
      <c r="O1339" s="19"/>
      <c r="P1339" s="19"/>
      <c r="Q1339" s="19"/>
      <c r="R1339" s="19"/>
      <c r="S1339" s="22"/>
    </row>
    <row r="1340" spans="1:19" outlineLevel="1" x14ac:dyDescent="0.2">
      <c r="A1340" s="19"/>
      <c r="B1340" s="19"/>
      <c r="C1340" s="19"/>
      <c r="D1340" s="19"/>
      <c r="E1340" s="19"/>
      <c r="F1340" s="19"/>
      <c r="G1340" s="19"/>
      <c r="H1340" s="19"/>
      <c r="I1340" s="19"/>
      <c r="J1340" s="19"/>
      <c r="K1340" s="19"/>
      <c r="L1340" s="19"/>
      <c r="M1340" s="19"/>
      <c r="N1340" s="19"/>
      <c r="O1340" s="19"/>
      <c r="P1340" s="19"/>
      <c r="Q1340" s="19"/>
      <c r="R1340" s="19"/>
      <c r="S1340" s="22"/>
    </row>
    <row r="1341" spans="1:19" outlineLevel="1" x14ac:dyDescent="0.2">
      <c r="A1341" s="19"/>
      <c r="B1341" s="19"/>
      <c r="C1341" s="19"/>
      <c r="D1341" s="19"/>
      <c r="E1341" s="19"/>
      <c r="F1341" s="19"/>
      <c r="G1341" s="19"/>
      <c r="H1341" s="19"/>
      <c r="I1341" s="19"/>
      <c r="J1341" s="19"/>
      <c r="K1341" s="19"/>
      <c r="L1341" s="19"/>
      <c r="M1341" s="19"/>
      <c r="N1341" s="19"/>
      <c r="O1341" s="19"/>
      <c r="P1341" s="19"/>
      <c r="Q1341" s="19"/>
      <c r="R1341" s="19"/>
      <c r="S1341" s="22"/>
    </row>
    <row r="1342" spans="1:19" outlineLevel="2" x14ac:dyDescent="0.2">
      <c r="A1342" s="19"/>
      <c r="B1342" s="19"/>
      <c r="C1342" s="19"/>
      <c r="D1342" s="19"/>
      <c r="E1342" s="19"/>
      <c r="F1342" s="19"/>
      <c r="G1342" s="19"/>
      <c r="H1342" s="19"/>
      <c r="I1342" s="19"/>
      <c r="J1342" s="19"/>
      <c r="K1342" s="19"/>
      <c r="L1342" s="19"/>
      <c r="M1342" s="19"/>
      <c r="N1342" s="19"/>
      <c r="O1342" s="19"/>
      <c r="P1342" s="19"/>
      <c r="Q1342" s="19"/>
      <c r="R1342" s="19"/>
      <c r="S1342" s="22"/>
    </row>
    <row r="1343" spans="1:19" outlineLevel="2" x14ac:dyDescent="0.2">
      <c r="A1343" s="19"/>
      <c r="B1343" s="19"/>
      <c r="C1343" s="19"/>
      <c r="D1343" s="19"/>
      <c r="E1343" s="19"/>
      <c r="F1343" s="19"/>
      <c r="G1343" s="19"/>
      <c r="H1343" s="19"/>
      <c r="I1343" s="19"/>
      <c r="J1343" s="19"/>
      <c r="K1343" s="19"/>
      <c r="L1343" s="19"/>
      <c r="M1343" s="19"/>
      <c r="N1343" s="19"/>
      <c r="O1343" s="19"/>
      <c r="P1343" s="19"/>
      <c r="Q1343" s="19"/>
      <c r="R1343" s="19"/>
      <c r="S1343" s="22"/>
    </row>
    <row r="1344" spans="1:19" outlineLevel="2" x14ac:dyDescent="0.2">
      <c r="A1344" s="19"/>
      <c r="B1344" s="19"/>
      <c r="C1344" s="19"/>
      <c r="D1344" s="19"/>
      <c r="E1344" s="19"/>
      <c r="F1344" s="19"/>
      <c r="G1344" s="19"/>
      <c r="H1344" s="19"/>
      <c r="I1344" s="19"/>
      <c r="J1344" s="19"/>
      <c r="K1344" s="19"/>
      <c r="L1344" s="19"/>
      <c r="M1344" s="19"/>
      <c r="N1344" s="19"/>
      <c r="O1344" s="19"/>
      <c r="P1344" s="19"/>
      <c r="Q1344" s="19"/>
      <c r="R1344" s="19"/>
      <c r="S1344" s="22"/>
    </row>
    <row r="1345" spans="1:19" outlineLevel="2" x14ac:dyDescent="0.2">
      <c r="A1345" s="19"/>
      <c r="B1345" s="19"/>
      <c r="C1345" s="19"/>
      <c r="D1345" s="19"/>
      <c r="E1345" s="19"/>
      <c r="F1345" s="19"/>
      <c r="G1345" s="19"/>
      <c r="H1345" s="19"/>
      <c r="I1345" s="19"/>
      <c r="J1345" s="19"/>
      <c r="K1345" s="19"/>
      <c r="L1345" s="19"/>
      <c r="M1345" s="19"/>
      <c r="N1345" s="19"/>
      <c r="O1345" s="19"/>
      <c r="P1345" s="19"/>
      <c r="Q1345" s="19"/>
      <c r="R1345" s="19"/>
      <c r="S1345" s="22"/>
    </row>
    <row r="1346" spans="1:19" outlineLevel="2" x14ac:dyDescent="0.2">
      <c r="A1346" s="19"/>
      <c r="B1346" s="19"/>
      <c r="C1346" s="19"/>
      <c r="D1346" s="19"/>
      <c r="E1346" s="19"/>
      <c r="F1346" s="19"/>
      <c r="G1346" s="19"/>
      <c r="H1346" s="19"/>
      <c r="I1346" s="19"/>
      <c r="J1346" s="19"/>
      <c r="K1346" s="19"/>
      <c r="L1346" s="19"/>
      <c r="M1346" s="19"/>
      <c r="N1346" s="19"/>
      <c r="O1346" s="19"/>
      <c r="P1346" s="19"/>
      <c r="Q1346" s="19"/>
      <c r="R1346" s="19"/>
      <c r="S1346" s="22"/>
    </row>
    <row r="1347" spans="1:19" outlineLevel="2" x14ac:dyDescent="0.2">
      <c r="A1347" s="19"/>
      <c r="B1347" s="19"/>
      <c r="C1347" s="19"/>
      <c r="D1347" s="19"/>
      <c r="E1347" s="19"/>
      <c r="F1347" s="19"/>
      <c r="G1347" s="19"/>
      <c r="H1347" s="19"/>
      <c r="I1347" s="19"/>
      <c r="J1347" s="19"/>
      <c r="K1347" s="19"/>
      <c r="L1347" s="19"/>
      <c r="M1347" s="19"/>
      <c r="N1347" s="19"/>
      <c r="O1347" s="19"/>
      <c r="P1347" s="19"/>
      <c r="Q1347" s="19"/>
      <c r="R1347" s="19"/>
      <c r="S1347" s="22"/>
    </row>
    <row r="1348" spans="1:19" outlineLevel="2" x14ac:dyDescent="0.2">
      <c r="A1348" s="19"/>
      <c r="B1348" s="19"/>
      <c r="C1348" s="19"/>
      <c r="D1348" s="19"/>
      <c r="E1348" s="19"/>
      <c r="F1348" s="19"/>
      <c r="G1348" s="19"/>
      <c r="H1348" s="19"/>
      <c r="I1348" s="19"/>
      <c r="J1348" s="19"/>
      <c r="K1348" s="19"/>
      <c r="L1348" s="19"/>
      <c r="M1348" s="19"/>
      <c r="N1348" s="19"/>
      <c r="O1348" s="19"/>
      <c r="P1348" s="19"/>
      <c r="Q1348" s="19"/>
      <c r="R1348" s="19"/>
      <c r="S1348" s="22"/>
    </row>
    <row r="1349" spans="1:19" outlineLevel="2" x14ac:dyDescent="0.2">
      <c r="A1349" s="19"/>
      <c r="B1349" s="19"/>
      <c r="C1349" s="19"/>
      <c r="D1349" s="19"/>
      <c r="E1349" s="19"/>
      <c r="F1349" s="19"/>
      <c r="G1349" s="19"/>
      <c r="H1349" s="19"/>
      <c r="I1349" s="19"/>
      <c r="J1349" s="19"/>
      <c r="K1349" s="19"/>
      <c r="L1349" s="19"/>
      <c r="M1349" s="19"/>
      <c r="N1349" s="19"/>
      <c r="O1349" s="19"/>
      <c r="P1349" s="19"/>
      <c r="Q1349" s="19"/>
      <c r="R1349" s="19"/>
      <c r="S1349" s="22"/>
    </row>
    <row r="1350" spans="1:19" outlineLevel="2" x14ac:dyDescent="0.2">
      <c r="A1350" s="19"/>
      <c r="B1350" s="19"/>
      <c r="C1350" s="19"/>
      <c r="D1350" s="19"/>
      <c r="E1350" s="19"/>
      <c r="F1350" s="19"/>
      <c r="G1350" s="19"/>
      <c r="H1350" s="19"/>
      <c r="I1350" s="19"/>
      <c r="J1350" s="19"/>
      <c r="K1350" s="19"/>
      <c r="L1350" s="19"/>
      <c r="M1350" s="19"/>
      <c r="N1350" s="19"/>
      <c r="O1350" s="19"/>
      <c r="P1350" s="19"/>
      <c r="Q1350" s="19"/>
      <c r="R1350" s="19"/>
      <c r="S1350" s="22"/>
    </row>
    <row r="1351" spans="1:19" outlineLevel="2" x14ac:dyDescent="0.2">
      <c r="A1351" s="22" t="str">
        <f ca="1">Language!A$731 &amp; ", " &amp; Проект!CUR_Report</f>
        <v>График: Чистая прибыль, руб.</v>
      </c>
      <c r="B1351" s="19"/>
      <c r="C1351" s="19"/>
      <c r="D1351" s="19"/>
      <c r="E1351" s="19"/>
      <c r="F1351" s="19"/>
      <c r="G1351" s="19"/>
      <c r="H1351" s="19"/>
      <c r="I1351" s="19"/>
      <c r="J1351" s="19"/>
      <c r="K1351" s="19"/>
      <c r="L1351" s="19"/>
      <c r="M1351" s="19"/>
      <c r="N1351" s="19"/>
      <c r="O1351" s="19"/>
      <c r="P1351" s="19"/>
      <c r="Q1351" s="19"/>
      <c r="R1351" s="19"/>
      <c r="S1351" s="22"/>
    </row>
    <row r="1352" spans="1:19" outlineLevel="2" x14ac:dyDescent="0.2">
      <c r="A1352" s="19"/>
      <c r="B1352" s="19"/>
      <c r="C1352" s="19"/>
      <c r="D1352" s="19"/>
      <c r="E1352" s="19"/>
      <c r="F1352" s="19"/>
      <c r="G1352" s="19"/>
      <c r="H1352" s="19"/>
      <c r="I1352" s="19"/>
      <c r="J1352" s="19"/>
      <c r="K1352" s="19"/>
      <c r="L1352" s="19"/>
      <c r="M1352" s="19"/>
      <c r="N1352" s="19"/>
      <c r="O1352" s="19"/>
      <c r="P1352" s="19"/>
      <c r="Q1352" s="19"/>
      <c r="R1352" s="19"/>
      <c r="S1352" s="22"/>
    </row>
    <row r="1353" spans="1:19" outlineLevel="2" x14ac:dyDescent="0.2">
      <c r="A1353" s="19"/>
      <c r="B1353" s="19"/>
      <c r="C1353" s="19"/>
      <c r="D1353" s="19"/>
      <c r="E1353" s="19"/>
      <c r="F1353" s="19"/>
      <c r="G1353" s="19"/>
      <c r="H1353" s="19"/>
      <c r="I1353" s="19"/>
      <c r="J1353" s="19"/>
      <c r="K1353" s="19"/>
      <c r="L1353" s="19"/>
      <c r="M1353" s="19"/>
      <c r="N1353" s="19"/>
      <c r="O1353" s="19"/>
      <c r="P1353" s="19"/>
      <c r="Q1353" s="19"/>
      <c r="R1353" s="19"/>
      <c r="S1353" s="22"/>
    </row>
    <row r="1354" spans="1:19" outlineLevel="2" x14ac:dyDescent="0.2">
      <c r="A1354" s="19"/>
      <c r="B1354" s="19"/>
      <c r="C1354" s="19"/>
      <c r="D1354" s="19"/>
      <c r="E1354" s="19"/>
      <c r="F1354" s="19"/>
      <c r="G1354" s="19"/>
      <c r="H1354" s="19"/>
      <c r="I1354" s="19"/>
      <c r="J1354" s="19"/>
      <c r="K1354" s="19"/>
      <c r="L1354" s="19"/>
      <c r="M1354" s="19"/>
      <c r="N1354" s="19"/>
      <c r="O1354" s="19"/>
      <c r="P1354" s="19"/>
      <c r="Q1354" s="19"/>
      <c r="R1354" s="19"/>
      <c r="S1354" s="22"/>
    </row>
    <row r="1355" spans="1:19" outlineLevel="2" x14ac:dyDescent="0.2">
      <c r="A1355" s="19"/>
      <c r="B1355" s="19"/>
      <c r="C1355" s="19"/>
      <c r="D1355" s="19"/>
      <c r="E1355" s="19"/>
      <c r="F1355" s="19"/>
      <c r="G1355" s="19"/>
      <c r="H1355" s="19"/>
      <c r="I1355" s="19"/>
      <c r="J1355" s="19"/>
      <c r="K1355" s="19"/>
      <c r="L1355" s="19"/>
      <c r="M1355" s="19"/>
      <c r="N1355" s="19"/>
      <c r="O1355" s="19"/>
      <c r="P1355" s="19"/>
      <c r="Q1355" s="19"/>
      <c r="R1355" s="19"/>
      <c r="S1355" s="22"/>
    </row>
    <row r="1356" spans="1:19" outlineLevel="2" x14ac:dyDescent="0.2">
      <c r="A1356" s="19"/>
      <c r="B1356" s="19"/>
      <c r="C1356" s="19"/>
      <c r="D1356" s="19"/>
      <c r="E1356" s="19"/>
      <c r="F1356" s="19"/>
      <c r="G1356" s="19"/>
      <c r="H1356" s="19"/>
      <c r="I1356" s="19"/>
      <c r="J1356" s="19"/>
      <c r="K1356" s="19"/>
      <c r="L1356" s="19"/>
      <c r="M1356" s="19"/>
      <c r="N1356" s="19"/>
      <c r="O1356" s="19"/>
      <c r="P1356" s="19"/>
      <c r="Q1356" s="19"/>
      <c r="R1356" s="19"/>
      <c r="S1356" s="22"/>
    </row>
    <row r="1357" spans="1:19" outlineLevel="2" x14ac:dyDescent="0.2">
      <c r="A1357" s="19"/>
      <c r="B1357" s="19"/>
      <c r="C1357" s="19"/>
      <c r="D1357" s="19"/>
      <c r="E1357" s="19"/>
      <c r="F1357" s="19"/>
      <c r="G1357" s="19"/>
      <c r="H1357" s="19"/>
      <c r="I1357" s="19"/>
      <c r="J1357" s="19"/>
      <c r="K1357" s="19"/>
      <c r="L1357" s="19"/>
      <c r="M1357" s="19"/>
      <c r="N1357" s="19"/>
      <c r="O1357" s="19"/>
      <c r="P1357" s="19"/>
      <c r="Q1357" s="19"/>
      <c r="R1357" s="19"/>
      <c r="S1357" s="22"/>
    </row>
    <row r="1358" spans="1:19" outlineLevel="2" x14ac:dyDescent="0.2">
      <c r="A1358" s="19"/>
      <c r="B1358" s="19"/>
      <c r="C1358" s="19"/>
      <c r="D1358" s="19"/>
      <c r="E1358" s="19"/>
      <c r="F1358" s="19"/>
      <c r="G1358" s="19"/>
      <c r="H1358" s="19"/>
      <c r="I1358" s="19"/>
      <c r="J1358" s="19"/>
      <c r="K1358" s="19"/>
      <c r="L1358" s="19"/>
      <c r="M1358" s="19"/>
      <c r="N1358" s="19"/>
      <c r="O1358" s="19"/>
      <c r="P1358" s="19"/>
      <c r="Q1358" s="19"/>
      <c r="R1358" s="19"/>
      <c r="S1358" s="22"/>
    </row>
    <row r="1359" spans="1:19" outlineLevel="2" x14ac:dyDescent="0.2">
      <c r="A1359" s="19"/>
      <c r="B1359" s="19"/>
      <c r="C1359" s="19"/>
      <c r="D1359" s="19"/>
      <c r="E1359" s="19"/>
      <c r="F1359" s="19"/>
      <c r="G1359" s="19"/>
      <c r="H1359" s="19"/>
      <c r="I1359" s="19"/>
      <c r="J1359" s="19"/>
      <c r="K1359" s="19"/>
      <c r="L1359" s="19"/>
      <c r="M1359" s="19"/>
      <c r="N1359" s="19"/>
      <c r="O1359" s="19"/>
      <c r="P1359" s="19"/>
      <c r="Q1359" s="19"/>
      <c r="R1359" s="19"/>
      <c r="S1359" s="22"/>
    </row>
    <row r="1360" spans="1:19" outlineLevel="2" x14ac:dyDescent="0.2">
      <c r="A1360" s="19"/>
      <c r="B1360" s="19"/>
      <c r="C1360" s="19"/>
      <c r="D1360" s="19"/>
      <c r="E1360" s="19"/>
      <c r="F1360" s="19"/>
      <c r="G1360" s="19"/>
      <c r="H1360" s="19"/>
      <c r="I1360" s="19"/>
      <c r="J1360" s="19"/>
      <c r="K1360" s="19"/>
      <c r="L1360" s="19"/>
      <c r="M1360" s="19"/>
      <c r="N1360" s="19"/>
      <c r="O1360" s="19"/>
      <c r="P1360" s="19"/>
      <c r="Q1360" s="19"/>
      <c r="R1360" s="19"/>
      <c r="S1360" s="22"/>
    </row>
    <row r="1361" spans="1:19" outlineLevel="2" x14ac:dyDescent="0.2">
      <c r="A1361" s="19"/>
      <c r="B1361" s="19"/>
      <c r="C1361" s="19"/>
      <c r="D1361" s="19"/>
      <c r="E1361" s="19"/>
      <c r="F1361" s="19"/>
      <c r="G1361" s="19"/>
      <c r="H1361" s="19"/>
      <c r="I1361" s="19"/>
      <c r="J1361" s="19"/>
      <c r="K1361" s="19"/>
      <c r="L1361" s="19"/>
      <c r="M1361" s="19"/>
      <c r="N1361" s="19"/>
      <c r="O1361" s="19"/>
      <c r="P1361" s="19"/>
      <c r="Q1361" s="19"/>
      <c r="R1361" s="19"/>
      <c r="S1361" s="22"/>
    </row>
    <row r="1362" spans="1:19" outlineLevel="2" x14ac:dyDescent="0.2">
      <c r="A1362" s="19"/>
      <c r="B1362" s="19"/>
      <c r="C1362" s="19"/>
      <c r="D1362" s="19"/>
      <c r="E1362" s="19"/>
      <c r="F1362" s="19"/>
      <c r="G1362" s="19"/>
      <c r="H1362" s="19"/>
      <c r="I1362" s="19"/>
      <c r="J1362" s="19"/>
      <c r="K1362" s="19"/>
      <c r="L1362" s="19"/>
      <c r="M1362" s="19"/>
      <c r="N1362" s="19"/>
      <c r="O1362" s="19"/>
      <c r="P1362" s="19"/>
      <c r="Q1362" s="19"/>
      <c r="R1362" s="19"/>
      <c r="S1362" s="22"/>
    </row>
    <row r="1363" spans="1:19" outlineLevel="2" x14ac:dyDescent="0.2">
      <c r="A1363" s="19"/>
      <c r="B1363" s="19"/>
      <c r="C1363" s="19"/>
      <c r="D1363" s="19"/>
      <c r="E1363" s="19"/>
      <c r="F1363" s="19"/>
      <c r="G1363" s="19"/>
      <c r="H1363" s="19"/>
      <c r="I1363" s="19"/>
      <c r="J1363" s="19"/>
      <c r="K1363" s="19"/>
      <c r="L1363" s="19"/>
      <c r="M1363" s="19"/>
      <c r="N1363" s="19"/>
      <c r="O1363" s="19"/>
      <c r="P1363" s="19"/>
      <c r="Q1363" s="19"/>
      <c r="R1363" s="19"/>
      <c r="S1363" s="22"/>
    </row>
    <row r="1364" spans="1:19" outlineLevel="2" x14ac:dyDescent="0.2">
      <c r="A1364" s="19"/>
      <c r="B1364" s="19"/>
      <c r="C1364" s="19"/>
      <c r="D1364" s="19"/>
      <c r="E1364" s="19"/>
      <c r="F1364" s="19"/>
      <c r="G1364" s="19"/>
      <c r="H1364" s="19"/>
      <c r="I1364" s="19"/>
      <c r="J1364" s="19"/>
      <c r="K1364" s="19"/>
      <c r="L1364" s="19"/>
      <c r="M1364" s="19"/>
      <c r="N1364" s="19"/>
      <c r="O1364" s="19"/>
      <c r="P1364" s="19"/>
      <c r="Q1364" s="19"/>
      <c r="R1364" s="19"/>
      <c r="S1364" s="22"/>
    </row>
    <row r="1365" spans="1:19" outlineLevel="1" x14ac:dyDescent="0.2">
      <c r="A1365" s="19"/>
      <c r="B1365" s="19"/>
      <c r="C1365" s="19"/>
      <c r="D1365" s="19"/>
      <c r="E1365" s="19"/>
      <c r="F1365" s="19"/>
      <c r="G1365" s="19"/>
      <c r="H1365" s="19"/>
      <c r="I1365" s="19"/>
      <c r="J1365" s="19"/>
      <c r="K1365" s="19"/>
      <c r="L1365" s="19"/>
      <c r="M1365" s="19"/>
      <c r="N1365" s="19"/>
      <c r="O1365" s="19"/>
      <c r="P1365" s="19"/>
      <c r="Q1365" s="19"/>
      <c r="R1365" s="19"/>
      <c r="S1365" s="22"/>
    </row>
    <row r="1366" spans="1:19" outlineLevel="1" x14ac:dyDescent="0.2">
      <c r="A1366" s="19"/>
      <c r="B1366" s="19"/>
      <c r="C1366" s="19"/>
      <c r="D1366" s="19"/>
      <c r="E1366" s="19"/>
      <c r="F1366" s="19"/>
      <c r="G1366" s="19"/>
      <c r="H1366" s="19"/>
      <c r="I1366" s="19"/>
      <c r="J1366" s="19"/>
      <c r="K1366" s="19"/>
      <c r="L1366" s="19"/>
      <c r="M1366" s="19"/>
      <c r="N1366" s="19"/>
      <c r="O1366" s="19"/>
      <c r="P1366" s="19"/>
      <c r="Q1366" s="19"/>
      <c r="R1366" s="19"/>
      <c r="S1366" s="22"/>
    </row>
    <row r="1367" spans="1:19" outlineLevel="2" x14ac:dyDescent="0.2">
      <c r="A1367" s="19"/>
      <c r="B1367" s="19"/>
      <c r="C1367" s="19"/>
      <c r="D1367" s="19"/>
      <c r="E1367" s="19"/>
      <c r="F1367" s="19"/>
      <c r="G1367" s="19"/>
      <c r="H1367" s="19"/>
      <c r="I1367" s="19"/>
      <c r="J1367" s="19"/>
      <c r="K1367" s="19"/>
      <c r="L1367" s="19"/>
      <c r="M1367" s="19"/>
      <c r="N1367" s="19"/>
      <c r="O1367" s="19"/>
      <c r="P1367" s="19"/>
      <c r="Q1367" s="19"/>
      <c r="R1367" s="19"/>
      <c r="S1367" s="22"/>
    </row>
    <row r="1368" spans="1:19" outlineLevel="2" x14ac:dyDescent="0.2">
      <c r="A1368" s="19"/>
      <c r="B1368" s="19"/>
      <c r="C1368" s="19"/>
      <c r="D1368" s="19"/>
      <c r="E1368" s="19"/>
      <c r="F1368" s="19"/>
      <c r="G1368" s="19"/>
      <c r="H1368" s="19"/>
      <c r="I1368" s="19"/>
      <c r="J1368" s="19"/>
      <c r="K1368" s="19"/>
      <c r="L1368" s="19"/>
      <c r="M1368" s="19"/>
      <c r="N1368" s="19"/>
      <c r="O1368" s="19"/>
      <c r="P1368" s="19"/>
      <c r="Q1368" s="19"/>
      <c r="R1368" s="19"/>
      <c r="S1368" s="22"/>
    </row>
    <row r="1369" spans="1:19" outlineLevel="2" x14ac:dyDescent="0.2">
      <c r="A1369" s="19"/>
      <c r="B1369" s="19"/>
      <c r="C1369" s="19"/>
      <c r="D1369" s="19"/>
      <c r="E1369" s="19"/>
      <c r="F1369" s="19"/>
      <c r="G1369" s="19"/>
      <c r="H1369" s="19"/>
      <c r="I1369" s="19"/>
      <c r="J1369" s="19"/>
      <c r="K1369" s="19"/>
      <c r="L1369" s="19"/>
      <c r="M1369" s="19"/>
      <c r="N1369" s="19"/>
      <c r="O1369" s="19"/>
      <c r="P1369" s="19"/>
      <c r="Q1369" s="19"/>
      <c r="R1369" s="19"/>
      <c r="S1369" s="22"/>
    </row>
    <row r="1370" spans="1:19" outlineLevel="2" x14ac:dyDescent="0.2">
      <c r="A1370" s="19"/>
      <c r="B1370" s="19"/>
      <c r="C1370" s="19"/>
      <c r="D1370" s="19"/>
      <c r="E1370" s="19"/>
      <c r="F1370" s="19"/>
      <c r="G1370" s="19"/>
      <c r="H1370" s="19"/>
      <c r="I1370" s="19"/>
      <c r="J1370" s="19"/>
      <c r="K1370" s="19"/>
      <c r="L1370" s="19"/>
      <c r="M1370" s="19"/>
      <c r="N1370" s="19"/>
      <c r="O1370" s="19"/>
      <c r="P1370" s="19"/>
      <c r="Q1370" s="19"/>
      <c r="R1370" s="19"/>
      <c r="S1370" s="22"/>
    </row>
    <row r="1371" spans="1:19" outlineLevel="2" x14ac:dyDescent="0.2">
      <c r="A1371" s="19"/>
      <c r="B1371" s="19"/>
      <c r="C1371" s="19"/>
      <c r="D1371" s="19"/>
      <c r="E1371" s="19"/>
      <c r="F1371" s="19"/>
      <c r="G1371" s="19"/>
      <c r="H1371" s="19"/>
      <c r="I1371" s="19"/>
      <c r="J1371" s="19"/>
      <c r="K1371" s="19"/>
      <c r="L1371" s="19"/>
      <c r="M1371" s="19"/>
      <c r="N1371" s="19"/>
      <c r="O1371" s="19"/>
      <c r="P1371" s="19"/>
      <c r="Q1371" s="19"/>
      <c r="R1371" s="19"/>
      <c r="S1371" s="22"/>
    </row>
    <row r="1372" spans="1:19" outlineLevel="2" x14ac:dyDescent="0.2">
      <c r="A1372" s="19"/>
      <c r="B1372" s="19"/>
      <c r="C1372" s="19"/>
      <c r="D1372" s="19"/>
      <c r="E1372" s="19"/>
      <c r="F1372" s="19"/>
      <c r="G1372" s="19"/>
      <c r="H1372" s="19"/>
      <c r="I1372" s="19"/>
      <c r="J1372" s="19"/>
      <c r="K1372" s="19"/>
      <c r="L1372" s="19"/>
      <c r="M1372" s="19"/>
      <c r="N1372" s="19"/>
      <c r="O1372" s="19"/>
      <c r="P1372" s="19"/>
      <c r="Q1372" s="19"/>
      <c r="R1372" s="19"/>
      <c r="S1372" s="22"/>
    </row>
    <row r="1373" spans="1:19" outlineLevel="2" x14ac:dyDescent="0.2">
      <c r="A1373" s="19"/>
      <c r="B1373" s="19"/>
      <c r="C1373" s="19"/>
      <c r="D1373" s="19"/>
      <c r="E1373" s="19"/>
      <c r="F1373" s="19"/>
      <c r="G1373" s="19"/>
      <c r="H1373" s="19"/>
      <c r="I1373" s="19"/>
      <c r="J1373" s="19"/>
      <c r="K1373" s="19"/>
      <c r="L1373" s="19"/>
      <c r="M1373" s="19"/>
      <c r="N1373" s="19"/>
      <c r="O1373" s="19"/>
      <c r="P1373" s="19"/>
      <c r="Q1373" s="19"/>
      <c r="R1373" s="19"/>
      <c r="S1373" s="22"/>
    </row>
    <row r="1374" spans="1:19" outlineLevel="2" x14ac:dyDescent="0.2">
      <c r="A1374" s="19"/>
      <c r="B1374" s="19"/>
      <c r="C1374" s="19"/>
      <c r="D1374" s="19"/>
      <c r="E1374" s="19"/>
      <c r="F1374" s="19"/>
      <c r="G1374" s="19"/>
      <c r="H1374" s="19"/>
      <c r="I1374" s="19"/>
      <c r="J1374" s="19"/>
      <c r="K1374" s="19"/>
      <c r="L1374" s="19"/>
      <c r="M1374" s="19"/>
      <c r="N1374" s="19"/>
      <c r="O1374" s="19"/>
      <c r="P1374" s="19"/>
      <c r="Q1374" s="19"/>
      <c r="R1374" s="19"/>
      <c r="S1374" s="22"/>
    </row>
    <row r="1375" spans="1:19" outlineLevel="2" x14ac:dyDescent="0.2">
      <c r="A1375" s="19"/>
      <c r="B1375" s="19"/>
      <c r="C1375" s="19"/>
      <c r="D1375" s="19"/>
      <c r="E1375" s="19"/>
      <c r="F1375" s="19"/>
      <c r="G1375" s="19"/>
      <c r="H1375" s="19"/>
      <c r="I1375" s="19"/>
      <c r="J1375" s="19"/>
      <c r="K1375" s="19"/>
      <c r="L1375" s="19"/>
      <c r="M1375" s="19"/>
      <c r="N1375" s="19"/>
      <c r="O1375" s="19"/>
      <c r="P1375" s="19"/>
      <c r="Q1375" s="19"/>
      <c r="R1375" s="19"/>
      <c r="S1375" s="22"/>
    </row>
    <row r="1376" spans="1:19" outlineLevel="2" x14ac:dyDescent="0.2">
      <c r="A1376" s="19"/>
      <c r="B1376" s="19"/>
      <c r="C1376" s="19"/>
      <c r="D1376" s="19"/>
      <c r="E1376" s="19"/>
      <c r="F1376" s="19"/>
      <c r="G1376" s="19"/>
      <c r="H1376" s="19"/>
      <c r="I1376" s="19"/>
      <c r="J1376" s="19"/>
      <c r="K1376" s="19"/>
      <c r="L1376" s="19"/>
      <c r="M1376" s="19"/>
      <c r="N1376" s="19"/>
      <c r="O1376" s="19"/>
      <c r="P1376" s="19"/>
      <c r="Q1376" s="19"/>
      <c r="R1376" s="19"/>
      <c r="S1376" s="22"/>
    </row>
    <row r="1377" spans="1:19" ht="10.5" outlineLevel="2" thickBot="1" x14ac:dyDescent="0.25">
      <c r="A1377" s="166" t="str">
        <f ca="1">Language!A732</f>
        <v xml:space="preserve">         ПРИЛОЖЕНИЕ К ОТЧЕТУ О ПРИБЫЛЯХ И УБЫТКАХ</v>
      </c>
      <c r="B1377" s="166"/>
      <c r="C1377" s="166"/>
      <c r="D1377" s="166"/>
      <c r="E1377" s="166"/>
      <c r="F1377" s="178" t="str">
        <f t="shared" ref="F1377:Q1377" si="1708">PeriodTitle</f>
        <v>4/ 2024</v>
      </c>
      <c r="G1377" s="178" t="str">
        <f t="shared" si="1708"/>
        <v>5/ 2024</v>
      </c>
      <c r="H1377" s="178" t="str">
        <f t="shared" si="1708"/>
        <v>6/ 2024</v>
      </c>
      <c r="I1377" s="178" t="str">
        <f t="shared" si="1708"/>
        <v>7/ 2024</v>
      </c>
      <c r="J1377" s="178" t="str">
        <f t="shared" si="1708"/>
        <v>8/ 2024</v>
      </c>
      <c r="K1377" s="178" t="str">
        <f t="shared" si="1708"/>
        <v>9/ 2024</v>
      </c>
      <c r="L1377" s="178" t="str">
        <f t="shared" si="1708"/>
        <v>10/ 2024</v>
      </c>
      <c r="M1377" s="178" t="str">
        <f t="shared" si="1708"/>
        <v>11/ 2024</v>
      </c>
      <c r="N1377" s="178" t="str">
        <f t="shared" si="1708"/>
        <v>12/ 2024</v>
      </c>
      <c r="O1377" s="178" t="str">
        <f t="shared" si="1708"/>
        <v>1/ 2025</v>
      </c>
      <c r="P1377" s="178" t="str">
        <f t="shared" si="1708"/>
        <v>2/ 2025</v>
      </c>
      <c r="Q1377" s="178" t="str">
        <f t="shared" si="1708"/>
        <v>3/ 2025</v>
      </c>
      <c r="R1377" s="166"/>
      <c r="S1377" s="195" t="str">
        <f ca="1">Language!A371</f>
        <v>ИТОГО</v>
      </c>
    </row>
    <row r="1378" spans="1:19" ht="10.5" outlineLevel="2" thickTop="1" x14ac:dyDescent="0.2">
      <c r="A1378" s="19"/>
      <c r="B1378" s="36" t="str">
        <f ca="1">Language!A$73</f>
        <v>Валюта</v>
      </c>
      <c r="C1378" s="73"/>
      <c r="D1378" s="19"/>
      <c r="E1378" s="19"/>
      <c r="F1378" s="19"/>
      <c r="G1378" s="19"/>
      <c r="H1378" s="19"/>
      <c r="I1378" s="19"/>
      <c r="J1378" s="19"/>
      <c r="K1378" s="19"/>
      <c r="L1378" s="19"/>
      <c r="M1378" s="19"/>
      <c r="N1378" s="19"/>
      <c r="O1378" s="19"/>
      <c r="P1378" s="19"/>
      <c r="Q1378" s="19"/>
      <c r="R1378" s="19"/>
      <c r="S1378" s="22"/>
    </row>
    <row r="1379" spans="1:19" outlineLevel="2" x14ac:dyDescent="0.2">
      <c r="A1379" t="str">
        <f ca="1">Language!A733</f>
        <v>Прочие доходы (без НДС)</v>
      </c>
      <c r="B1379" s="255">
        <v>1</v>
      </c>
      <c r="C1379" s="17" t="str">
        <f ca="1">CHOOSE(B1379,CUR_Main,CUR_Foreign)</f>
        <v>руб.</v>
      </c>
      <c r="F1379" s="272">
        <v>0</v>
      </c>
      <c r="G1379" s="272">
        <v>0</v>
      </c>
      <c r="H1379" s="272">
        <v>0</v>
      </c>
      <c r="I1379" s="272">
        <v>0</v>
      </c>
      <c r="J1379" s="272">
        <v>0</v>
      </c>
      <c r="K1379" s="272">
        <v>0</v>
      </c>
      <c r="L1379" s="272">
        <v>0</v>
      </c>
      <c r="M1379" s="272">
        <v>0</v>
      </c>
      <c r="N1379" s="272">
        <v>0</v>
      </c>
      <c r="O1379" s="272">
        <v>0</v>
      </c>
      <c r="P1379" s="272">
        <v>0</v>
      </c>
      <c r="Q1379" s="272">
        <v>0</v>
      </c>
      <c r="R1379" s="43"/>
      <c r="S1379" s="54">
        <f>SUM(F1379:Q1379)</f>
        <v>0</v>
      </c>
    </row>
    <row r="1380" spans="1:19" outlineLevel="2" x14ac:dyDescent="0.2">
      <c r="A1380" t="str">
        <f ca="1">Language!A734</f>
        <v xml:space="preserve">   НДС</v>
      </c>
      <c r="B1380" s="283">
        <f>VAT</f>
        <v>0</v>
      </c>
      <c r="C1380" s="5" t="str">
        <f ca="1">CHOOSE(B1379,CUR_Main,CUR_Foreign)</f>
        <v>руб.</v>
      </c>
      <c r="F1380" s="106">
        <f t="shared" ref="F1380:M1380" si="1709">F1379*$B1380</f>
        <v>0</v>
      </c>
      <c r="G1380" s="106">
        <f t="shared" si="1709"/>
        <v>0</v>
      </c>
      <c r="H1380" s="106">
        <f t="shared" si="1709"/>
        <v>0</v>
      </c>
      <c r="I1380" s="106">
        <f t="shared" si="1709"/>
        <v>0</v>
      </c>
      <c r="J1380" s="106">
        <f t="shared" si="1709"/>
        <v>0</v>
      </c>
      <c r="K1380" s="106">
        <f t="shared" si="1709"/>
        <v>0</v>
      </c>
      <c r="L1380" s="106">
        <f t="shared" si="1709"/>
        <v>0</v>
      </c>
      <c r="M1380" s="106">
        <f t="shared" si="1709"/>
        <v>0</v>
      </c>
      <c r="N1380" s="106">
        <f t="shared" ref="N1380" si="1710">N1379*$B1380</f>
        <v>0</v>
      </c>
      <c r="O1380" s="106">
        <f t="shared" ref="O1380:Q1380" si="1711">O1379*$B1380</f>
        <v>0</v>
      </c>
      <c r="P1380" s="106">
        <f t="shared" ref="P1380:Q1380" si="1712">P1379*$B1380</f>
        <v>0</v>
      </c>
      <c r="Q1380" s="106">
        <f t="shared" si="1712"/>
        <v>0</v>
      </c>
      <c r="R1380" s="43"/>
      <c r="S1380" s="54">
        <f>SUM(F1380:Q1380)</f>
        <v>0</v>
      </c>
    </row>
    <row r="1381" spans="1:19" outlineLevel="2" x14ac:dyDescent="0.2">
      <c r="A1381" t="str">
        <f ca="1">Language!A735</f>
        <v>Прочие расходы (без НДС)</v>
      </c>
      <c r="B1381" s="255">
        <v>1</v>
      </c>
      <c r="C1381" s="17" t="str">
        <f ca="1">CHOOSE(B1381,CUR_Main,CUR_Foreign)</f>
        <v>руб.</v>
      </c>
      <c r="F1381" s="272">
        <v>0</v>
      </c>
      <c r="G1381" s="272">
        <v>0</v>
      </c>
      <c r="H1381" s="272">
        <v>0</v>
      </c>
      <c r="I1381" s="272">
        <v>0</v>
      </c>
      <c r="J1381" s="272">
        <v>0</v>
      </c>
      <c r="K1381" s="272">
        <v>0</v>
      </c>
      <c r="L1381" s="272">
        <v>0</v>
      </c>
      <c r="M1381" s="272">
        <v>0</v>
      </c>
      <c r="N1381" s="272">
        <v>0</v>
      </c>
      <c r="O1381" s="272">
        <v>0</v>
      </c>
      <c r="P1381" s="272">
        <v>0</v>
      </c>
      <c r="Q1381" s="272">
        <v>0</v>
      </c>
      <c r="R1381" s="43"/>
      <c r="S1381" s="54">
        <f>SUM(F1381:Q1381)</f>
        <v>0</v>
      </c>
    </row>
    <row r="1382" spans="1:19" outlineLevel="2" x14ac:dyDescent="0.2">
      <c r="A1382" t="str">
        <f ca="1">Language!A734</f>
        <v xml:space="preserve">   НДС</v>
      </c>
      <c r="B1382" s="283">
        <f>VAT</f>
        <v>0</v>
      </c>
      <c r="C1382" s="5" t="str">
        <f ca="1">CHOOSE(B1381,CUR_Main,CUR_Foreign)</f>
        <v>руб.</v>
      </c>
      <c r="F1382" s="106">
        <f t="shared" ref="F1382:M1382" si="1713">F1381*$B1382</f>
        <v>0</v>
      </c>
      <c r="G1382" s="106">
        <f t="shared" si="1713"/>
        <v>0</v>
      </c>
      <c r="H1382" s="106">
        <f t="shared" si="1713"/>
        <v>0</v>
      </c>
      <c r="I1382" s="106">
        <f t="shared" si="1713"/>
        <v>0</v>
      </c>
      <c r="J1382" s="106">
        <f t="shared" si="1713"/>
        <v>0</v>
      </c>
      <c r="K1382" s="106">
        <f t="shared" si="1713"/>
        <v>0</v>
      </c>
      <c r="L1382" s="106">
        <f t="shared" si="1713"/>
        <v>0</v>
      </c>
      <c r="M1382" s="106">
        <f t="shared" si="1713"/>
        <v>0</v>
      </c>
      <c r="N1382" s="106">
        <f t="shared" ref="N1382" si="1714">N1381*$B1382</f>
        <v>0</v>
      </c>
      <c r="O1382" s="106">
        <f t="shared" ref="O1382:Q1382" si="1715">O1381*$B1382</f>
        <v>0</v>
      </c>
      <c r="P1382" s="106">
        <f t="shared" ref="P1382:Q1382" si="1716">P1381*$B1382</f>
        <v>0</v>
      </c>
      <c r="Q1382" s="106">
        <f t="shared" si="1716"/>
        <v>0</v>
      </c>
      <c r="R1382" s="43"/>
      <c r="S1382" s="54">
        <f>SUM(F1382:Q1382)</f>
        <v>0</v>
      </c>
    </row>
    <row r="1383" spans="1:19" outlineLevel="2" x14ac:dyDescent="0.2">
      <c r="A1383" s="19"/>
      <c r="B1383" s="19"/>
      <c r="C1383" s="19"/>
      <c r="D1383" s="19"/>
      <c r="E1383" s="19"/>
      <c r="F1383" s="19"/>
      <c r="G1383" s="19"/>
      <c r="H1383" s="19"/>
      <c r="I1383" s="19"/>
      <c r="J1383" s="19"/>
      <c r="K1383" s="19"/>
      <c r="L1383" s="19"/>
      <c r="M1383" s="19"/>
      <c r="N1383" s="19"/>
      <c r="O1383" s="19"/>
      <c r="P1383" s="19"/>
      <c r="Q1383" s="19"/>
      <c r="R1383" s="19"/>
      <c r="S1383" s="22"/>
    </row>
    <row r="1384" spans="1:19" outlineLevel="2" x14ac:dyDescent="0.2">
      <c r="A1384" t="str">
        <f ca="1">Language!A736</f>
        <v>Курсовые разницы</v>
      </c>
      <c r="C1384" s="5" t="str">
        <f ca="1">CUR_Main</f>
        <v>руб.</v>
      </c>
      <c r="F1384" s="84">
        <f>SUM($E1226:F1226)-SUM($E1227:F1227)-F1232+SUM($E1230:F1230)-SUM($E1228:F1228)-(SUM($E1226:E1226)-SUM($E1227:E1227)-E1232+SUM($E1230:E1230)-SUM($E1228:E1228))</f>
        <v>9.4587448984384537E-11</v>
      </c>
      <c r="G1384" s="84">
        <f>SUM($E1226:G1226)-SUM($E1227:G1227)-G1232+SUM($E1230:G1230)-SUM($E1228:G1228)-(SUM($E1226:F1226)-SUM($E1227:F1227)-F1232+SUM($E1230:F1230)-SUM($E1228:F1228))</f>
        <v>6.3300831243395805E-10</v>
      </c>
      <c r="H1384" s="84">
        <f>SUM($E1226:H1226)-SUM($E1227:H1227)-H1232+SUM($E1230:H1230)-SUM($E1228:H1228)-(SUM($E1226:G1226)-SUM($E1227:G1227)-G1232+SUM($E1230:G1230)-SUM($E1228:G1228))</f>
        <v>-2.9103830456733704E-11</v>
      </c>
      <c r="I1384" s="84">
        <f>SUM($E1226:I1226)-SUM($E1227:I1227)-I1232+SUM($E1230:I1230)-SUM($E1228:I1228)-(SUM($E1226:H1226)-SUM($E1227:H1227)-H1232+SUM($E1230:H1230)-SUM($E1228:H1228))</f>
        <v>9.3132257461547852E-10</v>
      </c>
      <c r="J1384" s="84">
        <f>SUM($E1226:J1226)-SUM($E1227:J1227)-J1232+SUM($E1230:J1230)-SUM($E1228:J1228)-(SUM($E1226:I1226)-SUM($E1227:I1227)-I1232+SUM($E1230:I1230)-SUM($E1228:I1228))</f>
        <v>-4.6566128730773926E-10</v>
      </c>
      <c r="K1384" s="84">
        <f>SUM($E1226:K1226)-SUM($E1227:K1227)-K1232+SUM($E1230:K1230)-SUM($E1228:K1228)-(SUM($E1226:J1226)-SUM($E1227:J1227)-J1232+SUM($E1230:J1230)-SUM($E1228:J1228))</f>
        <v>6.9849193096160889E-10</v>
      </c>
      <c r="L1384" s="84">
        <f>SUM($E1226:L1226)-SUM($E1227:L1227)-L1232+SUM($E1230:L1230)-SUM($E1228:L1228)-(SUM($E1226:K1226)-SUM($E1227:K1227)-K1232+SUM($E1230:K1230)-SUM($E1228:K1228))</f>
        <v>-5.8207660913467407E-11</v>
      </c>
      <c r="M1384" s="84">
        <f>SUM($E1226:M1226)-SUM($E1227:M1227)-M1232+SUM($E1230:M1230)-SUM($E1228:M1228)-(SUM($E1226:L1226)-SUM($E1227:L1227)-L1232+SUM($E1230:L1230)-SUM($E1228:L1228))</f>
        <v>-8.7311491370201111E-10</v>
      </c>
      <c r="N1384" s="84">
        <f>SUM($E1226:N1226)-SUM($E1227:N1227)-N1232+SUM($E1230:N1230)-SUM($E1228:N1228)-(SUM($E1226:M1226)-SUM($E1227:M1227)-M1232+SUM($E1230:M1230)-SUM($E1228:M1228))</f>
        <v>9.8953023552894592E-10</v>
      </c>
      <c r="O1384" s="84">
        <f>SUM($E1226:O1226)-SUM($E1227:O1227)-O1232+SUM($E1230:O1230)-SUM($E1228:O1228)-(SUM($E1226:N1226)-SUM($E1227:N1227)-N1232+SUM($E1230:N1230)-SUM($E1228:N1228))</f>
        <v>0</v>
      </c>
      <c r="P1384" s="84">
        <f>SUM($E1226:P1226)-SUM($E1227:P1227)-P1232+SUM($E1230:P1230)-SUM($E1228:P1228)-(SUM($E1226:O1226)-SUM($E1227:O1227)-O1232+SUM($E1230:O1230)-SUM($E1228:O1228))</f>
        <v>0</v>
      </c>
      <c r="Q1384" s="84">
        <f>SUM($E1226:Q1226)-SUM($E1227:Q1227)-Q1232+SUM($E1230:Q1230)-SUM($E1228:Q1228)-(SUM($E1226:P1226)-SUM($E1227:P1227)-P1232+SUM($E1230:P1230)-SUM($E1228:P1228))</f>
        <v>0</v>
      </c>
      <c r="R1384" s="43"/>
      <c r="S1384" s="54">
        <f>SUM(F1384:Q1384)</f>
        <v>1.9208528101444244E-9</v>
      </c>
    </row>
    <row r="1385" spans="1:19" outlineLevel="2" x14ac:dyDescent="0.2">
      <c r="A1385" t="str">
        <f ca="1">Language!A737</f>
        <v>Дивиденды</v>
      </c>
      <c r="B1385" s="273">
        <v>0</v>
      </c>
      <c r="C1385" s="5" t="str">
        <f ca="1">CUR_Report</f>
        <v>руб.</v>
      </c>
      <c r="F1385" s="53">
        <f t="shared" ref="F1385:Q1385" ca="1" si="1717">IF(F1324&gt;0,MIN(F1324*$B1385,MAX((E1457+F1433+F1444+SUM(F1446:F1451)),0)),0)</f>
        <v>0</v>
      </c>
      <c r="G1385" s="53">
        <f t="shared" ca="1" si="1717"/>
        <v>0</v>
      </c>
      <c r="H1385" s="53">
        <f t="shared" ca="1" si="1717"/>
        <v>0</v>
      </c>
      <c r="I1385" s="53">
        <f t="shared" ca="1" si="1717"/>
        <v>0</v>
      </c>
      <c r="J1385" s="53">
        <f t="shared" ca="1" si="1717"/>
        <v>0</v>
      </c>
      <c r="K1385" s="53">
        <f t="shared" ca="1" si="1717"/>
        <v>0</v>
      </c>
      <c r="L1385" s="53">
        <f t="shared" ca="1" si="1717"/>
        <v>0</v>
      </c>
      <c r="M1385" s="53">
        <f t="shared" ca="1" si="1717"/>
        <v>0</v>
      </c>
      <c r="N1385" s="53">
        <f t="shared" ca="1" si="1717"/>
        <v>0</v>
      </c>
      <c r="O1385" s="53">
        <f t="shared" ca="1" si="1717"/>
        <v>0</v>
      </c>
      <c r="P1385" s="53">
        <f t="shared" ca="1" si="1717"/>
        <v>0</v>
      </c>
      <c r="Q1385" s="53">
        <f t="shared" ca="1" si="1717"/>
        <v>0</v>
      </c>
      <c r="R1385" s="43"/>
      <c r="S1385" s="54">
        <f ca="1">SUM(F1385:Q1385)</f>
        <v>0</v>
      </c>
    </row>
    <row r="1386" spans="1:19" outlineLevel="2" x14ac:dyDescent="0.2">
      <c r="B1386" s="135"/>
      <c r="C1386" s="5"/>
      <c r="F1386" s="53"/>
      <c r="G1386" s="53"/>
      <c r="H1386" s="53"/>
      <c r="I1386" s="53"/>
      <c r="J1386" s="53"/>
      <c r="K1386" s="53"/>
      <c r="L1386" s="53"/>
      <c r="M1386" s="53"/>
      <c r="N1386" s="53"/>
      <c r="O1386" s="53"/>
      <c r="P1386" s="53"/>
      <c r="Q1386" s="53"/>
      <c r="R1386" s="43"/>
      <c r="S1386" s="54"/>
    </row>
    <row r="1387" spans="1:19" outlineLevel="2" x14ac:dyDescent="0.2">
      <c r="A1387" s="23" t="str">
        <f ca="1">Language!A723</f>
        <v>Прибыль до налога, процентов и амортизации (EBITDA)</v>
      </c>
      <c r="B1387" s="180"/>
      <c r="C1387" s="293" t="str">
        <f ca="1">CUR_Report</f>
        <v>руб.</v>
      </c>
      <c r="D1387" s="180"/>
      <c r="E1387" s="180"/>
      <c r="F1387" s="109">
        <f t="shared" ref="F1387:M1387" ca="1" si="1718">F1322+F1314+F1309</f>
        <v>-2966160</v>
      </c>
      <c r="G1387" s="109">
        <f t="shared" ca="1" si="1718"/>
        <v>-2555759.9999999995</v>
      </c>
      <c r="H1387" s="109">
        <f t="shared" ca="1" si="1718"/>
        <v>-2419853.3087499999</v>
      </c>
      <c r="I1387" s="109">
        <f t="shared" ca="1" si="1718"/>
        <v>-1876226.543749999</v>
      </c>
      <c r="J1387" s="109">
        <f t="shared" ca="1" si="1718"/>
        <v>-1196693.0875000004</v>
      </c>
      <c r="K1387" s="109">
        <f t="shared" ca="1" si="1718"/>
        <v>162373.82500000065</v>
      </c>
      <c r="L1387" s="109">
        <f t="shared" ca="1" si="1718"/>
        <v>1521440.7375</v>
      </c>
      <c r="M1387" s="109">
        <f t="shared" ca="1" si="1718"/>
        <v>2880507.649999999</v>
      </c>
      <c r="N1387" s="109">
        <f t="shared" ref="N1387" ca="1" si="1719">N1322+N1314+N1309</f>
        <v>4919108.0187500007</v>
      </c>
      <c r="O1387" s="109">
        <f t="shared" ref="O1387:Q1387" ca="1" si="1720">O1322+O1314+O1309</f>
        <v>7637241.84375</v>
      </c>
      <c r="P1387" s="109">
        <f t="shared" ref="P1387:Q1387" ca="1" si="1721">P1322+P1314+P1309</f>
        <v>9675842.2125000004</v>
      </c>
      <c r="Q1387" s="109">
        <f t="shared" ca="1" si="1721"/>
        <v>11034909.125</v>
      </c>
      <c r="R1387" s="297"/>
      <c r="S1387" s="54">
        <f ca="1">SUM(F1387:Q1387)</f>
        <v>26816730.472500004</v>
      </c>
    </row>
    <row r="1388" spans="1:19" outlineLevel="2" x14ac:dyDescent="0.2">
      <c r="A1388" s="23" t="str">
        <f ca="1">Language!A725</f>
        <v>Прибыль до процентов и налога (EBIT)</v>
      </c>
      <c r="B1388" s="180"/>
      <c r="C1388" s="293" t="str">
        <f ca="1">CUR_Report</f>
        <v>руб.</v>
      </c>
      <c r="D1388" s="180"/>
      <c r="E1388" s="180"/>
      <c r="F1388" s="109">
        <f t="shared" ref="F1388:M1388" ca="1" si="1722">F1387-F1309</f>
        <v>-2966160</v>
      </c>
      <c r="G1388" s="109">
        <f t="shared" ca="1" si="1722"/>
        <v>-2555759.9999999995</v>
      </c>
      <c r="H1388" s="109">
        <f t="shared" ca="1" si="1722"/>
        <v>-2419853.3087499999</v>
      </c>
      <c r="I1388" s="109">
        <f t="shared" ca="1" si="1722"/>
        <v>-1876226.543749999</v>
      </c>
      <c r="J1388" s="109">
        <f t="shared" ca="1" si="1722"/>
        <v>-1196693.0875000004</v>
      </c>
      <c r="K1388" s="109">
        <f t="shared" ca="1" si="1722"/>
        <v>162373.82500000065</v>
      </c>
      <c r="L1388" s="109">
        <f t="shared" ca="1" si="1722"/>
        <v>1521440.7375</v>
      </c>
      <c r="M1388" s="109">
        <f t="shared" ca="1" si="1722"/>
        <v>2880507.649999999</v>
      </c>
      <c r="N1388" s="109">
        <f t="shared" ref="N1388" ca="1" si="1723">N1387-N1309</f>
        <v>4919108.0187500007</v>
      </c>
      <c r="O1388" s="109">
        <f t="shared" ref="O1388:Q1388" ca="1" si="1724">O1387-O1309</f>
        <v>7637241.84375</v>
      </c>
      <c r="P1388" s="109">
        <f t="shared" ref="P1388:Q1388" ca="1" si="1725">P1387-P1309</f>
        <v>9675842.2125000004</v>
      </c>
      <c r="Q1388" s="109">
        <f t="shared" ca="1" si="1725"/>
        <v>11034909.125</v>
      </c>
      <c r="R1388" s="297"/>
      <c r="S1388" s="54">
        <f ca="1">SUM(F1388:Q1388)</f>
        <v>26816730.472500004</v>
      </c>
    </row>
    <row r="1389" spans="1:19" outlineLevel="2" x14ac:dyDescent="0.2">
      <c r="A1389" s="23" t="str">
        <f ca="1">Language!A889</f>
        <v>Посленалоговая операционная прибыль (NOPLAT)</v>
      </c>
      <c r="B1389" s="180"/>
      <c r="C1389" s="293" t="str">
        <f ca="1">CUR_Report</f>
        <v>руб.</v>
      </c>
      <c r="D1389" s="180"/>
      <c r="E1389" s="180"/>
      <c r="F1389" s="109">
        <f t="shared" ref="F1389:M1389" ca="1" si="1726">F1317-F1323</f>
        <v>-3007443.6844783714</v>
      </c>
      <c r="G1389" s="109">
        <f t="shared" ca="1" si="1726"/>
        <v>-2649952.9535589092</v>
      </c>
      <c r="H1389" s="109">
        <f t="shared" ca="1" si="1726"/>
        <v>-2565732.0292993961</v>
      </c>
      <c r="I1389" s="109">
        <f t="shared" ca="1" si="1726"/>
        <v>-2088794.3376510653</v>
      </c>
      <c r="J1389" s="109">
        <f t="shared" ca="1" si="1726"/>
        <v>-1473070.8539035721</v>
      </c>
      <c r="K1389" s="109">
        <f t="shared" ca="1" si="1726"/>
        <v>-198551.35345276265</v>
      </c>
      <c r="L1389" s="109">
        <f t="shared" ca="1" si="1726"/>
        <v>1096547.547974088</v>
      </c>
      <c r="M1389" s="109">
        <f t="shared" ca="1" si="1726"/>
        <v>2416169.2904287502</v>
      </c>
      <c r="N1389" s="109">
        <f t="shared" ref="N1389" ca="1" si="1727">N1317-N1323</f>
        <v>4408306.0298950961</v>
      </c>
      <c r="O1389" s="109">
        <f t="shared" ref="O1389:Q1389" ca="1" si="1728">O1317-O1323</f>
        <v>7025601.84375</v>
      </c>
      <c r="P1389" s="109">
        <f t="shared" ref="P1389:Q1389" ca="1" si="1729">P1317-P1323</f>
        <v>8941874.2125000004</v>
      </c>
      <c r="Q1389" s="109">
        <f t="shared" ca="1" si="1729"/>
        <v>10219389.125</v>
      </c>
      <c r="R1389" s="297"/>
      <c r="S1389" s="54">
        <f ca="1">SUM(F1389:Q1389)</f>
        <v>22124342.837203857</v>
      </c>
    </row>
    <row r="1390" spans="1:19" outlineLevel="1" x14ac:dyDescent="0.2">
      <c r="B1390" s="135"/>
      <c r="C1390" s="5"/>
      <c r="F1390" s="53"/>
      <c r="G1390" s="53"/>
      <c r="H1390" s="53"/>
      <c r="I1390" s="53"/>
      <c r="J1390" s="53"/>
      <c r="K1390" s="53"/>
      <c r="L1390" s="53"/>
      <c r="M1390" s="53"/>
      <c r="N1390" s="53"/>
      <c r="O1390" s="53"/>
      <c r="P1390" s="53"/>
      <c r="Q1390" s="53"/>
      <c r="R1390" s="43"/>
      <c r="S1390" s="54"/>
    </row>
    <row r="1391" spans="1:19" outlineLevel="1" x14ac:dyDescent="0.2">
      <c r="A1391" s="23" t="str">
        <f ca="1">Language!A738</f>
        <v>Нераспределенная прибыль (за период)</v>
      </c>
      <c r="C1391" s="5" t="str">
        <f ca="1">CUR_Report</f>
        <v>руб.</v>
      </c>
      <c r="F1391" s="109">
        <f t="shared" ref="F1391:M1391" ca="1" si="1730">F1324-F1385</f>
        <v>-3007443.6844783714</v>
      </c>
      <c r="G1391" s="109">
        <f t="shared" ca="1" si="1730"/>
        <v>-2649952.9535589088</v>
      </c>
      <c r="H1391" s="109">
        <f t="shared" ca="1" si="1730"/>
        <v>-2565732.0292993961</v>
      </c>
      <c r="I1391" s="109">
        <f t="shared" ca="1" si="1730"/>
        <v>-2088794.3376510644</v>
      </c>
      <c r="J1391" s="109">
        <f t="shared" ca="1" si="1730"/>
        <v>-1473070.8539035725</v>
      </c>
      <c r="K1391" s="109">
        <f t="shared" ca="1" si="1730"/>
        <v>-198551.35345276195</v>
      </c>
      <c r="L1391" s="109">
        <f t="shared" ca="1" si="1730"/>
        <v>1096547.547974088</v>
      </c>
      <c r="M1391" s="109">
        <f t="shared" ca="1" si="1730"/>
        <v>2416169.2904287493</v>
      </c>
      <c r="N1391" s="109">
        <f t="shared" ref="N1391" ca="1" si="1731">N1324-N1385</f>
        <v>4408306.029895097</v>
      </c>
      <c r="O1391" s="109">
        <f t="shared" ref="O1391:Q1391" ca="1" si="1732">O1324-O1385</f>
        <v>7025601.84375</v>
      </c>
      <c r="P1391" s="109">
        <f t="shared" ref="P1391:Q1391" ca="1" si="1733">P1324-P1385</f>
        <v>8941874.2125000004</v>
      </c>
      <c r="Q1391" s="109">
        <f t="shared" ca="1" si="1733"/>
        <v>10219389.125</v>
      </c>
      <c r="R1391" s="109"/>
      <c r="S1391" s="54">
        <f ca="1">SUM(F1391:Q1391)</f>
        <v>22124342.83720386</v>
      </c>
    </row>
    <row r="1392" spans="1:19" s="4" customFormat="1" ht="16" customHeight="1" x14ac:dyDescent="0.2">
      <c r="A1392" s="23" t="str">
        <f ca="1">Language!A739</f>
        <v>Нераспределенная прибыль (на начало периода, нарастающим итогом)</v>
      </c>
      <c r="B1392"/>
      <c r="C1392" s="5" t="str">
        <f ca="1">CUR_Report</f>
        <v>руб.</v>
      </c>
      <c r="D1392" s="16" t="s">
        <v>2154</v>
      </c>
      <c r="E1392"/>
      <c r="F1392" s="247">
        <f>E1393+F1318</f>
        <v>0</v>
      </c>
      <c r="G1392" s="248">
        <f t="shared" ref="G1392:Q1392" ca="1" si="1734">F1393*IF(CUR_I_Report=2,F$88/G$88,1)+G1318</f>
        <v>-3007443.6844783714</v>
      </c>
      <c r="H1392" s="248">
        <f t="shared" ca="1" si="1734"/>
        <v>-5657396.6380372802</v>
      </c>
      <c r="I1392" s="248">
        <f t="shared" ca="1" si="1734"/>
        <v>-8223128.6673366763</v>
      </c>
      <c r="J1392" s="248">
        <f t="shared" ca="1" si="1734"/>
        <v>-10311923.004987741</v>
      </c>
      <c r="K1392" s="248">
        <f t="shared" ca="1" si="1734"/>
        <v>-11784993.858891314</v>
      </c>
      <c r="L1392" s="248">
        <f t="shared" ca="1" si="1734"/>
        <v>-11983545.212344076</v>
      </c>
      <c r="M1392" s="248">
        <f t="shared" ca="1" si="1734"/>
        <v>-10886997.664369989</v>
      </c>
      <c r="N1392" s="248">
        <f t="shared" ca="1" si="1734"/>
        <v>-8470828.373941239</v>
      </c>
      <c r="O1392" s="248">
        <f t="shared" ca="1" si="1734"/>
        <v>-4062522.344046142</v>
      </c>
      <c r="P1392" s="248">
        <f t="shared" ca="1" si="1734"/>
        <v>2963079.499703858</v>
      </c>
      <c r="Q1392" s="248">
        <f t="shared" ca="1" si="1734"/>
        <v>11904953.712203858</v>
      </c>
      <c r="R1392" s="247"/>
      <c r="S1392" s="203"/>
    </row>
    <row r="1393" spans="1:19" outlineLevel="1" x14ac:dyDescent="0.2">
      <c r="A1393" s="23" t="str">
        <f ca="1">Language!A740</f>
        <v>Нераспределенная прибыль (на конец периода, нарастающим итогом)</v>
      </c>
      <c r="C1393" s="5" t="str">
        <f ca="1">CUR_Report</f>
        <v>руб.</v>
      </c>
      <c r="D1393" s="16" t="s">
        <v>384</v>
      </c>
      <c r="E1393">
        <f>F62*IF(B37=1,1,F$88)/IF(CUR_I_Report=2,F$88,1)</f>
        <v>0</v>
      </c>
      <c r="F1393" s="249">
        <f ca="1">E1393+F1391</f>
        <v>-3007443.6844783714</v>
      </c>
      <c r="G1393" s="250">
        <f t="shared" ref="G1393:Q1393" ca="1" si="1735">F1393*IF(CUR_I_Report=2,F$88/G$88,1)+G1391</f>
        <v>-5657396.6380372802</v>
      </c>
      <c r="H1393" s="250">
        <f t="shared" ca="1" si="1735"/>
        <v>-8223128.6673366763</v>
      </c>
      <c r="I1393" s="250">
        <f t="shared" ca="1" si="1735"/>
        <v>-10311923.004987741</v>
      </c>
      <c r="J1393" s="250">
        <f t="shared" ca="1" si="1735"/>
        <v>-11784993.858891314</v>
      </c>
      <c r="K1393" s="250">
        <f t="shared" ca="1" si="1735"/>
        <v>-11983545.212344076</v>
      </c>
      <c r="L1393" s="250">
        <f t="shared" ca="1" si="1735"/>
        <v>-10886997.664369989</v>
      </c>
      <c r="M1393" s="250">
        <f t="shared" ca="1" si="1735"/>
        <v>-8470828.373941239</v>
      </c>
      <c r="N1393" s="250">
        <f t="shared" ca="1" si="1735"/>
        <v>-4062522.344046142</v>
      </c>
      <c r="O1393" s="250">
        <f t="shared" ca="1" si="1735"/>
        <v>2963079.499703858</v>
      </c>
      <c r="P1393" s="250">
        <f t="shared" ca="1" si="1735"/>
        <v>11904953.712203858</v>
      </c>
      <c r="Q1393" s="250">
        <f t="shared" ca="1" si="1735"/>
        <v>22124342.83720386</v>
      </c>
      <c r="R1393" s="249"/>
      <c r="S1393" s="238"/>
    </row>
    <row r="1394" spans="1:19" outlineLevel="1" collapsed="1" x14ac:dyDescent="0.2">
      <c r="A1394" s="63"/>
      <c r="B1394" s="63"/>
      <c r="C1394" s="63"/>
      <c r="D1394" s="63"/>
      <c r="E1394" s="63"/>
      <c r="F1394" s="63"/>
      <c r="G1394" s="63"/>
      <c r="H1394" s="63"/>
      <c r="I1394" s="63"/>
      <c r="J1394" s="63"/>
      <c r="K1394" s="63"/>
      <c r="L1394" s="63"/>
      <c r="M1394" s="63"/>
      <c r="N1394" s="63"/>
      <c r="O1394" s="63"/>
      <c r="P1394" s="63"/>
      <c r="Q1394" s="63"/>
      <c r="R1394" s="63"/>
      <c r="S1394" s="64"/>
    </row>
    <row r="1395" spans="1:19" hidden="1" outlineLevel="2" x14ac:dyDescent="0.2">
      <c r="A1395" s="22" t="str">
        <f ca="1">Language!A$1009 &amp; ", " &amp; Проект!CUR_Report</f>
        <v>График: EBITDA, руб.</v>
      </c>
      <c r="B1395" s="19"/>
      <c r="C1395" s="19"/>
      <c r="D1395" s="19"/>
      <c r="E1395" s="19"/>
      <c r="F1395" s="19"/>
      <c r="G1395" s="19"/>
      <c r="H1395" s="19"/>
      <c r="I1395" s="19"/>
      <c r="J1395" s="19"/>
      <c r="K1395" s="19"/>
      <c r="L1395" s="19"/>
      <c r="M1395" s="19"/>
      <c r="N1395" s="19"/>
      <c r="O1395" s="19"/>
      <c r="P1395" s="19"/>
      <c r="Q1395" s="19"/>
      <c r="R1395" s="19"/>
      <c r="S1395" s="22"/>
    </row>
    <row r="1396" spans="1:19" outlineLevel="1" collapsed="1" x14ac:dyDescent="0.2">
      <c r="A1396" s="19"/>
      <c r="B1396" s="19"/>
      <c r="C1396" s="19"/>
      <c r="D1396" s="19"/>
      <c r="E1396" s="19"/>
      <c r="F1396" s="19"/>
      <c r="G1396" s="19"/>
      <c r="H1396" s="19"/>
      <c r="I1396" s="19"/>
      <c r="J1396" s="19"/>
      <c r="K1396" s="19"/>
      <c r="L1396" s="19"/>
      <c r="M1396" s="19"/>
      <c r="N1396" s="19"/>
      <c r="O1396" s="19"/>
      <c r="P1396" s="19"/>
      <c r="Q1396" s="19"/>
      <c r="R1396" s="19"/>
      <c r="S1396" s="22"/>
    </row>
    <row r="1397" spans="1:19" hidden="1" outlineLevel="2" x14ac:dyDescent="0.2">
      <c r="A1397" s="19"/>
      <c r="B1397" s="19"/>
      <c r="C1397" s="19"/>
      <c r="D1397" s="19"/>
      <c r="E1397" s="19"/>
      <c r="F1397" s="19"/>
      <c r="G1397" s="19"/>
      <c r="H1397" s="19"/>
      <c r="I1397" s="19"/>
      <c r="J1397" s="19"/>
      <c r="K1397" s="19"/>
      <c r="L1397" s="19"/>
      <c r="M1397" s="19"/>
      <c r="N1397" s="19"/>
      <c r="O1397" s="19"/>
      <c r="P1397" s="19"/>
      <c r="Q1397" s="19"/>
      <c r="R1397" s="19"/>
      <c r="S1397" s="22"/>
    </row>
    <row r="1398" spans="1:19" outlineLevel="1" x14ac:dyDescent="0.2">
      <c r="A1398" s="19"/>
      <c r="B1398" s="19"/>
      <c r="C1398" s="19"/>
      <c r="D1398" s="19"/>
      <c r="E1398" s="19"/>
      <c r="F1398" s="19"/>
      <c r="G1398" s="19"/>
      <c r="H1398" s="19"/>
      <c r="I1398" s="19"/>
      <c r="J1398" s="19"/>
      <c r="K1398" s="19"/>
      <c r="L1398" s="19"/>
      <c r="M1398" s="19"/>
      <c r="N1398" s="19"/>
      <c r="O1398" s="19"/>
      <c r="P1398" s="19"/>
      <c r="Q1398" s="19"/>
      <c r="R1398" s="19"/>
      <c r="S1398" s="22"/>
    </row>
    <row r="1399" spans="1:19" outlineLevel="1" x14ac:dyDescent="0.2">
      <c r="A1399" s="19"/>
      <c r="B1399" s="19"/>
      <c r="C1399" s="19"/>
      <c r="D1399" s="19"/>
      <c r="E1399" s="19"/>
      <c r="F1399" s="19"/>
      <c r="G1399" s="19"/>
      <c r="H1399" s="19"/>
      <c r="I1399" s="19"/>
      <c r="J1399" s="19"/>
      <c r="K1399" s="19"/>
      <c r="L1399" s="19"/>
      <c r="M1399" s="19"/>
      <c r="N1399" s="19"/>
      <c r="O1399" s="19"/>
      <c r="P1399" s="19"/>
      <c r="Q1399" s="19"/>
      <c r="R1399" s="19"/>
      <c r="S1399" s="22"/>
    </row>
    <row r="1400" spans="1:19" outlineLevel="1" x14ac:dyDescent="0.2">
      <c r="A1400" s="19"/>
      <c r="B1400" s="19"/>
      <c r="C1400" s="19"/>
      <c r="D1400" s="19"/>
      <c r="E1400" s="19"/>
      <c r="F1400" s="19"/>
      <c r="G1400" s="19"/>
      <c r="H1400" s="19"/>
      <c r="I1400" s="19"/>
      <c r="J1400" s="19"/>
      <c r="K1400" s="19"/>
      <c r="L1400" s="19"/>
      <c r="M1400" s="19"/>
      <c r="N1400" s="19"/>
      <c r="O1400" s="19"/>
      <c r="P1400" s="19"/>
      <c r="Q1400" s="19"/>
      <c r="R1400" s="19"/>
      <c r="S1400" s="22"/>
    </row>
    <row r="1401" spans="1:19" outlineLevel="1" x14ac:dyDescent="0.2">
      <c r="A1401" s="19"/>
      <c r="B1401" s="19"/>
      <c r="C1401" s="19"/>
      <c r="D1401" s="19"/>
      <c r="E1401" s="19"/>
      <c r="F1401" s="19"/>
      <c r="G1401" s="19"/>
      <c r="H1401" s="19"/>
      <c r="I1401" s="19"/>
      <c r="J1401" s="19"/>
      <c r="K1401" s="19"/>
      <c r="L1401" s="19"/>
      <c r="M1401" s="19"/>
      <c r="N1401" s="19"/>
      <c r="O1401" s="19"/>
      <c r="P1401" s="19"/>
      <c r="Q1401" s="19"/>
      <c r="R1401" s="19"/>
      <c r="S1401" s="22"/>
    </row>
    <row r="1402" spans="1:19" outlineLevel="1" x14ac:dyDescent="0.2">
      <c r="A1402" s="19"/>
      <c r="B1402" s="19"/>
      <c r="C1402" s="19"/>
      <c r="D1402" s="19"/>
      <c r="E1402" s="19"/>
      <c r="F1402" s="19"/>
      <c r="G1402" s="19"/>
      <c r="H1402" s="19"/>
      <c r="I1402" s="19"/>
      <c r="J1402" s="19"/>
      <c r="K1402" s="19"/>
      <c r="L1402" s="19"/>
      <c r="M1402" s="19"/>
      <c r="N1402" s="19"/>
      <c r="O1402" s="19"/>
      <c r="P1402" s="19"/>
      <c r="Q1402" s="19"/>
      <c r="R1402" s="19"/>
      <c r="S1402" s="22"/>
    </row>
    <row r="1403" spans="1:19" outlineLevel="1" x14ac:dyDescent="0.2">
      <c r="A1403" s="19"/>
      <c r="B1403" s="19"/>
      <c r="C1403" s="19"/>
      <c r="D1403" s="19"/>
      <c r="E1403" s="19"/>
      <c r="F1403" s="19"/>
      <c r="G1403" s="19"/>
      <c r="H1403" s="19"/>
      <c r="I1403" s="19"/>
      <c r="J1403" s="19"/>
      <c r="K1403" s="19"/>
      <c r="L1403" s="19"/>
      <c r="M1403" s="19"/>
      <c r="N1403" s="19"/>
      <c r="O1403" s="19"/>
      <c r="P1403" s="19"/>
      <c r="Q1403" s="19"/>
      <c r="R1403" s="19"/>
      <c r="S1403" s="22"/>
    </row>
    <row r="1404" spans="1:19" outlineLevel="1" collapsed="1" x14ac:dyDescent="0.2">
      <c r="A1404" s="19"/>
      <c r="B1404" s="19"/>
      <c r="C1404" s="19"/>
      <c r="D1404" s="19"/>
      <c r="E1404" s="19"/>
      <c r="F1404" s="19"/>
      <c r="G1404" s="19"/>
      <c r="H1404" s="19"/>
      <c r="I1404" s="19"/>
      <c r="J1404" s="19"/>
      <c r="K1404" s="19"/>
      <c r="L1404" s="19"/>
      <c r="M1404" s="19"/>
      <c r="N1404" s="19"/>
      <c r="O1404" s="19"/>
      <c r="P1404" s="19"/>
      <c r="Q1404" s="19"/>
      <c r="R1404" s="19"/>
      <c r="S1404" s="22"/>
    </row>
    <row r="1405" spans="1:19" hidden="1" outlineLevel="2" x14ac:dyDescent="0.2">
      <c r="A1405" s="19"/>
      <c r="B1405" s="19"/>
      <c r="C1405" s="19"/>
      <c r="D1405" s="19"/>
      <c r="E1405" s="19"/>
      <c r="F1405" s="19"/>
      <c r="G1405" s="19"/>
      <c r="H1405" s="19"/>
      <c r="I1405" s="19"/>
      <c r="J1405" s="19"/>
      <c r="K1405" s="19"/>
      <c r="L1405" s="19"/>
      <c r="M1405" s="19"/>
      <c r="N1405" s="19"/>
      <c r="O1405" s="19"/>
      <c r="P1405" s="19"/>
      <c r="Q1405" s="19"/>
      <c r="R1405" s="19"/>
      <c r="S1405" s="22"/>
    </row>
    <row r="1406" spans="1:19" hidden="1" outlineLevel="2" x14ac:dyDescent="0.2">
      <c r="A1406" s="19"/>
      <c r="B1406" s="19"/>
      <c r="C1406" s="19"/>
      <c r="D1406" s="19"/>
      <c r="E1406" s="19"/>
      <c r="F1406" s="19"/>
      <c r="G1406" s="19"/>
      <c r="H1406" s="19"/>
      <c r="I1406" s="19"/>
      <c r="J1406" s="19"/>
      <c r="K1406" s="19"/>
      <c r="L1406" s="19"/>
      <c r="M1406" s="19"/>
      <c r="N1406" s="19"/>
      <c r="O1406" s="19"/>
      <c r="P1406" s="19"/>
      <c r="Q1406" s="19"/>
      <c r="R1406" s="19"/>
      <c r="S1406" s="22"/>
    </row>
    <row r="1407" spans="1:19" hidden="1" outlineLevel="2" x14ac:dyDescent="0.2">
      <c r="A1407" s="19"/>
      <c r="B1407" s="19"/>
      <c r="C1407" s="19"/>
      <c r="D1407" s="19"/>
      <c r="E1407" s="19"/>
      <c r="F1407" s="19"/>
      <c r="G1407" s="19"/>
      <c r="H1407" s="19"/>
      <c r="I1407" s="19"/>
      <c r="J1407" s="19"/>
      <c r="K1407" s="19"/>
      <c r="L1407" s="19"/>
      <c r="M1407" s="19"/>
      <c r="N1407" s="19"/>
      <c r="O1407" s="19"/>
      <c r="P1407" s="19"/>
      <c r="Q1407" s="19"/>
      <c r="R1407" s="19"/>
      <c r="S1407" s="22"/>
    </row>
    <row r="1408" spans="1:19" hidden="1" outlineLevel="2" x14ac:dyDescent="0.2">
      <c r="A1408" s="19"/>
      <c r="B1408" s="19"/>
      <c r="C1408" s="19"/>
      <c r="D1408" s="19"/>
      <c r="E1408" s="19"/>
      <c r="F1408" s="19"/>
      <c r="G1408" s="19"/>
      <c r="H1408" s="19"/>
      <c r="I1408" s="19"/>
      <c r="J1408" s="19"/>
      <c r="K1408" s="19"/>
      <c r="L1408" s="19"/>
      <c r="M1408" s="19"/>
      <c r="N1408" s="19"/>
      <c r="O1408" s="19"/>
      <c r="P1408" s="19"/>
      <c r="Q1408" s="19"/>
      <c r="R1408" s="19"/>
      <c r="S1408" s="22"/>
    </row>
    <row r="1409" spans="1:19" outlineLevel="1" x14ac:dyDescent="0.2">
      <c r="A1409" s="19"/>
      <c r="B1409" s="19"/>
      <c r="C1409" s="19"/>
      <c r="D1409" s="19"/>
      <c r="E1409" s="19"/>
      <c r="F1409" s="19"/>
      <c r="G1409" s="19"/>
      <c r="H1409" s="19"/>
      <c r="I1409" s="19"/>
      <c r="J1409" s="19"/>
      <c r="K1409" s="19"/>
      <c r="L1409" s="19"/>
      <c r="M1409" s="19"/>
      <c r="N1409" s="19"/>
      <c r="O1409" s="19"/>
      <c r="P1409" s="19"/>
      <c r="Q1409" s="19"/>
      <c r="R1409" s="19"/>
      <c r="S1409" s="22"/>
    </row>
    <row r="1410" spans="1:19" outlineLevel="1" x14ac:dyDescent="0.2">
      <c r="A1410" s="19"/>
      <c r="B1410" s="19"/>
      <c r="C1410" s="19"/>
      <c r="D1410" s="19"/>
      <c r="E1410" s="19"/>
      <c r="F1410" s="19"/>
      <c r="G1410" s="19"/>
      <c r="H1410" s="19"/>
      <c r="I1410" s="19"/>
      <c r="J1410" s="19"/>
      <c r="K1410" s="19"/>
      <c r="L1410" s="19"/>
      <c r="M1410" s="19"/>
      <c r="N1410" s="19"/>
      <c r="O1410" s="19"/>
      <c r="P1410" s="19"/>
      <c r="Q1410" s="19"/>
      <c r="R1410" s="19"/>
      <c r="S1410" s="22"/>
    </row>
    <row r="1411" spans="1:19" outlineLevel="2" x14ac:dyDescent="0.2">
      <c r="A1411" s="19"/>
      <c r="B1411" s="19"/>
      <c r="C1411" s="19"/>
      <c r="D1411" s="19"/>
      <c r="E1411" s="19"/>
      <c r="F1411" s="19"/>
      <c r="G1411" s="19"/>
      <c r="H1411" s="19"/>
      <c r="I1411" s="19"/>
      <c r="J1411" s="19"/>
      <c r="K1411" s="19"/>
      <c r="L1411" s="19"/>
      <c r="M1411" s="19"/>
      <c r="N1411" s="19"/>
      <c r="O1411" s="19"/>
      <c r="P1411" s="19"/>
      <c r="Q1411" s="19"/>
      <c r="R1411" s="19"/>
      <c r="S1411" s="22"/>
    </row>
    <row r="1412" spans="1:19" outlineLevel="2" x14ac:dyDescent="0.2">
      <c r="A1412" s="19"/>
      <c r="B1412" s="19"/>
      <c r="C1412" s="19"/>
      <c r="D1412" s="19"/>
      <c r="E1412" s="19"/>
      <c r="F1412" s="19"/>
      <c r="G1412" s="19"/>
      <c r="H1412" s="19"/>
      <c r="I1412" s="19"/>
      <c r="J1412" s="19"/>
      <c r="K1412" s="19"/>
      <c r="L1412" s="19"/>
      <c r="M1412" s="19"/>
      <c r="N1412" s="19"/>
      <c r="O1412" s="19"/>
      <c r="P1412" s="19"/>
      <c r="Q1412" s="19"/>
      <c r="R1412" s="19"/>
      <c r="S1412" s="22"/>
    </row>
    <row r="1413" spans="1:19" outlineLevel="2" x14ac:dyDescent="0.2">
      <c r="A1413" s="19"/>
      <c r="B1413" s="19"/>
      <c r="C1413" s="19"/>
      <c r="D1413" s="19"/>
      <c r="E1413" s="19"/>
      <c r="F1413" s="19"/>
      <c r="G1413" s="19"/>
      <c r="H1413" s="19"/>
      <c r="I1413" s="19"/>
      <c r="J1413" s="19"/>
      <c r="K1413" s="19"/>
      <c r="L1413" s="19"/>
      <c r="M1413" s="19"/>
      <c r="N1413" s="19"/>
      <c r="O1413" s="19"/>
      <c r="P1413" s="19"/>
      <c r="Q1413" s="19"/>
      <c r="R1413" s="19"/>
      <c r="S1413" s="22"/>
    </row>
    <row r="1414" spans="1:19" outlineLevel="2" x14ac:dyDescent="0.2">
      <c r="A1414" s="19"/>
      <c r="B1414" s="19"/>
      <c r="C1414" s="19"/>
      <c r="D1414" s="19"/>
      <c r="E1414" s="19"/>
      <c r="F1414" s="19"/>
      <c r="G1414" s="19"/>
      <c r="H1414" s="19"/>
      <c r="I1414" s="19"/>
      <c r="J1414" s="19"/>
      <c r="K1414" s="19"/>
      <c r="L1414" s="19"/>
      <c r="M1414" s="19"/>
      <c r="N1414" s="19"/>
      <c r="O1414" s="19"/>
      <c r="P1414" s="19"/>
      <c r="Q1414" s="19"/>
      <c r="R1414" s="19"/>
      <c r="S1414" s="22"/>
    </row>
    <row r="1415" spans="1:19" outlineLevel="2" x14ac:dyDescent="0.2">
      <c r="A1415" s="19"/>
      <c r="B1415" s="19"/>
      <c r="C1415" s="19"/>
      <c r="D1415" s="19"/>
      <c r="E1415" s="19"/>
      <c r="F1415" s="19"/>
      <c r="G1415" s="19"/>
      <c r="H1415" s="19"/>
      <c r="I1415" s="19"/>
      <c r="J1415" s="19"/>
      <c r="K1415" s="19"/>
      <c r="L1415" s="19"/>
      <c r="M1415" s="19"/>
      <c r="N1415" s="19"/>
      <c r="O1415" s="19"/>
      <c r="P1415" s="19"/>
      <c r="Q1415" s="19"/>
      <c r="R1415" s="19"/>
      <c r="S1415" s="22"/>
    </row>
    <row r="1416" spans="1:19" outlineLevel="2" x14ac:dyDescent="0.2">
      <c r="A1416" s="19"/>
      <c r="B1416" s="19"/>
      <c r="C1416" s="19"/>
      <c r="D1416" s="19"/>
      <c r="E1416" s="19"/>
      <c r="F1416" s="19"/>
      <c r="G1416" s="19"/>
      <c r="H1416" s="19"/>
      <c r="I1416" s="19"/>
      <c r="J1416" s="19"/>
      <c r="K1416" s="19"/>
      <c r="L1416" s="19"/>
      <c r="M1416" s="19"/>
      <c r="N1416" s="19"/>
      <c r="O1416" s="19"/>
      <c r="P1416" s="19"/>
      <c r="Q1416" s="19"/>
      <c r="R1416" s="19"/>
      <c r="S1416" s="22"/>
    </row>
    <row r="1417" spans="1:19" outlineLevel="2" x14ac:dyDescent="0.2">
      <c r="A1417" s="19"/>
      <c r="B1417" s="19"/>
      <c r="C1417" s="19"/>
      <c r="D1417" s="19"/>
      <c r="E1417" s="19"/>
      <c r="F1417" s="19"/>
      <c r="G1417" s="19"/>
      <c r="H1417" s="19"/>
      <c r="I1417" s="19"/>
      <c r="J1417" s="19"/>
      <c r="K1417" s="19"/>
      <c r="L1417" s="19"/>
      <c r="M1417" s="19"/>
      <c r="N1417" s="19"/>
      <c r="O1417" s="19"/>
      <c r="P1417" s="19"/>
      <c r="Q1417" s="19"/>
      <c r="R1417" s="19"/>
      <c r="S1417" s="22"/>
    </row>
    <row r="1418" spans="1:19" outlineLevel="2" x14ac:dyDescent="0.2">
      <c r="A1418" s="19"/>
      <c r="B1418" s="19"/>
      <c r="C1418" s="19"/>
      <c r="D1418" s="19"/>
      <c r="E1418" s="19"/>
      <c r="F1418" s="19"/>
      <c r="G1418" s="19"/>
      <c r="H1418" s="19"/>
      <c r="I1418" s="19"/>
      <c r="J1418" s="19"/>
      <c r="K1418" s="19"/>
      <c r="L1418" s="19"/>
      <c r="M1418" s="19"/>
      <c r="N1418" s="19"/>
      <c r="O1418" s="19"/>
      <c r="P1418" s="19"/>
      <c r="Q1418" s="19"/>
      <c r="R1418" s="19"/>
      <c r="S1418" s="22"/>
    </row>
    <row r="1419" spans="1:19" outlineLevel="2" x14ac:dyDescent="0.2">
      <c r="A1419" s="19"/>
      <c r="B1419" s="19"/>
      <c r="C1419" s="19"/>
      <c r="D1419" s="19"/>
      <c r="E1419" s="19"/>
      <c r="F1419" s="19"/>
      <c r="G1419" s="19"/>
      <c r="H1419" s="19"/>
      <c r="I1419" s="19"/>
      <c r="J1419" s="19"/>
      <c r="K1419" s="19"/>
      <c r="L1419" s="19"/>
      <c r="M1419" s="19"/>
      <c r="N1419" s="19"/>
      <c r="O1419" s="19"/>
      <c r="P1419" s="19"/>
      <c r="Q1419" s="19"/>
      <c r="R1419" s="19"/>
      <c r="S1419" s="22"/>
    </row>
    <row r="1420" spans="1:19" outlineLevel="2" x14ac:dyDescent="0.2">
      <c r="A1420" s="19"/>
      <c r="B1420" s="19"/>
      <c r="C1420" s="19"/>
      <c r="D1420" s="19"/>
      <c r="E1420" s="19"/>
      <c r="F1420" s="19"/>
      <c r="G1420" s="19"/>
      <c r="H1420" s="19"/>
      <c r="I1420" s="19"/>
      <c r="J1420" s="19"/>
      <c r="K1420" s="19"/>
      <c r="L1420" s="19"/>
      <c r="M1420" s="19"/>
      <c r="N1420" s="19"/>
      <c r="O1420" s="19"/>
      <c r="P1420" s="19"/>
      <c r="Q1420" s="19"/>
      <c r="R1420" s="19"/>
      <c r="S1420" s="22"/>
    </row>
    <row r="1421" spans="1:19" ht="10.5" outlineLevel="2" thickBot="1" x14ac:dyDescent="0.25">
      <c r="A1421" s="166" t="str">
        <f ca="1">Language!A741</f>
        <v xml:space="preserve">         ОТЧЕТ О ДВИЖЕНИИ ДЕНЕЖНЫХ СРЕДСТВ</v>
      </c>
      <c r="B1421" s="166"/>
      <c r="C1421" s="166"/>
      <c r="D1421" s="166"/>
      <c r="E1421" s="166"/>
      <c r="F1421" s="178" t="str">
        <f t="shared" ref="F1421:Q1421" si="1736">PeriodTitle</f>
        <v>4/ 2024</v>
      </c>
      <c r="G1421" s="178" t="str">
        <f t="shared" si="1736"/>
        <v>5/ 2024</v>
      </c>
      <c r="H1421" s="178" t="str">
        <f t="shared" si="1736"/>
        <v>6/ 2024</v>
      </c>
      <c r="I1421" s="178" t="str">
        <f t="shared" si="1736"/>
        <v>7/ 2024</v>
      </c>
      <c r="J1421" s="178" t="str">
        <f t="shared" si="1736"/>
        <v>8/ 2024</v>
      </c>
      <c r="K1421" s="178" t="str">
        <f t="shared" si="1736"/>
        <v>9/ 2024</v>
      </c>
      <c r="L1421" s="178" t="str">
        <f t="shared" si="1736"/>
        <v>10/ 2024</v>
      </c>
      <c r="M1421" s="178" t="str">
        <f t="shared" si="1736"/>
        <v>11/ 2024</v>
      </c>
      <c r="N1421" s="178" t="str">
        <f t="shared" si="1736"/>
        <v>12/ 2024</v>
      </c>
      <c r="O1421" s="178" t="str">
        <f t="shared" si="1736"/>
        <v>1/ 2025</v>
      </c>
      <c r="P1421" s="178" t="str">
        <f t="shared" si="1736"/>
        <v>2/ 2025</v>
      </c>
      <c r="Q1421" s="178" t="str">
        <f t="shared" si="1736"/>
        <v>3/ 2025</v>
      </c>
      <c r="R1421" s="166"/>
      <c r="S1421" s="195" t="str">
        <f ca="1">Language!A371</f>
        <v>ИТОГО</v>
      </c>
    </row>
    <row r="1422" spans="1:19" ht="10.5" outlineLevel="2" thickTop="1" x14ac:dyDescent="0.2"/>
    <row r="1423" spans="1:19" outlineLevel="2" x14ac:dyDescent="0.2">
      <c r="A1423" t="str">
        <f ca="1">Language!A$742</f>
        <v>Поступления от продаж</v>
      </c>
      <c r="C1423" s="5" t="str">
        <f t="shared" ref="C1423:C1431" ca="1" si="1737">CUR_Report</f>
        <v>руб.</v>
      </c>
      <c r="F1423" s="53">
        <f>(F646+F647)/IF(CUR_I_Report=2,F$88,1)</f>
        <v>0</v>
      </c>
      <c r="G1423" s="53">
        <f>(G646+G647)/IF(CUR_I_Report=2,G$88,1)</f>
        <v>0</v>
      </c>
      <c r="H1423" s="53">
        <f>(H646+H647)/IF(CUR_I_Report=2,H$88,1)</f>
        <v>135920</v>
      </c>
      <c r="I1423" s="53">
        <f>(I646+I647)/IF(CUR_I_Report=2,I$88,1)</f>
        <v>679600</v>
      </c>
      <c r="J1423" s="53">
        <f>(J646+J647)/IF(CUR_I_Report=2,J$88,1)</f>
        <v>1359200</v>
      </c>
      <c r="K1423" s="53">
        <f>(K646+K647)/IF(CUR_I_Report=2,K$88,1)</f>
        <v>2718400</v>
      </c>
      <c r="L1423" s="53">
        <f>(L646+L647)/IF(CUR_I_Report=2,L$88,1)</f>
        <v>4077600</v>
      </c>
      <c r="M1423" s="53">
        <f>(M646+M647)/IF(CUR_I_Report=2,M$88,1)</f>
        <v>5436800</v>
      </c>
      <c r="N1423" s="53">
        <f>(N646+N647)/IF(CUR_I_Report=2,N$88,1)</f>
        <v>7475600</v>
      </c>
      <c r="O1423" s="53">
        <f>(O646+O647)/IF(CUR_I_Report=2,O$88,1)</f>
        <v>10194000</v>
      </c>
      <c r="P1423" s="53">
        <f>(P646+P647)/IF(CUR_I_Report=2,P$88,1)</f>
        <v>12232800</v>
      </c>
      <c r="Q1423" s="53">
        <f>(Q646+Q647)/IF(CUR_I_Report=2,Q$88,1)</f>
        <v>13592000</v>
      </c>
      <c r="S1423" s="54">
        <f t="shared" ref="S1423:S1431" si="1738">SUM(F1423:Q1423)</f>
        <v>57901920</v>
      </c>
    </row>
    <row r="1424" spans="1:19" outlineLevel="2" x14ac:dyDescent="0.2">
      <c r="A1424" t="str">
        <f ca="1">Language!A$743</f>
        <v>Затраты на материалы и комплектующие</v>
      </c>
      <c r="C1424" s="5" t="str">
        <f t="shared" ca="1" si="1737"/>
        <v>руб.</v>
      </c>
      <c r="F1424" s="53">
        <f>-(F844+F845)/IF(CUR_I_Report=2,F$88,1)</f>
        <v>0</v>
      </c>
      <c r="G1424" s="53">
        <f>-(G844+G845)/IF(CUR_I_Report=2,G$88,1)</f>
        <v>0</v>
      </c>
      <c r="H1424" s="53">
        <f>-(H844+H845)/IF(CUR_I_Report=2,H$88,1)</f>
        <v>-13.30875</v>
      </c>
      <c r="I1424" s="53">
        <f>-(I844+I845)/IF(CUR_I_Report=2,I$88,1)</f>
        <v>-66.543750000000003</v>
      </c>
      <c r="J1424" s="53">
        <f>-(J844+J845)/IF(CUR_I_Report=2,J$88,1)</f>
        <v>-133.08750000000001</v>
      </c>
      <c r="K1424" s="53">
        <f>-(K844+K845)/IF(CUR_I_Report=2,K$88,1)</f>
        <v>-266.17500000000001</v>
      </c>
      <c r="L1424" s="53">
        <f>-(L844+L845)/IF(CUR_I_Report=2,L$88,1)</f>
        <v>-399.26249999999999</v>
      </c>
      <c r="M1424" s="53">
        <f>-(M844+M845)/IF(CUR_I_Report=2,M$88,1)</f>
        <v>-532.35</v>
      </c>
      <c r="N1424" s="53">
        <f>-(N844+N845)/IF(CUR_I_Report=2,N$88,1)</f>
        <v>-731.98125000000005</v>
      </c>
      <c r="O1424" s="53">
        <f>-(O844+O845)/IF(CUR_I_Report=2,O$88,1)</f>
        <v>-998.15625</v>
      </c>
      <c r="P1424" s="53">
        <f>-(P844+P845)/IF(CUR_I_Report=2,P$88,1)</f>
        <v>-1197.7875000000001</v>
      </c>
      <c r="Q1424" s="53">
        <f>-(Q844+Q845)/IF(CUR_I_Report=2,Q$88,1)</f>
        <v>-1330.8750000000002</v>
      </c>
      <c r="S1424" s="54">
        <f t="shared" si="1738"/>
        <v>-5669.5275000000001</v>
      </c>
    </row>
    <row r="1425" spans="1:19" outlineLevel="2" x14ac:dyDescent="0.2">
      <c r="A1425" t="str">
        <f ca="1">Language!A$599</f>
        <v>Прочие переменные затраты</v>
      </c>
      <c r="C1425" s="5" t="str">
        <f t="shared" ca="1" si="1737"/>
        <v>руб.</v>
      </c>
      <c r="F1425" s="53">
        <f>-(F934+F935)/IF(CUR_I_Report=2,F$88,1)</f>
        <v>0</v>
      </c>
      <c r="G1425" s="53">
        <f>-(G934+G935)/IF(CUR_I_Report=2,G$88,1)</f>
        <v>0</v>
      </c>
      <c r="H1425" s="53">
        <f>-(H934+H935)/IF(CUR_I_Report=2,H$88,1)</f>
        <v>0</v>
      </c>
      <c r="I1425" s="53">
        <f>-(I934+I935)/IF(CUR_I_Report=2,I$88,1)</f>
        <v>0</v>
      </c>
      <c r="J1425" s="53">
        <f>-(J934+J935)/IF(CUR_I_Report=2,J$88,1)</f>
        <v>0</v>
      </c>
      <c r="K1425" s="53">
        <f>-(K934+K935)/IF(CUR_I_Report=2,K$88,1)</f>
        <v>0</v>
      </c>
      <c r="L1425" s="53">
        <f>-(L934+L935)/IF(CUR_I_Report=2,L$88,1)</f>
        <v>0</v>
      </c>
      <c r="M1425" s="53">
        <f>-(M934+M935)/IF(CUR_I_Report=2,M$88,1)</f>
        <v>0</v>
      </c>
      <c r="N1425" s="53">
        <f>-(N934+N935)/IF(CUR_I_Report=2,N$88,1)</f>
        <v>0</v>
      </c>
      <c r="O1425" s="53">
        <f>-(O934+O935)/IF(CUR_I_Report=2,O$88,1)</f>
        <v>0</v>
      </c>
      <c r="P1425" s="53">
        <f>-(P934+P935)/IF(CUR_I_Report=2,P$88,1)</f>
        <v>0</v>
      </c>
      <c r="Q1425" s="53">
        <f>-(Q934+Q935)/IF(CUR_I_Report=2,Q$88,1)</f>
        <v>0</v>
      </c>
      <c r="S1425" s="54">
        <f t="shared" si="1738"/>
        <v>0</v>
      </c>
    </row>
    <row r="1426" spans="1:19" outlineLevel="2" x14ac:dyDescent="0.2">
      <c r="A1426" t="str">
        <f ca="1">Language!A$744</f>
        <v>Зарплата</v>
      </c>
      <c r="C1426" s="5" t="str">
        <f t="shared" ca="1" si="1737"/>
        <v>руб.</v>
      </c>
      <c r="F1426" s="53">
        <f>-F1011/IF(CUR_I_Report=2,F$88,1)</f>
        <v>-944000</v>
      </c>
      <c r="G1426" s="53">
        <f>-G1011/IF(CUR_I_Report=2,G$88,1)</f>
        <v>-584000</v>
      </c>
      <c r="H1426" s="53">
        <f>-H1011/IF(CUR_I_Report=2,H$88,1)</f>
        <v>-584000</v>
      </c>
      <c r="I1426" s="53">
        <f>-I1011/IF(CUR_I_Report=2,I$88,1)</f>
        <v>-584000</v>
      </c>
      <c r="J1426" s="53">
        <f>-J1011/IF(CUR_I_Report=2,J$88,1)</f>
        <v>-584000</v>
      </c>
      <c r="K1426" s="53">
        <f>-K1011/IF(CUR_I_Report=2,K$88,1)</f>
        <v>-584000</v>
      </c>
      <c r="L1426" s="53">
        <f>-L1011/IF(CUR_I_Report=2,L$88,1)</f>
        <v>-584000</v>
      </c>
      <c r="M1426" s="53">
        <f>-M1011/IF(CUR_I_Report=2,M$88,1)</f>
        <v>-584000</v>
      </c>
      <c r="N1426" s="53">
        <f>-N1011/IF(CUR_I_Report=2,N$88,1)</f>
        <v>-584000</v>
      </c>
      <c r="O1426" s="53">
        <f>-O1011/IF(CUR_I_Report=2,O$88,1)</f>
        <v>-584000</v>
      </c>
      <c r="P1426" s="53">
        <f>-P1011/IF(CUR_I_Report=2,P$88,1)</f>
        <v>-584000</v>
      </c>
      <c r="Q1426" s="53">
        <f>-Q1011/IF(CUR_I_Report=2,Q$88,1)</f>
        <v>-584000</v>
      </c>
      <c r="S1426" s="54">
        <f t="shared" si="1738"/>
        <v>-7368000</v>
      </c>
    </row>
    <row r="1427" spans="1:19" outlineLevel="2" x14ac:dyDescent="0.2">
      <c r="A1427" t="str">
        <f ca="1">Language!A$745</f>
        <v>Общие затраты</v>
      </c>
      <c r="C1427" s="5" t="str">
        <f t="shared" ca="1" si="1737"/>
        <v>руб.</v>
      </c>
      <c r="F1427" s="53">
        <f>-(F1102+F1105+F1108)/IF(CUR_I_Report=2,F$88,1)</f>
        <v>-1890000</v>
      </c>
      <c r="G1427" s="53">
        <f>-(G1102+G1105+G1108)/IF(CUR_I_Report=2,G$88,1)</f>
        <v>-1890000</v>
      </c>
      <c r="H1427" s="53">
        <f>-(H1102+H1105+H1108)/IF(CUR_I_Report=2,H$88,1)</f>
        <v>-1890000</v>
      </c>
      <c r="I1427" s="53">
        <f>-(I1102+I1105+I1108)/IF(CUR_I_Report=2,I$88,1)</f>
        <v>-1890000</v>
      </c>
      <c r="J1427" s="53">
        <f>-(J1102+J1105+J1108)/IF(CUR_I_Report=2,J$88,1)</f>
        <v>-1890000</v>
      </c>
      <c r="K1427" s="53">
        <f>-(K1102+K1105+K1108)/IF(CUR_I_Report=2,K$88,1)</f>
        <v>-1890000</v>
      </c>
      <c r="L1427" s="53">
        <f>-(L1102+L1105+L1108)/IF(CUR_I_Report=2,L$88,1)</f>
        <v>-1890000</v>
      </c>
      <c r="M1427" s="53">
        <f>-(M1102+M1105+M1108)/IF(CUR_I_Report=2,M$88,1)</f>
        <v>-1890000</v>
      </c>
      <c r="N1427" s="53">
        <f>-(N1102+N1105+N1108)/IF(CUR_I_Report=2,N$88,1)</f>
        <v>-1890000</v>
      </c>
      <c r="O1427" s="53">
        <f>-(O1102+O1105+O1108)/IF(CUR_I_Report=2,O$88,1)</f>
        <v>-1890000</v>
      </c>
      <c r="P1427" s="53">
        <f>-(P1102+P1105+P1108)/IF(CUR_I_Report=2,P$88,1)</f>
        <v>-1890000</v>
      </c>
      <c r="Q1427" s="53">
        <f>-(Q1102+Q1105+Q1108)/IF(CUR_I_Report=2,Q$88,1)</f>
        <v>-1890000</v>
      </c>
      <c r="S1427" s="54">
        <f t="shared" si="1738"/>
        <v>-22680000</v>
      </c>
    </row>
    <row r="1428" spans="1:19" outlineLevel="2" x14ac:dyDescent="0.2">
      <c r="A1428" t="str">
        <f ca="1">Language!A$746</f>
        <v>Налоги</v>
      </c>
      <c r="C1428" s="5" t="str">
        <f t="shared" ca="1" si="1737"/>
        <v>руб.</v>
      </c>
      <c r="F1428" s="53">
        <f ca="1">(-F228+F108)/IF(CUR_I_Report=2,F$88,1)</f>
        <v>-132160</v>
      </c>
      <c r="G1428" s="53">
        <f ca="1">(-G228+G108)/IF(CUR_I_Report=2,G$88,1)</f>
        <v>-81760.000000000015</v>
      </c>
      <c r="H1428" s="53">
        <f ca="1">(-H228+H108)/IF(CUR_I_Report=2,H$88,1)</f>
        <v>-89915.200000000012</v>
      </c>
      <c r="I1428" s="53">
        <f ca="1">(-I228+I108)/IF(CUR_I_Report=2,I$88,1)</f>
        <v>-122536.00000000001</v>
      </c>
      <c r="J1428" s="53">
        <f ca="1">(-J228+J108)/IF(CUR_I_Report=2,J$88,1)</f>
        <v>-163312</v>
      </c>
      <c r="K1428" s="53">
        <f ca="1">(-K228+K108)/IF(CUR_I_Report=2,K$88,1)</f>
        <v>-244864</v>
      </c>
      <c r="L1428" s="53">
        <f ca="1">(-L228+L108)/IF(CUR_I_Report=2,L$88,1)</f>
        <v>-326416</v>
      </c>
      <c r="M1428" s="53">
        <f ca="1">(-M228+M108)/IF(CUR_I_Report=2,M$88,1)</f>
        <v>-407968</v>
      </c>
      <c r="N1428" s="53">
        <f ca="1">(-N228+N108)/IF(CUR_I_Report=2,N$88,1)</f>
        <v>-530296</v>
      </c>
      <c r="O1428" s="53">
        <f ca="1">(-O228+O108)/IF(CUR_I_Report=2,O$88,1)</f>
        <v>-693400</v>
      </c>
      <c r="P1428" s="53">
        <f ca="1">(-P228+P108)/IF(CUR_I_Report=2,P$88,1)</f>
        <v>-815728</v>
      </c>
      <c r="Q1428" s="53">
        <f ca="1">(-Q228+Q108)/IF(CUR_I_Report=2,Q$88,1)</f>
        <v>-897280</v>
      </c>
      <c r="S1428" s="54">
        <f t="shared" ca="1" si="1738"/>
        <v>-4505635.2</v>
      </c>
    </row>
    <row r="1429" spans="1:19" outlineLevel="2" x14ac:dyDescent="0.2">
      <c r="A1429" t="str">
        <f ca="1">Language!A$747</f>
        <v>Выплата процентов по кредитам</v>
      </c>
      <c r="C1429" s="5" t="str">
        <f t="shared" ca="1" si="1737"/>
        <v>руб.</v>
      </c>
      <c r="F1429" s="53">
        <f t="shared" ref="F1429:M1429" si="1739">-F1228/IF(CUR_I_Report=2,F$88,1)</f>
        <v>0</v>
      </c>
      <c r="G1429" s="53">
        <f t="shared" si="1739"/>
        <v>0</v>
      </c>
      <c r="H1429" s="53">
        <f t="shared" si="1739"/>
        <v>0</v>
      </c>
      <c r="I1429" s="53">
        <f t="shared" si="1739"/>
        <v>0</v>
      </c>
      <c r="J1429" s="53">
        <f t="shared" si="1739"/>
        <v>0</v>
      </c>
      <c r="K1429" s="53">
        <f t="shared" si="1739"/>
        <v>0</v>
      </c>
      <c r="L1429" s="53">
        <f t="shared" si="1739"/>
        <v>-180237.18952591211</v>
      </c>
      <c r="M1429" s="53">
        <f t="shared" si="1739"/>
        <v>-138130.35957124989</v>
      </c>
      <c r="N1429" s="53">
        <f t="shared" ref="N1429" si="1740">-N1228/IF(CUR_I_Report=2,N$88,1)</f>
        <v>-62265.988854903924</v>
      </c>
      <c r="O1429" s="53">
        <f t="shared" ref="O1429" si="1741">-O1228/IF(CUR_I_Report=2,O$88,1)</f>
        <v>0</v>
      </c>
      <c r="P1429" s="53">
        <f t="shared" ref="P1429:Q1429" si="1742">-P1228/IF(CUR_I_Report=2,P$88,1)</f>
        <v>0</v>
      </c>
      <c r="Q1429" s="53">
        <f t="shared" si="1742"/>
        <v>0</v>
      </c>
      <c r="S1429" s="54">
        <f t="shared" si="1738"/>
        <v>-380633.53795206588</v>
      </c>
    </row>
    <row r="1430" spans="1:19" outlineLevel="2" x14ac:dyDescent="0.2">
      <c r="A1430" t="str">
        <f ca="1">Language!A$748</f>
        <v>Прочие поступления</v>
      </c>
      <c r="C1430" s="5" t="str">
        <f t="shared" ca="1" si="1737"/>
        <v>руб.</v>
      </c>
      <c r="F1430" s="43">
        <f ca="1">(F274+F478+(F1379+F1380)*CHOOSE($B1379,1,F$88))/IF(CUR_I_Report=2,F$88,1)</f>
        <v>0</v>
      </c>
      <c r="G1430" s="43">
        <f ca="1">(G274+G478+(G1379+G1380)*CHOOSE($B1379,1,G$88))/IF(CUR_I_Report=2,G$88,1)</f>
        <v>0</v>
      </c>
      <c r="H1430" s="43">
        <f ca="1">(H274+H478+(H1379+H1380)*CHOOSE($B1379,1,H$88))/IF(CUR_I_Report=2,H$88,1)</f>
        <v>0</v>
      </c>
      <c r="I1430" s="43">
        <f ca="1">(I274+I478+(I1379+I1380)*CHOOSE($B1379,1,I$88))/IF(CUR_I_Report=2,I$88,1)</f>
        <v>0</v>
      </c>
      <c r="J1430" s="43">
        <f ca="1">(J274+J478+(J1379+J1380)*CHOOSE($B1379,1,J$88))/IF(CUR_I_Report=2,J$88,1)</f>
        <v>0</v>
      </c>
      <c r="K1430" s="43">
        <f ca="1">(K274+K478+(K1379+K1380)*CHOOSE($B1379,1,K$88))/IF(CUR_I_Report=2,K$88,1)</f>
        <v>0</v>
      </c>
      <c r="L1430" s="43">
        <f ca="1">(L274+L478+(L1379+L1380)*CHOOSE($B1379,1,L$88))/IF(CUR_I_Report=2,L$88,1)</f>
        <v>0</v>
      </c>
      <c r="M1430" s="43">
        <f ca="1">(M274+M478+(M1379+M1380)*CHOOSE($B1379,1,M$88))/IF(CUR_I_Report=2,M$88,1)</f>
        <v>0</v>
      </c>
      <c r="N1430" s="43">
        <f ca="1">(N274+N478+(N1379+N1380)*CHOOSE($B1379,1,N$88))/IF(CUR_I_Report=2,N$88,1)</f>
        <v>0</v>
      </c>
      <c r="O1430" s="43">
        <f ca="1">(O274+O478+(O1379+O1380)*CHOOSE($B1379,1,O$88))/IF(CUR_I_Report=2,O$88,1)</f>
        <v>0</v>
      </c>
      <c r="P1430" s="43">
        <f ca="1">(P274+P478+(P1379+P1380)*CHOOSE($B1379,1,P$88))/IF(CUR_I_Report=2,P$88,1)</f>
        <v>0</v>
      </c>
      <c r="Q1430" s="43">
        <f ca="1">(Q274+Q478+(Q1379+Q1380)*CHOOSE($B1379,1,Q$88))/IF(CUR_I_Report=2,Q$88,1)</f>
        <v>0</v>
      </c>
      <c r="S1430" s="54">
        <f t="shared" ca="1" si="1738"/>
        <v>0</v>
      </c>
    </row>
    <row r="1431" spans="1:19" outlineLevel="2" x14ac:dyDescent="0.2">
      <c r="A1431" t="str">
        <f ca="1">Language!A$749</f>
        <v>Прочие затраты</v>
      </c>
      <c r="C1431" s="5" t="str">
        <f t="shared" ca="1" si="1737"/>
        <v>руб.</v>
      </c>
      <c r="F1431" s="43">
        <f t="shared" ref="F1431:M1431" si="1743">-(F1381+F1382)*CHOOSE($B1381,1,F$88)/IF(CUR_I_Report=2,F$88,1)</f>
        <v>0</v>
      </c>
      <c r="G1431" s="43">
        <f t="shared" si="1743"/>
        <v>0</v>
      </c>
      <c r="H1431" s="43">
        <f t="shared" si="1743"/>
        <v>0</v>
      </c>
      <c r="I1431" s="43">
        <f t="shared" si="1743"/>
        <v>0</v>
      </c>
      <c r="J1431" s="43">
        <f t="shared" si="1743"/>
        <v>0</v>
      </c>
      <c r="K1431" s="43">
        <f t="shared" si="1743"/>
        <v>0</v>
      </c>
      <c r="L1431" s="43">
        <f t="shared" si="1743"/>
        <v>0</v>
      </c>
      <c r="M1431" s="43">
        <f t="shared" si="1743"/>
        <v>0</v>
      </c>
      <c r="N1431" s="43">
        <f t="shared" ref="N1431" si="1744">-(N1381+N1382)*CHOOSE($B1381,1,N$88)/IF(CUR_I_Report=2,N$88,1)</f>
        <v>0</v>
      </c>
      <c r="O1431" s="43">
        <f t="shared" ref="O1431" si="1745">-(O1381+O1382)*CHOOSE($B1381,1,O$88)/IF(CUR_I_Report=2,O$88,1)</f>
        <v>0</v>
      </c>
      <c r="P1431" s="43">
        <f t="shared" ref="P1431:Q1431" si="1746">-(P1381+P1382)*CHOOSE($B1381,1,P$88)/IF(CUR_I_Report=2,P$88,1)</f>
        <v>0</v>
      </c>
      <c r="Q1431" s="43">
        <f t="shared" si="1746"/>
        <v>0</v>
      </c>
      <c r="S1431" s="54">
        <f t="shared" si="1738"/>
        <v>0</v>
      </c>
    </row>
    <row r="1432" spans="1:19" outlineLevel="2" x14ac:dyDescent="0.2">
      <c r="S1432" s="57"/>
    </row>
    <row r="1433" spans="1:19" ht="10.5" outlineLevel="2" x14ac:dyDescent="0.25">
      <c r="A1433" s="35" t="str">
        <f ca="1">Language!A$750</f>
        <v>Денежные потоки от операционной деятельности</v>
      </c>
      <c r="C1433" s="5" t="str">
        <f ca="1">CUR_Report</f>
        <v>руб.</v>
      </c>
      <c r="F1433" s="58">
        <f t="shared" ref="F1433:M1433" ca="1" si="1747">SUM(F1423:F1431)</f>
        <v>-2966160</v>
      </c>
      <c r="G1433" s="58">
        <f t="shared" ca="1" si="1747"/>
        <v>-2555760</v>
      </c>
      <c r="H1433" s="58">
        <f t="shared" ca="1" si="1747"/>
        <v>-2428008.50875</v>
      </c>
      <c r="I1433" s="58">
        <f t="shared" ca="1" si="1747"/>
        <v>-1917002.54375</v>
      </c>
      <c r="J1433" s="58">
        <f t="shared" ca="1" si="1747"/>
        <v>-1278245.0874999999</v>
      </c>
      <c r="K1433" s="58">
        <f t="shared" ca="1" si="1747"/>
        <v>-730.17499999981374</v>
      </c>
      <c r="L1433" s="58">
        <f t="shared" ca="1" si="1747"/>
        <v>1096547.5479740878</v>
      </c>
      <c r="M1433" s="58">
        <f t="shared" ca="1" si="1747"/>
        <v>2416169.2904287507</v>
      </c>
      <c r="N1433" s="58">
        <f t="shared" ref="N1433" ca="1" si="1748">SUM(N1423:N1431)</f>
        <v>4408306.0298950961</v>
      </c>
      <c r="O1433" s="58">
        <f t="shared" ref="O1433:Q1433" ca="1" si="1749">SUM(O1423:O1431)</f>
        <v>7025601.84375</v>
      </c>
      <c r="P1433" s="58">
        <f t="shared" ref="P1433:Q1433" ca="1" si="1750">SUM(P1423:P1431)</f>
        <v>8941874.2125000004</v>
      </c>
      <c r="Q1433" s="58">
        <f t="shared" ca="1" si="1750"/>
        <v>10219389.125</v>
      </c>
      <c r="S1433" s="57">
        <f ca="1">SUM(F1433:Q1433)</f>
        <v>22961981.734547932</v>
      </c>
    </row>
    <row r="1434" spans="1:19" outlineLevel="1" x14ac:dyDescent="0.2">
      <c r="S1434" s="57"/>
    </row>
    <row r="1435" spans="1:19" outlineLevel="1" x14ac:dyDescent="0.2">
      <c r="A1435" t="str">
        <f ca="1">Language!A$688</f>
        <v>Инвестиции в земельные участки</v>
      </c>
      <c r="C1435" s="5" t="str">
        <f t="shared" ref="C1435:C1442" ca="1" si="1751">CUR_Report</f>
        <v>руб.</v>
      </c>
      <c r="F1435" s="53">
        <f>-F428/IF(CUR_I_Report=2,F$88,1)</f>
        <v>0</v>
      </c>
      <c r="G1435" s="53">
        <f>-G428/IF(CUR_I_Report=2,G$88,1)</f>
        <v>0</v>
      </c>
      <c r="H1435" s="53">
        <f>-H428/IF(CUR_I_Report=2,H$88,1)</f>
        <v>0</v>
      </c>
      <c r="I1435" s="53">
        <f>-I428/IF(CUR_I_Report=2,I$88,1)</f>
        <v>0</v>
      </c>
      <c r="J1435" s="53">
        <f>-J428/IF(CUR_I_Report=2,J$88,1)</f>
        <v>0</v>
      </c>
      <c r="K1435" s="53">
        <f>-K428/IF(CUR_I_Report=2,K$88,1)</f>
        <v>0</v>
      </c>
      <c r="L1435" s="53">
        <f>-L428/IF(CUR_I_Report=2,L$88,1)</f>
        <v>0</v>
      </c>
      <c r="M1435" s="53">
        <f>-M428/IF(CUR_I_Report=2,M$88,1)</f>
        <v>0</v>
      </c>
      <c r="N1435" s="53">
        <f>-N428/IF(CUR_I_Report=2,N$88,1)</f>
        <v>0</v>
      </c>
      <c r="O1435" s="53">
        <f>-O428/IF(CUR_I_Report=2,O$88,1)</f>
        <v>0</v>
      </c>
      <c r="P1435" s="53">
        <f>-P428/IF(CUR_I_Report=2,P$88,1)</f>
        <v>0</v>
      </c>
      <c r="Q1435" s="53">
        <f>-Q428/IF(CUR_I_Report=2,Q$88,1)</f>
        <v>0</v>
      </c>
      <c r="S1435" s="54">
        <f t="shared" ref="S1435:S1442" si="1752">SUM(F1435:Q1435)</f>
        <v>0</v>
      </c>
    </row>
    <row r="1436" spans="1:19" s="4" customFormat="1" ht="16" customHeight="1" x14ac:dyDescent="0.2">
      <c r="A1436" t="str">
        <f ca="1">Language!A$691</f>
        <v>Инвестиции в здания и сооружения</v>
      </c>
      <c r="B1436"/>
      <c r="C1436" s="5" t="str">
        <f ca="1">CUR_Report</f>
        <v>руб.</v>
      </c>
      <c r="D1436"/>
      <c r="E1436"/>
      <c r="F1436" s="53">
        <f>-F436/IF(CUR_I_Report=2,F$88,1)</f>
        <v>0</v>
      </c>
      <c r="G1436" s="53">
        <f>-G436/IF(CUR_I_Report=2,G$88,1)</f>
        <v>0</v>
      </c>
      <c r="H1436" s="53">
        <f>-H436/IF(CUR_I_Report=2,H$88,1)</f>
        <v>0</v>
      </c>
      <c r="I1436" s="53">
        <f>-I436/IF(CUR_I_Report=2,I$88,1)</f>
        <v>0</v>
      </c>
      <c r="J1436" s="53">
        <f>-J436/IF(CUR_I_Report=2,J$88,1)</f>
        <v>0</v>
      </c>
      <c r="K1436" s="53">
        <f>-K436/IF(CUR_I_Report=2,K$88,1)</f>
        <v>0</v>
      </c>
      <c r="L1436" s="53">
        <f>-L436/IF(CUR_I_Report=2,L$88,1)</f>
        <v>0</v>
      </c>
      <c r="M1436" s="53">
        <f>-M436/IF(CUR_I_Report=2,M$88,1)</f>
        <v>0</v>
      </c>
      <c r="N1436" s="53">
        <f>-N436/IF(CUR_I_Report=2,N$88,1)</f>
        <v>0</v>
      </c>
      <c r="O1436" s="53">
        <f>-O436/IF(CUR_I_Report=2,O$88,1)</f>
        <v>0</v>
      </c>
      <c r="P1436" s="53">
        <f>-P436/IF(CUR_I_Report=2,P$88,1)</f>
        <v>0</v>
      </c>
      <c r="Q1436" s="53">
        <f>-Q436/IF(CUR_I_Report=2,Q$88,1)</f>
        <v>0</v>
      </c>
      <c r="R1436"/>
      <c r="S1436" s="54">
        <f t="shared" si="1752"/>
        <v>0</v>
      </c>
    </row>
    <row r="1437" spans="1:19" outlineLevel="1" x14ac:dyDescent="0.2">
      <c r="A1437" t="str">
        <f ca="1">Language!A$692</f>
        <v>Инвестиции в оборудование и прочие активы</v>
      </c>
      <c r="C1437" s="5" t="str">
        <f ca="1">CUR_Report</f>
        <v>руб.</v>
      </c>
      <c r="F1437" s="53">
        <f>-(F451+F457+F459+F527)/IF(CUR_I_Report=2,F$88,1)</f>
        <v>0</v>
      </c>
      <c r="G1437" s="53">
        <f>-(G451+G457+G459+G527)/IF(CUR_I_Report=2,G$88,1)</f>
        <v>0</v>
      </c>
      <c r="H1437" s="53">
        <f>-(H451+H457+H459+H527)/IF(CUR_I_Report=2,H$88,1)</f>
        <v>0</v>
      </c>
      <c r="I1437" s="53">
        <f>-(I451+I457+I459+I527)/IF(CUR_I_Report=2,I$88,1)</f>
        <v>0</v>
      </c>
      <c r="J1437" s="53">
        <f>-(J451+J457+J459+J527)/IF(CUR_I_Report=2,J$88,1)</f>
        <v>0</v>
      </c>
      <c r="K1437" s="53">
        <f>-(K451+K457+K459+K527)/IF(CUR_I_Report=2,K$88,1)</f>
        <v>0</v>
      </c>
      <c r="L1437" s="53">
        <f>-(L451+L457+L459+L527)/IF(CUR_I_Report=2,L$88,1)</f>
        <v>0</v>
      </c>
      <c r="M1437" s="53">
        <f>-(M451+M457+M459+M527)/IF(CUR_I_Report=2,M$88,1)</f>
        <v>0</v>
      </c>
      <c r="N1437" s="53">
        <f>-(N451+N457+N459+N527)/IF(CUR_I_Report=2,N$88,1)</f>
        <v>0</v>
      </c>
      <c r="O1437" s="53">
        <f>-(O451+O457+O459+O527)/IF(CUR_I_Report=2,O$88,1)</f>
        <v>0</v>
      </c>
      <c r="P1437" s="53">
        <f>-(P451+P457+P459+P527)/IF(CUR_I_Report=2,P$88,1)</f>
        <v>0</v>
      </c>
      <c r="Q1437" s="53">
        <f>-(Q451+Q457+Q459+Q527)/IF(CUR_I_Report=2,Q$88,1)</f>
        <v>0</v>
      </c>
      <c r="S1437" s="54">
        <f t="shared" si="1752"/>
        <v>0</v>
      </c>
    </row>
    <row r="1438" spans="1:19" outlineLevel="1" x14ac:dyDescent="0.2">
      <c r="A1438" t="str">
        <f ca="1">Language!A$689</f>
        <v>Инвестиции в нематериальные активы</v>
      </c>
      <c r="C1438" s="5" t="str">
        <f t="shared" ca="1" si="1751"/>
        <v>руб.</v>
      </c>
      <c r="F1438" s="53">
        <f>-F463/IF(CUR_I_Report=2,F$88,1)</f>
        <v>0</v>
      </c>
      <c r="G1438" s="53">
        <f>-G463/IF(CUR_I_Report=2,G$88,1)</f>
        <v>0</v>
      </c>
      <c r="H1438" s="53">
        <f>-H463/IF(CUR_I_Report=2,H$88,1)</f>
        <v>0</v>
      </c>
      <c r="I1438" s="53">
        <f>-I463/IF(CUR_I_Report=2,I$88,1)</f>
        <v>0</v>
      </c>
      <c r="J1438" s="53">
        <f>-J463/IF(CUR_I_Report=2,J$88,1)</f>
        <v>0</v>
      </c>
      <c r="K1438" s="53">
        <f>-K463/IF(CUR_I_Report=2,K$88,1)</f>
        <v>0</v>
      </c>
      <c r="L1438" s="53">
        <f>-L463/IF(CUR_I_Report=2,L$88,1)</f>
        <v>0</v>
      </c>
      <c r="M1438" s="53">
        <f>-M463/IF(CUR_I_Report=2,M$88,1)</f>
        <v>0</v>
      </c>
      <c r="N1438" s="53">
        <f>-N463/IF(CUR_I_Report=2,N$88,1)</f>
        <v>0</v>
      </c>
      <c r="O1438" s="53">
        <f>-O463/IF(CUR_I_Report=2,O$88,1)</f>
        <v>0</v>
      </c>
      <c r="P1438" s="53">
        <f>-P463/IF(CUR_I_Report=2,P$88,1)</f>
        <v>0</v>
      </c>
      <c r="Q1438" s="53">
        <f>-Q463/IF(CUR_I_Report=2,Q$88,1)</f>
        <v>0</v>
      </c>
      <c r="S1438" s="54">
        <f t="shared" si="1752"/>
        <v>0</v>
      </c>
    </row>
    <row r="1439" spans="1:19" outlineLevel="1" x14ac:dyDescent="0.2">
      <c r="A1439" t="str">
        <f ca="1">Language!A$693</f>
        <v>Инвестиции в финансовые активы</v>
      </c>
      <c r="C1439" s="5" t="str">
        <f t="shared" ca="1" si="1751"/>
        <v>руб.</v>
      </c>
      <c r="F1439" s="53">
        <f>-F475/IF(CUR_I_Report=2,F$88,1)</f>
        <v>0</v>
      </c>
      <c r="G1439" s="53">
        <f>-G475/IF(CUR_I_Report=2,G$88,1)</f>
        <v>0</v>
      </c>
      <c r="H1439" s="53">
        <f>-H475/IF(CUR_I_Report=2,H$88,1)</f>
        <v>0</v>
      </c>
      <c r="I1439" s="53">
        <f>-I475/IF(CUR_I_Report=2,I$88,1)</f>
        <v>0</v>
      </c>
      <c r="J1439" s="53">
        <f>-J475/IF(CUR_I_Report=2,J$88,1)</f>
        <v>0</v>
      </c>
      <c r="K1439" s="53">
        <f>-K475/IF(CUR_I_Report=2,K$88,1)</f>
        <v>0</v>
      </c>
      <c r="L1439" s="53">
        <f>-L475/IF(CUR_I_Report=2,L$88,1)</f>
        <v>0</v>
      </c>
      <c r="M1439" s="53">
        <f>-M475/IF(CUR_I_Report=2,M$88,1)</f>
        <v>0</v>
      </c>
      <c r="N1439" s="53">
        <f>-N475/IF(CUR_I_Report=2,N$88,1)</f>
        <v>0</v>
      </c>
      <c r="O1439" s="53">
        <f>-O475/IF(CUR_I_Report=2,O$88,1)</f>
        <v>0</v>
      </c>
      <c r="P1439" s="53">
        <f>-P475/IF(CUR_I_Report=2,P$88,1)</f>
        <v>0</v>
      </c>
      <c r="Q1439" s="53">
        <f>-Q475/IF(CUR_I_Report=2,Q$88,1)</f>
        <v>0</v>
      </c>
      <c r="S1439" s="54">
        <f t="shared" si="1752"/>
        <v>0</v>
      </c>
    </row>
    <row r="1440" spans="1:19" outlineLevel="1" x14ac:dyDescent="0.2">
      <c r="A1440" t="str">
        <f ca="1">Language!A$694</f>
        <v>Оплата расходов будущих периодов</v>
      </c>
      <c r="C1440" s="5" t="str">
        <f t="shared" ca="1" si="1751"/>
        <v>руб.</v>
      </c>
      <c r="F1440" s="53">
        <f>-F486/IF(CUR_I_Report=2,F$88,1)</f>
        <v>0</v>
      </c>
      <c r="G1440" s="53">
        <f>-G486/IF(CUR_I_Report=2,G$88,1)</f>
        <v>0</v>
      </c>
      <c r="H1440" s="53">
        <f>-H486/IF(CUR_I_Report=2,H$88,1)</f>
        <v>0</v>
      </c>
      <c r="I1440" s="53">
        <f>-I486/IF(CUR_I_Report=2,I$88,1)</f>
        <v>0</v>
      </c>
      <c r="J1440" s="53">
        <f>-J486/IF(CUR_I_Report=2,J$88,1)</f>
        <v>0</v>
      </c>
      <c r="K1440" s="53">
        <f>-K486/IF(CUR_I_Report=2,K$88,1)</f>
        <v>0</v>
      </c>
      <c r="L1440" s="53">
        <f>-L486/IF(CUR_I_Report=2,L$88,1)</f>
        <v>0</v>
      </c>
      <c r="M1440" s="53">
        <f>-M486/IF(CUR_I_Report=2,M$88,1)</f>
        <v>0</v>
      </c>
      <c r="N1440" s="53">
        <f>-N486/IF(CUR_I_Report=2,N$88,1)</f>
        <v>0</v>
      </c>
      <c r="O1440" s="53">
        <f>-O486/IF(CUR_I_Report=2,O$88,1)</f>
        <v>0</v>
      </c>
      <c r="P1440" s="53">
        <f>-P486/IF(CUR_I_Report=2,P$88,1)</f>
        <v>0</v>
      </c>
      <c r="Q1440" s="53">
        <f>-Q486/IF(CUR_I_Report=2,Q$88,1)</f>
        <v>0</v>
      </c>
      <c r="S1440" s="54">
        <f t="shared" si="1752"/>
        <v>0</v>
      </c>
    </row>
    <row r="1441" spans="1:24" outlineLevel="1" x14ac:dyDescent="0.2">
      <c r="A1441" t="str">
        <f ca="1">Language!A$695</f>
        <v>Прирост чистого оборотного капитала</v>
      </c>
      <c r="C1441" s="5" t="str">
        <f t="shared" ca="1" si="1751"/>
        <v>руб.</v>
      </c>
      <c r="F1441" s="53">
        <f ca="1">-F1175/IF(CUR_I_Report=2,F$88,1)</f>
        <v>648376</v>
      </c>
      <c r="G1441" s="53">
        <f ca="1">-G1175/IF(CUR_I_Report=2,G$88,1)</f>
        <v>-415440</v>
      </c>
      <c r="H1441" s="53">
        <f ca="1">-H1175/IF(CUR_I_Report=2,H$88,1)</f>
        <v>24435.877125000115</v>
      </c>
      <c r="I1441" s="53">
        <f ca="1">-I1175/IF(CUR_I_Report=2,I$88,1)</f>
        <v>97743.508499999763</v>
      </c>
      <c r="J1441" s="53">
        <f ca="1">-J1175/IF(CUR_I_Report=2,J$88,1)</f>
        <v>122179.385625</v>
      </c>
      <c r="K1441" s="53">
        <f ca="1">-K1175/IF(CUR_I_Report=2,K$88,1)</f>
        <v>244358.77125000022</v>
      </c>
      <c r="L1441" s="53">
        <f ca="1">-L1175/IF(CUR_I_Report=2,L$88,1)</f>
        <v>244358.77124999976</v>
      </c>
      <c r="M1441" s="53">
        <f ca="1">-M1175/IF(CUR_I_Report=2,M$88,1)</f>
        <v>244358.77125000011</v>
      </c>
      <c r="N1441" s="53">
        <f ca="1">-N1175/IF(CUR_I_Report=2,N$88,1)</f>
        <v>366538.15687499987</v>
      </c>
      <c r="O1441" s="53">
        <f ca="1">-O1175/IF(CUR_I_Report=2,O$88,1)</f>
        <v>488717.54250000021</v>
      </c>
      <c r="P1441" s="53">
        <f ca="1">-P1175/IF(CUR_I_Report=2,P$88,1)</f>
        <v>366538.1568750001</v>
      </c>
      <c r="Q1441" s="53">
        <f ca="1">-Q1175/IF(CUR_I_Report=2,Q$88,1)</f>
        <v>244358.77124999976</v>
      </c>
      <c r="S1441" s="54">
        <f t="shared" ca="1" si="1752"/>
        <v>2676523.7124999999</v>
      </c>
    </row>
    <row r="1442" spans="1:24" outlineLevel="1" x14ac:dyDescent="0.2">
      <c r="A1442" t="str">
        <f ca="1">Language!A$751</f>
        <v>Выручка от реализации активов</v>
      </c>
      <c r="C1442" s="5" t="str">
        <f t="shared" ca="1" si="1751"/>
        <v>руб.</v>
      </c>
      <c r="F1442" s="53">
        <f>(F446+F449+F434+F472+F474+F483+F485+F460+F462+F241+F246+F235+F237+F250+F255+F259+F264+F275+F277)/IF(CUR_I_Report=2,F$88,1)</f>
        <v>0</v>
      </c>
      <c r="G1442" s="53">
        <f>(G446+G449+G434+G472+G474+G483+G485+G460+G462+G241+G246+G235+G237+G250+G255+G259+G264+G275+G277)/IF(CUR_I_Report=2,G$88,1)</f>
        <v>0</v>
      </c>
      <c r="H1442" s="53">
        <f>(H446+H449+H434+H472+H474+H483+H485+H460+H462+H241+H246+H235+H237+H250+H255+H259+H264+H275+H277)/IF(CUR_I_Report=2,H$88,1)</f>
        <v>0</v>
      </c>
      <c r="I1442" s="53">
        <f>(I446+I449+I434+I472+I474+I483+I485+I460+I462+I241+I246+I235+I237+I250+I255+I259+I264+I275+I277)/IF(CUR_I_Report=2,I$88,1)</f>
        <v>0</v>
      </c>
      <c r="J1442" s="53">
        <f>(J446+J449+J434+J472+J474+J483+J485+J460+J462+J241+J246+J235+J237+J250+J255+J259+J264+J275+J277)/IF(CUR_I_Report=2,J$88,1)</f>
        <v>0</v>
      </c>
      <c r="K1442" s="53">
        <f>(K446+K449+K434+K472+K474+K483+K485+K460+K462+K241+K246+K235+K237+K250+K255+K259+K264+K275+K277)/IF(CUR_I_Report=2,K$88,1)</f>
        <v>0</v>
      </c>
      <c r="L1442" s="53">
        <f>(L446+L449+L434+L472+L474+L483+L485+L460+L462+L241+L246+L235+L237+L250+L255+L259+L264+L275+L277)/IF(CUR_I_Report=2,L$88,1)</f>
        <v>0</v>
      </c>
      <c r="M1442" s="53">
        <f>(M446+M449+M434+M472+M474+M483+M485+M460+M462+M241+M246+M235+M237+M250+M255+M259+M264+M275+M277)/IF(CUR_I_Report=2,M$88,1)</f>
        <v>0</v>
      </c>
      <c r="N1442" s="53">
        <f>(N446+N449+N434+N472+N474+N483+N485+N460+N462+N241+N246+N235+N237+N250+N255+N259+N264+N275+N277)/IF(CUR_I_Report=2,N$88,1)</f>
        <v>0</v>
      </c>
      <c r="O1442" s="53">
        <f>(O446+O449+O434+O472+O474+O483+O485+O460+O462+O241+O246+O235+O237+O250+O255+O259+O264+O275+O277)/IF(CUR_I_Report=2,O$88,1)</f>
        <v>0</v>
      </c>
      <c r="P1442" s="53">
        <f>(P446+P449+P434+P472+P474+P483+P485+P460+P462+P241+P246+P235+P237+P250+P255+P259+P264+P275+P277)/IF(CUR_I_Report=2,P$88,1)</f>
        <v>0</v>
      </c>
      <c r="Q1442" s="53">
        <f>(Q446+Q449+Q434+Q472+Q474+Q483+Q485+Q460+Q462+Q241+Q246+Q235+Q237+Q250+Q255+Q259+Q264+Q275+Q277)/IF(CUR_I_Report=2,Q$88,1)</f>
        <v>0</v>
      </c>
      <c r="S1442" s="54">
        <f t="shared" si="1752"/>
        <v>0</v>
      </c>
    </row>
    <row r="1443" spans="1:24" outlineLevel="1" x14ac:dyDescent="0.2"/>
    <row r="1444" spans="1:24" ht="10.5" outlineLevel="1" x14ac:dyDescent="0.25">
      <c r="A1444" s="35" t="str">
        <f ca="1">Language!A$752</f>
        <v>Денежные потоки от инвестиционной деятельности</v>
      </c>
      <c r="C1444" s="5" t="str">
        <f ca="1">CUR_Report</f>
        <v>руб.</v>
      </c>
      <c r="F1444" s="58">
        <f t="shared" ref="F1444:M1444" ca="1" si="1753">SUM(F1435:F1442)</f>
        <v>648376</v>
      </c>
      <c r="G1444" s="58">
        <f t="shared" ca="1" si="1753"/>
        <v>-415440</v>
      </c>
      <c r="H1444" s="58">
        <f t="shared" ca="1" si="1753"/>
        <v>24435.877125000115</v>
      </c>
      <c r="I1444" s="58">
        <f t="shared" ca="1" si="1753"/>
        <v>97743.508499999763</v>
      </c>
      <c r="J1444" s="58">
        <f t="shared" ca="1" si="1753"/>
        <v>122179.385625</v>
      </c>
      <c r="K1444" s="58">
        <f t="shared" ca="1" si="1753"/>
        <v>244358.77125000022</v>
      </c>
      <c r="L1444" s="58">
        <f t="shared" ca="1" si="1753"/>
        <v>244358.77124999976</v>
      </c>
      <c r="M1444" s="58">
        <f t="shared" ca="1" si="1753"/>
        <v>244358.77125000011</v>
      </c>
      <c r="N1444" s="58">
        <f t="shared" ref="N1444" ca="1" si="1754">SUM(N1435:N1442)</f>
        <v>366538.15687499987</v>
      </c>
      <c r="O1444" s="58">
        <f t="shared" ref="O1444:Q1444" ca="1" si="1755">SUM(O1435:O1442)</f>
        <v>488717.54250000021</v>
      </c>
      <c r="P1444" s="58">
        <f t="shared" ref="P1444:Q1444" ca="1" si="1756">SUM(P1435:P1442)</f>
        <v>366538.1568750001</v>
      </c>
      <c r="Q1444" s="58">
        <f t="shared" ca="1" si="1756"/>
        <v>244358.77124999976</v>
      </c>
      <c r="S1444" s="57">
        <f ca="1">SUM(F1444:Q1444)</f>
        <v>2676523.7124999999</v>
      </c>
    </row>
    <row r="1445" spans="1:24" outlineLevel="1" x14ac:dyDescent="0.2"/>
    <row r="1446" spans="1:24" outlineLevel="1" x14ac:dyDescent="0.2">
      <c r="A1446" t="str">
        <f ca="1">Language!A$753</f>
        <v>Поступления собственного капитала</v>
      </c>
      <c r="C1446" s="5" t="str">
        <f t="shared" ref="C1446:C1452" ca="1" si="1757">CUR_Report</f>
        <v>руб.</v>
      </c>
      <c r="F1446" s="53">
        <f>(F1180+F1189)/IF(CUR_I_Report=2,F$88,1)</f>
        <v>0</v>
      </c>
      <c r="G1446" s="53">
        <f>(G1180+G1189)/IF(CUR_I_Report=2,G$88,1)</f>
        <v>0</v>
      </c>
      <c r="H1446" s="53">
        <f>(H1180+H1189)/IF(CUR_I_Report=2,H$88,1)</f>
        <v>0</v>
      </c>
      <c r="I1446" s="53">
        <f>(I1180+I1189)/IF(CUR_I_Report=2,I$88,1)</f>
        <v>0</v>
      </c>
      <c r="J1446" s="53">
        <f>(J1180+J1189)/IF(CUR_I_Report=2,J$88,1)</f>
        <v>0</v>
      </c>
      <c r="K1446" s="53">
        <f>(K1180+K1189)/IF(CUR_I_Report=2,K$88,1)</f>
        <v>0</v>
      </c>
      <c r="L1446" s="53">
        <f>(L1180+L1189)/IF(CUR_I_Report=2,L$88,1)</f>
        <v>0</v>
      </c>
      <c r="M1446" s="53">
        <f>(M1180+M1189)/IF(CUR_I_Report=2,M$88,1)</f>
        <v>0</v>
      </c>
      <c r="N1446" s="53">
        <f>(N1180+N1189)/IF(CUR_I_Report=2,N$88,1)</f>
        <v>0</v>
      </c>
      <c r="O1446" s="53">
        <f>(O1180+O1189)/IF(CUR_I_Report=2,O$88,1)</f>
        <v>0</v>
      </c>
      <c r="P1446" s="53">
        <f>(P1180+P1189)/IF(CUR_I_Report=2,P$88,1)</f>
        <v>0</v>
      </c>
      <c r="Q1446" s="53">
        <f>(Q1180+Q1189)/IF(CUR_I_Report=2,Q$88,1)</f>
        <v>0</v>
      </c>
      <c r="S1446" s="54">
        <f>SUM(F1446:Q1446)</f>
        <v>0</v>
      </c>
    </row>
    <row r="1447" spans="1:24" ht="10.5" outlineLevel="1" x14ac:dyDescent="0.25">
      <c r="A1447" t="str">
        <f ca="1">Language!A$754</f>
        <v>Целевое финансирование</v>
      </c>
      <c r="C1447" s="5" t="str">
        <f t="shared" ca="1" si="1757"/>
        <v>руб.</v>
      </c>
      <c r="F1447" s="53">
        <f>F1192/IF(CUR_I_Report=2,F$88,1)</f>
        <v>0</v>
      </c>
      <c r="G1447" s="53">
        <f>G1192/IF(CUR_I_Report=2,G$88,1)</f>
        <v>0</v>
      </c>
      <c r="H1447" s="53">
        <f>H1192/IF(CUR_I_Report=2,H$88,1)</f>
        <v>0</v>
      </c>
      <c r="I1447" s="53">
        <f>I1192/IF(CUR_I_Report=2,I$88,1)</f>
        <v>0</v>
      </c>
      <c r="J1447" s="53">
        <f>J1192/IF(CUR_I_Report=2,J$88,1)</f>
        <v>0</v>
      </c>
      <c r="K1447" s="53">
        <f>K1192/IF(CUR_I_Report=2,K$88,1)</f>
        <v>0</v>
      </c>
      <c r="L1447" s="53">
        <f>L1192/IF(CUR_I_Report=2,L$88,1)</f>
        <v>0</v>
      </c>
      <c r="M1447" s="53">
        <f>M1192/IF(CUR_I_Report=2,M$88,1)</f>
        <v>0</v>
      </c>
      <c r="N1447" s="53">
        <f>N1192/IF(CUR_I_Report=2,N$88,1)</f>
        <v>0</v>
      </c>
      <c r="O1447" s="53">
        <f>O1192/IF(CUR_I_Report=2,O$88,1)</f>
        <v>0</v>
      </c>
      <c r="P1447" s="53">
        <f>P1192/IF(CUR_I_Report=2,P$88,1)</f>
        <v>0</v>
      </c>
      <c r="Q1447" s="53">
        <f>Q1192/IF(CUR_I_Report=2,Q$88,1)</f>
        <v>0</v>
      </c>
      <c r="S1447" s="54">
        <f>SUM(F1447:Q1447)</f>
        <v>0</v>
      </c>
      <c r="T1447" s="58"/>
      <c r="U1447" s="58"/>
      <c r="V1447" s="58"/>
      <c r="W1447" s="58"/>
      <c r="X1447" s="58"/>
    </row>
    <row r="1448" spans="1:24" outlineLevel="1" x14ac:dyDescent="0.2">
      <c r="A1448" t="str">
        <f ca="1">Language!A$650</f>
        <v>Средства от инвесторов строительства</v>
      </c>
      <c r="C1448" s="5" t="str">
        <f t="shared" ca="1" si="1757"/>
        <v>руб.</v>
      </c>
      <c r="F1448" s="53">
        <f>F1194/IF(CUR_I_Report=2,F$88,1)</f>
        <v>0</v>
      </c>
      <c r="G1448" s="53">
        <f>G1194/IF(CUR_I_Report=2,G$88,1)</f>
        <v>0</v>
      </c>
      <c r="H1448" s="53">
        <f>H1194/IF(CUR_I_Report=2,H$88,1)</f>
        <v>0</v>
      </c>
      <c r="I1448" s="53">
        <f>I1194/IF(CUR_I_Report=2,I$88,1)</f>
        <v>0</v>
      </c>
      <c r="J1448" s="53">
        <f>J1194/IF(CUR_I_Report=2,J$88,1)</f>
        <v>0</v>
      </c>
      <c r="K1448" s="53">
        <f>K1194/IF(CUR_I_Report=2,K$88,1)</f>
        <v>0</v>
      </c>
      <c r="L1448" s="53">
        <f>L1194/IF(CUR_I_Report=2,L$88,1)</f>
        <v>0</v>
      </c>
      <c r="M1448" s="53">
        <f>M1194/IF(CUR_I_Report=2,M$88,1)</f>
        <v>0</v>
      </c>
      <c r="N1448" s="53">
        <f>N1194/IF(CUR_I_Report=2,N$88,1)</f>
        <v>0</v>
      </c>
      <c r="O1448" s="53">
        <f>O1194/IF(CUR_I_Report=2,O$88,1)</f>
        <v>0</v>
      </c>
      <c r="P1448" s="53">
        <f>P1194/IF(CUR_I_Report=2,P$88,1)</f>
        <v>0</v>
      </c>
      <c r="Q1448" s="53">
        <f>Q1194/IF(CUR_I_Report=2,Q$88,1)</f>
        <v>0</v>
      </c>
      <c r="S1448" s="54"/>
    </row>
    <row r="1449" spans="1:24" ht="10.5" outlineLevel="1" x14ac:dyDescent="0.25">
      <c r="A1449" t="str">
        <f ca="1">Language!A$755</f>
        <v>Поступления кредитов</v>
      </c>
      <c r="C1449" s="5" t="str">
        <f t="shared" ca="1" si="1757"/>
        <v>руб.</v>
      </c>
      <c r="F1449" s="53">
        <f t="shared" ref="F1449:M1449" si="1758">F1226/IF(CUR_I_Report=2,F$88,1)</f>
        <v>2359067.6844783714</v>
      </c>
      <c r="G1449" s="53">
        <f t="shared" si="1758"/>
        <v>2982103.1201237948</v>
      </c>
      <c r="H1449" s="53">
        <f t="shared" si="1758"/>
        <v>2393268.0173260393</v>
      </c>
      <c r="I1449" s="53">
        <f t="shared" si="1758"/>
        <v>1809034.9566888495</v>
      </c>
      <c r="J1449" s="53">
        <f t="shared" si="1758"/>
        <v>1144435.2062421832</v>
      </c>
      <c r="K1449" s="53">
        <f t="shared" si="1758"/>
        <v>0</v>
      </c>
      <c r="L1449" s="53">
        <f t="shared" si="1758"/>
        <v>0</v>
      </c>
      <c r="M1449" s="53">
        <f t="shared" si="1758"/>
        <v>0</v>
      </c>
      <c r="N1449" s="53">
        <f t="shared" ref="N1449" si="1759">N1226/IF(CUR_I_Report=2,N$88,1)</f>
        <v>0</v>
      </c>
      <c r="O1449" s="53">
        <f t="shared" ref="O1449" si="1760">O1226/IF(CUR_I_Report=2,O$88,1)</f>
        <v>0</v>
      </c>
      <c r="P1449" s="53">
        <f t="shared" ref="P1449:Q1449" si="1761">P1226/IF(CUR_I_Report=2,P$88,1)</f>
        <v>0</v>
      </c>
      <c r="Q1449" s="53">
        <f t="shared" si="1761"/>
        <v>0</v>
      </c>
      <c r="S1449" s="54">
        <f>SUM(F1449:Q1449)</f>
        <v>10687908.984859239</v>
      </c>
      <c r="T1449" s="58"/>
      <c r="U1449" s="58"/>
      <c r="V1449" s="58"/>
      <c r="W1449" s="58"/>
      <c r="X1449" s="58"/>
    </row>
    <row r="1450" spans="1:24" outlineLevel="1" x14ac:dyDescent="0.2">
      <c r="A1450" t="str">
        <f ca="1">Language!A$756</f>
        <v>Возврат кредитов</v>
      </c>
      <c r="C1450" s="5" t="str">
        <f t="shared" ca="1" si="1757"/>
        <v>руб.</v>
      </c>
      <c r="F1450" s="53">
        <f t="shared" ref="F1450:M1450" si="1762">-F1227/IF(CUR_I_Report=2,F$88,1)</f>
        <v>0</v>
      </c>
      <c r="G1450" s="53">
        <f t="shared" si="1762"/>
        <v>0</v>
      </c>
      <c r="H1450" s="53">
        <f t="shared" si="1762"/>
        <v>0</v>
      </c>
      <c r="I1450" s="53">
        <f t="shared" si="1762"/>
        <v>0</v>
      </c>
      <c r="J1450" s="53">
        <f t="shared" si="1762"/>
        <v>0</v>
      </c>
      <c r="K1450" s="53">
        <f t="shared" si="1762"/>
        <v>-23659.363592692334</v>
      </c>
      <c r="L1450" s="53">
        <f t="shared" si="1762"/>
        <v>-1202620.5457013601</v>
      </c>
      <c r="M1450" s="53">
        <f t="shared" si="1762"/>
        <v>-2406104.568837841</v>
      </c>
      <c r="N1450" s="53">
        <f t="shared" ref="N1450" si="1763">-N1227/IF(CUR_I_Report=2,N$88,1)</f>
        <v>-4335106.8980769133</v>
      </c>
      <c r="O1450" s="53">
        <f t="shared" ref="O1450" si="1764">-O1227/IF(CUR_I_Report=2,O$88,1)</f>
        <v>-3558056.5059945099</v>
      </c>
      <c r="P1450" s="53">
        <f t="shared" ref="P1450:Q1450" si="1765">-P1227/IF(CUR_I_Report=2,P$88,1)</f>
        <v>0</v>
      </c>
      <c r="Q1450" s="53">
        <f t="shared" si="1765"/>
        <v>0</v>
      </c>
      <c r="S1450" s="54">
        <f>SUM(F1450:Q1450)</f>
        <v>-11525547.882203316</v>
      </c>
    </row>
    <row r="1451" spans="1:24" outlineLevel="1" x14ac:dyDescent="0.2">
      <c r="A1451" t="str">
        <f ca="1">Language!A$757</f>
        <v>Лизинговые платежи</v>
      </c>
      <c r="C1451" s="5" t="str">
        <f t="shared" ca="1" si="1757"/>
        <v>руб.</v>
      </c>
      <c r="F1451" s="53">
        <f ca="1">-F526/IF(CUR_I_Report=2,F$88,1)</f>
        <v>0</v>
      </c>
      <c r="G1451" s="53">
        <f ca="1">-G526/IF(CUR_I_Report=2,G$88,1)</f>
        <v>0</v>
      </c>
      <c r="H1451" s="53">
        <f ca="1">-H526/IF(CUR_I_Report=2,H$88,1)</f>
        <v>0</v>
      </c>
      <c r="I1451" s="53">
        <f ca="1">-I526/IF(CUR_I_Report=2,I$88,1)</f>
        <v>0</v>
      </c>
      <c r="J1451" s="53">
        <f ca="1">-J526/IF(CUR_I_Report=2,J$88,1)</f>
        <v>0</v>
      </c>
      <c r="K1451" s="53">
        <f ca="1">-K526/IF(CUR_I_Report=2,K$88,1)</f>
        <v>0</v>
      </c>
      <c r="L1451" s="53">
        <f ca="1">-L526/IF(CUR_I_Report=2,L$88,1)</f>
        <v>0</v>
      </c>
      <c r="M1451" s="53">
        <f ca="1">-M526/IF(CUR_I_Report=2,M$88,1)</f>
        <v>0</v>
      </c>
      <c r="N1451" s="53">
        <f ca="1">-N526/IF(CUR_I_Report=2,N$88,1)</f>
        <v>0</v>
      </c>
      <c r="O1451" s="53">
        <f ca="1">-O526/IF(CUR_I_Report=2,O$88,1)</f>
        <v>0</v>
      </c>
      <c r="P1451" s="53">
        <f ca="1">-P526/IF(CUR_I_Report=2,P$88,1)</f>
        <v>0</v>
      </c>
      <c r="Q1451" s="53">
        <f ca="1">-Q526/IF(CUR_I_Report=2,Q$88,1)</f>
        <v>0</v>
      </c>
      <c r="S1451" s="54">
        <f ca="1">SUM(F1451:Q1451)</f>
        <v>0</v>
      </c>
    </row>
    <row r="1452" spans="1:24" outlineLevel="1" x14ac:dyDescent="0.2">
      <c r="A1452" t="str">
        <f ca="1">Language!A$758</f>
        <v>Выплата дивидендов</v>
      </c>
      <c r="C1452" s="5" t="str">
        <f t="shared" ca="1" si="1757"/>
        <v>руб.</v>
      </c>
      <c r="F1452" s="43">
        <f t="shared" ref="F1452:M1452" ca="1" si="1766">-F1385</f>
        <v>0</v>
      </c>
      <c r="G1452" s="43">
        <f t="shared" ca="1" si="1766"/>
        <v>0</v>
      </c>
      <c r="H1452" s="43">
        <f t="shared" ca="1" si="1766"/>
        <v>0</v>
      </c>
      <c r="I1452" s="43">
        <f t="shared" ca="1" si="1766"/>
        <v>0</v>
      </c>
      <c r="J1452" s="43">
        <f t="shared" ca="1" si="1766"/>
        <v>0</v>
      </c>
      <c r="K1452" s="43">
        <f t="shared" ca="1" si="1766"/>
        <v>0</v>
      </c>
      <c r="L1452" s="43">
        <f t="shared" ca="1" si="1766"/>
        <v>0</v>
      </c>
      <c r="M1452" s="43">
        <f t="shared" ca="1" si="1766"/>
        <v>0</v>
      </c>
      <c r="N1452" s="43">
        <f t="shared" ref="N1452" ca="1" si="1767">-N1385</f>
        <v>0</v>
      </c>
      <c r="O1452" s="43">
        <f t="shared" ref="O1452:Q1452" ca="1" si="1768">-O1385</f>
        <v>0</v>
      </c>
      <c r="P1452" s="43">
        <f t="shared" ref="P1452:Q1452" ca="1" si="1769">-P1385</f>
        <v>0</v>
      </c>
      <c r="Q1452" s="43">
        <f t="shared" ca="1" si="1769"/>
        <v>0</v>
      </c>
      <c r="S1452" s="54">
        <f ca="1">SUM(F1452:Q1452)</f>
        <v>0</v>
      </c>
    </row>
    <row r="1453" spans="1:24" outlineLevel="1" x14ac:dyDescent="0.2"/>
    <row r="1454" spans="1:24" ht="10.5" outlineLevel="1" x14ac:dyDescent="0.25">
      <c r="A1454" s="35" t="str">
        <f ca="1">Language!A$759</f>
        <v>Денежные потоки от финансовой деятельности</v>
      </c>
      <c r="C1454" s="5" t="str">
        <f ca="1">CUR_Report</f>
        <v>руб.</v>
      </c>
      <c r="F1454" s="58">
        <f t="shared" ref="F1454:M1454" ca="1" si="1770">SUM(F1446:F1452)</f>
        <v>2359067.6844783714</v>
      </c>
      <c r="G1454" s="58">
        <f t="shared" ca="1" si="1770"/>
        <v>2982103.1201237948</v>
      </c>
      <c r="H1454" s="58">
        <f t="shared" ca="1" si="1770"/>
        <v>2393268.0173260393</v>
      </c>
      <c r="I1454" s="58">
        <f t="shared" ca="1" si="1770"/>
        <v>1809034.9566888495</v>
      </c>
      <c r="J1454" s="58">
        <f t="shared" ca="1" si="1770"/>
        <v>1144435.2062421832</v>
      </c>
      <c r="K1454" s="58">
        <f t="shared" ca="1" si="1770"/>
        <v>-23659.363592692334</v>
      </c>
      <c r="L1454" s="58">
        <f t="shared" ca="1" si="1770"/>
        <v>-1202620.5457013601</v>
      </c>
      <c r="M1454" s="58">
        <f t="shared" ca="1" si="1770"/>
        <v>-2406104.568837841</v>
      </c>
      <c r="N1454" s="58">
        <f t="shared" ref="N1454" ca="1" si="1771">SUM(N1446:N1452)</f>
        <v>-4335106.8980769133</v>
      </c>
      <c r="O1454" s="58">
        <f t="shared" ref="O1454:Q1454" ca="1" si="1772">SUM(O1446:O1452)</f>
        <v>-3558056.5059945099</v>
      </c>
      <c r="P1454" s="58">
        <f t="shared" ref="P1454:Q1454" ca="1" si="1773">SUM(P1446:P1452)</f>
        <v>0</v>
      </c>
      <c r="Q1454" s="58">
        <f t="shared" ca="1" si="1773"/>
        <v>0</v>
      </c>
      <c r="S1454" s="57">
        <f ca="1">SUM(F1454:Q1454)</f>
        <v>-837638.89734407701</v>
      </c>
    </row>
    <row r="1455" spans="1:24" outlineLevel="1" x14ac:dyDescent="0.2"/>
    <row r="1456" spans="1:24" outlineLevel="1" x14ac:dyDescent="0.2">
      <c r="A1456" s="23" t="str">
        <f ca="1">Language!A$760</f>
        <v>Суммарный денежный поток за период</v>
      </c>
      <c r="B1456" s="180"/>
      <c r="C1456" s="293" t="str">
        <f ca="1">CUR_Report</f>
        <v>руб.</v>
      </c>
      <c r="D1456" s="180"/>
      <c r="E1456" s="180"/>
      <c r="F1456" s="109">
        <f t="shared" ref="F1456:M1456" ca="1" si="1774">F1433+F1444+F1454</f>
        <v>41283.684478371404</v>
      </c>
      <c r="G1456" s="109">
        <f t="shared" ca="1" si="1774"/>
        <v>10903.120123794768</v>
      </c>
      <c r="H1456" s="109">
        <f t="shared" ca="1" si="1774"/>
        <v>-10304.61429896066</v>
      </c>
      <c r="I1456" s="109">
        <f t="shared" ca="1" si="1774"/>
        <v>-10224.078561150702</v>
      </c>
      <c r="J1456" s="109">
        <f t="shared" ca="1" si="1774"/>
        <v>-11630.495632816572</v>
      </c>
      <c r="K1456" s="109">
        <f t="shared" ca="1" si="1774"/>
        <v>219969.23265730808</v>
      </c>
      <c r="L1456" s="109">
        <f t="shared" ca="1" si="1774"/>
        <v>138285.77352272742</v>
      </c>
      <c r="M1456" s="109">
        <f t="shared" ca="1" si="1774"/>
        <v>254423.49284090986</v>
      </c>
      <c r="N1456" s="109">
        <f t="shared" ref="N1456" ca="1" si="1775">N1433+N1444+N1454</f>
        <v>439737.2886931831</v>
      </c>
      <c r="O1456" s="109">
        <f t="shared" ref="O1456:Q1456" ca="1" si="1776">O1433+O1444+O1454</f>
        <v>3956262.8802554905</v>
      </c>
      <c r="P1456" s="109">
        <f t="shared" ref="P1456:Q1456" ca="1" si="1777">P1433+P1444+P1454</f>
        <v>9308412.3693749998</v>
      </c>
      <c r="Q1456" s="109">
        <f t="shared" ca="1" si="1777"/>
        <v>10463747.89625</v>
      </c>
      <c r="R1456" s="23"/>
      <c r="S1456" s="54">
        <f ca="1">SUM(F1456:Q1456)</f>
        <v>24800866.549703859</v>
      </c>
    </row>
    <row r="1457" spans="1:24" ht="10.5" outlineLevel="1" x14ac:dyDescent="0.25">
      <c r="A1457" s="23" t="str">
        <f ca="1">Language!A$761</f>
        <v>Денежные средства на начало периода</v>
      </c>
      <c r="B1457" s="180"/>
      <c r="C1457" s="293" t="str">
        <f ca="1">CUR_Report</f>
        <v>руб.</v>
      </c>
      <c r="D1457" s="16" t="s">
        <v>2154</v>
      </c>
      <c r="E1457" s="180"/>
      <c r="F1457" s="210">
        <f t="shared" ref="F1457:Q1457" si="1778">E1458</f>
        <v>0</v>
      </c>
      <c r="G1457" s="210">
        <f t="shared" ca="1" si="1778"/>
        <v>41283.684478371404</v>
      </c>
      <c r="H1457" s="210">
        <f t="shared" ca="1" si="1778"/>
        <v>52186.804602166172</v>
      </c>
      <c r="I1457" s="210">
        <f t="shared" ca="1" si="1778"/>
        <v>41882.190303205512</v>
      </c>
      <c r="J1457" s="210">
        <f t="shared" ca="1" si="1778"/>
        <v>31658.111742054811</v>
      </c>
      <c r="K1457" s="210">
        <f t="shared" ca="1" si="1778"/>
        <v>20027.616109238239</v>
      </c>
      <c r="L1457" s="210">
        <f t="shared" ca="1" si="1778"/>
        <v>239996.84876654632</v>
      </c>
      <c r="M1457" s="210">
        <f t="shared" ca="1" si="1778"/>
        <v>378282.62228927377</v>
      </c>
      <c r="N1457" s="210">
        <f t="shared" ca="1" si="1778"/>
        <v>632706.11513018364</v>
      </c>
      <c r="O1457" s="210">
        <f t="shared" ca="1" si="1778"/>
        <v>1072443.4038233669</v>
      </c>
      <c r="P1457" s="210">
        <f t="shared" ca="1" si="1778"/>
        <v>5028706.2840788569</v>
      </c>
      <c r="Q1457" s="210">
        <f t="shared" ca="1" si="1778"/>
        <v>14337118.653453857</v>
      </c>
      <c r="R1457" s="35"/>
      <c r="S1457" s="51"/>
    </row>
    <row r="1458" spans="1:24" ht="10.5" outlineLevel="1" x14ac:dyDescent="0.25">
      <c r="A1458" s="35" t="str">
        <f ca="1">Language!A$762</f>
        <v>Денежные средства на конец периода</v>
      </c>
      <c r="B1458" s="294"/>
      <c r="C1458" s="293" t="str">
        <f ca="1">CUR_Report</f>
        <v>руб.</v>
      </c>
      <c r="D1458" s="16" t="s">
        <v>384</v>
      </c>
      <c r="E1458" s="180">
        <f>F57*IF(B37=1,1,F$88)/IF(CUR_I_Report=2,F$88,1)</f>
        <v>0</v>
      </c>
      <c r="F1458" s="58">
        <f t="shared" ref="F1458:Q1458" ca="1" si="1779">F1456+E1458</f>
        <v>41283.684478371404</v>
      </c>
      <c r="G1458" s="58">
        <f t="shared" ca="1" si="1779"/>
        <v>52186.804602166172</v>
      </c>
      <c r="H1458" s="58">
        <f t="shared" ca="1" si="1779"/>
        <v>41882.190303205512</v>
      </c>
      <c r="I1458" s="58">
        <f t="shared" ca="1" si="1779"/>
        <v>31658.111742054811</v>
      </c>
      <c r="J1458" s="58">
        <f t="shared" ca="1" si="1779"/>
        <v>20027.616109238239</v>
      </c>
      <c r="K1458" s="58">
        <f t="shared" ca="1" si="1779"/>
        <v>239996.84876654632</v>
      </c>
      <c r="L1458" s="58">
        <f t="shared" ca="1" si="1779"/>
        <v>378282.62228927377</v>
      </c>
      <c r="M1458" s="58">
        <f t="shared" ca="1" si="1779"/>
        <v>632706.11513018364</v>
      </c>
      <c r="N1458" s="58">
        <f t="shared" ca="1" si="1779"/>
        <v>1072443.4038233669</v>
      </c>
      <c r="O1458" s="58">
        <f t="shared" ca="1" si="1779"/>
        <v>5028706.2840788569</v>
      </c>
      <c r="P1458" s="58">
        <f t="shared" ca="1" si="1779"/>
        <v>14337118.653453857</v>
      </c>
      <c r="Q1458" s="58">
        <f t="shared" ca="1" si="1779"/>
        <v>24800866.549703859</v>
      </c>
      <c r="R1458" s="35"/>
      <c r="S1458" s="51"/>
    </row>
    <row r="1459" spans="1:24" ht="10.5" outlineLevel="1" x14ac:dyDescent="0.25">
      <c r="A1459" s="63"/>
      <c r="B1459" s="63"/>
      <c r="C1459" s="63"/>
      <c r="D1459" s="63"/>
      <c r="E1459" s="63"/>
      <c r="F1459" s="63"/>
      <c r="G1459" s="63"/>
      <c r="H1459" s="63"/>
      <c r="I1459" s="63"/>
      <c r="J1459" s="63"/>
      <c r="K1459" s="63"/>
      <c r="L1459" s="63"/>
      <c r="M1459" s="63"/>
      <c r="N1459" s="63"/>
      <c r="O1459" s="63"/>
      <c r="P1459" s="63"/>
      <c r="Q1459" s="63"/>
      <c r="R1459" s="63"/>
      <c r="S1459" s="64"/>
      <c r="T1459" s="58"/>
      <c r="U1459" s="58"/>
      <c r="V1459" s="58"/>
      <c r="W1459" s="58"/>
      <c r="X1459" s="58"/>
    </row>
    <row r="1460" spans="1:24" outlineLevel="1" x14ac:dyDescent="0.2">
      <c r="A1460" s="22" t="str">
        <f ca="1">Language!A$763 &amp; ", " &amp; Проект!CUR_Report</f>
        <v>График: Движение денежных средств, руб.</v>
      </c>
      <c r="B1460" s="19"/>
      <c r="C1460" s="19"/>
      <c r="D1460" s="19"/>
      <c r="E1460" s="19"/>
      <c r="F1460" s="19"/>
      <c r="G1460" s="19"/>
      <c r="H1460" s="19"/>
      <c r="I1460" s="19"/>
      <c r="J1460" s="19"/>
      <c r="K1460" s="19"/>
      <c r="L1460" s="19"/>
      <c r="M1460" s="19"/>
      <c r="N1460" s="19"/>
      <c r="O1460" s="19"/>
      <c r="P1460" s="19"/>
      <c r="Q1460" s="19"/>
      <c r="R1460" s="19"/>
      <c r="S1460" s="22"/>
    </row>
    <row r="1461" spans="1:24" outlineLevel="1" x14ac:dyDescent="0.2"/>
    <row r="1462" spans="1:24" outlineLevel="1" x14ac:dyDescent="0.2"/>
    <row r="1463" spans="1:24" outlineLevel="1" x14ac:dyDescent="0.2"/>
    <row r="1464" spans="1:24" outlineLevel="1" x14ac:dyDescent="0.2"/>
    <row r="1465" spans="1:24" outlineLevel="1" x14ac:dyDescent="0.2"/>
    <row r="1466" spans="1:24" outlineLevel="1" x14ac:dyDescent="0.2"/>
    <row r="1467" spans="1:24" outlineLevel="1" x14ac:dyDescent="0.2"/>
    <row r="1468" spans="1:24" outlineLevel="1" x14ac:dyDescent="0.2"/>
    <row r="1469" spans="1:24" outlineLevel="1" x14ac:dyDescent="0.2"/>
    <row r="1470" spans="1:24" outlineLevel="1" x14ac:dyDescent="0.2"/>
    <row r="1471" spans="1:24" outlineLevel="1" x14ac:dyDescent="0.2"/>
    <row r="1472" spans="1:24" outlineLevel="1" x14ac:dyDescent="0.2"/>
    <row r="1473" spans="1:19" outlineLevel="1" x14ac:dyDescent="0.2"/>
    <row r="1474" spans="1:19" outlineLevel="1" x14ac:dyDescent="0.2">
      <c r="S1474"/>
    </row>
    <row r="1475" spans="1:19" outlineLevel="1" x14ac:dyDescent="0.2">
      <c r="S1475"/>
    </row>
    <row r="1476" spans="1:19" outlineLevel="2" x14ac:dyDescent="0.2">
      <c r="S1476"/>
    </row>
    <row r="1477" spans="1:19" outlineLevel="2" x14ac:dyDescent="0.2">
      <c r="S1477"/>
    </row>
    <row r="1478" spans="1:19" outlineLevel="2" x14ac:dyDescent="0.2">
      <c r="S1478"/>
    </row>
    <row r="1479" spans="1:19" outlineLevel="2" x14ac:dyDescent="0.2">
      <c r="S1479"/>
    </row>
    <row r="1480" spans="1:19" outlineLevel="2" x14ac:dyDescent="0.2">
      <c r="S1480"/>
    </row>
    <row r="1481" spans="1:19" outlineLevel="2" x14ac:dyDescent="0.2">
      <c r="S1481"/>
    </row>
    <row r="1482" spans="1:19" outlineLevel="2" x14ac:dyDescent="0.2">
      <c r="S1482"/>
    </row>
    <row r="1483" spans="1:19" outlineLevel="2" x14ac:dyDescent="0.2">
      <c r="S1483"/>
    </row>
    <row r="1484" spans="1:19" outlineLevel="2" x14ac:dyDescent="0.2">
      <c r="S1484"/>
    </row>
    <row r="1485" spans="1:19" outlineLevel="2" x14ac:dyDescent="0.2">
      <c r="A1485" s="11" t="str">
        <f ca="1">Language!A$764 &amp; ", " &amp; Проект!CUR_Report</f>
        <v>График: Остаток денежных средств, руб.</v>
      </c>
      <c r="S1485"/>
    </row>
    <row r="1486" spans="1:19" outlineLevel="2" x14ac:dyDescent="0.2">
      <c r="S1486"/>
    </row>
    <row r="1487" spans="1:19" outlineLevel="2" x14ac:dyDescent="0.2">
      <c r="S1487"/>
    </row>
    <row r="1488" spans="1:19" outlineLevel="2" x14ac:dyDescent="0.2">
      <c r="S1488"/>
    </row>
    <row r="1489" spans="19:19" outlineLevel="2" x14ac:dyDescent="0.2">
      <c r="S1489"/>
    </row>
    <row r="1490" spans="19:19" outlineLevel="2" x14ac:dyDescent="0.2">
      <c r="S1490"/>
    </row>
    <row r="1491" spans="19:19" outlineLevel="2" x14ac:dyDescent="0.2">
      <c r="S1491"/>
    </row>
    <row r="1492" spans="19:19" outlineLevel="2" x14ac:dyDescent="0.2">
      <c r="S1492"/>
    </row>
    <row r="1493" spans="19:19" outlineLevel="2" x14ac:dyDescent="0.2">
      <c r="S1493"/>
    </row>
    <row r="1494" spans="19:19" outlineLevel="2" x14ac:dyDescent="0.2">
      <c r="S1494"/>
    </row>
    <row r="1495" spans="19:19" outlineLevel="2" x14ac:dyDescent="0.2">
      <c r="S1495"/>
    </row>
    <row r="1496" spans="19:19" outlineLevel="2" x14ac:dyDescent="0.2">
      <c r="S1496"/>
    </row>
    <row r="1497" spans="19:19" outlineLevel="2" x14ac:dyDescent="0.2">
      <c r="S1497"/>
    </row>
    <row r="1498" spans="19:19" outlineLevel="2" x14ac:dyDescent="0.2">
      <c r="S1498"/>
    </row>
    <row r="1499" spans="19:19" outlineLevel="1" x14ac:dyDescent="0.2">
      <c r="S1499"/>
    </row>
    <row r="1500" spans="19:19" outlineLevel="1" x14ac:dyDescent="0.2">
      <c r="S1500"/>
    </row>
    <row r="1501" spans="19:19" outlineLevel="2" x14ac:dyDescent="0.2">
      <c r="S1501"/>
    </row>
    <row r="1502" spans="19:19" outlineLevel="2" x14ac:dyDescent="0.2">
      <c r="S1502"/>
    </row>
    <row r="1503" spans="19:19" outlineLevel="2" x14ac:dyDescent="0.2">
      <c r="S1503"/>
    </row>
    <row r="1504" spans="19:19" outlineLevel="2" x14ac:dyDescent="0.2">
      <c r="S1504"/>
    </row>
    <row r="1505" spans="1:19" outlineLevel="2" x14ac:dyDescent="0.2">
      <c r="S1505"/>
    </row>
    <row r="1506" spans="1:19" outlineLevel="2" x14ac:dyDescent="0.2"/>
    <row r="1507" spans="1:19" outlineLevel="2" x14ac:dyDescent="0.2"/>
    <row r="1508" spans="1:19" outlineLevel="2" x14ac:dyDescent="0.2"/>
    <row r="1509" spans="1:19" outlineLevel="2" x14ac:dyDescent="0.2"/>
    <row r="1510" spans="1:19" outlineLevel="2" x14ac:dyDescent="0.2">
      <c r="A1510" s="22" t="str">
        <f ca="1">Language!A$1006 &amp; ", " &amp; Проект!CUR_Report</f>
        <v>График: Движение денег по кредитам, руб.</v>
      </c>
      <c r="B1510" s="19"/>
      <c r="C1510" s="19"/>
      <c r="D1510" s="19"/>
      <c r="E1510" s="19"/>
      <c r="F1510" s="19"/>
      <c r="G1510" s="19"/>
      <c r="H1510" s="19"/>
      <c r="I1510" s="19"/>
      <c r="J1510" s="19"/>
      <c r="K1510" s="19"/>
      <c r="L1510" s="19"/>
      <c r="M1510" s="19"/>
      <c r="N1510" s="19"/>
      <c r="O1510" s="19"/>
      <c r="P1510" s="19"/>
      <c r="Q1510" s="19"/>
      <c r="R1510" s="19"/>
      <c r="S1510" s="22"/>
    </row>
    <row r="1511" spans="1:19" outlineLevel="2" x14ac:dyDescent="0.2"/>
    <row r="1512" spans="1:19" outlineLevel="2" x14ac:dyDescent="0.2"/>
    <row r="1513" spans="1:19" outlineLevel="2" x14ac:dyDescent="0.2"/>
    <row r="1514" spans="1:19" outlineLevel="2" x14ac:dyDescent="0.2"/>
    <row r="1515" spans="1:19" outlineLevel="2" x14ac:dyDescent="0.2"/>
    <row r="1516" spans="1:19" outlineLevel="2" x14ac:dyDescent="0.2"/>
    <row r="1517" spans="1:19" outlineLevel="2" x14ac:dyDescent="0.2"/>
    <row r="1518" spans="1:19" outlineLevel="2" x14ac:dyDescent="0.2"/>
    <row r="1519" spans="1:19" outlineLevel="2" x14ac:dyDescent="0.2"/>
    <row r="1520" spans="1:19" outlineLevel="2" x14ac:dyDescent="0.2"/>
    <row r="1521" spans="1:19" outlineLevel="2" x14ac:dyDescent="0.2"/>
    <row r="1522" spans="1:19" outlineLevel="2" x14ac:dyDescent="0.2">
      <c r="S1522"/>
    </row>
    <row r="1523" spans="1:19" outlineLevel="2" x14ac:dyDescent="0.2">
      <c r="S1523"/>
    </row>
    <row r="1524" spans="1:19" outlineLevel="1" x14ac:dyDescent="0.2">
      <c r="S1524"/>
    </row>
    <row r="1525" spans="1:19" outlineLevel="1" x14ac:dyDescent="0.2">
      <c r="S1525"/>
    </row>
    <row r="1526" spans="1:19" outlineLevel="2" x14ac:dyDescent="0.2">
      <c r="S1526"/>
    </row>
    <row r="1527" spans="1:19" outlineLevel="2" x14ac:dyDescent="0.2">
      <c r="S1527"/>
    </row>
    <row r="1528" spans="1:19" outlineLevel="2" x14ac:dyDescent="0.2">
      <c r="S1528"/>
    </row>
    <row r="1529" spans="1:19" outlineLevel="2" x14ac:dyDescent="0.2">
      <c r="S1529"/>
    </row>
    <row r="1530" spans="1:19" outlineLevel="2" x14ac:dyDescent="0.2">
      <c r="S1530"/>
    </row>
    <row r="1531" spans="1:19" outlineLevel="2" x14ac:dyDescent="0.2">
      <c r="S1531"/>
    </row>
    <row r="1532" spans="1:19" outlineLevel="2" x14ac:dyDescent="0.2">
      <c r="S1532"/>
    </row>
    <row r="1533" spans="1:19" outlineLevel="2" x14ac:dyDescent="0.2">
      <c r="S1533"/>
    </row>
    <row r="1534" spans="1:19" outlineLevel="2" x14ac:dyDescent="0.2">
      <c r="S1534"/>
    </row>
    <row r="1535" spans="1:19" outlineLevel="2" x14ac:dyDescent="0.2">
      <c r="A1535" s="11" t="str">
        <f ca="1">Language!A$1008 &amp; ", " &amp; Проект!CUR_Report</f>
        <v>График: Поступления от продаж, руб.</v>
      </c>
      <c r="S1535"/>
    </row>
    <row r="1536" spans="1:19" outlineLevel="2" x14ac:dyDescent="0.2">
      <c r="S1536"/>
    </row>
    <row r="1537" spans="19:19" outlineLevel="2" x14ac:dyDescent="0.2">
      <c r="S1537"/>
    </row>
    <row r="1538" spans="19:19" outlineLevel="2" x14ac:dyDescent="0.2">
      <c r="S1538"/>
    </row>
    <row r="1539" spans="19:19" outlineLevel="2" x14ac:dyDescent="0.2">
      <c r="S1539"/>
    </row>
    <row r="1540" spans="19:19" outlineLevel="2" x14ac:dyDescent="0.2">
      <c r="S1540"/>
    </row>
    <row r="1541" spans="19:19" outlineLevel="2" x14ac:dyDescent="0.2">
      <c r="S1541"/>
    </row>
    <row r="1542" spans="19:19" outlineLevel="2" x14ac:dyDescent="0.2">
      <c r="S1542"/>
    </row>
    <row r="1543" spans="19:19" outlineLevel="2" x14ac:dyDescent="0.2">
      <c r="S1543"/>
    </row>
    <row r="1544" spans="19:19" outlineLevel="2" x14ac:dyDescent="0.2">
      <c r="S1544"/>
    </row>
    <row r="1545" spans="19:19" outlineLevel="2" x14ac:dyDescent="0.2">
      <c r="S1545"/>
    </row>
    <row r="1546" spans="19:19" outlineLevel="2" x14ac:dyDescent="0.2">
      <c r="S1546"/>
    </row>
    <row r="1547" spans="19:19" outlineLevel="2" x14ac:dyDescent="0.2">
      <c r="S1547"/>
    </row>
    <row r="1548" spans="19:19" outlineLevel="2" x14ac:dyDescent="0.2">
      <c r="S1548"/>
    </row>
    <row r="1549" spans="19:19" outlineLevel="1" x14ac:dyDescent="0.2">
      <c r="S1549"/>
    </row>
    <row r="1550" spans="19:19" outlineLevel="1" x14ac:dyDescent="0.2">
      <c r="S1550"/>
    </row>
    <row r="1551" spans="19:19" outlineLevel="2" x14ac:dyDescent="0.2">
      <c r="S1551"/>
    </row>
    <row r="1552" spans="19:19" outlineLevel="2" x14ac:dyDescent="0.2">
      <c r="S1552"/>
    </row>
    <row r="1553" spans="1:19" outlineLevel="2" x14ac:dyDescent="0.2">
      <c r="S1553"/>
    </row>
    <row r="1554" spans="1:19" outlineLevel="2" x14ac:dyDescent="0.2"/>
    <row r="1555" spans="1:19" outlineLevel="2" x14ac:dyDescent="0.2"/>
    <row r="1556" spans="1:19" outlineLevel="2" x14ac:dyDescent="0.2"/>
    <row r="1557" spans="1:19" outlineLevel="2" x14ac:dyDescent="0.2"/>
    <row r="1558" spans="1:19" outlineLevel="2" x14ac:dyDescent="0.2"/>
    <row r="1559" spans="1:19" outlineLevel="2" x14ac:dyDescent="0.2"/>
    <row r="1560" spans="1:19" outlineLevel="2" x14ac:dyDescent="0.2"/>
    <row r="1561" spans="1:19" ht="10.5" outlineLevel="2" thickBot="1" x14ac:dyDescent="0.25">
      <c r="A1561" s="166" t="str">
        <f ca="1">Language!A765</f>
        <v xml:space="preserve">         БАЛАНС</v>
      </c>
      <c r="B1561" s="166"/>
      <c r="C1561" s="166"/>
      <c r="D1561" s="166"/>
      <c r="E1561" s="166"/>
      <c r="F1561" s="178" t="str">
        <f t="shared" ref="F1561:Q1561" si="1780">PeriodTitle</f>
        <v>4/ 2024</v>
      </c>
      <c r="G1561" s="178" t="str">
        <f t="shared" si="1780"/>
        <v>5/ 2024</v>
      </c>
      <c r="H1561" s="178" t="str">
        <f t="shared" si="1780"/>
        <v>6/ 2024</v>
      </c>
      <c r="I1561" s="178" t="str">
        <f t="shared" si="1780"/>
        <v>7/ 2024</v>
      </c>
      <c r="J1561" s="178" t="str">
        <f t="shared" si="1780"/>
        <v>8/ 2024</v>
      </c>
      <c r="K1561" s="178" t="str">
        <f t="shared" si="1780"/>
        <v>9/ 2024</v>
      </c>
      <c r="L1561" s="178" t="str">
        <f t="shared" si="1780"/>
        <v>10/ 2024</v>
      </c>
      <c r="M1561" s="178" t="str">
        <f t="shared" si="1780"/>
        <v>11/ 2024</v>
      </c>
      <c r="N1561" s="178" t="str">
        <f t="shared" si="1780"/>
        <v>12/ 2024</v>
      </c>
      <c r="O1561" s="178" t="str">
        <f t="shared" si="1780"/>
        <v>1/ 2025</v>
      </c>
      <c r="P1561" s="178" t="str">
        <f t="shared" si="1780"/>
        <v>2/ 2025</v>
      </c>
      <c r="Q1561" s="178" t="str">
        <f t="shared" si="1780"/>
        <v>3/ 2025</v>
      </c>
      <c r="R1561" s="166"/>
      <c r="S1561" s="110"/>
    </row>
    <row r="1562" spans="1:19" ht="10.5" outlineLevel="2" thickTop="1" x14ac:dyDescent="0.2"/>
    <row r="1563" spans="1:19" outlineLevel="2" x14ac:dyDescent="0.2">
      <c r="A1563" t="str">
        <f ca="1">Language!A$766</f>
        <v>Денежные средства</v>
      </c>
      <c r="C1563" s="5" t="str">
        <f t="shared" ref="C1563:C1572" ca="1" si="1781">CUR_Report</f>
        <v>руб.</v>
      </c>
      <c r="D1563" s="16" t="s">
        <v>384</v>
      </c>
      <c r="F1563" s="53">
        <f ca="1">F1458+F1165/IF(CUR_I_Report=2,F$88,1)</f>
        <v>733387.6844783714</v>
      </c>
      <c r="G1563" s="53">
        <f ca="1">G1458+G1165/IF(CUR_I_Report=2,G$88,1)</f>
        <v>648530.80460216617</v>
      </c>
      <c r="H1563" s="53">
        <f ca="1">H1458+H1165/IF(CUR_I_Report=2,H$88,1)</f>
        <v>638229.29567820544</v>
      </c>
      <c r="I1563" s="53">
        <f ca="1">I1458+I1165/IF(CUR_I_Report=2,I$88,1)</f>
        <v>628017.63861705491</v>
      </c>
      <c r="J1563" s="53">
        <f ca="1">J1458+J1165/IF(CUR_I_Report=2,J$88,1)</f>
        <v>616402.66985923832</v>
      </c>
      <c r="K1563" s="53">
        <f ca="1">K1458+K1165/IF(CUR_I_Report=2,K$88,1)</f>
        <v>836402.95626654627</v>
      </c>
      <c r="L1563" s="53">
        <f ca="1">L1458+L1165/IF(CUR_I_Report=2,L$88,1)</f>
        <v>974719.78353927389</v>
      </c>
      <c r="M1563" s="53">
        <f ca="1">M1458+M1165/IF(CUR_I_Report=2,M$88,1)</f>
        <v>1229174.3301301836</v>
      </c>
      <c r="N1563" s="53">
        <f ca="1">N1458+N1165/IF(CUR_I_Report=2,N$88,1)</f>
        <v>1668958.1994483669</v>
      </c>
      <c r="O1563" s="53">
        <f ca="1">O1458+O1165/IF(CUR_I_Report=2,O$88,1)</f>
        <v>5625283.1872038571</v>
      </c>
      <c r="P1563" s="53">
        <f ca="1">P1458+P1165/IF(CUR_I_Report=2,P$88,1)</f>
        <v>14933742.137203857</v>
      </c>
      <c r="Q1563" s="53">
        <f ca="1">Q1458+Q1165/IF(CUR_I_Report=2,Q$88,1)</f>
        <v>25397521.08720386</v>
      </c>
    </row>
    <row r="1564" spans="1:19" outlineLevel="2" x14ac:dyDescent="0.2">
      <c r="A1564" t="str">
        <f ca="1">Language!A$767</f>
        <v>Дебиторская задолженность</v>
      </c>
      <c r="C1564" s="5" t="str">
        <f t="shared" ca="1" si="1781"/>
        <v>руб.</v>
      </c>
      <c r="D1564" s="16" t="s">
        <v>384</v>
      </c>
      <c r="F1564" s="53">
        <f>F1134/IF(CUR_I_Report=2,F$88,1)</f>
        <v>0</v>
      </c>
      <c r="G1564" s="53">
        <f>G1134/IF(CUR_I_Report=2,G$88,1)</f>
        <v>0</v>
      </c>
      <c r="H1564" s="53">
        <f>H1134/IF(CUR_I_Report=2,H$88,1)</f>
        <v>0</v>
      </c>
      <c r="I1564" s="53">
        <f>I1134/IF(CUR_I_Report=2,I$88,1)</f>
        <v>0</v>
      </c>
      <c r="J1564" s="53">
        <f>J1134/IF(CUR_I_Report=2,J$88,1)</f>
        <v>0</v>
      </c>
      <c r="K1564" s="53">
        <f>K1134/IF(CUR_I_Report=2,K$88,1)</f>
        <v>0</v>
      </c>
      <c r="L1564" s="53">
        <f>L1134/IF(CUR_I_Report=2,L$88,1)</f>
        <v>0</v>
      </c>
      <c r="M1564" s="53">
        <f>M1134/IF(CUR_I_Report=2,M$88,1)</f>
        <v>0</v>
      </c>
      <c r="N1564" s="53">
        <f>N1134/IF(CUR_I_Report=2,N$88,1)</f>
        <v>0</v>
      </c>
      <c r="O1564" s="53">
        <f>O1134/IF(CUR_I_Report=2,O$88,1)</f>
        <v>0</v>
      </c>
      <c r="P1564" s="53">
        <f>P1134/IF(CUR_I_Report=2,P$88,1)</f>
        <v>0</v>
      </c>
      <c r="Q1564" s="53">
        <f>Q1134/IF(CUR_I_Report=2,Q$88,1)</f>
        <v>0</v>
      </c>
    </row>
    <row r="1565" spans="1:19" outlineLevel="2" x14ac:dyDescent="0.2">
      <c r="A1565" t="str">
        <f ca="1">Language!A$768</f>
        <v>Авансы уплаченные</v>
      </c>
      <c r="C1565" s="5" t="str">
        <f t="shared" ca="1" si="1781"/>
        <v>руб.</v>
      </c>
      <c r="D1565" s="16" t="s">
        <v>384</v>
      </c>
      <c r="F1565" s="53">
        <f ca="1">(F440+F479+F489+F1149+MAX(F530,0))/IF(CUR_I_Report=2,F$88,1)</f>
        <v>0</v>
      </c>
      <c r="G1565" s="53">
        <f ca="1">(G440+G479+G489+G1149+MAX(G530,0))/IF(CUR_I_Report=2,G$88,1)</f>
        <v>0</v>
      </c>
      <c r="H1565" s="53">
        <f ca="1">(H440+H479+H489+H1149+MAX(H530,0))/IF(CUR_I_Report=2,H$88,1)</f>
        <v>0</v>
      </c>
      <c r="I1565" s="53">
        <f ca="1">(I440+I479+I489+I1149+MAX(I530,0))/IF(CUR_I_Report=2,I$88,1)</f>
        <v>0</v>
      </c>
      <c r="J1565" s="53">
        <f ca="1">(J440+J479+J489+J1149+MAX(J530,0))/IF(CUR_I_Report=2,J$88,1)</f>
        <v>0</v>
      </c>
      <c r="K1565" s="53">
        <f ca="1">(K440+K479+K489+K1149+MAX(K530,0))/IF(CUR_I_Report=2,K$88,1)</f>
        <v>0</v>
      </c>
      <c r="L1565" s="53">
        <f ca="1">(L440+L479+L489+L1149+MAX(L530,0))/IF(CUR_I_Report=2,L$88,1)</f>
        <v>0</v>
      </c>
      <c r="M1565" s="53">
        <f ca="1">(M440+M479+M489+M1149+MAX(M530,0))/IF(CUR_I_Report=2,M$88,1)</f>
        <v>0</v>
      </c>
      <c r="N1565" s="53">
        <f ca="1">(N440+N479+N489+N1149+MAX(N530,0))/IF(CUR_I_Report=2,N$88,1)</f>
        <v>0</v>
      </c>
      <c r="O1565" s="53">
        <f ca="1">(O440+O479+O489+O1149+MAX(O530,0))/IF(CUR_I_Report=2,O$88,1)</f>
        <v>0</v>
      </c>
      <c r="P1565" s="53">
        <f ca="1">(P440+P479+P489+P1149+MAX(P530,0))/IF(CUR_I_Report=2,P$88,1)</f>
        <v>0</v>
      </c>
      <c r="Q1565" s="53">
        <f ca="1">(Q440+Q479+Q489+Q1149+MAX(Q530,0))/IF(CUR_I_Report=2,Q$88,1)</f>
        <v>0</v>
      </c>
    </row>
    <row r="1566" spans="1:19" outlineLevel="2" x14ac:dyDescent="0.2">
      <c r="A1566" t="str">
        <f ca="1">Language!A$769</f>
        <v>Готовая продукция</v>
      </c>
      <c r="C1566" s="5" t="str">
        <f t="shared" ca="1" si="1781"/>
        <v>руб.</v>
      </c>
      <c r="D1566" s="16" t="s">
        <v>384</v>
      </c>
      <c r="F1566" s="53">
        <f>F1124/IF(CUR_I_Report=2,F$88,1)</f>
        <v>0</v>
      </c>
      <c r="G1566" s="53">
        <f>G1124/IF(CUR_I_Report=2,G$88,1)</f>
        <v>0</v>
      </c>
      <c r="H1566" s="53">
        <f>H1124/IF(CUR_I_Report=2,H$88,1)</f>
        <v>0</v>
      </c>
      <c r="I1566" s="53">
        <f>I1124/IF(CUR_I_Report=2,I$88,1)</f>
        <v>0</v>
      </c>
      <c r="J1566" s="53">
        <f>J1124/IF(CUR_I_Report=2,J$88,1)</f>
        <v>0</v>
      </c>
      <c r="K1566" s="53">
        <f>K1124/IF(CUR_I_Report=2,K$88,1)</f>
        <v>0</v>
      </c>
      <c r="L1566" s="53">
        <f>L1124/IF(CUR_I_Report=2,L$88,1)</f>
        <v>0</v>
      </c>
      <c r="M1566" s="53">
        <f>M1124/IF(CUR_I_Report=2,M$88,1)</f>
        <v>0</v>
      </c>
      <c r="N1566" s="53">
        <f>N1124/IF(CUR_I_Report=2,N$88,1)</f>
        <v>0</v>
      </c>
      <c r="O1566" s="53">
        <f>O1124/IF(CUR_I_Report=2,O$88,1)</f>
        <v>0</v>
      </c>
      <c r="P1566" s="53">
        <f>P1124/IF(CUR_I_Report=2,P$88,1)</f>
        <v>0</v>
      </c>
      <c r="Q1566" s="53">
        <f>Q1124/IF(CUR_I_Report=2,Q$88,1)</f>
        <v>0</v>
      </c>
    </row>
    <row r="1567" spans="1:19" outlineLevel="2" x14ac:dyDescent="0.2">
      <c r="A1567" t="str">
        <f ca="1">Language!A$770</f>
        <v>Незавершенное производство</v>
      </c>
      <c r="C1567" s="5" t="str">
        <f t="shared" ca="1" si="1781"/>
        <v>руб.</v>
      </c>
      <c r="D1567" s="16" t="s">
        <v>384</v>
      </c>
      <c r="F1567" s="53">
        <f>F1120/IF(CUR_I_Report=2,F$88,1)</f>
        <v>0</v>
      </c>
      <c r="G1567" s="53">
        <f>G1120/IF(CUR_I_Report=2,G$88,1)</f>
        <v>0</v>
      </c>
      <c r="H1567" s="53">
        <f>H1120/IF(CUR_I_Report=2,H$88,1)</f>
        <v>26.6175</v>
      </c>
      <c r="I1567" s="53">
        <f>I1120/IF(CUR_I_Report=2,I$88,1)</f>
        <v>133.08750000000001</v>
      </c>
      <c r="J1567" s="53">
        <f>J1120/IF(CUR_I_Report=2,J$88,1)</f>
        <v>266.17500000000001</v>
      </c>
      <c r="K1567" s="53">
        <f>K1120/IF(CUR_I_Report=2,K$88,1)</f>
        <v>532.35</v>
      </c>
      <c r="L1567" s="53">
        <f>L1120/IF(CUR_I_Report=2,L$88,1)</f>
        <v>798.52499999999998</v>
      </c>
      <c r="M1567" s="53">
        <f>M1120/IF(CUR_I_Report=2,M$88,1)</f>
        <v>1064.7</v>
      </c>
      <c r="N1567" s="53">
        <f>N1120/IF(CUR_I_Report=2,N$88,1)</f>
        <v>1463.9625000000001</v>
      </c>
      <c r="O1567" s="53">
        <f>O1120/IF(CUR_I_Report=2,O$88,1)</f>
        <v>1996.3125</v>
      </c>
      <c r="P1567" s="53">
        <f>P1120/IF(CUR_I_Report=2,P$88,1)</f>
        <v>2395.5750000000003</v>
      </c>
      <c r="Q1567" s="53">
        <f>Q1120/IF(CUR_I_Report=2,Q$88,1)</f>
        <v>2661.7500000000005</v>
      </c>
    </row>
    <row r="1568" spans="1:19" outlineLevel="2" x14ac:dyDescent="0.2">
      <c r="A1568" t="str">
        <f ca="1">Language!A$771</f>
        <v>Материалы и комплектующие</v>
      </c>
      <c r="C1568" s="5" t="str">
        <f t="shared" ca="1" si="1781"/>
        <v>руб.</v>
      </c>
      <c r="D1568" s="16" t="s">
        <v>384</v>
      </c>
      <c r="F1568" s="53">
        <f>F1116/IF(CUR_I_Report=2,F$88,1)</f>
        <v>0</v>
      </c>
      <c r="G1568" s="53">
        <f>G1116/IF(CUR_I_Report=2,G$88,1)</f>
        <v>0</v>
      </c>
      <c r="H1568" s="53">
        <f>H1116/IF(CUR_I_Report=2,H$88,1)</f>
        <v>0</v>
      </c>
      <c r="I1568" s="53">
        <f>I1116/IF(CUR_I_Report=2,I$88,1)</f>
        <v>0</v>
      </c>
      <c r="J1568" s="53">
        <f>J1116/IF(CUR_I_Report=2,J$88,1)</f>
        <v>0</v>
      </c>
      <c r="K1568" s="53">
        <f>K1116/IF(CUR_I_Report=2,K$88,1)</f>
        <v>0</v>
      </c>
      <c r="L1568" s="53">
        <f>L1116/IF(CUR_I_Report=2,L$88,1)</f>
        <v>0</v>
      </c>
      <c r="M1568" s="53">
        <f>M1116/IF(CUR_I_Report=2,M$88,1)</f>
        <v>0</v>
      </c>
      <c r="N1568" s="53">
        <f>N1116/IF(CUR_I_Report=2,N$88,1)</f>
        <v>0</v>
      </c>
      <c r="O1568" s="53">
        <f>O1116/IF(CUR_I_Report=2,O$88,1)</f>
        <v>0</v>
      </c>
      <c r="P1568" s="53">
        <f>P1116/IF(CUR_I_Report=2,P$88,1)</f>
        <v>0</v>
      </c>
      <c r="Q1568" s="53">
        <f>Q1116/IF(CUR_I_Report=2,Q$88,1)</f>
        <v>0</v>
      </c>
    </row>
    <row r="1569" spans="1:19" outlineLevel="2" x14ac:dyDescent="0.2">
      <c r="A1569" t="str">
        <f ca="1">Language!A$772</f>
        <v>НДС на приобретенные товары</v>
      </c>
      <c r="C1569" s="5" t="str">
        <f t="shared" ca="1" si="1781"/>
        <v>руб.</v>
      </c>
      <c r="D1569" s="16" t="s">
        <v>384</v>
      </c>
      <c r="F1569" s="53">
        <f ca="1">((F128+F131)+MAX(0,$B412-$B422-$B424))/IF(CUR_I_Report=2,F$88,1)</f>
        <v>0</v>
      </c>
      <c r="G1569" s="53">
        <f ca="1">((G128+G131)+MAX(0,$B412-$B422-$B424))/IF(CUR_I_Report=2,G$88,1)</f>
        <v>0</v>
      </c>
      <c r="H1569" s="53">
        <f ca="1">((H128+H131)+MAX(0,$B412-$B422-$B424))/IF(CUR_I_Report=2,H$88,1)</f>
        <v>0</v>
      </c>
      <c r="I1569" s="53">
        <f ca="1">((I128+I131)+MAX(0,$B412-$B422-$B424))/IF(CUR_I_Report=2,I$88,1)</f>
        <v>0</v>
      </c>
      <c r="J1569" s="53">
        <f ca="1">((J128+J131)+MAX(0,$B412-$B422-$B424))/IF(CUR_I_Report=2,J$88,1)</f>
        <v>0</v>
      </c>
      <c r="K1569" s="53">
        <f ca="1">((K128+K131)+MAX(0,$B412-$B422-$B424))/IF(CUR_I_Report=2,K$88,1)</f>
        <v>0</v>
      </c>
      <c r="L1569" s="53">
        <f ca="1">((L128+L131)+MAX(0,$B412-$B422-$B424))/IF(CUR_I_Report=2,L$88,1)</f>
        <v>0</v>
      </c>
      <c r="M1569" s="53">
        <f ca="1">((M128+M131)+MAX(0,$B412-$B422-$B424))/IF(CUR_I_Report=2,M$88,1)</f>
        <v>0</v>
      </c>
      <c r="N1569" s="53">
        <f ca="1">((N128+N131)+MAX(0,$B412-$B422-$B424))/IF(CUR_I_Report=2,N$88,1)</f>
        <v>0</v>
      </c>
      <c r="O1569" s="53">
        <f ca="1">((O128+O131)+MAX(0,$B412-$B422-$B424))/IF(CUR_I_Report=2,O$88,1)</f>
        <v>0</v>
      </c>
      <c r="P1569" s="53">
        <f ca="1">((P128+P131)+MAX(0,$B412-$B422-$B424))/IF(CUR_I_Report=2,P$88,1)</f>
        <v>0</v>
      </c>
      <c r="Q1569" s="53">
        <f ca="1">((Q128+Q131)+MAX(0,$B412-$B422-$B424))/IF(CUR_I_Report=2,Q$88,1)</f>
        <v>0</v>
      </c>
    </row>
    <row r="1570" spans="1:19" outlineLevel="2" x14ac:dyDescent="0.2">
      <c r="A1570" t="str">
        <f ca="1">Language!A$773</f>
        <v>Расходы будущих периодов</v>
      </c>
      <c r="C1570" s="5" t="str">
        <f t="shared" ca="1" si="1781"/>
        <v>руб.</v>
      </c>
      <c r="D1570" s="16" t="s">
        <v>384</v>
      </c>
      <c r="F1570" s="53">
        <f ca="1">(F492+F267)/IF(CUR_I_Report=2,F$88,1)</f>
        <v>0</v>
      </c>
      <c r="G1570" s="53">
        <f ca="1">(G492+G267)/IF(CUR_I_Report=2,G$88,1)</f>
        <v>0</v>
      </c>
      <c r="H1570" s="53">
        <f ca="1">(H492+H267)/IF(CUR_I_Report=2,H$88,1)</f>
        <v>0</v>
      </c>
      <c r="I1570" s="53">
        <f ca="1">(I492+I267)/IF(CUR_I_Report=2,I$88,1)</f>
        <v>0</v>
      </c>
      <c r="J1570" s="53">
        <f ca="1">(J492+J267)/IF(CUR_I_Report=2,J$88,1)</f>
        <v>0</v>
      </c>
      <c r="K1570" s="53">
        <f ca="1">(K492+K267)/IF(CUR_I_Report=2,K$88,1)</f>
        <v>0</v>
      </c>
      <c r="L1570" s="53">
        <f ca="1">(L492+L267)/IF(CUR_I_Report=2,L$88,1)</f>
        <v>0</v>
      </c>
      <c r="M1570" s="53">
        <f ca="1">(M492+M267)/IF(CUR_I_Report=2,M$88,1)</f>
        <v>0</v>
      </c>
      <c r="N1570" s="53">
        <f ca="1">(N492+N267)/IF(CUR_I_Report=2,N$88,1)</f>
        <v>0</v>
      </c>
      <c r="O1570" s="53">
        <f ca="1">(O492+O267)/IF(CUR_I_Report=2,O$88,1)</f>
        <v>0</v>
      </c>
      <c r="P1570" s="53">
        <f ca="1">(P492+P267)/IF(CUR_I_Report=2,P$88,1)</f>
        <v>0</v>
      </c>
      <c r="Q1570" s="53">
        <f ca="1">(Q492+Q267)/IF(CUR_I_Report=2,Q$88,1)</f>
        <v>0</v>
      </c>
      <c r="S1570"/>
    </row>
    <row r="1571" spans="1:19" outlineLevel="2" x14ac:dyDescent="0.2">
      <c r="A1571" t="str">
        <f ca="1">Language!A$774</f>
        <v>Прочие оборотные активы</v>
      </c>
      <c r="C1571" s="5" t="str">
        <f t="shared" ca="1" si="1781"/>
        <v>руб.</v>
      </c>
      <c r="D1571" s="16" t="s">
        <v>384</v>
      </c>
      <c r="F1571" s="43">
        <f>F58*IF(B37=1,1,F$88)/IF(CUR_I_Report=2,F$88,1)</f>
        <v>0</v>
      </c>
      <c r="G1571" s="43">
        <f t="shared" ref="G1571:Q1571" si="1782">F1571</f>
        <v>0</v>
      </c>
      <c r="H1571" s="43">
        <f t="shared" si="1782"/>
        <v>0</v>
      </c>
      <c r="I1571" s="43">
        <f t="shared" si="1782"/>
        <v>0</v>
      </c>
      <c r="J1571" s="43">
        <f t="shared" si="1782"/>
        <v>0</v>
      </c>
      <c r="K1571" s="43">
        <f t="shared" si="1782"/>
        <v>0</v>
      </c>
      <c r="L1571" s="43">
        <f t="shared" si="1782"/>
        <v>0</v>
      </c>
      <c r="M1571" s="43">
        <f t="shared" si="1782"/>
        <v>0</v>
      </c>
      <c r="N1571" s="43">
        <f t="shared" si="1782"/>
        <v>0</v>
      </c>
      <c r="O1571" s="43">
        <f t="shared" si="1782"/>
        <v>0</v>
      </c>
      <c r="P1571" s="43">
        <f t="shared" si="1782"/>
        <v>0</v>
      </c>
      <c r="Q1571" s="43">
        <f t="shared" si="1782"/>
        <v>0</v>
      </c>
      <c r="S1571"/>
    </row>
    <row r="1572" spans="1:19" ht="10.5" outlineLevel="2" x14ac:dyDescent="0.25">
      <c r="A1572" s="35" t="str">
        <f ca="1">Language!A$775</f>
        <v>Суммарные оборотные активы</v>
      </c>
      <c r="C1572" s="5" t="str">
        <f t="shared" ca="1" si="1781"/>
        <v>руб.</v>
      </c>
      <c r="D1572" s="16" t="s">
        <v>384</v>
      </c>
      <c r="F1572" s="58">
        <f t="shared" ref="F1572:M1572" ca="1" si="1783">SUM(F1563:F1571)</f>
        <v>733387.6844783714</v>
      </c>
      <c r="G1572" s="58">
        <f t="shared" ca="1" si="1783"/>
        <v>648530.80460216617</v>
      </c>
      <c r="H1572" s="58">
        <f t="shared" ca="1" si="1783"/>
        <v>638255.91317820549</v>
      </c>
      <c r="I1572" s="58">
        <f t="shared" ca="1" si="1783"/>
        <v>628150.72611705493</v>
      </c>
      <c r="J1572" s="58">
        <f t="shared" ca="1" si="1783"/>
        <v>616668.84485923836</v>
      </c>
      <c r="K1572" s="58">
        <f t="shared" ca="1" si="1783"/>
        <v>836935.30626654625</v>
      </c>
      <c r="L1572" s="58">
        <f t="shared" ca="1" si="1783"/>
        <v>975518.30853927392</v>
      </c>
      <c r="M1572" s="58">
        <f t="shared" ca="1" si="1783"/>
        <v>1230239.0301301836</v>
      </c>
      <c r="N1572" s="58">
        <f t="shared" ref="N1572" ca="1" si="1784">SUM(N1563:N1571)</f>
        <v>1670422.1619483668</v>
      </c>
      <c r="O1572" s="58">
        <f t="shared" ref="O1572:Q1572" ca="1" si="1785">SUM(O1563:O1571)</f>
        <v>5627279.4997038571</v>
      </c>
      <c r="P1572" s="58">
        <f t="shared" ref="P1572:Q1572" ca="1" si="1786">SUM(P1563:P1571)</f>
        <v>14936137.712203857</v>
      </c>
      <c r="Q1572" s="58">
        <f t="shared" ca="1" si="1786"/>
        <v>25400182.83720386</v>
      </c>
      <c r="S1572"/>
    </row>
    <row r="1573" spans="1:19" outlineLevel="2" x14ac:dyDescent="0.2">
      <c r="F1573" s="43"/>
      <c r="G1573" s="43"/>
      <c r="H1573" s="43"/>
      <c r="I1573" s="43"/>
      <c r="J1573" s="43"/>
      <c r="K1573" s="43"/>
      <c r="L1573" s="43"/>
      <c r="M1573" s="43"/>
      <c r="N1573" s="43"/>
      <c r="O1573" s="43"/>
      <c r="P1573" s="43"/>
      <c r="Q1573" s="43"/>
      <c r="S1573"/>
    </row>
    <row r="1574" spans="1:19" outlineLevel="1" x14ac:dyDescent="0.2">
      <c r="A1574" t="str">
        <f ca="1">Language!A$776</f>
        <v>Внеоборотные активы</v>
      </c>
      <c r="C1574" s="5" t="str">
        <f t="shared" ref="C1574:C1581" ca="1" si="1787">CUR_Report</f>
        <v>руб.</v>
      </c>
      <c r="D1574" s="16" t="s">
        <v>384</v>
      </c>
      <c r="F1574" s="53">
        <f t="shared" ref="F1574:M1574" ca="1" si="1788">SUM(F1575:F1578)</f>
        <v>0</v>
      </c>
      <c r="G1574" s="53">
        <f t="shared" ca="1" si="1788"/>
        <v>0</v>
      </c>
      <c r="H1574" s="53">
        <f t="shared" ca="1" si="1788"/>
        <v>0</v>
      </c>
      <c r="I1574" s="53">
        <f t="shared" ca="1" si="1788"/>
        <v>0</v>
      </c>
      <c r="J1574" s="53">
        <f t="shared" ca="1" si="1788"/>
        <v>0</v>
      </c>
      <c r="K1574" s="53">
        <f t="shared" ca="1" si="1788"/>
        <v>0</v>
      </c>
      <c r="L1574" s="53">
        <f t="shared" ca="1" si="1788"/>
        <v>0</v>
      </c>
      <c r="M1574" s="53">
        <f t="shared" ca="1" si="1788"/>
        <v>0</v>
      </c>
      <c r="N1574" s="53">
        <f t="shared" ref="N1574" ca="1" si="1789">SUM(N1575:N1578)</f>
        <v>0</v>
      </c>
      <c r="O1574" s="53">
        <f t="shared" ref="O1574:Q1574" ca="1" si="1790">SUM(O1575:O1578)</f>
        <v>0</v>
      </c>
      <c r="P1574" s="53">
        <f t="shared" ref="P1574:Q1574" ca="1" si="1791">SUM(P1575:P1578)</f>
        <v>0</v>
      </c>
      <c r="Q1574" s="53">
        <f t="shared" ca="1" si="1791"/>
        <v>0</v>
      </c>
      <c r="S1574"/>
    </row>
    <row r="1575" spans="1:19" outlineLevel="1" x14ac:dyDescent="0.2">
      <c r="A1575" t="str">
        <f ca="1">Language!A$777</f>
        <v xml:space="preserve">    земельные участки</v>
      </c>
      <c r="C1575" s="5" t="str">
        <f t="shared" ca="1" si="1787"/>
        <v>руб.</v>
      </c>
      <c r="D1575" s="16" t="s">
        <v>384</v>
      </c>
      <c r="F1575" s="53">
        <f ca="1">(F433+F234)/IF(CUR_I_Report=2,F$88,1)</f>
        <v>0</v>
      </c>
      <c r="G1575" s="53">
        <f ca="1">(G433+G234)/IF(CUR_I_Report=2,G$88,1)</f>
        <v>0</v>
      </c>
      <c r="H1575" s="53">
        <f ca="1">(H433+H234)/IF(CUR_I_Report=2,H$88,1)</f>
        <v>0</v>
      </c>
      <c r="I1575" s="53">
        <f ca="1">(I433+I234)/IF(CUR_I_Report=2,I$88,1)</f>
        <v>0</v>
      </c>
      <c r="J1575" s="53">
        <f ca="1">(J433+J234)/IF(CUR_I_Report=2,J$88,1)</f>
        <v>0</v>
      </c>
      <c r="K1575" s="53">
        <f ca="1">(K433+K234)/IF(CUR_I_Report=2,K$88,1)</f>
        <v>0</v>
      </c>
      <c r="L1575" s="53">
        <f ca="1">(L433+L234)/IF(CUR_I_Report=2,L$88,1)</f>
        <v>0</v>
      </c>
      <c r="M1575" s="53">
        <f ca="1">(M433+M234)/IF(CUR_I_Report=2,M$88,1)</f>
        <v>0</v>
      </c>
      <c r="N1575" s="53">
        <f ca="1">(N433+N234)/IF(CUR_I_Report=2,N$88,1)</f>
        <v>0</v>
      </c>
      <c r="O1575" s="53">
        <f ca="1">(O433+O234)/IF(CUR_I_Report=2,O$88,1)</f>
        <v>0</v>
      </c>
      <c r="P1575" s="53">
        <f ca="1">(P433+P234)/IF(CUR_I_Report=2,P$88,1)</f>
        <v>0</v>
      </c>
      <c r="Q1575" s="53">
        <f ca="1">(Q433+Q234)/IF(CUR_I_Report=2,Q$88,1)</f>
        <v>0</v>
      </c>
      <c r="S1575"/>
    </row>
    <row r="1576" spans="1:19" s="4" customFormat="1" ht="16" customHeight="1" x14ac:dyDescent="0.2">
      <c r="A1576" t="str">
        <f ca="1">Language!A$778</f>
        <v xml:space="preserve">    здания и сооружения</v>
      </c>
      <c r="B1576"/>
      <c r="C1576" s="5" t="str">
        <f t="shared" ca="1" si="1787"/>
        <v>руб.</v>
      </c>
      <c r="D1576" s="16" t="s">
        <v>384</v>
      </c>
      <c r="E1576"/>
      <c r="F1576" s="53">
        <f ca="1">(F443+F240)/IF(CUR_I_Report=2,F$88,1)</f>
        <v>0</v>
      </c>
      <c r="G1576" s="53">
        <f ca="1">(G443+G240)/IF(CUR_I_Report=2,G$88,1)</f>
        <v>0</v>
      </c>
      <c r="H1576" s="53">
        <f ca="1">(H443+H240)/IF(CUR_I_Report=2,H$88,1)</f>
        <v>0</v>
      </c>
      <c r="I1576" s="53">
        <f ca="1">(I443+I240)/IF(CUR_I_Report=2,I$88,1)</f>
        <v>0</v>
      </c>
      <c r="J1576" s="53">
        <f ca="1">(J443+J240)/IF(CUR_I_Report=2,J$88,1)</f>
        <v>0</v>
      </c>
      <c r="K1576" s="53">
        <f ca="1">(K443+K240)/IF(CUR_I_Report=2,K$88,1)</f>
        <v>0</v>
      </c>
      <c r="L1576" s="53">
        <f ca="1">(L443+L240)/IF(CUR_I_Report=2,L$88,1)</f>
        <v>0</v>
      </c>
      <c r="M1576" s="53">
        <f ca="1">(M443+M240)/IF(CUR_I_Report=2,M$88,1)</f>
        <v>0</v>
      </c>
      <c r="N1576" s="53">
        <f ca="1">(N443+N240)/IF(CUR_I_Report=2,N$88,1)</f>
        <v>0</v>
      </c>
      <c r="O1576" s="53">
        <f ca="1">(O443+O240)/IF(CUR_I_Report=2,O$88,1)</f>
        <v>0</v>
      </c>
      <c r="P1576" s="53">
        <f ca="1">(P443+P240)/IF(CUR_I_Report=2,P$88,1)</f>
        <v>0</v>
      </c>
      <c r="Q1576" s="53">
        <f ca="1">(Q443+Q240)/IF(CUR_I_Report=2,Q$88,1)</f>
        <v>0</v>
      </c>
      <c r="R1576"/>
      <c r="S1576"/>
    </row>
    <row r="1577" spans="1:19" outlineLevel="1" x14ac:dyDescent="0.2">
      <c r="A1577" t="str">
        <f ca="1">Language!A$780</f>
        <v xml:space="preserve">    оборудование и прочие активы</v>
      </c>
      <c r="C1577" s="5" t="str">
        <f ca="1">CUR_Report</f>
        <v>руб.</v>
      </c>
      <c r="D1577" s="16" t="s">
        <v>384</v>
      </c>
      <c r="F1577" s="53">
        <f ca="1">(F456+F258+F534)/IF(CUR_I_Report=2,F$88,1)</f>
        <v>0</v>
      </c>
      <c r="G1577" s="53">
        <f ca="1">(G456+G258+G534)/IF(CUR_I_Report=2,G$88,1)</f>
        <v>0</v>
      </c>
      <c r="H1577" s="53">
        <f ca="1">(H456+H258+H534)/IF(CUR_I_Report=2,H$88,1)</f>
        <v>0</v>
      </c>
      <c r="I1577" s="53">
        <f ca="1">(I456+I258+I534)/IF(CUR_I_Report=2,I$88,1)</f>
        <v>0</v>
      </c>
      <c r="J1577" s="53">
        <f ca="1">(J456+J258+J534)/IF(CUR_I_Report=2,J$88,1)</f>
        <v>0</v>
      </c>
      <c r="K1577" s="53">
        <f ca="1">(K456+K258+K534)/IF(CUR_I_Report=2,K$88,1)</f>
        <v>0</v>
      </c>
      <c r="L1577" s="53">
        <f ca="1">(L456+L258+L534)/IF(CUR_I_Report=2,L$88,1)</f>
        <v>0</v>
      </c>
      <c r="M1577" s="53">
        <f ca="1">(M456+M258+M534)/IF(CUR_I_Report=2,M$88,1)</f>
        <v>0</v>
      </c>
      <c r="N1577" s="53">
        <f ca="1">(N456+N258+N534)/IF(CUR_I_Report=2,N$88,1)</f>
        <v>0</v>
      </c>
      <c r="O1577" s="53">
        <f ca="1">(O456+O258+O534)/IF(CUR_I_Report=2,O$88,1)</f>
        <v>0</v>
      </c>
      <c r="P1577" s="53">
        <f ca="1">(P456+P258+P534)/IF(CUR_I_Report=2,P$88,1)</f>
        <v>0</v>
      </c>
      <c r="Q1577" s="53">
        <f ca="1">(Q456+Q258+Q534)/IF(CUR_I_Report=2,Q$88,1)</f>
        <v>0</v>
      </c>
      <c r="S1577"/>
    </row>
    <row r="1578" spans="1:19" outlineLevel="1" x14ac:dyDescent="0.2">
      <c r="A1578" t="str">
        <f ca="1">Language!A$779</f>
        <v xml:space="preserve">    нематериальные активы</v>
      </c>
      <c r="C1578" s="5" t="str">
        <f t="shared" ca="1" si="1787"/>
        <v>руб.</v>
      </c>
      <c r="D1578" s="16" t="s">
        <v>384</v>
      </c>
      <c r="F1578" s="53">
        <f ca="1">(F469+F249)/IF(CUR_I_Report=2,F$88,1)</f>
        <v>0</v>
      </c>
      <c r="G1578" s="53">
        <f ca="1">(G469+G249)/IF(CUR_I_Report=2,G$88,1)</f>
        <v>0</v>
      </c>
      <c r="H1578" s="53">
        <f ca="1">(H469+H249)/IF(CUR_I_Report=2,H$88,1)</f>
        <v>0</v>
      </c>
      <c r="I1578" s="53">
        <f ca="1">(I469+I249)/IF(CUR_I_Report=2,I$88,1)</f>
        <v>0</v>
      </c>
      <c r="J1578" s="53">
        <f ca="1">(J469+J249)/IF(CUR_I_Report=2,J$88,1)</f>
        <v>0</v>
      </c>
      <c r="K1578" s="53">
        <f ca="1">(K469+K249)/IF(CUR_I_Report=2,K$88,1)</f>
        <v>0</v>
      </c>
      <c r="L1578" s="53">
        <f ca="1">(L469+L249)/IF(CUR_I_Report=2,L$88,1)</f>
        <v>0</v>
      </c>
      <c r="M1578" s="53">
        <f ca="1">(M469+M249)/IF(CUR_I_Report=2,M$88,1)</f>
        <v>0</v>
      </c>
      <c r="N1578" s="53">
        <f ca="1">(N469+N249)/IF(CUR_I_Report=2,N$88,1)</f>
        <v>0</v>
      </c>
      <c r="O1578" s="53">
        <f ca="1">(O469+O249)/IF(CUR_I_Report=2,O$88,1)</f>
        <v>0</v>
      </c>
      <c r="P1578" s="53">
        <f ca="1">(P469+P249)/IF(CUR_I_Report=2,P$88,1)</f>
        <v>0</v>
      </c>
      <c r="Q1578" s="53">
        <f ca="1">(Q469+Q249)/IF(CUR_I_Report=2,Q$88,1)</f>
        <v>0</v>
      </c>
      <c r="S1578"/>
    </row>
    <row r="1579" spans="1:19" outlineLevel="1" x14ac:dyDescent="0.2">
      <c r="A1579" t="str">
        <f ca="1">Language!A$781</f>
        <v>Финансовые вложения</v>
      </c>
      <c r="C1579" s="5" t="str">
        <f t="shared" ca="1" si="1787"/>
        <v>руб.</v>
      </c>
      <c r="D1579" s="16" t="s">
        <v>384</v>
      </c>
      <c r="F1579" s="53">
        <f ca="1">(F477+F273)/IF(CUR_I_Report=2,F$88,1)</f>
        <v>0</v>
      </c>
      <c r="G1579" s="53">
        <f ca="1">(G477+G273)/IF(CUR_I_Report=2,G$88,1)</f>
        <v>0</v>
      </c>
      <c r="H1579" s="53">
        <f ca="1">(H477+H273)/IF(CUR_I_Report=2,H$88,1)</f>
        <v>0</v>
      </c>
      <c r="I1579" s="53">
        <f ca="1">(I477+I273)/IF(CUR_I_Report=2,I$88,1)</f>
        <v>0</v>
      </c>
      <c r="J1579" s="53">
        <f ca="1">(J477+J273)/IF(CUR_I_Report=2,J$88,1)</f>
        <v>0</v>
      </c>
      <c r="K1579" s="53">
        <f ca="1">(K477+K273)/IF(CUR_I_Report=2,K$88,1)</f>
        <v>0</v>
      </c>
      <c r="L1579" s="53">
        <f ca="1">(L477+L273)/IF(CUR_I_Report=2,L$88,1)</f>
        <v>0</v>
      </c>
      <c r="M1579" s="53">
        <f ca="1">(M477+M273)/IF(CUR_I_Report=2,M$88,1)</f>
        <v>0</v>
      </c>
      <c r="N1579" s="53">
        <f ca="1">(N477+N273)/IF(CUR_I_Report=2,N$88,1)</f>
        <v>0</v>
      </c>
      <c r="O1579" s="53">
        <f ca="1">(O477+O273)/IF(CUR_I_Report=2,O$88,1)</f>
        <v>0</v>
      </c>
      <c r="P1579" s="53">
        <f ca="1">(P477+P273)/IF(CUR_I_Report=2,P$88,1)</f>
        <v>0</v>
      </c>
      <c r="Q1579" s="53">
        <f ca="1">(Q477+Q273)/IF(CUR_I_Report=2,Q$88,1)</f>
        <v>0</v>
      </c>
      <c r="S1579"/>
    </row>
    <row r="1580" spans="1:19" outlineLevel="1" x14ac:dyDescent="0.2">
      <c r="A1580" t="str">
        <f ca="1">Language!A$782</f>
        <v>Незавершенные капиталовложения</v>
      </c>
      <c r="C1580" s="5" t="str">
        <f t="shared" ca="1" si="1787"/>
        <v>руб.</v>
      </c>
      <c r="D1580" s="16" t="s">
        <v>384</v>
      </c>
      <c r="F1580" s="53">
        <f ca="1">((F439+F431+F466+F453)+MAX(0,$B411-$B417))/IF(CUR_I_Report=2,F$88,1)</f>
        <v>0</v>
      </c>
      <c r="G1580" s="53">
        <f ca="1">((G439+G431+G466+G453)+MAX(0,$B411-$B417))/IF(CUR_I_Report=2,G$88,1)</f>
        <v>0</v>
      </c>
      <c r="H1580" s="53">
        <f ca="1">((H439+H431+H466+H453)+MAX(0,$B411-$B417))/IF(CUR_I_Report=2,H$88,1)</f>
        <v>0</v>
      </c>
      <c r="I1580" s="53">
        <f ca="1">((I439+I431+I466+I453)+MAX(0,$B411-$B417))/IF(CUR_I_Report=2,I$88,1)</f>
        <v>0</v>
      </c>
      <c r="J1580" s="53">
        <f ca="1">((J439+J431+J466+J453)+MAX(0,$B411-$B417))/IF(CUR_I_Report=2,J$88,1)</f>
        <v>0</v>
      </c>
      <c r="K1580" s="53">
        <f ca="1">((K439+K431+K466+K453)+MAX(0,$B411-$B417))/IF(CUR_I_Report=2,K$88,1)</f>
        <v>0</v>
      </c>
      <c r="L1580" s="53">
        <f ca="1">((L439+L431+L466+L453)+MAX(0,$B411-$B417))/IF(CUR_I_Report=2,L$88,1)</f>
        <v>0</v>
      </c>
      <c r="M1580" s="53">
        <f ca="1">((M439+M431+M466+M453)+MAX(0,$B411-$B417))/IF(CUR_I_Report=2,M$88,1)</f>
        <v>0</v>
      </c>
      <c r="N1580" s="53">
        <f ca="1">((N439+N431+N466+N453)+MAX(0,$B411-$B417))/IF(CUR_I_Report=2,N$88,1)</f>
        <v>0</v>
      </c>
      <c r="O1580" s="53">
        <f ca="1">((O439+O431+O466+O453)+MAX(0,$B411-$B417))/IF(CUR_I_Report=2,O$88,1)</f>
        <v>0</v>
      </c>
      <c r="P1580" s="53">
        <f ca="1">((P439+P431+P466+P453)+MAX(0,$B411-$B417))/IF(CUR_I_Report=2,P$88,1)</f>
        <v>0</v>
      </c>
      <c r="Q1580" s="53">
        <f ca="1">((Q439+Q431+Q466+Q453)+MAX(0,$B411-$B417))/IF(CUR_I_Report=2,Q$88,1)</f>
        <v>0</v>
      </c>
      <c r="S1580"/>
    </row>
    <row r="1581" spans="1:19" ht="10.5" outlineLevel="1" x14ac:dyDescent="0.25">
      <c r="A1581" s="35" t="str">
        <f ca="1">Language!A$783</f>
        <v>Суммарные внеоборотные активы</v>
      </c>
      <c r="C1581" s="5" t="str">
        <f t="shared" ca="1" si="1787"/>
        <v>руб.</v>
      </c>
      <c r="D1581" s="16" t="s">
        <v>384</v>
      </c>
      <c r="F1581" s="58">
        <f t="shared" ref="F1581:M1581" ca="1" si="1792">F1574+F1579+F1580</f>
        <v>0</v>
      </c>
      <c r="G1581" s="58">
        <f t="shared" ca="1" si="1792"/>
        <v>0</v>
      </c>
      <c r="H1581" s="58">
        <f t="shared" ca="1" si="1792"/>
        <v>0</v>
      </c>
      <c r="I1581" s="58">
        <f t="shared" ca="1" si="1792"/>
        <v>0</v>
      </c>
      <c r="J1581" s="58">
        <f t="shared" ca="1" si="1792"/>
        <v>0</v>
      </c>
      <c r="K1581" s="58">
        <f t="shared" ca="1" si="1792"/>
        <v>0</v>
      </c>
      <c r="L1581" s="58">
        <f t="shared" ca="1" si="1792"/>
        <v>0</v>
      </c>
      <c r="M1581" s="58">
        <f t="shared" ca="1" si="1792"/>
        <v>0</v>
      </c>
      <c r="N1581" s="58">
        <f t="shared" ref="N1581" ca="1" si="1793">N1574+N1579+N1580</f>
        <v>0</v>
      </c>
      <c r="O1581" s="58">
        <f t="shared" ref="O1581:Q1581" ca="1" si="1794">O1574+O1579+O1580</f>
        <v>0</v>
      </c>
      <c r="P1581" s="58">
        <f t="shared" ref="P1581:Q1581" ca="1" si="1795">P1574+P1579+P1580</f>
        <v>0</v>
      </c>
      <c r="Q1581" s="58">
        <f t="shared" ca="1" si="1795"/>
        <v>0</v>
      </c>
      <c r="S1581"/>
    </row>
    <row r="1582" spans="1:19" outlineLevel="1" x14ac:dyDescent="0.2">
      <c r="F1582" s="43"/>
      <c r="G1582" s="43"/>
      <c r="H1582" s="43"/>
      <c r="I1582" s="43"/>
      <c r="J1582" s="43"/>
      <c r="K1582" s="43"/>
      <c r="L1582" s="43"/>
      <c r="M1582" s="43"/>
      <c r="N1582" s="43"/>
      <c r="O1582" s="43"/>
      <c r="P1582" s="43"/>
      <c r="Q1582" s="43"/>
      <c r="S1582"/>
    </row>
    <row r="1583" spans="1:19" ht="10.5" outlineLevel="1" x14ac:dyDescent="0.25">
      <c r="A1583" s="35" t="str">
        <f ca="1">Language!A$784</f>
        <v xml:space="preserve"> = ИТОГО АКТИВОВ</v>
      </c>
      <c r="C1583" s="5" t="str">
        <f ca="1">CUR_Report</f>
        <v>руб.</v>
      </c>
      <c r="D1583" s="16" t="s">
        <v>384</v>
      </c>
      <c r="F1583" s="58">
        <f t="shared" ref="F1583:M1583" ca="1" si="1796">F1572+F1581</f>
        <v>733387.6844783714</v>
      </c>
      <c r="G1583" s="58">
        <f t="shared" ca="1" si="1796"/>
        <v>648530.80460216617</v>
      </c>
      <c r="H1583" s="58">
        <f t="shared" ca="1" si="1796"/>
        <v>638255.91317820549</v>
      </c>
      <c r="I1583" s="58">
        <f t="shared" ca="1" si="1796"/>
        <v>628150.72611705493</v>
      </c>
      <c r="J1583" s="58">
        <f t="shared" ca="1" si="1796"/>
        <v>616668.84485923836</v>
      </c>
      <c r="K1583" s="58">
        <f t="shared" ca="1" si="1796"/>
        <v>836935.30626654625</v>
      </c>
      <c r="L1583" s="58">
        <f t="shared" ca="1" si="1796"/>
        <v>975518.30853927392</v>
      </c>
      <c r="M1583" s="58">
        <f t="shared" ca="1" si="1796"/>
        <v>1230239.0301301836</v>
      </c>
      <c r="N1583" s="58">
        <f t="shared" ref="N1583" ca="1" si="1797">N1572+N1581</f>
        <v>1670422.1619483668</v>
      </c>
      <c r="O1583" s="58">
        <f t="shared" ref="O1583:Q1583" ca="1" si="1798">O1572+O1581</f>
        <v>5627279.4997038571</v>
      </c>
      <c r="P1583" s="58">
        <f t="shared" ref="P1583:Q1583" ca="1" si="1799">P1572+P1581</f>
        <v>14936137.712203857</v>
      </c>
      <c r="Q1583" s="58">
        <f t="shared" ca="1" si="1799"/>
        <v>25400182.83720386</v>
      </c>
      <c r="S1583"/>
    </row>
    <row r="1584" spans="1:19" outlineLevel="1" x14ac:dyDescent="0.2">
      <c r="F1584" s="43"/>
      <c r="G1584" s="43"/>
      <c r="H1584" s="43"/>
      <c r="I1584" s="43"/>
      <c r="J1584" s="43"/>
      <c r="K1584" s="43"/>
      <c r="L1584" s="43"/>
      <c r="M1584" s="43"/>
      <c r="N1584" s="43"/>
      <c r="O1584" s="43"/>
      <c r="P1584" s="43"/>
      <c r="Q1584" s="43"/>
      <c r="S1584"/>
    </row>
    <row r="1585" spans="1:19" outlineLevel="1" x14ac:dyDescent="0.2">
      <c r="A1585" t="str">
        <f ca="1">Language!A$785</f>
        <v>Кредиторская задолженность</v>
      </c>
      <c r="C1585" s="5" t="str">
        <f t="shared" ref="C1585:C1595" ca="1" si="1800">CUR_Report</f>
        <v>руб.</v>
      </c>
      <c r="D1585" s="16" t="s">
        <v>384</v>
      </c>
      <c r="F1585" s="43">
        <f t="shared" ref="F1585:M1585" ca="1" si="1801">F1586+F1587</f>
        <v>0</v>
      </c>
      <c r="G1585" s="43">
        <f t="shared" ca="1" si="1801"/>
        <v>0</v>
      </c>
      <c r="H1585" s="43">
        <f t="shared" ca="1" si="1801"/>
        <v>0</v>
      </c>
      <c r="I1585" s="43">
        <f t="shared" ca="1" si="1801"/>
        <v>0</v>
      </c>
      <c r="J1585" s="43">
        <f t="shared" ca="1" si="1801"/>
        <v>0</v>
      </c>
      <c r="K1585" s="43">
        <f t="shared" ca="1" si="1801"/>
        <v>0</v>
      </c>
      <c r="L1585" s="43">
        <f t="shared" ca="1" si="1801"/>
        <v>0</v>
      </c>
      <c r="M1585" s="43">
        <f t="shared" ca="1" si="1801"/>
        <v>0</v>
      </c>
      <c r="N1585" s="43">
        <f t="shared" ref="N1585" ca="1" si="1802">N1586+N1587</f>
        <v>0</v>
      </c>
      <c r="O1585" s="43">
        <f t="shared" ref="O1585:Q1585" ca="1" si="1803">O1586+O1587</f>
        <v>0</v>
      </c>
      <c r="P1585" s="43">
        <f t="shared" ref="P1585:Q1585" ca="1" si="1804">P1586+P1587</f>
        <v>0</v>
      </c>
      <c r="Q1585" s="43">
        <f t="shared" ca="1" si="1804"/>
        <v>0</v>
      </c>
      <c r="S1585"/>
    </row>
    <row r="1586" spans="1:19" outlineLevel="1" x14ac:dyDescent="0.2">
      <c r="A1586" t="str">
        <f ca="1">Language!A$786</f>
        <v xml:space="preserve">    за поставленные товары</v>
      </c>
      <c r="C1586" s="5" t="str">
        <f t="shared" ca="1" si="1800"/>
        <v>руб.</v>
      </c>
      <c r="D1586" s="16" t="s">
        <v>384</v>
      </c>
      <c r="F1586" s="53">
        <f>F1146/IF(CUR_I_Report=2,F$88,1)</f>
        <v>0</v>
      </c>
      <c r="G1586" s="53">
        <f>G1146/IF(CUR_I_Report=2,G$88,1)</f>
        <v>0</v>
      </c>
      <c r="H1586" s="53">
        <f>H1146/IF(CUR_I_Report=2,H$88,1)</f>
        <v>0</v>
      </c>
      <c r="I1586" s="53">
        <f>I1146/IF(CUR_I_Report=2,I$88,1)</f>
        <v>0</v>
      </c>
      <c r="J1586" s="53">
        <f>J1146/IF(CUR_I_Report=2,J$88,1)</f>
        <v>0</v>
      </c>
      <c r="K1586" s="53">
        <f>K1146/IF(CUR_I_Report=2,K$88,1)</f>
        <v>0</v>
      </c>
      <c r="L1586" s="53">
        <f>L1146/IF(CUR_I_Report=2,L$88,1)</f>
        <v>0</v>
      </c>
      <c r="M1586" s="53">
        <f>M1146/IF(CUR_I_Report=2,M$88,1)</f>
        <v>0</v>
      </c>
      <c r="N1586" s="53">
        <f>N1146/IF(CUR_I_Report=2,N$88,1)</f>
        <v>0</v>
      </c>
      <c r="O1586" s="53">
        <f>O1146/IF(CUR_I_Report=2,O$88,1)</f>
        <v>0</v>
      </c>
      <c r="P1586" s="53">
        <f>P1146/IF(CUR_I_Report=2,P$88,1)</f>
        <v>0</v>
      </c>
      <c r="Q1586" s="53">
        <f>Q1146/IF(CUR_I_Report=2,Q$88,1)</f>
        <v>0</v>
      </c>
      <c r="S1586"/>
    </row>
    <row r="1587" spans="1:19" outlineLevel="1" x14ac:dyDescent="0.2">
      <c r="A1587" t="str">
        <f ca="1">Language!A$787</f>
        <v xml:space="preserve">    за внеоборотные активы</v>
      </c>
      <c r="C1587" s="5" t="str">
        <f t="shared" ca="1" si="1800"/>
        <v>руб.</v>
      </c>
      <c r="D1587" s="16" t="s">
        <v>384</v>
      </c>
      <c r="F1587" s="53">
        <f ca="1">(F441+F432+F467+F480+F454+F490+MAX(-F530,0))/IF(CUR_I_Report=2,F$88,1)</f>
        <v>0</v>
      </c>
      <c r="G1587" s="53">
        <f ca="1">(G441+G432+G467+G480+G454+G490+MAX(-G530,0))/IF(CUR_I_Report=2,G$88,1)</f>
        <v>0</v>
      </c>
      <c r="H1587" s="53">
        <f ca="1">(H441+H432+H467+H480+H454+H490+MAX(-H530,0))/IF(CUR_I_Report=2,H$88,1)</f>
        <v>0</v>
      </c>
      <c r="I1587" s="53">
        <f ca="1">(I441+I432+I467+I480+I454+I490+MAX(-I530,0))/IF(CUR_I_Report=2,I$88,1)</f>
        <v>0</v>
      </c>
      <c r="J1587" s="53">
        <f ca="1">(J441+J432+J467+J480+J454+J490+MAX(-J530,0))/IF(CUR_I_Report=2,J$88,1)</f>
        <v>0</v>
      </c>
      <c r="K1587" s="53">
        <f ca="1">(K441+K432+K467+K480+K454+K490+MAX(-K530,0))/IF(CUR_I_Report=2,K$88,1)</f>
        <v>0</v>
      </c>
      <c r="L1587" s="53">
        <f ca="1">(L441+L432+L467+L480+L454+L490+MAX(-L530,0))/IF(CUR_I_Report=2,L$88,1)</f>
        <v>0</v>
      </c>
      <c r="M1587" s="53">
        <f ca="1">(M441+M432+M467+M480+M454+M490+MAX(-M530,0))/IF(CUR_I_Report=2,M$88,1)</f>
        <v>0</v>
      </c>
      <c r="N1587" s="53">
        <f ca="1">(N441+N432+N467+N480+N454+N490+MAX(-N530,0))/IF(CUR_I_Report=2,N$88,1)</f>
        <v>0</v>
      </c>
      <c r="O1587" s="53">
        <f ca="1">(O441+O432+O467+O480+O454+O490+MAX(-O530,0))/IF(CUR_I_Report=2,O$88,1)</f>
        <v>0</v>
      </c>
      <c r="P1587" s="53">
        <f ca="1">(P441+P432+P467+P480+P454+P490+MAX(-P530,0))/IF(CUR_I_Report=2,P$88,1)</f>
        <v>0</v>
      </c>
      <c r="Q1587" s="53">
        <f ca="1">(Q441+Q432+Q467+Q480+Q454+Q490+MAX(-Q530,0))/IF(CUR_I_Report=2,Q$88,1)</f>
        <v>0</v>
      </c>
      <c r="S1587"/>
    </row>
    <row r="1588" spans="1:19" outlineLevel="1" x14ac:dyDescent="0.2">
      <c r="A1588" t="str">
        <f ca="1">Language!A$788</f>
        <v>Расчеты с бюджетом</v>
      </c>
      <c r="C1588" s="5" t="str">
        <f t="shared" ca="1" si="1800"/>
        <v>руб.</v>
      </c>
      <c r="D1588" s="16" t="s">
        <v>384</v>
      </c>
      <c r="F1588" s="53">
        <f ca="1">F1153/IF(CUR_I_Report=2,F$88,1)</f>
        <v>396480</v>
      </c>
      <c r="G1588" s="53">
        <f ca="1">G1153/IF(CUR_I_Report=2,G$88,1)</f>
        <v>245280.00000000003</v>
      </c>
      <c r="H1588" s="53">
        <f ca="1">H1153/IF(CUR_I_Report=2,H$88,1)</f>
        <v>269745.60000000003</v>
      </c>
      <c r="I1588" s="53">
        <f ca="1">I1153/IF(CUR_I_Report=2,I$88,1)</f>
        <v>367608</v>
      </c>
      <c r="J1588" s="53">
        <f ca="1">J1153/IF(CUR_I_Report=2,J$88,1)</f>
        <v>489936</v>
      </c>
      <c r="K1588" s="53">
        <f ca="1">K1153/IF(CUR_I_Report=2,K$88,1)</f>
        <v>734592</v>
      </c>
      <c r="L1588" s="53">
        <f ca="1">L1153/IF(CUR_I_Report=2,L$88,1)</f>
        <v>979248</v>
      </c>
      <c r="M1588" s="53">
        <f ca="1">M1153/IF(CUR_I_Report=2,M$88,1)</f>
        <v>1223904</v>
      </c>
      <c r="N1588" s="53">
        <f ca="1">N1153/IF(CUR_I_Report=2,N$88,1)</f>
        <v>1590888</v>
      </c>
      <c r="O1588" s="53">
        <f ca="1">O1153/IF(CUR_I_Report=2,O$88,1)</f>
        <v>2080200</v>
      </c>
      <c r="P1588" s="53">
        <f ca="1">P1153/IF(CUR_I_Report=2,P$88,1)</f>
        <v>2447184</v>
      </c>
      <c r="Q1588" s="53">
        <f ca="1">Q1153/IF(CUR_I_Report=2,Q$88,1)</f>
        <v>2691840</v>
      </c>
      <c r="S1588"/>
    </row>
    <row r="1589" spans="1:19" outlineLevel="1" x14ac:dyDescent="0.2">
      <c r="A1589" t="str">
        <f ca="1">Language!A$789</f>
        <v>Расчеты с персоналом</v>
      </c>
      <c r="C1589" s="5" t="str">
        <f t="shared" ca="1" si="1800"/>
        <v>руб.</v>
      </c>
      <c r="D1589" s="16" t="s">
        <v>384</v>
      </c>
      <c r="F1589" s="53">
        <f>F1161/IF(CUR_I_Report=2,F$88,1)</f>
        <v>944000</v>
      </c>
      <c r="G1589" s="53">
        <f>G1161/IF(CUR_I_Report=2,G$88,1)</f>
        <v>584000</v>
      </c>
      <c r="H1589" s="53">
        <f>H1161/IF(CUR_I_Report=2,H$88,1)</f>
        <v>584000</v>
      </c>
      <c r="I1589" s="53">
        <f>I1161/IF(CUR_I_Report=2,I$88,1)</f>
        <v>584000</v>
      </c>
      <c r="J1589" s="53">
        <f>J1161/IF(CUR_I_Report=2,J$88,1)</f>
        <v>584000</v>
      </c>
      <c r="K1589" s="53">
        <f>K1161/IF(CUR_I_Report=2,K$88,1)</f>
        <v>584000</v>
      </c>
      <c r="L1589" s="53">
        <f>L1161/IF(CUR_I_Report=2,L$88,1)</f>
        <v>584000</v>
      </c>
      <c r="M1589" s="53">
        <f>M1161/IF(CUR_I_Report=2,M$88,1)</f>
        <v>584000</v>
      </c>
      <c r="N1589" s="53">
        <f>N1161/IF(CUR_I_Report=2,N$88,1)</f>
        <v>584000</v>
      </c>
      <c r="O1589" s="53">
        <f>O1161/IF(CUR_I_Report=2,O$88,1)</f>
        <v>584000</v>
      </c>
      <c r="P1589" s="53">
        <f>P1161/IF(CUR_I_Report=2,P$88,1)</f>
        <v>584000</v>
      </c>
      <c r="Q1589" s="53">
        <f>Q1161/IF(CUR_I_Report=2,Q$88,1)</f>
        <v>584000</v>
      </c>
      <c r="S1589"/>
    </row>
    <row r="1590" spans="1:19" outlineLevel="1" x14ac:dyDescent="0.2">
      <c r="A1590" t="str">
        <f ca="1">Language!A$790</f>
        <v>Авансы покупателей</v>
      </c>
      <c r="C1590" s="5" t="str">
        <f t="shared" ca="1" si="1800"/>
        <v>руб.</v>
      </c>
      <c r="D1590" s="16" t="s">
        <v>384</v>
      </c>
      <c r="F1590" s="84">
        <f>(F1139+F1138/(1+VAT))/IF(CUR_I_Report=2,F$88,1)</f>
        <v>0</v>
      </c>
      <c r="G1590" s="84">
        <f>(G1139+G1138/(1+VAT))/IF(CUR_I_Report=2,G$88,1)</f>
        <v>0</v>
      </c>
      <c r="H1590" s="84">
        <f>(H1139+H1138/(1+VAT))/IF(CUR_I_Report=2,H$88,1)</f>
        <v>0</v>
      </c>
      <c r="I1590" s="84">
        <f>(I1139+I1138/(1+VAT))/IF(CUR_I_Report=2,I$88,1)</f>
        <v>0</v>
      </c>
      <c r="J1590" s="84">
        <f>(J1139+J1138/(1+VAT))/IF(CUR_I_Report=2,J$88,1)</f>
        <v>0</v>
      </c>
      <c r="K1590" s="84">
        <f>(K1139+K1138/(1+VAT))/IF(CUR_I_Report=2,K$88,1)</f>
        <v>0</v>
      </c>
      <c r="L1590" s="84">
        <f>(L1139+L1138/(1+VAT))/IF(CUR_I_Report=2,L$88,1)</f>
        <v>0</v>
      </c>
      <c r="M1590" s="84">
        <f>(M1139+M1138/(1+VAT))/IF(CUR_I_Report=2,M$88,1)</f>
        <v>0</v>
      </c>
      <c r="N1590" s="84">
        <f>(N1139+N1138/(1+VAT))/IF(CUR_I_Report=2,N$88,1)</f>
        <v>0</v>
      </c>
      <c r="O1590" s="84">
        <f>(O1139+O1138/(1+VAT))/IF(CUR_I_Report=2,O$88,1)</f>
        <v>0</v>
      </c>
      <c r="P1590" s="84">
        <f>(P1139+P1138/(1+VAT))/IF(CUR_I_Report=2,P$88,1)</f>
        <v>0</v>
      </c>
      <c r="Q1590" s="84">
        <f>(Q1139+Q1138/(1+VAT))/IF(CUR_I_Report=2,Q$88,1)</f>
        <v>0</v>
      </c>
      <c r="S1590"/>
    </row>
    <row r="1591" spans="1:19" outlineLevel="1" x14ac:dyDescent="0.2">
      <c r="A1591" t="str">
        <f ca="1">Language!A$791</f>
        <v>Краткосрочные кредиты</v>
      </c>
      <c r="C1591" s="5" t="str">
        <f t="shared" ca="1" si="1800"/>
        <v>руб.</v>
      </c>
      <c r="D1591" s="16" t="s">
        <v>384</v>
      </c>
      <c r="F1591" s="53">
        <f t="shared" ref="F1591:M1591" si="1805">F1233/IF(CUR_I_Report=2,F$88,1)</f>
        <v>0</v>
      </c>
      <c r="G1591" s="53">
        <f t="shared" si="1805"/>
        <v>0</v>
      </c>
      <c r="H1591" s="53">
        <f t="shared" si="1805"/>
        <v>0</v>
      </c>
      <c r="I1591" s="53">
        <f t="shared" si="1805"/>
        <v>0</v>
      </c>
      <c r="J1591" s="53">
        <f t="shared" si="1805"/>
        <v>0</v>
      </c>
      <c r="K1591" s="53">
        <f t="shared" si="1805"/>
        <v>0</v>
      </c>
      <c r="L1591" s="53">
        <f t="shared" si="1805"/>
        <v>0</v>
      </c>
      <c r="M1591" s="53">
        <f t="shared" si="1805"/>
        <v>0</v>
      </c>
      <c r="N1591" s="53">
        <f t="shared" ref="N1591" si="1806">N1233/IF(CUR_I_Report=2,N$88,1)</f>
        <v>0</v>
      </c>
      <c r="O1591" s="53">
        <f t="shared" ref="O1591" si="1807">O1233/IF(CUR_I_Report=2,O$88,1)</f>
        <v>0</v>
      </c>
      <c r="P1591" s="53">
        <f t="shared" ref="P1591:Q1591" si="1808">P1233/IF(CUR_I_Report=2,P$88,1)</f>
        <v>0</v>
      </c>
      <c r="Q1591" s="53">
        <f t="shared" si="1808"/>
        <v>0</v>
      </c>
      <c r="S1591"/>
    </row>
    <row r="1592" spans="1:19" outlineLevel="1" x14ac:dyDescent="0.2">
      <c r="A1592" t="str">
        <f ca="1">Language!A$792</f>
        <v>Прочие краткосрочные обязательства</v>
      </c>
      <c r="C1592" s="5" t="str">
        <f t="shared" ca="1" si="1800"/>
        <v>руб.</v>
      </c>
      <c r="D1592" s="16" t="s">
        <v>384</v>
      </c>
      <c r="F1592" s="43">
        <f>F69*IF(B37=1,1,F$88)/IF(CUR_I_Report=2,F$88,1)</f>
        <v>0</v>
      </c>
      <c r="G1592" s="43">
        <f t="shared" ref="G1592:Q1592" si="1809">F1592</f>
        <v>0</v>
      </c>
      <c r="H1592" s="43">
        <f t="shared" si="1809"/>
        <v>0</v>
      </c>
      <c r="I1592" s="43">
        <f t="shared" si="1809"/>
        <v>0</v>
      </c>
      <c r="J1592" s="43">
        <f t="shared" si="1809"/>
        <v>0</v>
      </c>
      <c r="K1592" s="43">
        <f t="shared" si="1809"/>
        <v>0</v>
      </c>
      <c r="L1592" s="43">
        <f t="shared" si="1809"/>
        <v>0</v>
      </c>
      <c r="M1592" s="43">
        <f t="shared" si="1809"/>
        <v>0</v>
      </c>
      <c r="N1592" s="43">
        <f t="shared" si="1809"/>
        <v>0</v>
      </c>
      <c r="O1592" s="43">
        <f t="shared" si="1809"/>
        <v>0</v>
      </c>
      <c r="P1592" s="43">
        <f t="shared" si="1809"/>
        <v>0</v>
      </c>
      <c r="Q1592" s="43">
        <f t="shared" si="1809"/>
        <v>0</v>
      </c>
      <c r="S1592"/>
    </row>
    <row r="1593" spans="1:19" ht="10.5" outlineLevel="1" x14ac:dyDescent="0.25">
      <c r="A1593" s="35" t="str">
        <f ca="1">Language!A$793</f>
        <v>Суммарные краткосрочные обязательства</v>
      </c>
      <c r="C1593" s="5" t="str">
        <f t="shared" ca="1" si="1800"/>
        <v>руб.</v>
      </c>
      <c r="D1593" s="16" t="s">
        <v>384</v>
      </c>
      <c r="F1593" s="58">
        <f t="shared" ref="F1593:M1593" ca="1" si="1810">F1585+SUM(F1588:F1592)</f>
        <v>1340480</v>
      </c>
      <c r="G1593" s="58">
        <f t="shared" ca="1" si="1810"/>
        <v>829280</v>
      </c>
      <c r="H1593" s="58">
        <f t="shared" ca="1" si="1810"/>
        <v>853745.60000000009</v>
      </c>
      <c r="I1593" s="58">
        <f t="shared" ca="1" si="1810"/>
        <v>951608</v>
      </c>
      <c r="J1593" s="58">
        <f t="shared" ca="1" si="1810"/>
        <v>1073936</v>
      </c>
      <c r="K1593" s="58">
        <f t="shared" ca="1" si="1810"/>
        <v>1318592</v>
      </c>
      <c r="L1593" s="58">
        <f t="shared" ca="1" si="1810"/>
        <v>1563248</v>
      </c>
      <c r="M1593" s="58">
        <f t="shared" ca="1" si="1810"/>
        <v>1807904</v>
      </c>
      <c r="N1593" s="58">
        <f t="shared" ref="N1593" ca="1" si="1811">N1585+SUM(N1588:N1592)</f>
        <v>2174888</v>
      </c>
      <c r="O1593" s="58">
        <f t="shared" ref="O1593:Q1593" ca="1" si="1812">O1585+SUM(O1588:O1592)</f>
        <v>2664200</v>
      </c>
      <c r="P1593" s="58">
        <f t="shared" ref="P1593:Q1593" ca="1" si="1813">P1585+SUM(P1588:P1592)</f>
        <v>3031184</v>
      </c>
      <c r="Q1593" s="58">
        <f t="shared" ca="1" si="1813"/>
        <v>3275840</v>
      </c>
      <c r="S1593"/>
    </row>
    <row r="1594" spans="1:19" outlineLevel="1" x14ac:dyDescent="0.2">
      <c r="C1594" s="5" t="str">
        <f t="shared" ca="1" si="1800"/>
        <v>руб.</v>
      </c>
      <c r="D1594" s="16" t="s">
        <v>384</v>
      </c>
      <c r="F1594" s="43"/>
      <c r="G1594" s="43"/>
      <c r="H1594" s="43"/>
      <c r="I1594" s="43"/>
      <c r="J1594" s="43"/>
      <c r="K1594" s="43"/>
      <c r="L1594" s="43"/>
      <c r="M1594" s="43"/>
      <c r="N1594" s="43"/>
      <c r="O1594" s="43"/>
      <c r="P1594" s="43"/>
      <c r="Q1594" s="43"/>
      <c r="S1594"/>
    </row>
    <row r="1595" spans="1:19" ht="10.5" outlineLevel="1" x14ac:dyDescent="0.25">
      <c r="A1595" s="35" t="str">
        <f ca="1">Language!A$794</f>
        <v>Долгосрочные обязательства</v>
      </c>
      <c r="C1595" s="5" t="str">
        <f t="shared" ca="1" si="1800"/>
        <v>руб.</v>
      </c>
      <c r="D1595" s="16" t="s">
        <v>384</v>
      </c>
      <c r="F1595" s="56">
        <f t="shared" ref="F1595:M1595" si="1814">F1234/IF(CUR_I_Report=2,F$88,1)</f>
        <v>2400351.3689567428</v>
      </c>
      <c r="G1595" s="56">
        <f t="shared" si="1814"/>
        <v>5476647.4426394468</v>
      </c>
      <c r="H1595" s="56">
        <f t="shared" si="1814"/>
        <v>8007638.9805148821</v>
      </c>
      <c r="I1595" s="56">
        <f t="shared" si="1814"/>
        <v>9988465.7311047968</v>
      </c>
      <c r="J1595" s="56">
        <f t="shared" si="1814"/>
        <v>11327726.703750553</v>
      </c>
      <c r="K1595" s="56">
        <f t="shared" si="1814"/>
        <v>11501888.518610623</v>
      </c>
      <c r="L1595" s="56">
        <f t="shared" si="1814"/>
        <v>10299267.972909262</v>
      </c>
      <c r="M1595" s="56">
        <f t="shared" si="1814"/>
        <v>7893163.4040714214</v>
      </c>
      <c r="N1595" s="56">
        <f t="shared" ref="N1595" si="1815">N1234/IF(CUR_I_Report=2,N$88,1)</f>
        <v>3558056.505994508</v>
      </c>
      <c r="O1595" s="56">
        <f t="shared" ref="O1595" si="1816">O1234/IF(CUR_I_Report=2,O$88,1)</f>
        <v>-1.862645149230957E-9</v>
      </c>
      <c r="P1595" s="56">
        <f t="shared" ref="P1595:Q1595" si="1817">P1234/IF(CUR_I_Report=2,P$88,1)</f>
        <v>-1.862645149230957E-9</v>
      </c>
      <c r="Q1595" s="56">
        <f t="shared" si="1817"/>
        <v>-1.862645149230957E-9</v>
      </c>
      <c r="S1595"/>
    </row>
    <row r="1596" spans="1:19" outlineLevel="1" x14ac:dyDescent="0.2">
      <c r="F1596" s="43"/>
      <c r="G1596" s="43"/>
      <c r="H1596" s="43"/>
      <c r="I1596" s="43"/>
      <c r="J1596" s="43"/>
      <c r="K1596" s="43"/>
      <c r="L1596" s="43"/>
      <c r="M1596" s="43"/>
      <c r="N1596" s="43"/>
      <c r="O1596" s="43"/>
      <c r="P1596" s="43"/>
      <c r="Q1596" s="43"/>
      <c r="S1596"/>
    </row>
    <row r="1597" spans="1:19" outlineLevel="1" x14ac:dyDescent="0.2">
      <c r="A1597" t="str">
        <f ca="1">Language!A$795</f>
        <v>Средства собственников</v>
      </c>
      <c r="C1597" s="5" t="str">
        <f ca="1">CUR_Report</f>
        <v>руб.</v>
      </c>
      <c r="D1597" s="16" t="s">
        <v>384</v>
      </c>
      <c r="F1597" s="53">
        <f>(SUM($E1180:F1180)+SUM($E1189:F1189))/IF(CUR_I_Report=2,F$88,1)+$F61*IF($B37=1,1,F$88)/IF(CUR_I_Report=2,F$88,1)</f>
        <v>0</v>
      </c>
      <c r="G1597" s="53">
        <f>(SUM($E1180:G1180)+SUM($E1189:G1189))/IF(CUR_I_Report=2,G$88,1)+$F61*IF($B37=1,1,G$88)/IF(CUR_I_Report=2,G$88,1)</f>
        <v>0</v>
      </c>
      <c r="H1597" s="53">
        <f>(SUM($E1180:H1180)+SUM($E1189:H1189))/IF(CUR_I_Report=2,H$88,1)+$F61*IF($B37=1,1,H$88)/IF(CUR_I_Report=2,H$88,1)</f>
        <v>0</v>
      </c>
      <c r="I1597" s="53">
        <f>(SUM($E1180:I1180)+SUM($E1189:I1189))/IF(CUR_I_Report=2,I$88,1)+$F61*IF($B37=1,1,I$88)/IF(CUR_I_Report=2,I$88,1)</f>
        <v>0</v>
      </c>
      <c r="J1597" s="53">
        <f>(SUM($E1180:J1180)+SUM($E1189:J1189))/IF(CUR_I_Report=2,J$88,1)+$F61*IF($B37=1,1,J$88)/IF(CUR_I_Report=2,J$88,1)</f>
        <v>0</v>
      </c>
      <c r="K1597" s="53">
        <f>(SUM($E1180:K1180)+SUM($E1189:K1189))/IF(CUR_I_Report=2,K$88,1)+$F61*IF($B37=1,1,K$88)/IF(CUR_I_Report=2,K$88,1)</f>
        <v>0</v>
      </c>
      <c r="L1597" s="53">
        <f>(SUM($E1180:L1180)+SUM($E1189:L1189))/IF(CUR_I_Report=2,L$88,1)+$F61*IF($B37=1,1,L$88)/IF(CUR_I_Report=2,L$88,1)</f>
        <v>0</v>
      </c>
      <c r="M1597" s="53">
        <f>(SUM($E1180:M1180)+SUM($E1189:M1189))/IF(CUR_I_Report=2,M$88,1)+$F61*IF($B37=1,1,M$88)/IF(CUR_I_Report=2,M$88,1)</f>
        <v>0</v>
      </c>
      <c r="N1597" s="53">
        <f>(SUM($E1180:N1180)+SUM($E1189:N1189))/IF(CUR_I_Report=2,N$88,1)+$F61*IF($B37=1,1,N$88)/IF(CUR_I_Report=2,N$88,1)</f>
        <v>0</v>
      </c>
      <c r="O1597" s="53">
        <f>(SUM($E1180:O1180)+SUM($E1189:O1189))/IF(CUR_I_Report=2,O$88,1)+$F61*IF($B37=1,1,O$88)/IF(CUR_I_Report=2,O$88,1)</f>
        <v>0</v>
      </c>
      <c r="P1597" s="53">
        <f>(SUM($E1180:P1180)+SUM($E1189:P1189))/IF(CUR_I_Report=2,P$88,1)+$F61*IF($B37=1,1,P$88)/IF(CUR_I_Report=2,P$88,1)</f>
        <v>0</v>
      </c>
      <c r="Q1597" s="53">
        <f>(SUM($E1180:Q1180)+SUM($E1189:Q1189))/IF(CUR_I_Report=2,Q$88,1)+$F61*IF($B37=1,1,Q$88)/IF(CUR_I_Report=2,Q$88,1)</f>
        <v>0</v>
      </c>
      <c r="S1597"/>
    </row>
    <row r="1598" spans="1:19" outlineLevel="1" x14ac:dyDescent="0.2">
      <c r="A1598" t="str">
        <f ca="1">Language!A$796</f>
        <v>Нераспределенная прибыль</v>
      </c>
      <c r="C1598" s="5" t="str">
        <f ca="1">CUR_Report</f>
        <v>руб.</v>
      </c>
      <c r="D1598" s="16" t="s">
        <v>384</v>
      </c>
      <c r="F1598" s="43">
        <f t="shared" ref="F1598:M1598" ca="1" si="1818">F1393</f>
        <v>-3007443.6844783714</v>
      </c>
      <c r="G1598" s="43">
        <f t="shared" ca="1" si="1818"/>
        <v>-5657396.6380372802</v>
      </c>
      <c r="H1598" s="43">
        <f t="shared" ca="1" si="1818"/>
        <v>-8223128.6673366763</v>
      </c>
      <c r="I1598" s="43">
        <f t="shared" ca="1" si="1818"/>
        <v>-10311923.004987741</v>
      </c>
      <c r="J1598" s="43">
        <f t="shared" ca="1" si="1818"/>
        <v>-11784993.858891314</v>
      </c>
      <c r="K1598" s="43">
        <f t="shared" ca="1" si="1818"/>
        <v>-11983545.212344076</v>
      </c>
      <c r="L1598" s="43">
        <f t="shared" ca="1" si="1818"/>
        <v>-10886997.664369989</v>
      </c>
      <c r="M1598" s="43">
        <f t="shared" ca="1" si="1818"/>
        <v>-8470828.373941239</v>
      </c>
      <c r="N1598" s="43">
        <f t="shared" ref="N1598" ca="1" si="1819">N1393</f>
        <v>-4062522.344046142</v>
      </c>
      <c r="O1598" s="43">
        <f t="shared" ref="O1598:Q1598" ca="1" si="1820">O1393</f>
        <v>2963079.499703858</v>
      </c>
      <c r="P1598" s="43">
        <f t="shared" ref="P1598:Q1598" ca="1" si="1821">P1393</f>
        <v>11904953.712203858</v>
      </c>
      <c r="Q1598" s="43">
        <f t="shared" ca="1" si="1821"/>
        <v>22124342.83720386</v>
      </c>
      <c r="S1598"/>
    </row>
    <row r="1599" spans="1:19" outlineLevel="1" x14ac:dyDescent="0.2">
      <c r="A1599" t="str">
        <f ca="1">Language!A$797</f>
        <v>Прочие источники финансирования</v>
      </c>
      <c r="C1599" s="5" t="str">
        <f ca="1">CUR_Report</f>
        <v>руб.</v>
      </c>
      <c r="D1599" s="16" t="s">
        <v>384</v>
      </c>
      <c r="F1599" s="84">
        <f>(SUM($E1192:F1192)+SUM($E1194:F1194)+MAX(0,$B417-$B411)+MAX(0,$B422+$B424-$B412))/IF(CUR_I_Report=2,F$88,1)+$F63*IF($B37=1,1,F$88)/IF(CUR_I_Report=2,F$88,1)</f>
        <v>0</v>
      </c>
      <c r="G1599" s="84">
        <f>(SUM($E1192:G1192)+SUM($E1194:G1194)+MAX(0,$B417-$B411)+MAX(0,$B422+$B424-$B412))/IF(CUR_I_Report=2,G$88,1)+$F63*IF($B37=1,1,G$88)/IF(CUR_I_Report=2,G$88,1)</f>
        <v>0</v>
      </c>
      <c r="H1599" s="84">
        <f>(SUM($E1192:H1192)+SUM($E1194:H1194)+MAX(0,$B417-$B411)+MAX(0,$B422+$B424-$B412))/IF(CUR_I_Report=2,H$88,1)+$F63*IF($B37=1,1,H$88)/IF(CUR_I_Report=2,H$88,1)</f>
        <v>0</v>
      </c>
      <c r="I1599" s="84">
        <f>(SUM($E1192:I1192)+SUM($E1194:I1194)+MAX(0,$B417-$B411)+MAX(0,$B422+$B424-$B412))/IF(CUR_I_Report=2,I$88,1)+$F63*IF($B37=1,1,I$88)/IF(CUR_I_Report=2,I$88,1)</f>
        <v>0</v>
      </c>
      <c r="J1599" s="84">
        <f>(SUM($E1192:J1192)+SUM($E1194:J1194)+MAX(0,$B417-$B411)+MAX(0,$B422+$B424-$B412))/IF(CUR_I_Report=2,J$88,1)+$F63*IF($B37=1,1,J$88)/IF(CUR_I_Report=2,J$88,1)</f>
        <v>0</v>
      </c>
      <c r="K1599" s="84">
        <f>(SUM($E1192:K1192)+SUM($E1194:K1194)+MAX(0,$B417-$B411)+MAX(0,$B422+$B424-$B412))/IF(CUR_I_Report=2,K$88,1)+$F63*IF($B37=1,1,K$88)/IF(CUR_I_Report=2,K$88,1)</f>
        <v>0</v>
      </c>
      <c r="L1599" s="84">
        <f>(SUM($E1192:L1192)+SUM($E1194:L1194)+MAX(0,$B417-$B411)+MAX(0,$B422+$B424-$B412))/IF(CUR_I_Report=2,L$88,1)+$F63*IF($B37=1,1,L$88)/IF(CUR_I_Report=2,L$88,1)</f>
        <v>0</v>
      </c>
      <c r="M1599" s="84">
        <f>(SUM($E1192:M1192)+SUM($E1194:M1194)+MAX(0,$B417-$B411)+MAX(0,$B422+$B424-$B412))/IF(CUR_I_Report=2,M$88,1)+$F63*IF($B37=1,1,M$88)/IF(CUR_I_Report=2,M$88,1)</f>
        <v>0</v>
      </c>
      <c r="N1599" s="84">
        <f>(SUM($E1192:N1192)+SUM($E1194:N1194)+MAX(0,$B417-$B411)+MAX(0,$B422+$B424-$B412))/IF(CUR_I_Report=2,N$88,1)+$F63*IF($B37=1,1,N$88)/IF(CUR_I_Report=2,N$88,1)</f>
        <v>0</v>
      </c>
      <c r="O1599" s="84">
        <f>(SUM($E1192:O1192)+SUM($E1194:O1194)+MAX(0,$B417-$B411)+MAX(0,$B422+$B424-$B412))/IF(CUR_I_Report=2,O$88,1)+$F63*IF($B37=1,1,O$88)/IF(CUR_I_Report=2,O$88,1)</f>
        <v>0</v>
      </c>
      <c r="P1599" s="84">
        <f>(SUM($E1192:P1192)+SUM($E1194:P1194)+MAX(0,$B417-$B411)+MAX(0,$B422+$B424-$B412))/IF(CUR_I_Report=2,P$88,1)+$F63*IF($B37=1,1,P$88)/IF(CUR_I_Report=2,P$88,1)</f>
        <v>0</v>
      </c>
      <c r="Q1599" s="84">
        <f>(SUM($E1192:Q1192)+SUM($E1194:Q1194)+MAX(0,$B417-$B411)+MAX(0,$B422+$B424-$B412))/IF(CUR_I_Report=2,Q$88,1)+$F63*IF($B37=1,1,Q$88)/IF(CUR_I_Report=2,Q$88,1)</f>
        <v>0</v>
      </c>
      <c r="S1599"/>
    </row>
    <row r="1600" spans="1:19" ht="10.5" outlineLevel="1" x14ac:dyDescent="0.25">
      <c r="A1600" s="35" t="str">
        <f ca="1">Language!A$798</f>
        <v>Суммарный собственный капитал</v>
      </c>
      <c r="C1600" s="5" t="str">
        <f ca="1">CUR_Report</f>
        <v>руб.</v>
      </c>
      <c r="D1600" s="16" t="s">
        <v>384</v>
      </c>
      <c r="F1600" s="58">
        <f t="shared" ref="F1600:M1600" ca="1" si="1822">SUM(F1597:F1599)</f>
        <v>-3007443.6844783714</v>
      </c>
      <c r="G1600" s="58">
        <f t="shared" ca="1" si="1822"/>
        <v>-5657396.6380372802</v>
      </c>
      <c r="H1600" s="58">
        <f t="shared" ca="1" si="1822"/>
        <v>-8223128.6673366763</v>
      </c>
      <c r="I1600" s="58">
        <f t="shared" ca="1" si="1822"/>
        <v>-10311923.004987741</v>
      </c>
      <c r="J1600" s="58">
        <f t="shared" ca="1" si="1822"/>
        <v>-11784993.858891314</v>
      </c>
      <c r="K1600" s="58">
        <f t="shared" ca="1" si="1822"/>
        <v>-11983545.212344076</v>
      </c>
      <c r="L1600" s="58">
        <f t="shared" ca="1" si="1822"/>
        <v>-10886997.664369989</v>
      </c>
      <c r="M1600" s="58">
        <f t="shared" ca="1" si="1822"/>
        <v>-8470828.373941239</v>
      </c>
      <c r="N1600" s="58">
        <f t="shared" ref="N1600" ca="1" si="1823">SUM(N1597:N1599)</f>
        <v>-4062522.344046142</v>
      </c>
      <c r="O1600" s="58">
        <f t="shared" ref="O1600:Q1600" ca="1" si="1824">SUM(O1597:O1599)</f>
        <v>2963079.499703858</v>
      </c>
      <c r="P1600" s="58">
        <f t="shared" ref="P1600:Q1600" ca="1" si="1825">SUM(P1597:P1599)</f>
        <v>11904953.712203858</v>
      </c>
      <c r="Q1600" s="58">
        <f t="shared" ca="1" si="1825"/>
        <v>22124342.83720386</v>
      </c>
      <c r="S1600"/>
    </row>
    <row r="1601" spans="1:19" ht="10.5" outlineLevel="1" x14ac:dyDescent="0.25">
      <c r="A1601" s="35"/>
      <c r="F1601" s="43"/>
      <c r="G1601" s="43"/>
      <c r="H1601" s="43"/>
      <c r="I1601" s="43"/>
      <c r="J1601" s="43"/>
      <c r="K1601" s="43"/>
      <c r="L1601" s="43"/>
      <c r="M1601" s="43"/>
      <c r="N1601" s="43"/>
      <c r="O1601" s="43"/>
      <c r="P1601" s="43"/>
      <c r="Q1601" s="43"/>
      <c r="S1601"/>
    </row>
    <row r="1602" spans="1:19" ht="10.5" outlineLevel="1" x14ac:dyDescent="0.25">
      <c r="A1602" s="35" t="str">
        <f ca="1">Language!A$799</f>
        <v xml:space="preserve"> = ИТОГО ПАССИВОВ</v>
      </c>
      <c r="C1602" s="5" t="str">
        <f ca="1">CUR_Report</f>
        <v>руб.</v>
      </c>
      <c r="D1602" s="16" t="s">
        <v>384</v>
      </c>
      <c r="F1602" s="58">
        <f t="shared" ref="F1602:M1602" ca="1" si="1826">F1593+F1595+F1600</f>
        <v>733387.6844783714</v>
      </c>
      <c r="G1602" s="58">
        <f t="shared" ca="1" si="1826"/>
        <v>648530.80460216664</v>
      </c>
      <c r="H1602" s="58">
        <f t="shared" ca="1" si="1826"/>
        <v>638255.91317820549</v>
      </c>
      <c r="I1602" s="58">
        <f t="shared" ca="1" si="1826"/>
        <v>628150.72611705586</v>
      </c>
      <c r="J1602" s="58">
        <f t="shared" ca="1" si="1826"/>
        <v>616668.84485923871</v>
      </c>
      <c r="K1602" s="58">
        <f t="shared" ca="1" si="1826"/>
        <v>836935.30626654625</v>
      </c>
      <c r="L1602" s="58">
        <f t="shared" ca="1" si="1826"/>
        <v>975518.30853927322</v>
      </c>
      <c r="M1602" s="58">
        <f t="shared" ca="1" si="1826"/>
        <v>1230239.0301301815</v>
      </c>
      <c r="N1602" s="58">
        <f t="shared" ref="N1602" ca="1" si="1827">N1593+N1595+N1600</f>
        <v>1670422.1619483661</v>
      </c>
      <c r="O1602" s="58">
        <f t="shared" ref="O1602:Q1602" ca="1" si="1828">O1593+O1595+O1600</f>
        <v>5627279.4997038562</v>
      </c>
      <c r="P1602" s="58">
        <f t="shared" ref="P1602:Q1602" ca="1" si="1829">P1593+P1595+P1600</f>
        <v>14936137.712203857</v>
      </c>
      <c r="Q1602" s="58">
        <f t="shared" ca="1" si="1829"/>
        <v>25400182.83720386</v>
      </c>
      <c r="S1602" s="22"/>
    </row>
    <row r="1603" spans="1:19" outlineLevel="1" x14ac:dyDescent="0.2">
      <c r="A1603" s="64" t="str">
        <f ca="1">Language!A$800</f>
        <v>Контроль сходимости баланса</v>
      </c>
      <c r="B1603" s="146" t="str">
        <f ca="1">IF(OR(MAX(F1603:R1603)&lt;&gt;0,MIN(F1603:R1603)&lt;&gt;0),Language!A801,"")</f>
        <v/>
      </c>
      <c r="C1603" s="64"/>
      <c r="D1603" s="64"/>
      <c r="E1603" s="64"/>
      <c r="F1603" s="147">
        <f t="shared" ref="F1603:M1603" ca="1" si="1830">IF(AND(0&lt;=ABS(F1583-F1602),ABS(F1583-F1602)&lt;=1),0,F1583-F1602)</f>
        <v>0</v>
      </c>
      <c r="G1603" s="147">
        <f t="shared" ca="1" si="1830"/>
        <v>0</v>
      </c>
      <c r="H1603" s="147">
        <f t="shared" ca="1" si="1830"/>
        <v>0</v>
      </c>
      <c r="I1603" s="147">
        <f t="shared" ca="1" si="1830"/>
        <v>0</v>
      </c>
      <c r="J1603" s="147">
        <f t="shared" ca="1" si="1830"/>
        <v>0</v>
      </c>
      <c r="K1603" s="147">
        <f t="shared" ca="1" si="1830"/>
        <v>0</v>
      </c>
      <c r="L1603" s="147">
        <f t="shared" ca="1" si="1830"/>
        <v>0</v>
      </c>
      <c r="M1603" s="147">
        <f t="shared" ca="1" si="1830"/>
        <v>0</v>
      </c>
      <c r="N1603" s="147">
        <f t="shared" ref="N1603" ca="1" si="1831">IF(AND(0&lt;=ABS(N1583-N1602),ABS(N1583-N1602)&lt;=1),0,N1583-N1602)</f>
        <v>0</v>
      </c>
      <c r="O1603" s="147">
        <f t="shared" ref="O1603:Q1603" ca="1" si="1832">IF(AND(0&lt;=ABS(O1583-O1602),ABS(O1583-O1602)&lt;=1),0,O1583-O1602)</f>
        <v>0</v>
      </c>
      <c r="P1603" s="147">
        <f t="shared" ref="P1603:Q1603" ca="1" si="1833">IF(AND(0&lt;=ABS(P1583-P1602),ABS(P1583-P1602)&lt;=1),0,P1583-P1602)</f>
        <v>0</v>
      </c>
      <c r="Q1603" s="147">
        <f t="shared" ca="1" si="1833"/>
        <v>0</v>
      </c>
      <c r="R1603" s="64"/>
      <c r="S1603" s="22"/>
    </row>
    <row r="1604" spans="1:19" outlineLevel="1" x14ac:dyDescent="0.2">
      <c r="A1604" s="22"/>
      <c r="B1604" s="149"/>
      <c r="C1604" s="22"/>
      <c r="D1604" s="22"/>
      <c r="E1604" s="22"/>
      <c r="F1604" s="118"/>
      <c r="G1604" s="118"/>
      <c r="H1604" s="118"/>
      <c r="I1604" s="118"/>
      <c r="J1604" s="118"/>
      <c r="K1604" s="118"/>
      <c r="L1604" s="118"/>
      <c r="M1604" s="118"/>
      <c r="N1604" s="118"/>
      <c r="O1604" s="118"/>
      <c r="P1604" s="118"/>
      <c r="Q1604" s="118"/>
      <c r="R1604" s="22"/>
      <c r="S1604" s="22"/>
    </row>
    <row r="1605" spans="1:19" outlineLevel="1" x14ac:dyDescent="0.2">
      <c r="A1605" s="22" t="str">
        <f ca="1">Language!A$802 &amp; ", " &amp; Проект!CUR_Report</f>
        <v>График: Активы проекта, руб.</v>
      </c>
      <c r="B1605" s="149"/>
      <c r="C1605" s="22"/>
      <c r="D1605" s="22"/>
      <c r="E1605" s="22"/>
      <c r="F1605" s="118"/>
      <c r="G1605" s="118"/>
      <c r="H1605" s="118"/>
      <c r="I1605" s="118"/>
      <c r="J1605" s="118"/>
      <c r="K1605" s="118"/>
      <c r="L1605" s="118"/>
      <c r="M1605" s="118"/>
      <c r="N1605" s="118"/>
      <c r="O1605" s="118"/>
      <c r="P1605" s="118"/>
      <c r="Q1605" s="118"/>
      <c r="R1605" s="22"/>
      <c r="S1605" s="22"/>
    </row>
    <row r="1606" spans="1:19" outlineLevel="1" x14ac:dyDescent="0.2">
      <c r="A1606" s="22"/>
      <c r="B1606" s="149"/>
      <c r="C1606" s="22"/>
      <c r="D1606" s="22"/>
      <c r="E1606" s="22"/>
      <c r="F1606" s="118"/>
      <c r="G1606" s="118"/>
      <c r="H1606" s="118"/>
      <c r="I1606" s="118"/>
      <c r="J1606" s="118"/>
      <c r="K1606" s="118"/>
      <c r="L1606" s="118"/>
      <c r="M1606" s="118"/>
      <c r="N1606" s="118"/>
      <c r="O1606" s="118"/>
      <c r="P1606" s="118"/>
      <c r="Q1606" s="118"/>
      <c r="R1606" s="22"/>
      <c r="S1606" s="22"/>
    </row>
    <row r="1607" spans="1:19" outlineLevel="1" x14ac:dyDescent="0.2">
      <c r="A1607" s="22"/>
      <c r="B1607" s="149"/>
      <c r="C1607" s="22"/>
      <c r="D1607" s="22"/>
      <c r="E1607" s="22"/>
      <c r="F1607" s="118"/>
      <c r="G1607" s="118"/>
      <c r="H1607" s="118"/>
      <c r="I1607" s="118"/>
      <c r="J1607" s="118"/>
      <c r="K1607" s="118"/>
      <c r="L1607" s="118"/>
      <c r="M1607" s="118"/>
      <c r="N1607" s="118"/>
      <c r="O1607" s="118"/>
      <c r="P1607" s="118"/>
      <c r="Q1607" s="118"/>
      <c r="R1607" s="22"/>
      <c r="S1607" s="22"/>
    </row>
    <row r="1608" spans="1:19" outlineLevel="1" x14ac:dyDescent="0.2">
      <c r="A1608" s="22"/>
      <c r="B1608" s="149"/>
      <c r="C1608" s="22"/>
      <c r="D1608" s="22"/>
      <c r="E1608" s="22"/>
      <c r="F1608" s="118"/>
      <c r="G1608" s="118"/>
      <c r="H1608" s="118"/>
      <c r="I1608" s="118"/>
      <c r="J1608" s="118"/>
      <c r="K1608" s="118"/>
      <c r="L1608" s="118"/>
      <c r="M1608" s="118"/>
      <c r="N1608" s="118"/>
      <c r="O1608" s="118"/>
      <c r="P1608" s="118"/>
      <c r="Q1608" s="118"/>
      <c r="R1608" s="22"/>
      <c r="S1608" s="22"/>
    </row>
    <row r="1609" spans="1:19" outlineLevel="1" x14ac:dyDescent="0.2">
      <c r="A1609" s="22"/>
      <c r="B1609" s="149"/>
      <c r="C1609" s="22"/>
      <c r="D1609" s="22"/>
      <c r="E1609" s="22"/>
      <c r="F1609" s="118"/>
      <c r="G1609" s="118"/>
      <c r="H1609" s="118"/>
      <c r="I1609" s="118"/>
      <c r="J1609" s="118"/>
      <c r="K1609" s="118"/>
      <c r="L1609" s="118"/>
      <c r="M1609" s="118"/>
      <c r="N1609" s="118"/>
      <c r="O1609" s="118"/>
      <c r="P1609" s="118"/>
      <c r="Q1609" s="118"/>
      <c r="R1609" s="22"/>
      <c r="S1609" s="22"/>
    </row>
    <row r="1610" spans="1:19" outlineLevel="1" x14ac:dyDescent="0.2">
      <c r="A1610" s="22"/>
      <c r="B1610" s="149"/>
      <c r="C1610" s="22"/>
      <c r="D1610" s="22"/>
      <c r="E1610" s="22"/>
      <c r="F1610" s="118"/>
      <c r="G1610" s="118"/>
      <c r="H1610" s="118"/>
      <c r="I1610" s="118"/>
      <c r="J1610" s="118"/>
      <c r="K1610" s="118"/>
      <c r="L1610" s="118"/>
      <c r="M1610" s="118"/>
      <c r="N1610" s="118"/>
      <c r="O1610" s="118"/>
      <c r="P1610" s="118"/>
      <c r="Q1610" s="118"/>
      <c r="R1610" s="22"/>
      <c r="S1610" s="22"/>
    </row>
    <row r="1611" spans="1:19" outlineLevel="1" x14ac:dyDescent="0.2">
      <c r="A1611" s="22"/>
      <c r="B1611" s="149"/>
      <c r="C1611" s="22"/>
      <c r="D1611" s="22"/>
      <c r="E1611" s="22"/>
      <c r="F1611" s="118"/>
      <c r="G1611" s="118"/>
      <c r="H1611" s="118"/>
      <c r="I1611" s="118"/>
      <c r="J1611" s="118"/>
      <c r="K1611" s="118"/>
      <c r="L1611" s="118"/>
      <c r="M1611" s="118"/>
      <c r="N1611" s="118"/>
      <c r="O1611" s="118"/>
      <c r="P1611" s="118"/>
      <c r="Q1611" s="118"/>
      <c r="R1611" s="22"/>
      <c r="S1611" s="22"/>
    </row>
    <row r="1612" spans="1:19" outlineLevel="1" x14ac:dyDescent="0.2">
      <c r="A1612" s="22"/>
      <c r="B1612" s="149"/>
      <c r="C1612" s="22"/>
      <c r="D1612" s="22"/>
      <c r="E1612" s="22"/>
      <c r="F1612" s="118"/>
      <c r="G1612" s="118"/>
      <c r="H1612" s="118"/>
      <c r="I1612" s="118"/>
      <c r="J1612" s="118"/>
      <c r="K1612" s="118"/>
      <c r="L1612" s="118"/>
      <c r="M1612" s="118"/>
      <c r="N1612" s="118"/>
      <c r="O1612" s="118"/>
      <c r="P1612" s="118"/>
      <c r="Q1612" s="118"/>
      <c r="R1612" s="22"/>
      <c r="S1612" s="22"/>
    </row>
    <row r="1613" spans="1:19" outlineLevel="1" x14ac:dyDescent="0.2">
      <c r="A1613" s="22"/>
      <c r="B1613" s="149"/>
      <c r="C1613" s="22"/>
      <c r="D1613" s="22"/>
      <c r="E1613" s="22"/>
      <c r="F1613" s="118"/>
      <c r="G1613" s="118"/>
      <c r="H1613" s="118"/>
      <c r="I1613" s="118"/>
      <c r="J1613" s="118"/>
      <c r="K1613" s="118"/>
      <c r="L1613" s="118"/>
      <c r="M1613" s="118"/>
      <c r="N1613" s="118"/>
      <c r="O1613" s="118"/>
      <c r="P1613" s="118"/>
      <c r="Q1613" s="118"/>
      <c r="R1613" s="22"/>
      <c r="S1613" s="22"/>
    </row>
    <row r="1614" spans="1:19" outlineLevel="1" x14ac:dyDescent="0.2">
      <c r="A1614" s="22"/>
      <c r="B1614" s="149"/>
      <c r="C1614" s="22"/>
      <c r="D1614" s="22"/>
      <c r="E1614" s="22"/>
      <c r="F1614" s="118"/>
      <c r="G1614" s="118"/>
      <c r="H1614" s="118"/>
      <c r="I1614" s="118"/>
      <c r="J1614" s="118"/>
      <c r="K1614" s="118"/>
      <c r="L1614" s="118"/>
      <c r="M1614" s="118"/>
      <c r="N1614" s="118"/>
      <c r="O1614" s="118"/>
      <c r="P1614" s="118"/>
      <c r="Q1614" s="118"/>
      <c r="R1614" s="22"/>
      <c r="S1614" s="22"/>
    </row>
    <row r="1615" spans="1:19" outlineLevel="1" x14ac:dyDescent="0.2">
      <c r="A1615" s="22"/>
      <c r="B1615" s="149"/>
      <c r="C1615" s="22"/>
      <c r="D1615" s="22"/>
      <c r="E1615" s="22"/>
      <c r="F1615" s="118"/>
      <c r="G1615" s="118"/>
      <c r="H1615" s="118"/>
      <c r="I1615" s="118"/>
      <c r="J1615" s="118"/>
      <c r="K1615" s="118"/>
      <c r="L1615" s="118"/>
      <c r="M1615" s="118"/>
      <c r="N1615" s="118"/>
      <c r="O1615" s="118"/>
      <c r="P1615" s="118"/>
      <c r="Q1615" s="118"/>
      <c r="R1615" s="22"/>
      <c r="S1615" s="22"/>
    </row>
    <row r="1616" spans="1:19" outlineLevel="1" x14ac:dyDescent="0.2">
      <c r="A1616" s="22"/>
      <c r="B1616" s="149"/>
      <c r="C1616" s="22"/>
      <c r="D1616" s="22"/>
      <c r="E1616" s="22"/>
      <c r="F1616" s="118"/>
      <c r="G1616" s="118"/>
      <c r="H1616" s="118"/>
      <c r="I1616" s="118"/>
      <c r="J1616" s="118"/>
      <c r="K1616" s="118"/>
      <c r="L1616" s="118"/>
      <c r="M1616" s="118"/>
      <c r="N1616" s="118"/>
      <c r="O1616" s="118"/>
      <c r="P1616" s="118"/>
      <c r="Q1616" s="118"/>
      <c r="R1616" s="22"/>
      <c r="S1616" s="22"/>
    </row>
    <row r="1617" spans="1:19" outlineLevel="1" x14ac:dyDescent="0.2">
      <c r="A1617" s="22"/>
      <c r="B1617" s="149"/>
      <c r="C1617" s="22"/>
      <c r="D1617" s="22"/>
      <c r="E1617" s="22"/>
      <c r="F1617" s="118"/>
      <c r="G1617" s="118"/>
      <c r="H1617" s="118"/>
      <c r="I1617" s="118"/>
      <c r="J1617" s="118"/>
      <c r="K1617" s="118"/>
      <c r="L1617" s="118"/>
      <c r="M1617" s="118"/>
      <c r="N1617" s="118"/>
      <c r="O1617" s="118"/>
      <c r="P1617" s="118"/>
      <c r="Q1617" s="118"/>
      <c r="R1617" s="22"/>
      <c r="S1617" s="22"/>
    </row>
    <row r="1618" spans="1:19" s="11" customFormat="1" outlineLevel="1" x14ac:dyDescent="0.2">
      <c r="A1618" s="22"/>
      <c r="B1618" s="149"/>
      <c r="C1618" s="22"/>
      <c r="D1618" s="22"/>
      <c r="E1618" s="22"/>
      <c r="F1618" s="118"/>
      <c r="G1618" s="118"/>
      <c r="H1618" s="118"/>
      <c r="I1618" s="118"/>
      <c r="J1618" s="118"/>
      <c r="K1618" s="118"/>
      <c r="L1618" s="118"/>
      <c r="M1618" s="118"/>
      <c r="N1618" s="118"/>
      <c r="O1618" s="118"/>
      <c r="P1618" s="118"/>
      <c r="Q1618" s="118"/>
      <c r="R1618" s="22"/>
      <c r="S1618" s="22"/>
    </row>
    <row r="1619" spans="1:19" s="11" customFormat="1" outlineLevel="1" x14ac:dyDescent="0.2">
      <c r="A1619" s="22"/>
      <c r="B1619" s="149"/>
      <c r="C1619" s="22"/>
      <c r="D1619" s="22"/>
      <c r="E1619" s="22"/>
      <c r="F1619" s="118"/>
      <c r="G1619" s="118"/>
      <c r="H1619" s="118"/>
      <c r="I1619" s="118"/>
      <c r="J1619" s="118"/>
      <c r="K1619" s="118"/>
      <c r="L1619" s="118"/>
      <c r="M1619" s="118"/>
      <c r="N1619" s="118"/>
      <c r="O1619" s="118"/>
      <c r="P1619" s="118"/>
      <c r="Q1619" s="118"/>
      <c r="R1619" s="22"/>
      <c r="S1619" s="22"/>
    </row>
    <row r="1620" spans="1:19" s="11" customFormat="1" outlineLevel="1" x14ac:dyDescent="0.2">
      <c r="A1620" s="22"/>
      <c r="B1620" s="149"/>
      <c r="C1620" s="22"/>
      <c r="D1620" s="22"/>
      <c r="E1620" s="22"/>
      <c r="F1620" s="118"/>
      <c r="G1620" s="118"/>
      <c r="H1620" s="118"/>
      <c r="I1620" s="118"/>
      <c r="J1620" s="118"/>
      <c r="K1620" s="118"/>
      <c r="L1620" s="118"/>
      <c r="M1620" s="118"/>
      <c r="N1620" s="118"/>
      <c r="O1620" s="118"/>
      <c r="P1620" s="118"/>
      <c r="Q1620" s="118"/>
      <c r="R1620" s="22"/>
      <c r="S1620" s="22"/>
    </row>
    <row r="1621" spans="1:19" s="11" customFormat="1" outlineLevel="2" x14ac:dyDescent="0.2">
      <c r="A1621" s="22"/>
      <c r="B1621" s="149"/>
      <c r="C1621" s="22"/>
      <c r="D1621" s="22"/>
      <c r="E1621" s="22"/>
      <c r="F1621" s="118"/>
      <c r="G1621" s="118"/>
      <c r="H1621" s="118"/>
      <c r="I1621" s="118"/>
      <c r="J1621" s="118"/>
      <c r="K1621" s="118"/>
      <c r="L1621" s="118"/>
      <c r="M1621" s="118"/>
      <c r="N1621" s="118"/>
      <c r="O1621" s="118"/>
      <c r="P1621" s="118"/>
      <c r="Q1621" s="118"/>
      <c r="R1621" s="22"/>
      <c r="S1621" s="22"/>
    </row>
    <row r="1622" spans="1:19" s="11" customFormat="1" outlineLevel="2" x14ac:dyDescent="0.2">
      <c r="A1622" s="22"/>
      <c r="B1622" s="149"/>
      <c r="C1622" s="22"/>
      <c r="D1622" s="22"/>
      <c r="E1622" s="22"/>
      <c r="F1622" s="118"/>
      <c r="G1622" s="118"/>
      <c r="H1622" s="118"/>
      <c r="I1622" s="118"/>
      <c r="J1622" s="118"/>
      <c r="K1622" s="118"/>
      <c r="L1622" s="118"/>
      <c r="M1622" s="118"/>
      <c r="N1622" s="118"/>
      <c r="O1622" s="118"/>
      <c r="P1622" s="118"/>
      <c r="Q1622" s="118"/>
      <c r="R1622" s="22"/>
      <c r="S1622" s="22"/>
    </row>
    <row r="1623" spans="1:19" s="11" customFormat="1" outlineLevel="2" x14ac:dyDescent="0.2">
      <c r="A1623" s="22"/>
      <c r="B1623" s="149"/>
      <c r="C1623" s="22"/>
      <c r="D1623" s="22"/>
      <c r="E1623" s="22"/>
      <c r="F1623" s="118"/>
      <c r="G1623" s="118"/>
      <c r="H1623" s="118"/>
      <c r="I1623" s="118"/>
      <c r="J1623" s="118"/>
      <c r="K1623" s="118"/>
      <c r="L1623" s="118"/>
      <c r="M1623" s="118"/>
      <c r="N1623" s="118"/>
      <c r="O1623" s="118"/>
      <c r="P1623" s="118"/>
      <c r="Q1623" s="118"/>
      <c r="R1623" s="22"/>
      <c r="S1623" s="22"/>
    </row>
    <row r="1624" spans="1:19" s="11" customFormat="1" outlineLevel="2" x14ac:dyDescent="0.2">
      <c r="A1624" s="22"/>
      <c r="B1624" s="149"/>
      <c r="C1624" s="22"/>
      <c r="D1624" s="22"/>
      <c r="E1624" s="22"/>
      <c r="F1624" s="118"/>
      <c r="G1624" s="118"/>
      <c r="H1624" s="118"/>
      <c r="I1624" s="118"/>
      <c r="J1624" s="118"/>
      <c r="K1624" s="118"/>
      <c r="L1624" s="118"/>
      <c r="M1624" s="118"/>
      <c r="N1624" s="118"/>
      <c r="O1624" s="118"/>
      <c r="P1624" s="118"/>
      <c r="Q1624" s="118"/>
      <c r="R1624" s="22"/>
      <c r="S1624" s="22"/>
    </row>
    <row r="1625" spans="1:19" s="11" customFormat="1" outlineLevel="2" x14ac:dyDescent="0.2">
      <c r="A1625" s="22"/>
      <c r="B1625" s="149"/>
      <c r="C1625" s="22"/>
      <c r="D1625" s="22"/>
      <c r="E1625" s="22"/>
      <c r="F1625" s="118"/>
      <c r="G1625" s="118"/>
      <c r="H1625" s="118"/>
      <c r="I1625" s="118"/>
      <c r="J1625" s="118"/>
      <c r="K1625" s="118"/>
      <c r="L1625" s="118"/>
      <c r="M1625" s="118"/>
      <c r="N1625" s="118"/>
      <c r="O1625" s="118"/>
      <c r="P1625" s="118"/>
      <c r="Q1625" s="118"/>
      <c r="R1625" s="22"/>
      <c r="S1625" s="22"/>
    </row>
    <row r="1626" spans="1:19" s="11" customFormat="1" outlineLevel="2" x14ac:dyDescent="0.2">
      <c r="A1626" s="22"/>
      <c r="B1626" s="149"/>
      <c r="C1626" s="22"/>
      <c r="D1626" s="22"/>
      <c r="E1626" s="22"/>
      <c r="F1626" s="118"/>
      <c r="G1626" s="118"/>
      <c r="H1626" s="118"/>
      <c r="I1626" s="118"/>
      <c r="J1626" s="118"/>
      <c r="K1626" s="118"/>
      <c r="L1626" s="118"/>
      <c r="M1626" s="118"/>
      <c r="N1626" s="118"/>
      <c r="O1626" s="118"/>
      <c r="P1626" s="118"/>
      <c r="Q1626" s="118"/>
      <c r="R1626" s="22"/>
      <c r="S1626" s="22"/>
    </row>
    <row r="1627" spans="1:19" s="11" customFormat="1" outlineLevel="2" x14ac:dyDescent="0.2">
      <c r="A1627" s="22"/>
      <c r="B1627" s="149"/>
      <c r="C1627" s="22"/>
      <c r="D1627" s="22"/>
      <c r="E1627" s="22"/>
      <c r="F1627" s="118"/>
      <c r="G1627" s="118"/>
      <c r="H1627" s="118"/>
      <c r="I1627" s="118"/>
      <c r="J1627" s="118"/>
      <c r="K1627" s="118"/>
      <c r="L1627" s="118"/>
      <c r="M1627" s="118"/>
      <c r="N1627" s="118"/>
      <c r="O1627" s="118"/>
      <c r="P1627" s="118"/>
      <c r="Q1627" s="118"/>
      <c r="R1627" s="22"/>
      <c r="S1627" s="22"/>
    </row>
    <row r="1628" spans="1:19" s="11" customFormat="1" outlineLevel="2" x14ac:dyDescent="0.2">
      <c r="A1628" s="22"/>
      <c r="B1628" s="149"/>
      <c r="C1628" s="22"/>
      <c r="D1628" s="22"/>
      <c r="E1628" s="22"/>
      <c r="F1628" s="118"/>
      <c r="G1628" s="118"/>
      <c r="H1628" s="118"/>
      <c r="I1628" s="118"/>
      <c r="J1628" s="118"/>
      <c r="K1628" s="118"/>
      <c r="L1628" s="118"/>
      <c r="M1628" s="118"/>
      <c r="N1628" s="118"/>
      <c r="O1628" s="118"/>
      <c r="P1628" s="118"/>
      <c r="Q1628" s="118"/>
      <c r="R1628" s="22"/>
      <c r="S1628" s="22"/>
    </row>
    <row r="1629" spans="1:19" s="11" customFormat="1" outlineLevel="2" x14ac:dyDescent="0.2">
      <c r="A1629" s="22"/>
      <c r="B1629" s="149"/>
      <c r="C1629" s="22"/>
      <c r="D1629" s="22"/>
      <c r="E1629" s="22"/>
      <c r="F1629" s="118"/>
      <c r="G1629" s="118"/>
      <c r="H1629" s="118"/>
      <c r="I1629" s="118"/>
      <c r="J1629" s="118"/>
      <c r="K1629" s="118"/>
      <c r="L1629" s="118"/>
      <c r="M1629" s="118"/>
      <c r="N1629" s="118"/>
      <c r="O1629" s="118"/>
      <c r="P1629" s="118"/>
      <c r="Q1629" s="118"/>
      <c r="R1629" s="22"/>
      <c r="S1629" s="22"/>
    </row>
    <row r="1630" spans="1:19" s="11" customFormat="1" outlineLevel="2" x14ac:dyDescent="0.2">
      <c r="A1630" s="22" t="str">
        <f ca="1">Language!A$803 &amp; ", " &amp; Проект!CUR_Report</f>
        <v>График: Пассивы проекта, руб.</v>
      </c>
      <c r="B1630" s="149"/>
      <c r="C1630" s="22"/>
      <c r="D1630" s="22"/>
      <c r="E1630" s="22"/>
      <c r="F1630" s="118"/>
      <c r="G1630" s="118"/>
      <c r="H1630" s="118"/>
      <c r="I1630" s="118"/>
      <c r="J1630" s="118"/>
      <c r="K1630" s="118"/>
      <c r="L1630" s="118"/>
      <c r="M1630" s="118"/>
      <c r="N1630" s="118"/>
      <c r="O1630" s="118"/>
      <c r="P1630" s="118"/>
      <c r="Q1630" s="118"/>
      <c r="R1630" s="22"/>
      <c r="S1630" s="22"/>
    </row>
    <row r="1631" spans="1:19" s="11" customFormat="1" outlineLevel="2" x14ac:dyDescent="0.2">
      <c r="A1631" s="22"/>
      <c r="B1631" s="149"/>
      <c r="C1631" s="22"/>
      <c r="D1631" s="22"/>
      <c r="E1631" s="22"/>
      <c r="F1631" s="118"/>
      <c r="G1631" s="118"/>
      <c r="H1631" s="118"/>
      <c r="I1631" s="118"/>
      <c r="J1631" s="118"/>
      <c r="K1631" s="118"/>
      <c r="L1631" s="118"/>
      <c r="M1631" s="118"/>
      <c r="N1631" s="118"/>
      <c r="O1631" s="118"/>
      <c r="P1631" s="118"/>
      <c r="Q1631" s="118"/>
      <c r="R1631" s="22"/>
      <c r="S1631" s="22"/>
    </row>
    <row r="1632" spans="1:19" s="11" customFormat="1" outlineLevel="2" x14ac:dyDescent="0.2">
      <c r="A1632" s="22"/>
      <c r="B1632" s="149"/>
      <c r="C1632" s="22"/>
      <c r="D1632" s="22"/>
      <c r="E1632" s="22"/>
      <c r="F1632" s="118"/>
      <c r="G1632" s="118"/>
      <c r="H1632" s="118"/>
      <c r="I1632" s="118"/>
      <c r="J1632" s="118"/>
      <c r="K1632" s="118"/>
      <c r="L1632" s="118"/>
      <c r="M1632" s="118"/>
      <c r="N1632" s="118"/>
      <c r="O1632" s="118"/>
      <c r="P1632" s="118"/>
      <c r="Q1632" s="118"/>
      <c r="R1632" s="22"/>
      <c r="S1632" s="22"/>
    </row>
    <row r="1633" spans="1:19" s="11" customFormat="1" outlineLevel="2" x14ac:dyDescent="0.2">
      <c r="A1633" s="22"/>
      <c r="B1633" s="149"/>
      <c r="C1633" s="22"/>
      <c r="D1633" s="22"/>
      <c r="E1633" s="22"/>
      <c r="F1633" s="118"/>
      <c r="G1633" s="118"/>
      <c r="H1633" s="118"/>
      <c r="I1633" s="118"/>
      <c r="J1633" s="118"/>
      <c r="K1633" s="118"/>
      <c r="L1633" s="118"/>
      <c r="M1633" s="118"/>
      <c r="N1633" s="118"/>
      <c r="O1633" s="118"/>
      <c r="P1633" s="118"/>
      <c r="Q1633" s="118"/>
      <c r="R1633" s="22"/>
      <c r="S1633" s="22"/>
    </row>
    <row r="1634" spans="1:19" s="11" customFormat="1" outlineLevel="2" x14ac:dyDescent="0.2">
      <c r="A1634" s="22"/>
      <c r="B1634" s="149"/>
      <c r="C1634" s="22"/>
      <c r="D1634" s="22"/>
      <c r="E1634" s="22"/>
      <c r="F1634" s="118"/>
      <c r="G1634" s="118"/>
      <c r="H1634" s="118"/>
      <c r="I1634" s="118"/>
      <c r="J1634" s="118"/>
      <c r="K1634" s="118"/>
      <c r="L1634" s="118"/>
      <c r="M1634" s="118"/>
      <c r="N1634" s="118"/>
      <c r="O1634" s="118"/>
      <c r="P1634" s="118"/>
      <c r="Q1634" s="118"/>
      <c r="R1634" s="22"/>
      <c r="S1634" s="22"/>
    </row>
    <row r="1635" spans="1:19" s="11" customFormat="1" outlineLevel="2" x14ac:dyDescent="0.2">
      <c r="A1635" s="22"/>
      <c r="B1635" s="149"/>
      <c r="C1635" s="22"/>
      <c r="D1635" s="22"/>
      <c r="E1635" s="22"/>
      <c r="F1635" s="118"/>
      <c r="G1635" s="118"/>
      <c r="H1635" s="118"/>
      <c r="I1635" s="118"/>
      <c r="J1635" s="118"/>
      <c r="K1635" s="118"/>
      <c r="L1635" s="118"/>
      <c r="M1635" s="118"/>
      <c r="N1635" s="118"/>
      <c r="O1635" s="118"/>
      <c r="P1635" s="118"/>
      <c r="Q1635" s="118"/>
      <c r="R1635" s="22"/>
      <c r="S1635" s="22"/>
    </row>
    <row r="1636" spans="1:19" s="11" customFormat="1" outlineLevel="2" x14ac:dyDescent="0.2">
      <c r="A1636" s="22"/>
      <c r="B1636" s="149"/>
      <c r="C1636" s="22"/>
      <c r="D1636" s="22"/>
      <c r="E1636" s="22"/>
      <c r="F1636" s="118"/>
      <c r="G1636" s="118"/>
      <c r="H1636" s="118"/>
      <c r="I1636" s="118"/>
      <c r="J1636" s="118"/>
      <c r="K1636" s="118"/>
      <c r="L1636" s="118"/>
      <c r="M1636" s="118"/>
      <c r="N1636" s="118"/>
      <c r="O1636" s="118"/>
      <c r="P1636" s="118"/>
      <c r="Q1636" s="118"/>
      <c r="R1636" s="22"/>
      <c r="S1636" s="22"/>
    </row>
    <row r="1637" spans="1:19" s="11" customFormat="1" outlineLevel="2" x14ac:dyDescent="0.2">
      <c r="A1637" s="22"/>
      <c r="B1637" s="149"/>
      <c r="C1637" s="22"/>
      <c r="D1637" s="22"/>
      <c r="E1637" s="22"/>
      <c r="F1637" s="118"/>
      <c r="G1637" s="118"/>
      <c r="H1637" s="118"/>
      <c r="I1637" s="118"/>
      <c r="J1637" s="118"/>
      <c r="K1637" s="118"/>
      <c r="L1637" s="118"/>
      <c r="M1637" s="118"/>
      <c r="N1637" s="118"/>
      <c r="O1637" s="118"/>
      <c r="P1637" s="118"/>
      <c r="Q1637" s="118"/>
      <c r="R1637" s="22"/>
      <c r="S1637" s="22"/>
    </row>
    <row r="1638" spans="1:19" s="11" customFormat="1" outlineLevel="2" x14ac:dyDescent="0.2">
      <c r="A1638" s="22"/>
      <c r="B1638" s="149"/>
      <c r="C1638" s="22"/>
      <c r="D1638" s="22"/>
      <c r="E1638" s="22"/>
      <c r="F1638" s="118"/>
      <c r="G1638" s="118"/>
      <c r="H1638" s="118"/>
      <c r="I1638" s="118"/>
      <c r="J1638" s="118"/>
      <c r="K1638" s="118"/>
      <c r="L1638" s="118"/>
      <c r="M1638" s="118"/>
      <c r="N1638" s="118"/>
      <c r="O1638" s="118"/>
      <c r="P1638" s="118"/>
      <c r="Q1638" s="118"/>
      <c r="R1638" s="22"/>
      <c r="S1638" s="22"/>
    </row>
    <row r="1639" spans="1:19" s="11" customFormat="1" outlineLevel="2" x14ac:dyDescent="0.2">
      <c r="A1639" s="22"/>
      <c r="B1639" s="149"/>
      <c r="C1639" s="22"/>
      <c r="D1639" s="22"/>
      <c r="E1639" s="22"/>
      <c r="F1639" s="118"/>
      <c r="G1639" s="118"/>
      <c r="H1639" s="118"/>
      <c r="I1639" s="118"/>
      <c r="J1639" s="118"/>
      <c r="K1639" s="118"/>
      <c r="L1639" s="118"/>
      <c r="M1639" s="118"/>
      <c r="N1639" s="118"/>
      <c r="O1639" s="118"/>
      <c r="P1639" s="118"/>
      <c r="Q1639" s="118"/>
      <c r="R1639" s="22"/>
      <c r="S1639" s="22"/>
    </row>
    <row r="1640" spans="1:19" s="11" customFormat="1" outlineLevel="2" x14ac:dyDescent="0.2">
      <c r="A1640" s="22"/>
      <c r="B1640" s="149"/>
      <c r="C1640" s="22"/>
      <c r="D1640" s="22"/>
      <c r="E1640" s="22"/>
      <c r="F1640" s="118"/>
      <c r="G1640" s="118"/>
      <c r="H1640" s="118"/>
      <c r="I1640" s="118"/>
      <c r="J1640" s="118"/>
      <c r="K1640" s="118"/>
      <c r="L1640" s="118"/>
      <c r="M1640" s="118"/>
      <c r="N1640" s="118"/>
      <c r="O1640" s="118"/>
      <c r="P1640" s="118"/>
      <c r="Q1640" s="118"/>
      <c r="R1640" s="22"/>
      <c r="S1640" s="22"/>
    </row>
    <row r="1641" spans="1:19" s="11" customFormat="1" outlineLevel="2" x14ac:dyDescent="0.2">
      <c r="A1641" s="22"/>
      <c r="B1641" s="149"/>
      <c r="C1641" s="22"/>
      <c r="D1641" s="22"/>
      <c r="E1641" s="22"/>
      <c r="F1641" s="118"/>
      <c r="G1641" s="118"/>
      <c r="H1641" s="118"/>
      <c r="I1641" s="118"/>
      <c r="J1641" s="118"/>
      <c r="K1641" s="118"/>
      <c r="L1641" s="118"/>
      <c r="M1641" s="118"/>
      <c r="N1641" s="118"/>
      <c r="O1641" s="118"/>
      <c r="P1641" s="118"/>
      <c r="Q1641" s="118"/>
      <c r="R1641" s="22"/>
      <c r="S1641" s="22"/>
    </row>
    <row r="1642" spans="1:19" s="11" customFormat="1" outlineLevel="2" x14ac:dyDescent="0.2">
      <c r="A1642" s="22"/>
      <c r="B1642" s="149"/>
      <c r="C1642" s="22"/>
      <c r="D1642" s="22"/>
      <c r="E1642" s="22"/>
      <c r="F1642" s="118"/>
      <c r="G1642" s="118"/>
      <c r="H1642" s="118"/>
      <c r="I1642" s="118"/>
      <c r="J1642" s="118"/>
      <c r="K1642" s="118"/>
      <c r="L1642" s="118"/>
      <c r="M1642" s="118"/>
      <c r="N1642" s="118"/>
      <c r="O1642" s="118"/>
      <c r="P1642" s="118"/>
      <c r="Q1642" s="118"/>
      <c r="R1642" s="22"/>
      <c r="S1642" s="22"/>
    </row>
    <row r="1643" spans="1:19" s="11" customFormat="1" outlineLevel="2" x14ac:dyDescent="0.2">
      <c r="A1643" s="22"/>
      <c r="B1643" s="149"/>
      <c r="C1643" s="22"/>
      <c r="D1643" s="22"/>
      <c r="E1643" s="22"/>
      <c r="F1643" s="118"/>
      <c r="G1643" s="118"/>
      <c r="H1643" s="118"/>
      <c r="I1643" s="118"/>
      <c r="J1643" s="118"/>
      <c r="K1643" s="118"/>
      <c r="L1643" s="118"/>
      <c r="M1643" s="118"/>
      <c r="N1643" s="118"/>
      <c r="O1643" s="118"/>
      <c r="P1643" s="118"/>
      <c r="Q1643" s="118"/>
      <c r="R1643" s="22"/>
      <c r="S1643" s="22"/>
    </row>
    <row r="1644" spans="1:19" s="11" customFormat="1" outlineLevel="1" x14ac:dyDescent="0.2">
      <c r="A1644" s="22"/>
      <c r="B1644" s="149"/>
      <c r="C1644" s="22"/>
      <c r="D1644" s="22"/>
      <c r="E1644" s="22"/>
      <c r="F1644" s="118"/>
      <c r="G1644" s="118"/>
      <c r="H1644" s="118"/>
      <c r="I1644" s="118"/>
      <c r="J1644" s="118"/>
      <c r="K1644" s="118"/>
      <c r="L1644" s="118"/>
      <c r="M1644" s="118"/>
      <c r="N1644" s="118"/>
      <c r="O1644" s="118"/>
      <c r="P1644" s="118"/>
      <c r="Q1644" s="118"/>
      <c r="R1644" s="22"/>
      <c r="S1644" s="22"/>
    </row>
    <row r="1645" spans="1:19" s="11" customFormat="1" outlineLevel="1" x14ac:dyDescent="0.2">
      <c r="A1645" s="22"/>
      <c r="B1645" s="149"/>
      <c r="C1645" s="22"/>
      <c r="D1645" s="22"/>
      <c r="E1645" s="22"/>
      <c r="F1645" s="118"/>
      <c r="G1645" s="118"/>
      <c r="H1645" s="118"/>
      <c r="I1645" s="118"/>
      <c r="J1645" s="118"/>
      <c r="K1645" s="118"/>
      <c r="L1645" s="118"/>
      <c r="M1645" s="118"/>
      <c r="N1645" s="118"/>
      <c r="O1645" s="118"/>
      <c r="P1645" s="118"/>
      <c r="Q1645" s="118"/>
      <c r="R1645" s="22"/>
      <c r="S1645" s="22"/>
    </row>
    <row r="1646" spans="1:19" s="11" customFormat="1" outlineLevel="2" x14ac:dyDescent="0.2">
      <c r="A1646" s="22"/>
      <c r="B1646" s="149"/>
      <c r="C1646" s="22"/>
      <c r="D1646" s="22"/>
      <c r="E1646" s="22"/>
      <c r="F1646" s="118"/>
      <c r="G1646" s="118"/>
      <c r="H1646" s="118"/>
      <c r="I1646" s="118"/>
      <c r="J1646" s="118"/>
      <c r="K1646" s="118"/>
      <c r="L1646" s="118"/>
      <c r="M1646" s="118"/>
      <c r="N1646" s="118"/>
      <c r="O1646" s="118"/>
      <c r="P1646" s="118"/>
      <c r="Q1646" s="118"/>
      <c r="R1646" s="22"/>
      <c r="S1646" s="22"/>
    </row>
    <row r="1647" spans="1:19" s="11" customFormat="1" outlineLevel="2" x14ac:dyDescent="0.2">
      <c r="A1647" s="22"/>
      <c r="B1647" s="149"/>
      <c r="C1647" s="22"/>
      <c r="D1647" s="22"/>
      <c r="E1647" s="22"/>
      <c r="F1647" s="118"/>
      <c r="G1647" s="118"/>
      <c r="H1647" s="118"/>
      <c r="I1647" s="118"/>
      <c r="J1647" s="118"/>
      <c r="K1647" s="118"/>
      <c r="L1647" s="118"/>
      <c r="M1647" s="118"/>
      <c r="N1647" s="118"/>
      <c r="O1647" s="118"/>
      <c r="P1647" s="118"/>
      <c r="Q1647" s="118"/>
      <c r="R1647" s="22"/>
      <c r="S1647" s="22"/>
    </row>
    <row r="1648" spans="1:19" s="11" customFormat="1" outlineLevel="2" x14ac:dyDescent="0.2">
      <c r="A1648" s="22"/>
      <c r="B1648" s="149"/>
      <c r="C1648" s="22"/>
      <c r="D1648" s="22"/>
      <c r="E1648" s="22"/>
      <c r="F1648" s="118"/>
      <c r="G1648" s="118"/>
      <c r="H1648" s="118"/>
      <c r="I1648" s="118"/>
      <c r="J1648" s="118"/>
      <c r="K1648" s="118"/>
      <c r="L1648" s="118"/>
      <c r="M1648" s="118"/>
      <c r="N1648" s="118"/>
      <c r="O1648" s="118"/>
      <c r="P1648" s="118"/>
      <c r="Q1648" s="118"/>
      <c r="R1648" s="22"/>
      <c r="S1648" s="22"/>
    </row>
    <row r="1649" spans="1:19" s="11" customFormat="1" outlineLevel="2" x14ac:dyDescent="0.2">
      <c r="A1649" s="22"/>
      <c r="B1649" s="149"/>
      <c r="C1649" s="22"/>
      <c r="D1649" s="22"/>
      <c r="E1649" s="22"/>
      <c r="F1649" s="118"/>
      <c r="G1649" s="118"/>
      <c r="H1649" s="118"/>
      <c r="I1649" s="118"/>
      <c r="J1649" s="118"/>
      <c r="K1649" s="118"/>
      <c r="L1649" s="118"/>
      <c r="M1649" s="118"/>
      <c r="N1649" s="118"/>
      <c r="O1649" s="118"/>
      <c r="P1649" s="118"/>
      <c r="Q1649" s="118"/>
      <c r="R1649" s="22"/>
      <c r="S1649" s="22"/>
    </row>
    <row r="1650" spans="1:19" s="11" customFormat="1" outlineLevel="2" x14ac:dyDescent="0.2">
      <c r="A1650" s="22"/>
      <c r="B1650" s="149"/>
      <c r="C1650" s="22"/>
      <c r="D1650" s="22"/>
      <c r="E1650" s="22"/>
      <c r="F1650" s="118"/>
      <c r="G1650" s="118"/>
      <c r="H1650" s="118"/>
      <c r="I1650" s="118"/>
      <c r="J1650" s="118"/>
      <c r="K1650" s="118"/>
      <c r="L1650" s="118"/>
      <c r="M1650" s="118"/>
      <c r="N1650" s="118"/>
      <c r="O1650" s="118"/>
      <c r="P1650" s="118"/>
      <c r="Q1650" s="118"/>
      <c r="R1650" s="22"/>
      <c r="S1650" s="22"/>
    </row>
    <row r="1651" spans="1:19" s="11" customFormat="1" outlineLevel="2" x14ac:dyDescent="0.2">
      <c r="A1651" s="22"/>
      <c r="B1651" s="149"/>
      <c r="C1651" s="22"/>
      <c r="D1651" s="22"/>
      <c r="E1651" s="22"/>
      <c r="F1651" s="118"/>
      <c r="G1651" s="118"/>
      <c r="H1651" s="118"/>
      <c r="I1651" s="118"/>
      <c r="J1651" s="118"/>
      <c r="K1651" s="118"/>
      <c r="L1651" s="118"/>
      <c r="M1651" s="118"/>
      <c r="N1651" s="118"/>
      <c r="O1651" s="118"/>
      <c r="P1651" s="118"/>
      <c r="Q1651" s="118"/>
      <c r="R1651" s="22"/>
      <c r="S1651" s="22"/>
    </row>
    <row r="1652" spans="1:19" s="11" customFormat="1" outlineLevel="2" x14ac:dyDescent="0.2">
      <c r="A1652" s="22"/>
      <c r="B1652" s="149"/>
      <c r="C1652" s="22"/>
      <c r="D1652" s="22"/>
      <c r="E1652" s="22"/>
      <c r="F1652" s="118"/>
      <c r="G1652" s="118"/>
      <c r="H1652" s="118"/>
      <c r="I1652" s="118"/>
      <c r="J1652" s="118"/>
      <c r="K1652" s="118"/>
      <c r="L1652" s="118"/>
      <c r="M1652" s="118"/>
      <c r="N1652" s="118"/>
      <c r="O1652" s="118"/>
      <c r="P1652" s="118"/>
      <c r="Q1652" s="118"/>
      <c r="R1652" s="22"/>
      <c r="S1652" s="22"/>
    </row>
    <row r="1653" spans="1:19" s="11" customFormat="1" outlineLevel="2" x14ac:dyDescent="0.2">
      <c r="A1653" s="22"/>
      <c r="B1653" s="149"/>
      <c r="C1653" s="22"/>
      <c r="D1653" s="22"/>
      <c r="E1653" s="22"/>
      <c r="F1653" s="118"/>
      <c r="G1653" s="118"/>
      <c r="H1653" s="118"/>
      <c r="I1653" s="118"/>
      <c r="J1653" s="118"/>
      <c r="K1653" s="118"/>
      <c r="L1653" s="118"/>
      <c r="M1653" s="118"/>
      <c r="N1653" s="118"/>
      <c r="O1653" s="118"/>
      <c r="P1653" s="118"/>
      <c r="Q1653" s="118"/>
      <c r="R1653" s="22"/>
      <c r="S1653" s="22"/>
    </row>
    <row r="1654" spans="1:19" s="11" customFormat="1" outlineLevel="2" x14ac:dyDescent="0.2">
      <c r="A1654" s="22"/>
      <c r="B1654" s="149"/>
      <c r="C1654" s="22"/>
      <c r="D1654" s="22"/>
      <c r="E1654" s="22"/>
      <c r="F1654" s="118"/>
      <c r="G1654" s="118"/>
      <c r="H1654" s="118"/>
      <c r="I1654" s="118"/>
      <c r="J1654" s="118"/>
      <c r="K1654" s="118"/>
      <c r="L1654" s="118"/>
      <c r="M1654" s="118"/>
      <c r="N1654" s="118"/>
      <c r="O1654" s="118"/>
      <c r="P1654" s="118"/>
      <c r="Q1654" s="118"/>
      <c r="R1654" s="22"/>
      <c r="S1654" s="22"/>
    </row>
    <row r="1655" spans="1:19" s="11" customFormat="1" outlineLevel="2" x14ac:dyDescent="0.2">
      <c r="A1655" s="22"/>
      <c r="B1655" s="149"/>
      <c r="C1655" s="22"/>
      <c r="D1655" s="22"/>
      <c r="E1655" s="22"/>
      <c r="F1655" s="118"/>
      <c r="G1655" s="118"/>
      <c r="H1655" s="118"/>
      <c r="I1655" s="118"/>
      <c r="J1655" s="118"/>
      <c r="K1655" s="118"/>
      <c r="L1655" s="118"/>
      <c r="M1655" s="118"/>
      <c r="N1655" s="118"/>
      <c r="O1655" s="118"/>
      <c r="P1655" s="118"/>
      <c r="Q1655" s="118"/>
      <c r="R1655" s="22"/>
      <c r="S1655" s="22"/>
    </row>
    <row r="1656" spans="1:19" s="11" customFormat="1" ht="10.5" outlineLevel="2" thickBot="1" x14ac:dyDescent="0.25">
      <c r="A1656" s="166" t="str">
        <f ca="1">Language!A$804</f>
        <v xml:space="preserve">         ПОКАЗАТЕЛИ ФИНАНСОВОЙ СОСТОЯТЕЛЬНОСТИ</v>
      </c>
      <c r="B1656" s="166"/>
      <c r="C1656" s="166"/>
      <c r="D1656" s="166"/>
      <c r="E1656" s="166"/>
      <c r="F1656" s="178" t="str">
        <f t="shared" ref="F1656:Q1656" si="1834">PeriodTitle</f>
        <v>4/ 2024</v>
      </c>
      <c r="G1656" s="178" t="str">
        <f t="shared" si="1834"/>
        <v>5/ 2024</v>
      </c>
      <c r="H1656" s="178" t="str">
        <f t="shared" si="1834"/>
        <v>6/ 2024</v>
      </c>
      <c r="I1656" s="178" t="str">
        <f t="shared" si="1834"/>
        <v>7/ 2024</v>
      </c>
      <c r="J1656" s="178" t="str">
        <f t="shared" si="1834"/>
        <v>8/ 2024</v>
      </c>
      <c r="K1656" s="178" t="str">
        <f t="shared" si="1834"/>
        <v>9/ 2024</v>
      </c>
      <c r="L1656" s="178" t="str">
        <f t="shared" si="1834"/>
        <v>10/ 2024</v>
      </c>
      <c r="M1656" s="178" t="str">
        <f t="shared" si="1834"/>
        <v>11/ 2024</v>
      </c>
      <c r="N1656" s="178" t="str">
        <f t="shared" si="1834"/>
        <v>12/ 2024</v>
      </c>
      <c r="O1656" s="178" t="str">
        <f t="shared" si="1834"/>
        <v>1/ 2025</v>
      </c>
      <c r="P1656" s="178" t="str">
        <f t="shared" si="1834"/>
        <v>2/ 2025</v>
      </c>
      <c r="Q1656" s="178" t="str">
        <f t="shared" si="1834"/>
        <v>3/ 2025</v>
      </c>
      <c r="R1656" s="166"/>
      <c r="S1656" s="38"/>
    </row>
    <row r="1657" spans="1:19" s="11" customFormat="1" ht="10.5" outlineLevel="2" thickTop="1" x14ac:dyDescent="0.2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</row>
    <row r="1658" spans="1:19" s="11" customFormat="1" outlineLevel="2" x14ac:dyDescent="0.2">
      <c r="A1658" t="str">
        <f ca="1">Language!A$805</f>
        <v>Рентабельность активов</v>
      </c>
      <c r="B1658"/>
      <c r="C1658" s="17" t="s">
        <v>177</v>
      </c>
      <c r="D1658" s="16" t="s">
        <v>176</v>
      </c>
      <c r="E1658"/>
      <c r="F1658" s="158">
        <f t="shared" ref="F1658:Q1658" ca="1" si="1835">IF(F1583&gt;0,F1324/IF(F$29=PRJ_Len,F1583,(E1583+F1583)/2)*360/PRJ_Step,"-")</f>
        <v>-98.418135394267807</v>
      </c>
      <c r="G1658" s="158">
        <f t="shared" ca="1" si="1835"/>
        <v>-46.022157882647228</v>
      </c>
      <c r="H1658" s="158">
        <f t="shared" ca="1" si="1835"/>
        <v>-47.853749073042223</v>
      </c>
      <c r="I1658" s="158">
        <f t="shared" ca="1" si="1835"/>
        <v>-39.585282126697365</v>
      </c>
      <c r="J1658" s="158">
        <f t="shared" ca="1" si="1835"/>
        <v>-28.400662487944633</v>
      </c>
      <c r="K1658" s="158">
        <f t="shared" ca="1" si="1835"/>
        <v>-3.2782188184972632</v>
      </c>
      <c r="L1658" s="158">
        <f t="shared" ca="1" si="1835"/>
        <v>14.520173612386566</v>
      </c>
      <c r="M1658" s="158">
        <f t="shared" ca="1" si="1835"/>
        <v>26.289411783287623</v>
      </c>
      <c r="N1658" s="158">
        <f t="shared" ca="1" si="1835"/>
        <v>36.474216639437586</v>
      </c>
      <c r="O1658" s="158">
        <f t="shared" ca="1" si="1835"/>
        <v>23.105143518819201</v>
      </c>
      <c r="P1658" s="158">
        <f t="shared" ca="1" si="1835"/>
        <v>10.436250886147858</v>
      </c>
      <c r="Q1658" s="158">
        <f t="shared" ca="1" si="1835"/>
        <v>4.8280231006990588</v>
      </c>
      <c r="R1658"/>
    </row>
    <row r="1659" spans="1:19" s="11" customFormat="1" outlineLevel="2" x14ac:dyDescent="0.2">
      <c r="A1659" t="str">
        <f ca="1">Language!A$806</f>
        <v>Рентабельность собственного капитала</v>
      </c>
      <c r="B1659"/>
      <c r="C1659" s="17" t="s">
        <v>177</v>
      </c>
      <c r="D1659" s="16" t="s">
        <v>176</v>
      </c>
      <c r="E1659"/>
      <c r="F1659" s="158" t="str">
        <f t="shared" ref="F1659:Q1659" ca="1" si="1836">IF(F1600&gt;0,F1324/IF(F$29=PRJ_Len,F1600,(E1600+F1600)/2)*360/PRJ_Step,"-")</f>
        <v>-</v>
      </c>
      <c r="G1659" s="158" t="str">
        <f t="shared" ca="1" si="1836"/>
        <v>-</v>
      </c>
      <c r="H1659" s="158" t="str">
        <f t="shared" ca="1" si="1836"/>
        <v>-</v>
      </c>
      <c r="I1659" s="158" t="str">
        <f t="shared" ca="1" si="1836"/>
        <v>-</v>
      </c>
      <c r="J1659" s="158" t="str">
        <f t="shared" ca="1" si="1836"/>
        <v>-</v>
      </c>
      <c r="K1659" s="158" t="str">
        <f t="shared" ca="1" si="1836"/>
        <v>-</v>
      </c>
      <c r="L1659" s="158" t="str">
        <f t="shared" ca="1" si="1836"/>
        <v>-</v>
      </c>
      <c r="M1659" s="158" t="str">
        <f t="shared" ca="1" si="1836"/>
        <v>-</v>
      </c>
      <c r="N1659" s="158" t="str">
        <f t="shared" ca="1" si="1836"/>
        <v>-</v>
      </c>
      <c r="O1659" s="158">
        <f t="shared" ca="1" si="1836"/>
        <v>-153.36353782980839</v>
      </c>
      <c r="P1659" s="158">
        <f t="shared" ca="1" si="1836"/>
        <v>14.43398585685995</v>
      </c>
      <c r="Q1659" s="158">
        <f t="shared" ca="1" si="1836"/>
        <v>5.5428841616838129</v>
      </c>
      <c r="R1659"/>
    </row>
    <row r="1660" spans="1:19" s="11" customFormat="1" outlineLevel="2" x14ac:dyDescent="0.2">
      <c r="A1660" t="str">
        <f ca="1">Language!A$807</f>
        <v>Рентабельность внеоборотных активов</v>
      </c>
      <c r="B1660"/>
      <c r="C1660" s="17" t="s">
        <v>177</v>
      </c>
      <c r="D1660" s="16" t="s">
        <v>176</v>
      </c>
      <c r="E1660"/>
      <c r="F1660" s="158" t="str">
        <f t="shared" ref="F1660:Q1660" ca="1" si="1837">IF(F1581&gt;0,F1324/IF(F$29=PRJ_Len,F1581,(E1581+F1581)/2)*360/PRJ_Step,"-")</f>
        <v>-</v>
      </c>
      <c r="G1660" s="158" t="str">
        <f t="shared" ca="1" si="1837"/>
        <v>-</v>
      </c>
      <c r="H1660" s="158" t="str">
        <f t="shared" ca="1" si="1837"/>
        <v>-</v>
      </c>
      <c r="I1660" s="158" t="str">
        <f t="shared" ca="1" si="1837"/>
        <v>-</v>
      </c>
      <c r="J1660" s="158" t="str">
        <f t="shared" ca="1" si="1837"/>
        <v>-</v>
      </c>
      <c r="K1660" s="158" t="str">
        <f t="shared" ca="1" si="1837"/>
        <v>-</v>
      </c>
      <c r="L1660" s="158" t="str">
        <f t="shared" ca="1" si="1837"/>
        <v>-</v>
      </c>
      <c r="M1660" s="158" t="str">
        <f t="shared" ca="1" si="1837"/>
        <v>-</v>
      </c>
      <c r="N1660" s="158" t="str">
        <f t="shared" ca="1" si="1837"/>
        <v>-</v>
      </c>
      <c r="O1660" s="158" t="str">
        <f t="shared" ca="1" si="1837"/>
        <v>-</v>
      </c>
      <c r="P1660" s="158" t="str">
        <f t="shared" ca="1" si="1837"/>
        <v>-</v>
      </c>
      <c r="Q1660" s="158" t="str">
        <f t="shared" ca="1" si="1837"/>
        <v>-</v>
      </c>
      <c r="R1660"/>
    </row>
    <row r="1661" spans="1:19" s="11" customFormat="1" outlineLevel="2" x14ac:dyDescent="0.2">
      <c r="A1661" t="str">
        <f ca="1">Language!A$808</f>
        <v>Прямые расходы к выручке от реализации</v>
      </c>
      <c r="B1661"/>
      <c r="C1661" s="17" t="s">
        <v>177</v>
      </c>
      <c r="D1661" s="16" t="s">
        <v>176</v>
      </c>
      <c r="E1661"/>
      <c r="F1661" s="158" t="str">
        <f t="shared" ref="F1661:M1661" si="1838">IF(F1301&gt;0,F1302/F1301,"-")</f>
        <v>-</v>
      </c>
      <c r="G1661" s="158" t="str">
        <f t="shared" si="1838"/>
        <v>-</v>
      </c>
      <c r="H1661" s="158">
        <f t="shared" ca="1" si="1838"/>
        <v>15.139886026706886</v>
      </c>
      <c r="I1661" s="158">
        <f t="shared" ca="1" si="1838"/>
        <v>3.0280555381842258</v>
      </c>
      <c r="J1661" s="158">
        <f t="shared" ca="1" si="1838"/>
        <v>1.5140767271188933</v>
      </c>
      <c r="K1661" s="158">
        <f t="shared" ca="1" si="1838"/>
        <v>0.75708732158622716</v>
      </c>
      <c r="L1661" s="158">
        <f t="shared" ca="1" si="1838"/>
        <v>0.50475751974200511</v>
      </c>
      <c r="M1661" s="158">
        <f t="shared" ca="1" si="1838"/>
        <v>0.37859261881989409</v>
      </c>
      <c r="N1661" s="158">
        <f t="shared" ref="N1661" ca="1" si="1839">IF(N1301&gt;0,N1302/N1301,"-")</f>
        <v>0.27536679079271226</v>
      </c>
      <c r="O1661" s="158">
        <f t="shared" ref="O1661:Q1661" ca="1" si="1840">IF(O1301&gt;0,O1302/O1301,"-")</f>
        <v>0.20196175752893858</v>
      </c>
      <c r="P1661" s="158">
        <f t="shared" ref="P1661:Q1661" ca="1" si="1841">IF(P1301&gt;0,P1302/P1301,"-")</f>
        <v>0.16831778394970898</v>
      </c>
      <c r="Q1661" s="158">
        <f t="shared" ca="1" si="1841"/>
        <v>0.15149579716009418</v>
      </c>
      <c r="R1661"/>
    </row>
    <row r="1662" spans="1:19" s="11" customFormat="1" outlineLevel="2" x14ac:dyDescent="0.2">
      <c r="A1662" t="str">
        <f ca="1">Language!A$809</f>
        <v>Прибыльность продаж</v>
      </c>
      <c r="B1662"/>
      <c r="C1662" s="17" t="s">
        <v>177</v>
      </c>
      <c r="D1662" s="16" t="s">
        <v>176</v>
      </c>
      <c r="E1662"/>
      <c r="F1662" s="158" t="str">
        <f t="shared" ref="F1662:M1662" si="1842">IF(F1301&gt;0,F1324/F1301,"-")</f>
        <v>-</v>
      </c>
      <c r="G1662" s="158" t="str">
        <f t="shared" si="1842"/>
        <v>-</v>
      </c>
      <c r="H1662" s="158">
        <f t="shared" ca="1" si="1842"/>
        <v>-18.876780674657123</v>
      </c>
      <c r="I1662" s="158">
        <f t="shared" ca="1" si="1842"/>
        <v>-3.0735643579327023</v>
      </c>
      <c r="J1662" s="158">
        <f t="shared" ca="1" si="1842"/>
        <v>-1.0837778501350592</v>
      </c>
      <c r="K1662" s="158">
        <f t="shared" ca="1" si="1842"/>
        <v>-7.3039785702163754E-2</v>
      </c>
      <c r="L1662" s="158">
        <f t="shared" ca="1" si="1842"/>
        <v>0.2689198420576045</v>
      </c>
      <c r="M1662" s="158">
        <f t="shared" ca="1" si="1842"/>
        <v>0.44441018437844859</v>
      </c>
      <c r="N1662" s="158">
        <f t="shared" ref="N1662" ca="1" si="1843">IF(N1301&gt;0,N1324/N1301,"-")</f>
        <v>0.58969260392411271</v>
      </c>
      <c r="O1662" s="158">
        <f t="shared" ref="O1662:Q1662" ca="1" si="1844">IF(O1301&gt;0,O1324/O1301,"-")</f>
        <v>0.68918990030900529</v>
      </c>
      <c r="P1662" s="158">
        <f t="shared" ref="P1662:Q1662" ca="1" si="1845">IF(P1301&gt;0,P1324/P1301,"-")</f>
        <v>0.73097526424857762</v>
      </c>
      <c r="Q1662" s="158">
        <f t="shared" ca="1" si="1845"/>
        <v>0.75186794621836373</v>
      </c>
      <c r="R1662"/>
    </row>
    <row r="1663" spans="1:19" s="11" customFormat="1" outlineLevel="2" x14ac:dyDescent="0.2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</row>
    <row r="1664" spans="1:19" s="11" customFormat="1" outlineLevel="2" x14ac:dyDescent="0.2">
      <c r="A1664" s="119" t="str">
        <f ca="1">Language!A$810</f>
        <v>Доля постоянных  затрат</v>
      </c>
      <c r="B1664"/>
      <c r="C1664" s="17" t="s">
        <v>177</v>
      </c>
      <c r="D1664" s="16" t="s">
        <v>176</v>
      </c>
      <c r="E1664"/>
      <c r="F1664" s="291">
        <f t="shared" ref="F1664:M1664" ca="1" si="1846">IF((F1302+F1311+F1312+F1313+F1314+F1316)&gt;0,(F1306+F1307+F1308+F1309+F1311+F1312+F1313+F1314+F1316)/(F1302+F1311+F1312+F1313+F1314+F1316),0)</f>
        <v>1</v>
      </c>
      <c r="G1664" s="291">
        <f t="shared" ca="1" si="1846"/>
        <v>1</v>
      </c>
      <c r="H1664" s="291">
        <f t="shared" ca="1" si="1846"/>
        <v>0.99999505893236806</v>
      </c>
      <c r="I1664" s="291">
        <f t="shared" ca="1" si="1846"/>
        <v>0.99997560371658978</v>
      </c>
      <c r="J1664" s="291">
        <f t="shared" ca="1" si="1846"/>
        <v>0.99995161719278902</v>
      </c>
      <c r="K1664" s="291">
        <f t="shared" ca="1" si="1846"/>
        <v>0.99990334431584738</v>
      </c>
      <c r="L1664" s="291">
        <f t="shared" ca="1" si="1846"/>
        <v>0.99985409186607277</v>
      </c>
      <c r="M1664" s="291">
        <f t="shared" ca="1" si="1846"/>
        <v>0.99980242521037654</v>
      </c>
      <c r="N1664" s="291">
        <f t="shared" ref="N1664" ca="1" si="1847">IF((N1302+N1311+N1312+N1313+N1314+N1316)&gt;0,(N1306+N1307+N1308+N1309+N1311+N1312+N1313+N1314+N1316)/(N1302+N1311+N1312+N1313+N1314+N1316),0)</f>
        <v>0.99972048533756985</v>
      </c>
      <c r="O1664" s="291">
        <f t="shared" ref="O1664:Q1664" ca="1" si="1848">IF((O1302+O1311+O1312+O1313+O1314+O1316)&gt;0,(O1306+O1307+O1308+O1309+O1311+O1312+O1313+O1314+O1316)/(O1302+O1311+O1312+O1313+O1314+O1316),0)</f>
        <v>0.99960960083472894</v>
      </c>
      <c r="P1664" s="291">
        <f t="shared" ref="P1664:Q1664" ca="1" si="1849">IF((P1302+P1311+P1312+P1313+P1314+P1316)&gt;0,(P1306+P1307+P1308+P1309+P1311+P1312+P1313+P1314+P1316)/(P1302+P1311+P1312+P1313+P1314+P1316),0)</f>
        <v>0.99953155757758083</v>
      </c>
      <c r="Q1664" s="291">
        <f t="shared" ca="1" si="1849"/>
        <v>0.99947953550927282</v>
      </c>
      <c r="R1664"/>
    </row>
    <row r="1665" spans="1:19" s="11" customFormat="1" outlineLevel="2" x14ac:dyDescent="0.2">
      <c r="A1665" s="119" t="str">
        <f ca="1">Language!A$811</f>
        <v>Точка безубыточности</v>
      </c>
      <c r="B1665"/>
      <c r="C1665" s="5" t="str">
        <f ca="1">CUR_Report</f>
        <v>руб.</v>
      </c>
      <c r="D1665" s="16" t="s">
        <v>176</v>
      </c>
      <c r="E1665"/>
      <c r="F1665" s="144" t="str">
        <f t="shared" ref="F1665:M1665" ca="1" si="1850">IF((F1301-(F1302+F1311+F1312+F1313+F1316)*(1-F1664))=0,"-",F1664*(F1302+F1311+F1312+F1313+F1316)/(F1301-(F1302+F1311+F1312+F1313+F1316)*(1-F1664))*F1301)</f>
        <v>-</v>
      </c>
      <c r="G1665" s="144" t="str">
        <f t="shared" ca="1" si="1850"/>
        <v>-</v>
      </c>
      <c r="H1665" s="144">
        <f t="shared" ca="1" si="1850"/>
        <v>2555998.1568150981</v>
      </c>
      <c r="I1665" s="144">
        <f t="shared" ca="1" si="1850"/>
        <v>2555998.701587854</v>
      </c>
      <c r="J1665" s="144">
        <f t="shared" ca="1" si="1850"/>
        <v>2556001.9736587452</v>
      </c>
      <c r="K1665" s="144">
        <f t="shared" ca="1" si="1850"/>
        <v>2556011.4167512041</v>
      </c>
      <c r="L1665" s="144">
        <f t="shared" ca="1" si="1850"/>
        <v>2556020.0886768443</v>
      </c>
      <c r="M1665" s="144">
        <f t="shared" ca="1" si="1850"/>
        <v>2556024.7364676329</v>
      </c>
      <c r="N1665" s="144">
        <f t="shared" ref="N1665" ca="1" si="1851">IF((N1301-(N1302+N1311+N1312+N1313+N1316)*(1-N1664))=0,"-",N1664*(N1302+N1311+N1312+N1313+N1316)/(N1301-(N1302+N1311+N1312+N1313+N1316)*(1-N1664))*N1301)</f>
        <v>2556021.7290363442</v>
      </c>
      <c r="O1665" s="144">
        <f t="shared" ref="O1665:Q1665" ca="1" si="1852">IF((O1301-(O1302+O1311+O1312+O1313+O1316)*(1-O1664))=0,"-",O1664*(O1302+O1311+O1312+O1313+O1316)/(O1301-(O1302+O1311+O1312+O1313+O1316)*(1-O1664))*O1301)</f>
        <v>2556010.2744389339</v>
      </c>
      <c r="P1665" s="144">
        <f t="shared" ref="P1665:Q1665" ca="1" si="1853">IF((P1301-(P1302+P1311+P1312+P1313+P1316)*(1-P1664))=0,"-",P1664*(P1302+P1311+P1312+P1313+P1316)/(P1301-(P1302+P1311+P1312+P1313+P1316)*(1-P1664))*P1301)</f>
        <v>2556010.2744389339</v>
      </c>
      <c r="Q1665" s="144">
        <f t="shared" ca="1" si="1853"/>
        <v>2556010.2744389339</v>
      </c>
      <c r="R1665"/>
    </row>
    <row r="1666" spans="1:19" s="11" customFormat="1" outlineLevel="2" x14ac:dyDescent="0.2">
      <c r="A1666" s="119" t="str">
        <f ca="1">Language!A$812</f>
        <v>"Запас прочности"</v>
      </c>
      <c r="B1666"/>
      <c r="C1666" s="17" t="s">
        <v>177</v>
      </c>
      <c r="D1666" s="16" t="s">
        <v>176</v>
      </c>
      <c r="E1666"/>
      <c r="F1666" s="158" t="str">
        <f t="shared" ref="F1666:M1666" ca="1" si="1854">IF(ISERR((F1301-F1665)/F1301),"-",(F1301-F1665)/F1301)</f>
        <v>-</v>
      </c>
      <c r="G1666" s="158" t="str">
        <f t="shared" ca="1" si="1854"/>
        <v>-</v>
      </c>
      <c r="H1666" s="158">
        <f t="shared" ca="1" si="1854"/>
        <v>-17.805165956556049</v>
      </c>
      <c r="I1666" s="158">
        <f t="shared" ca="1" si="1854"/>
        <v>-2.7610339929191494</v>
      </c>
      <c r="J1666" s="158">
        <f t="shared" ca="1" si="1854"/>
        <v>-0.88051940381014215</v>
      </c>
      <c r="K1666" s="158">
        <f t="shared" ca="1" si="1854"/>
        <v>5.9736824326366962E-2</v>
      </c>
      <c r="L1666" s="158">
        <f t="shared" ca="1" si="1854"/>
        <v>0.37315575616126045</v>
      </c>
      <c r="M1666" s="158">
        <f t="shared" ca="1" si="1854"/>
        <v>0.52986596224477023</v>
      </c>
      <c r="N1666" s="158">
        <f t="shared" ref="N1666" ca="1" si="1855">IF(ISERR((N1301-N1665)/N1301),"-",(N1301-N1665)/N1301)</f>
        <v>0.65808473847766813</v>
      </c>
      <c r="O1666" s="158">
        <f t="shared" ref="O1666:Q1666" ca="1" si="1856">IF(ISERR((O1301-O1665)/O1301),"-",(O1301-O1665)/O1301)</f>
        <v>0.74926326521101294</v>
      </c>
      <c r="P1666" s="158">
        <f t="shared" ref="P1666:Q1666" ca="1" si="1857">IF(ISERR((P1301-P1665)/P1301),"-",(P1301-P1665)/P1301)</f>
        <v>0.79105272100917745</v>
      </c>
      <c r="Q1666" s="158">
        <f t="shared" ca="1" si="1857"/>
        <v>0.81194744890825965</v>
      </c>
      <c r="R1666"/>
      <c r="S1666"/>
    </row>
    <row r="1667" spans="1:19" s="11" customFormat="1" outlineLevel="2" x14ac:dyDescent="0.2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</row>
    <row r="1668" spans="1:19" s="11" customFormat="1" outlineLevel="2" x14ac:dyDescent="0.2">
      <c r="A1668" t="str">
        <f ca="1">Language!A$813</f>
        <v>Рентабельность по EBITDA</v>
      </c>
      <c r="B1668"/>
      <c r="C1668" s="17" t="s">
        <v>177</v>
      </c>
      <c r="D1668" s="16" t="s">
        <v>176</v>
      </c>
      <c r="E1668"/>
      <c r="F1668" s="61">
        <f t="shared" ref="F1668:M1668" ca="1" si="1858">IF((F1302+F1311+F1312+F1313+F1316)&gt;0,F1387/(F1302+F1311+F1312+F1313+F1316),"-")</f>
        <v>-1</v>
      </c>
      <c r="G1668" s="61">
        <f t="shared" ca="1" si="1858"/>
        <v>-0.99999999999999978</v>
      </c>
      <c r="H1668" s="61">
        <f t="shared" ca="1" si="1858"/>
        <v>-0.94681844452531783</v>
      </c>
      <c r="I1668" s="61">
        <f t="shared" ca="1" si="1858"/>
        <v>-0.73409776118731918</v>
      </c>
      <c r="J1668" s="61">
        <f t="shared" ca="1" si="1858"/>
        <v>-0.46820936812757058</v>
      </c>
      <c r="K1668" s="61">
        <f t="shared" ca="1" si="1858"/>
        <v>6.3525885058669504E-2</v>
      </c>
      <c r="L1668" s="61">
        <f t="shared" ca="1" si="1858"/>
        <v>0.59520576820866222</v>
      </c>
      <c r="M1668" s="61">
        <f t="shared" ca="1" si="1858"/>
        <v>1.12683028997055</v>
      </c>
      <c r="N1668" s="61">
        <f t="shared" ref="N1668" ca="1" si="1859">IF((N1302+N1311+N1312+N1313+N1316)&gt;0,N1387/(N1302+N1311+N1312+N1313+N1316),"-")</f>
        <v>1.9241632889240654</v>
      </c>
      <c r="O1668" s="61">
        <f t="shared" ref="O1668:Q1668" ca="1" si="1860">IF((O1302+O1311+O1312+O1313+O1316)&gt;0,O1387/(O1302+O1311+O1312+O1313+O1316),"-")</f>
        <v>2.9870802700211394</v>
      </c>
      <c r="P1668" s="61">
        <f t="shared" ref="P1668:Q1668" ca="1" si="1861">IF((P1302+P1311+P1312+P1313+P1316)&gt;0,P1387/(P1302+P1311+P1312+P1313+P1316),"-")</f>
        <v>3.7841227805173534</v>
      </c>
      <c r="Q1668" s="61">
        <f t="shared" ca="1" si="1861"/>
        <v>4.3154153154607773</v>
      </c>
      <c r="R1668"/>
      <c r="S1668"/>
    </row>
    <row r="1669" spans="1:19" s="11" customFormat="1" outlineLevel="1" x14ac:dyDescent="0.2">
      <c r="A1669" t="str">
        <f ca="1">Language!A$814</f>
        <v>Рентабельность по EBIT</v>
      </c>
      <c r="B1669"/>
      <c r="C1669" s="17" t="s">
        <v>177</v>
      </c>
      <c r="D1669" s="16" t="s">
        <v>176</v>
      </c>
      <c r="E1669"/>
      <c r="F1669" s="61">
        <f t="shared" ref="F1669:M1669" ca="1" si="1862">IF((F1302+F1311+F1312+F1313+F1316)&gt;0,F1388/(F1302+F1311+F1312+F1313+F1316),"-")</f>
        <v>-1</v>
      </c>
      <c r="G1669" s="61">
        <f t="shared" ca="1" si="1862"/>
        <v>-0.99999999999999978</v>
      </c>
      <c r="H1669" s="61">
        <f t="shared" ca="1" si="1862"/>
        <v>-0.94681844452531783</v>
      </c>
      <c r="I1669" s="61">
        <f t="shared" ca="1" si="1862"/>
        <v>-0.73409776118731918</v>
      </c>
      <c r="J1669" s="61">
        <f t="shared" ca="1" si="1862"/>
        <v>-0.46820936812757058</v>
      </c>
      <c r="K1669" s="61">
        <f t="shared" ca="1" si="1862"/>
        <v>6.3525885058669504E-2</v>
      </c>
      <c r="L1669" s="61">
        <f t="shared" ca="1" si="1862"/>
        <v>0.59520576820866222</v>
      </c>
      <c r="M1669" s="61">
        <f t="shared" ca="1" si="1862"/>
        <v>1.12683028997055</v>
      </c>
      <c r="N1669" s="61">
        <f t="shared" ref="N1669" ca="1" si="1863">IF((N1302+N1311+N1312+N1313+N1316)&gt;0,N1388/(N1302+N1311+N1312+N1313+N1316),"-")</f>
        <v>1.9241632889240654</v>
      </c>
      <c r="O1669" s="61">
        <f t="shared" ref="O1669:Q1669" ca="1" si="1864">IF((O1302+O1311+O1312+O1313+O1316)&gt;0,O1388/(O1302+O1311+O1312+O1313+O1316),"-")</f>
        <v>2.9870802700211394</v>
      </c>
      <c r="P1669" s="61">
        <f t="shared" ref="P1669:Q1669" ca="1" si="1865">IF((P1302+P1311+P1312+P1313+P1316)&gt;0,P1388/(P1302+P1311+P1312+P1313+P1316),"-")</f>
        <v>3.7841227805173534</v>
      </c>
      <c r="Q1669" s="61">
        <f t="shared" ca="1" si="1865"/>
        <v>4.3154153154607773</v>
      </c>
      <c r="R1669"/>
      <c r="S1669"/>
    </row>
    <row r="1670" spans="1:19" s="11" customFormat="1" outlineLevel="1" x14ac:dyDescent="0.2">
      <c r="A1670" t="str">
        <f ca="1">Language!A$815</f>
        <v xml:space="preserve">Рентабельность по чистой прибыли </v>
      </c>
      <c r="B1670"/>
      <c r="C1670" s="17" t="s">
        <v>177</v>
      </c>
      <c r="D1670" s="16" t="s">
        <v>176</v>
      </c>
      <c r="E1670"/>
      <c r="F1670" s="61">
        <f t="shared" ref="F1670:M1670" ca="1" si="1866">IF((F1302+F1311+F1312+F1313+F1316)&gt;0,F1324/(F1302+F1311+F1312+F1313+F1316),"-")</f>
        <v>-1.0139182257458705</v>
      </c>
      <c r="G1670" s="61">
        <f t="shared" ca="1" si="1866"/>
        <v>-1.0368551638490737</v>
      </c>
      <c r="H1670" s="61">
        <f t="shared" ca="1" si="1866"/>
        <v>-1.0038965586326851</v>
      </c>
      <c r="I1670" s="61">
        <f t="shared" ca="1" si="1866"/>
        <v>-0.81726764390916395</v>
      </c>
      <c r="J1670" s="61">
        <f t="shared" ca="1" si="1866"/>
        <v>-0.5763429077326665</v>
      </c>
      <c r="K1670" s="61">
        <f t="shared" ca="1" si="1866"/>
        <v>-7.7679702733389241E-2</v>
      </c>
      <c r="L1670" s="61">
        <f t="shared" ca="1" si="1866"/>
        <v>0.42898248323605304</v>
      </c>
      <c r="M1670" s="61">
        <f t="shared" ca="1" si="1866"/>
        <v>0.9451850413074816</v>
      </c>
      <c r="N1670" s="61">
        <f t="shared" ref="N1670" ca="1" si="1867">IF((N1302+N1311+N1312+N1313+N1316)&gt;0,N1324/(N1302+N1311+N1312+N1313+N1316),"-")</f>
        <v>1.7243574641449295</v>
      </c>
      <c r="O1670" s="61">
        <f t="shared" ref="O1670:Q1670" ca="1" si="1868">IF((O1302+O1311+O1312+O1313+O1316)&gt;0,O1324/(O1302+O1311+O1312+O1313+O1316),"-")</f>
        <v>2.747855453819871</v>
      </c>
      <c r="P1670" s="61">
        <f t="shared" ref="P1670:Q1670" ca="1" si="1869">IF((P1302+P1311+P1312+P1313+P1316)&gt;0,P1324/(P1302+P1311+P1312+P1313+P1316),"-")</f>
        <v>3.497075413686312</v>
      </c>
      <c r="Q1670" s="61">
        <f t="shared" ca="1" si="1869"/>
        <v>3.9964903965331304</v>
      </c>
      <c r="R1670"/>
      <c r="S1670"/>
    </row>
    <row r="1671" spans="1:19" s="4" customFormat="1" ht="16" customHeight="1" x14ac:dyDescent="0.2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</row>
    <row r="1672" spans="1:19" outlineLevel="1" x14ac:dyDescent="0.2">
      <c r="A1672" t="str">
        <f ca="1">Language!A$816</f>
        <v>Эффективная ставка налога на прибыль</v>
      </c>
      <c r="B1672" s="156"/>
      <c r="C1672" s="5" t="s">
        <v>177</v>
      </c>
      <c r="D1672" s="16" t="s">
        <v>176</v>
      </c>
      <c r="F1672" s="163">
        <f t="shared" ref="F1672:M1672" ca="1" si="1870">IF(F1322&gt;0,F1323/F1322,0)</f>
        <v>0</v>
      </c>
      <c r="G1672" s="163">
        <f t="shared" ca="1" si="1870"/>
        <v>0</v>
      </c>
      <c r="H1672" s="163">
        <f t="shared" ca="1" si="1870"/>
        <v>0</v>
      </c>
      <c r="I1672" s="163">
        <f t="shared" ca="1" si="1870"/>
        <v>0</v>
      </c>
      <c r="J1672" s="163">
        <f t="shared" ca="1" si="1870"/>
        <v>0</v>
      </c>
      <c r="K1672" s="163">
        <f t="shared" ca="1" si="1870"/>
        <v>0</v>
      </c>
      <c r="L1672" s="163">
        <f t="shared" ca="1" si="1870"/>
        <v>0.18241526453576512</v>
      </c>
      <c r="M1672" s="163">
        <f t="shared" ca="1" si="1870"/>
        <v>0.11895080999193948</v>
      </c>
      <c r="N1672" s="163">
        <f t="shared" ref="N1672" ca="1" si="1871">IF(N1322&gt;0,N1323/N1322,0)</f>
        <v>9.2351366842723506E-2</v>
      </c>
      <c r="O1672" s="163">
        <f t="shared" ref="O1672:Q1672" ca="1" si="1872">IF(O1322&gt;0,O1323/O1322,0)</f>
        <v>8.008650406959951E-2</v>
      </c>
      <c r="P1672" s="163">
        <f t="shared" ref="P1672:Q1672" ca="1" si="1873">IF(P1322&gt;0,P1323/P1322,0)</f>
        <v>7.5855722311366697E-2</v>
      </c>
      <c r="Q1672" s="163">
        <f t="shared" ca="1" si="1873"/>
        <v>7.39036444035963E-2</v>
      </c>
      <c r="S1672"/>
    </row>
    <row r="1673" spans="1:19" outlineLevel="1" x14ac:dyDescent="0.2">
      <c r="S1673"/>
    </row>
    <row r="1674" spans="1:19" outlineLevel="1" x14ac:dyDescent="0.2">
      <c r="A1674" t="str">
        <f ca="1">Language!A$817</f>
        <v>Коэффициент общей ликвидности</v>
      </c>
      <c r="C1674" s="5" t="str">
        <f ca="1">Language!A$197</f>
        <v>разы</v>
      </c>
      <c r="D1674" s="16" t="s">
        <v>176</v>
      </c>
      <c r="F1674" s="164">
        <f t="shared" ref="F1674:M1674" ca="1" si="1874">IF(F1593&gt;0,F1572/F1593,"-")</f>
        <v>0.54710826306873017</v>
      </c>
      <c r="G1674" s="164">
        <f t="shared" ca="1" si="1874"/>
        <v>0.78204081203232467</v>
      </c>
      <c r="H1674" s="164">
        <f t="shared" ca="1" si="1874"/>
        <v>0.7475949664375493</v>
      </c>
      <c r="I1674" s="164">
        <f t="shared" ca="1" si="1874"/>
        <v>0.66009399470901353</v>
      </c>
      <c r="J1674" s="164">
        <f t="shared" ca="1" si="1874"/>
        <v>0.57421377517769989</v>
      </c>
      <c r="K1674" s="164">
        <f t="shared" ca="1" si="1874"/>
        <v>0.63471893221447295</v>
      </c>
      <c r="L1674" s="164">
        <f t="shared" ca="1" si="1874"/>
        <v>0.62403298039675981</v>
      </c>
      <c r="M1674" s="164">
        <f t="shared" ca="1" si="1874"/>
        <v>0.68047807302278418</v>
      </c>
      <c r="N1674" s="164">
        <f t="shared" ref="N1674" ca="1" si="1875">IF(N1593&gt;0,N1572/N1593,"-")</f>
        <v>0.76804973954905575</v>
      </c>
      <c r="O1674" s="164">
        <f t="shared" ref="O1674:Q1674" ca="1" si="1876">IF(O1593&gt;0,O1572/O1593,"-")</f>
        <v>2.1121835822024839</v>
      </c>
      <c r="P1674" s="164">
        <f t="shared" ref="P1674:Q1674" ca="1" si="1877">IF(P1593&gt;0,P1572/P1593,"-")</f>
        <v>4.9274929242843246</v>
      </c>
      <c r="Q1674" s="164">
        <f t="shared" ca="1" si="1877"/>
        <v>7.7537922600627196</v>
      </c>
      <c r="S1674"/>
    </row>
    <row r="1675" spans="1:19" outlineLevel="1" x14ac:dyDescent="0.2">
      <c r="A1675" t="str">
        <f ca="1">Language!A$818</f>
        <v>Чистый оборотный капитал</v>
      </c>
      <c r="C1675" s="5" t="str">
        <f ca="1">CUR_Report</f>
        <v>руб.</v>
      </c>
      <c r="D1675" s="16" t="s">
        <v>176</v>
      </c>
      <c r="F1675" s="131">
        <f t="shared" ref="F1675:M1675" ca="1" si="1878">F1572-F1593</f>
        <v>-607092.3155216286</v>
      </c>
      <c r="G1675" s="131">
        <f t="shared" ca="1" si="1878"/>
        <v>-180749.19539783383</v>
      </c>
      <c r="H1675" s="131">
        <f t="shared" ca="1" si="1878"/>
        <v>-215489.6868217946</v>
      </c>
      <c r="I1675" s="131">
        <f t="shared" ca="1" si="1878"/>
        <v>-323457.27388294507</v>
      </c>
      <c r="J1675" s="131">
        <f t="shared" ca="1" si="1878"/>
        <v>-457267.15514076164</v>
      </c>
      <c r="K1675" s="131">
        <f t="shared" ca="1" si="1878"/>
        <v>-481656.69373345375</v>
      </c>
      <c r="L1675" s="131">
        <f t="shared" ca="1" si="1878"/>
        <v>-587729.69146072608</v>
      </c>
      <c r="M1675" s="131">
        <f t="shared" ca="1" si="1878"/>
        <v>-577664.96986981644</v>
      </c>
      <c r="N1675" s="131">
        <f t="shared" ref="N1675" ca="1" si="1879">N1572-N1593</f>
        <v>-504465.83805163321</v>
      </c>
      <c r="O1675" s="131">
        <f t="shared" ref="O1675:Q1675" ca="1" si="1880">O1572-O1593</f>
        <v>2963079.4997038571</v>
      </c>
      <c r="P1675" s="131">
        <f t="shared" ref="P1675:Q1675" ca="1" si="1881">P1572-P1593</f>
        <v>11904953.712203857</v>
      </c>
      <c r="Q1675" s="131">
        <f t="shared" ca="1" si="1881"/>
        <v>22124342.83720386</v>
      </c>
      <c r="S1675"/>
    </row>
    <row r="1676" spans="1:19" outlineLevel="1" x14ac:dyDescent="0.2">
      <c r="S1676"/>
    </row>
    <row r="1677" spans="1:19" outlineLevel="1" x14ac:dyDescent="0.2">
      <c r="A1677" t="str">
        <f ca="1">Language!A$819</f>
        <v>Коэффициент общей платежеспособности</v>
      </c>
      <c r="C1677" s="5" t="str">
        <f ca="1">Language!A$197</f>
        <v>разы</v>
      </c>
      <c r="D1677" s="16" t="s">
        <v>176</v>
      </c>
      <c r="F1677" s="164">
        <f t="shared" ref="F1677:M1677" ca="1" si="1882">IF(F1602&gt;0,F1600/F1602,"-")</f>
        <v>-4.100755641427825</v>
      </c>
      <c r="G1677" s="164">
        <f t="shared" ca="1" si="1882"/>
        <v>-8.7234046523167716</v>
      </c>
      <c r="H1677" s="164">
        <f t="shared" ca="1" si="1882"/>
        <v>-12.883748505187326</v>
      </c>
      <c r="I1677" s="164">
        <f t="shared" ca="1" si="1882"/>
        <v>-16.416319485502139</v>
      </c>
      <c r="J1677" s="164">
        <f t="shared" ca="1" si="1882"/>
        <v>-19.110733349244139</v>
      </c>
      <c r="K1677" s="164">
        <f t="shared" ca="1" si="1882"/>
        <v>-14.318365018917687</v>
      </c>
      <c r="L1677" s="164">
        <f t="shared" ca="1" si="1882"/>
        <v>-11.160218695097603</v>
      </c>
      <c r="M1677" s="164">
        <f t="shared" ca="1" si="1882"/>
        <v>-6.8855142508727534</v>
      </c>
      <c r="N1677" s="164">
        <f t="shared" ref="N1677" ca="1" si="1883">IF(N1602&gt;0,N1600/N1602,"-")</f>
        <v>-2.432033312649331</v>
      </c>
      <c r="O1677" s="164">
        <f t="shared" ref="O1677:Q1677" ca="1" si="1884">IF(O1602&gt;0,O1600/O1602,"-")</f>
        <v>0.5265563048467371</v>
      </c>
      <c r="P1677" s="164">
        <f t="shared" ref="P1677:Q1677" ca="1" si="1885">IF(P1602&gt;0,P1600/P1602,"-")</f>
        <v>0.79705703988499577</v>
      </c>
      <c r="Q1677" s="164">
        <f t="shared" ca="1" si="1885"/>
        <v>0.87103084962042676</v>
      </c>
      <c r="S1677"/>
    </row>
    <row r="1678" spans="1:19" outlineLevel="1" x14ac:dyDescent="0.2">
      <c r="A1678" t="str">
        <f ca="1">Language!A$820</f>
        <v>Коэффициент автономии</v>
      </c>
      <c r="C1678" s="5" t="str">
        <f ca="1">Language!A$197</f>
        <v>разы</v>
      </c>
      <c r="D1678" s="16" t="s">
        <v>176</v>
      </c>
      <c r="F1678" s="164">
        <f t="shared" ref="F1678:M1678" ca="1" si="1886">IF((F1593+F1595)&gt;0,F1600/(F1593+F1595),"-")</f>
        <v>-0.80395061628161513</v>
      </c>
      <c r="G1678" s="164">
        <f t="shared" ca="1" si="1886"/>
        <v>-0.89715536524937978</v>
      </c>
      <c r="H1678" s="164">
        <f t="shared" ca="1" si="1886"/>
        <v>-0.92797334238470441</v>
      </c>
      <c r="I1678" s="164">
        <f t="shared" ca="1" si="1886"/>
        <v>-0.94258258750751389</v>
      </c>
      <c r="J1678" s="164">
        <f t="shared" ca="1" si="1886"/>
        <v>-0.95027530907829449</v>
      </c>
      <c r="K1678" s="164">
        <f t="shared" ca="1" si="1886"/>
        <v>-0.9347188816322739</v>
      </c>
      <c r="L1678" s="164">
        <f t="shared" ca="1" si="1886"/>
        <v>-0.91776463688081944</v>
      </c>
      <c r="M1678" s="164">
        <f t="shared" ca="1" si="1886"/>
        <v>-0.87318518891912189</v>
      </c>
      <c r="N1678" s="164">
        <f t="shared" ref="N1678" ca="1" si="1887">IF((N1593+N1595)&gt;0,N1600/(N1593+N1595),"-")</f>
        <v>-0.70862753682654145</v>
      </c>
      <c r="O1678" s="164">
        <f t="shared" ref="O1678:Q1678" ca="1" si="1888">IF((O1593+O1595)&gt;0,O1600/(O1593+O1595),"-")</f>
        <v>1.1121835822024848</v>
      </c>
      <c r="P1678" s="164">
        <f t="shared" ref="P1678:Q1678" ca="1" si="1889">IF((P1593+P1595)&gt;0,P1600/(P1593+P1595),"-")</f>
        <v>3.9274929242843277</v>
      </c>
      <c r="Q1678" s="164">
        <f t="shared" ca="1" si="1889"/>
        <v>6.753792260062724</v>
      </c>
      <c r="S1678"/>
    </row>
    <row r="1679" spans="1:19" outlineLevel="1" x14ac:dyDescent="0.2">
      <c r="A1679" t="str">
        <f ca="1">Language!A$821</f>
        <v>Доля долгосрочных кредитов в валюте баланса</v>
      </c>
      <c r="C1679" s="5" t="s">
        <v>177</v>
      </c>
      <c r="D1679" s="16" t="s">
        <v>176</v>
      </c>
      <c r="F1679" s="61">
        <f t="shared" ref="F1679:M1679" ca="1" si="1890">IF(F1602&gt;0,F1595/F1602,"-")</f>
        <v>3.2729638358517219</v>
      </c>
      <c r="G1679" s="61">
        <f t="shared" ca="1" si="1890"/>
        <v>8.4446990085521527</v>
      </c>
      <c r="H1679" s="61">
        <f t="shared" ca="1" si="1890"/>
        <v>12.546125801860128</v>
      </c>
      <c r="I1679" s="61">
        <f t="shared" ca="1" si="1890"/>
        <v>15.90138372178439</v>
      </c>
      <c r="J1679" s="61">
        <f t="shared" ca="1" si="1890"/>
        <v>18.369221662781143</v>
      </c>
      <c r="K1679" s="61">
        <f t="shared" ca="1" si="1890"/>
        <v>13.74286451114002</v>
      </c>
      <c r="L1679" s="61">
        <f t="shared" ca="1" si="1890"/>
        <v>10.55773928869796</v>
      </c>
      <c r="M1679" s="61">
        <f t="shared" ca="1" si="1890"/>
        <v>6.4159591841564172</v>
      </c>
      <c r="N1679" s="61">
        <f t="shared" ref="N1679" ca="1" si="1891">IF(N1602&gt;0,N1595/N1602,"-")</f>
        <v>2.1300343033310942</v>
      </c>
      <c r="O1679" s="61">
        <f t="shared" ref="O1679:Q1679" ca="1" si="1892">IF(O1602&gt;0,O1595/O1602,"-")</f>
        <v>-3.3100277839922141E-16</v>
      </c>
      <c r="P1679" s="61">
        <f t="shared" ref="P1679:Q1679" ca="1" si="1893">IF(P1602&gt;0,P1595/P1602,"-")</f>
        <v>-1.2470728277425075E-16</v>
      </c>
      <c r="Q1679" s="61">
        <f t="shared" ca="1" si="1893"/>
        <v>-7.3331958323651316E-17</v>
      </c>
      <c r="S1679"/>
    </row>
    <row r="1680" spans="1:19" outlineLevel="1" x14ac:dyDescent="0.2">
      <c r="A1680" t="str">
        <f ca="1">Language!A$822</f>
        <v>Общий коэффициент покрытия долга</v>
      </c>
      <c r="C1680" s="5" t="str">
        <f ca="1">Language!A$197</f>
        <v>разы</v>
      </c>
      <c r="D1680" s="16" t="s">
        <v>176</v>
      </c>
      <c r="F1680" s="164" t="str">
        <f t="shared" ref="F1680:M1680" si="1894">IF((-F1450-F1429)&gt;0,(F1456-F1450-F1429)/(-F1450-F1429),"-")</f>
        <v>-</v>
      </c>
      <c r="G1680" s="164" t="str">
        <f t="shared" si="1894"/>
        <v>-</v>
      </c>
      <c r="H1680" s="164" t="str">
        <f t="shared" si="1894"/>
        <v>-</v>
      </c>
      <c r="I1680" s="164" t="str">
        <f t="shared" si="1894"/>
        <v>-</v>
      </c>
      <c r="J1680" s="164" t="str">
        <f t="shared" si="1894"/>
        <v>-</v>
      </c>
      <c r="K1680" s="164">
        <f t="shared" ca="1" si="1894"/>
        <v>10.29734359910044</v>
      </c>
      <c r="L1680" s="164">
        <f t="shared" ca="1" si="1894"/>
        <v>1.1000000000000001</v>
      </c>
      <c r="M1680" s="164">
        <f t="shared" ca="1" si="1894"/>
        <v>1.1000000000000003</v>
      </c>
      <c r="N1680" s="164">
        <f t="shared" ref="N1680" ca="1" si="1895">IF((-N1450-N1429)&gt;0,(N1456-N1450-N1429)/(-N1450-N1429),"-")</f>
        <v>1.1000000000000003</v>
      </c>
      <c r="O1680" s="164">
        <f t="shared" ref="O1680:Q1680" ca="1" si="1896">IF((-O1450-O1429)&gt;0,(O1456-O1450-O1429)/(-O1450-O1429),"-")</f>
        <v>2.1119168213293111</v>
      </c>
      <c r="P1680" s="164" t="str">
        <f t="shared" ref="P1680:Q1680" si="1897">IF((-P1450-P1429)&gt;0,(P1456-P1450-P1429)/(-P1450-P1429),"-")</f>
        <v>-</v>
      </c>
      <c r="Q1680" s="164" t="str">
        <f t="shared" si="1897"/>
        <v>-</v>
      </c>
      <c r="S1680"/>
    </row>
    <row r="1681" spans="1:19" outlineLevel="1" x14ac:dyDescent="0.2">
      <c r="A1681" t="str">
        <f ca="1">Language!A$823</f>
        <v>Покрытие процентов по кредитам</v>
      </c>
      <c r="C1681" s="5" t="str">
        <f ca="1">Language!A$197</f>
        <v>разы</v>
      </c>
      <c r="D1681" s="16" t="s">
        <v>176</v>
      </c>
      <c r="F1681" s="213">
        <f t="shared" ref="F1681:M1681" ca="1" si="1898">IF(F1314&gt;0,(F1322+F1314)/F1314,"-")</f>
        <v>-71.848238292635187</v>
      </c>
      <c r="G1681" s="213">
        <f t="shared" ca="1" si="1898"/>
        <v>-27.133239838387659</v>
      </c>
      <c r="H1681" s="213">
        <f t="shared" ca="1" si="1898"/>
        <v>-17.570370689747897</v>
      </c>
      <c r="I1681" s="213">
        <f t="shared" ca="1" si="1898"/>
        <v>-10.921514358424567</v>
      </c>
      <c r="J1681" s="213">
        <f t="shared" ca="1" si="1898"/>
        <v>-6.1423758755867457</v>
      </c>
      <c r="K1681" s="213">
        <f t="shared" ca="1" si="1898"/>
        <v>0.82081112987997706</v>
      </c>
      <c r="L1681" s="213">
        <f t="shared" ca="1" si="1898"/>
        <v>8.4413252420431668</v>
      </c>
      <c r="M1681" s="213">
        <f t="shared" ca="1" si="1898"/>
        <v>20.853544861107714</v>
      </c>
      <c r="N1681" s="213">
        <f t="shared" ref="N1681" ca="1" si="1899">IF(N1314&gt;0,(N1322+N1314)/N1314,"-")</f>
        <v>79.001524093880718</v>
      </c>
      <c r="O1681" s="213" t="str">
        <f t="shared" ref="O1681:Q1681" si="1900">IF(O1314&gt;0,(O1322+O1314)/O1314,"-")</f>
        <v>-</v>
      </c>
      <c r="P1681" s="213" t="str">
        <f t="shared" ref="P1681:Q1681" si="1901">IF(P1314&gt;0,(P1322+P1314)/P1314,"-")</f>
        <v>-</v>
      </c>
      <c r="Q1681" s="213" t="str">
        <f t="shared" si="1901"/>
        <v>-</v>
      </c>
      <c r="S1681"/>
    </row>
    <row r="1682" spans="1:19" outlineLevel="1" x14ac:dyDescent="0.2">
      <c r="A1682" s="63"/>
      <c r="B1682" s="63"/>
      <c r="C1682" s="63"/>
      <c r="D1682" s="63"/>
      <c r="E1682" s="63"/>
      <c r="F1682" s="63"/>
      <c r="G1682" s="63"/>
      <c r="H1682" s="63"/>
      <c r="I1682" s="63"/>
      <c r="J1682" s="63"/>
      <c r="K1682" s="63"/>
      <c r="L1682" s="63"/>
      <c r="M1682" s="63"/>
      <c r="N1682" s="63"/>
      <c r="O1682" s="63"/>
      <c r="P1682" s="63"/>
      <c r="Q1682" s="63"/>
      <c r="R1682" s="63"/>
      <c r="S1682"/>
    </row>
    <row r="1683" spans="1:19" outlineLevel="1" x14ac:dyDescent="0.2">
      <c r="A1683" s="22" t="str">
        <f ca="1">Language!A$824</f>
        <v>График: Рентабельность активов</v>
      </c>
      <c r="B1683" s="19"/>
      <c r="C1683" s="19"/>
      <c r="D1683" s="19"/>
      <c r="E1683" s="19"/>
      <c r="F1683" s="19"/>
      <c r="G1683" s="19"/>
      <c r="H1683" s="19"/>
      <c r="I1683" s="19"/>
      <c r="J1683" s="19"/>
      <c r="K1683" s="19"/>
      <c r="L1683" s="19"/>
      <c r="M1683" s="19"/>
      <c r="N1683" s="19"/>
      <c r="O1683" s="19"/>
      <c r="P1683" s="19"/>
      <c r="Q1683" s="19"/>
      <c r="R1683" s="19"/>
      <c r="S1683"/>
    </row>
    <row r="1684" spans="1:19" outlineLevel="1" x14ac:dyDescent="0.2">
      <c r="A1684" s="19"/>
      <c r="B1684" s="19"/>
      <c r="C1684" s="19"/>
      <c r="D1684" s="19"/>
      <c r="E1684" s="19"/>
      <c r="F1684" s="19"/>
      <c r="G1684" s="19"/>
      <c r="H1684" s="19"/>
      <c r="I1684" s="19"/>
      <c r="J1684" s="19"/>
      <c r="K1684" s="19"/>
      <c r="L1684" s="19"/>
      <c r="M1684" s="19"/>
      <c r="N1684" s="19"/>
      <c r="O1684" s="19"/>
      <c r="P1684" s="19"/>
      <c r="Q1684" s="19"/>
      <c r="R1684" s="19"/>
      <c r="S1684"/>
    </row>
    <row r="1685" spans="1:19" outlineLevel="1" x14ac:dyDescent="0.2">
      <c r="A1685" s="19"/>
      <c r="B1685" s="19"/>
      <c r="C1685" s="19"/>
      <c r="D1685" s="19"/>
      <c r="E1685" s="19"/>
      <c r="F1685" s="19"/>
      <c r="G1685" s="19"/>
      <c r="H1685" s="19"/>
      <c r="I1685" s="19"/>
      <c r="J1685" s="19"/>
      <c r="K1685" s="19"/>
      <c r="L1685" s="19"/>
      <c r="M1685" s="19"/>
      <c r="N1685" s="19"/>
      <c r="O1685" s="19"/>
      <c r="P1685" s="19"/>
      <c r="Q1685" s="19"/>
      <c r="R1685" s="19"/>
      <c r="S1685"/>
    </row>
    <row r="1686" spans="1:19" outlineLevel="1" x14ac:dyDescent="0.2">
      <c r="A1686" s="19"/>
      <c r="B1686" s="19"/>
      <c r="C1686" s="19"/>
      <c r="D1686" s="19"/>
      <c r="E1686" s="19"/>
      <c r="F1686" s="19"/>
      <c r="G1686" s="19"/>
      <c r="H1686" s="19"/>
      <c r="I1686" s="19"/>
      <c r="J1686" s="19"/>
      <c r="K1686" s="19"/>
      <c r="L1686" s="19"/>
      <c r="M1686" s="19"/>
      <c r="N1686" s="19"/>
      <c r="O1686" s="19"/>
      <c r="P1686" s="19"/>
      <c r="Q1686" s="19"/>
      <c r="R1686" s="19"/>
      <c r="S1686"/>
    </row>
    <row r="1687" spans="1:19" outlineLevel="1" x14ac:dyDescent="0.2">
      <c r="A1687" s="19"/>
      <c r="B1687" s="19"/>
      <c r="C1687" s="19"/>
      <c r="D1687" s="19"/>
      <c r="E1687" s="19"/>
      <c r="F1687" s="19"/>
      <c r="G1687" s="19"/>
      <c r="H1687" s="19"/>
      <c r="I1687" s="19"/>
      <c r="J1687" s="19"/>
      <c r="K1687" s="19"/>
      <c r="L1687" s="19"/>
      <c r="M1687" s="19"/>
      <c r="N1687" s="19"/>
      <c r="O1687" s="19"/>
      <c r="P1687" s="19"/>
      <c r="Q1687" s="19"/>
      <c r="R1687" s="19"/>
      <c r="S1687"/>
    </row>
    <row r="1688" spans="1:19" outlineLevel="1" x14ac:dyDescent="0.2">
      <c r="A1688" s="19"/>
      <c r="B1688" s="19"/>
      <c r="C1688" s="19"/>
      <c r="D1688" s="19"/>
      <c r="E1688" s="19"/>
      <c r="F1688" s="19"/>
      <c r="G1688" s="19"/>
      <c r="H1688" s="19"/>
      <c r="I1688" s="19"/>
      <c r="J1688" s="19"/>
      <c r="K1688" s="19"/>
      <c r="L1688" s="19"/>
      <c r="M1688" s="19"/>
      <c r="N1688" s="19"/>
      <c r="O1688" s="19"/>
      <c r="P1688" s="19"/>
      <c r="Q1688" s="19"/>
      <c r="R1688" s="19"/>
      <c r="S1688"/>
    </row>
    <row r="1689" spans="1:19" outlineLevel="1" x14ac:dyDescent="0.2">
      <c r="A1689" s="19"/>
      <c r="B1689" s="19"/>
      <c r="C1689" s="19"/>
      <c r="D1689" s="19"/>
      <c r="E1689" s="19"/>
      <c r="F1689" s="19"/>
      <c r="G1689" s="19"/>
      <c r="H1689" s="19"/>
      <c r="I1689" s="19"/>
      <c r="J1689" s="19"/>
      <c r="K1689" s="19"/>
      <c r="L1689" s="19"/>
      <c r="M1689" s="19"/>
      <c r="N1689" s="19"/>
      <c r="O1689" s="19"/>
      <c r="P1689" s="19"/>
      <c r="Q1689" s="19"/>
      <c r="R1689" s="19"/>
      <c r="S1689"/>
    </row>
    <row r="1690" spans="1:19" outlineLevel="1" x14ac:dyDescent="0.2">
      <c r="A1690" s="19"/>
      <c r="B1690" s="19"/>
      <c r="C1690" s="19"/>
      <c r="D1690" s="19"/>
      <c r="E1690" s="19"/>
      <c r="F1690" s="19"/>
      <c r="G1690" s="19"/>
      <c r="H1690" s="19"/>
      <c r="I1690" s="19"/>
      <c r="J1690" s="19"/>
      <c r="K1690" s="19"/>
      <c r="L1690" s="19"/>
      <c r="M1690" s="19"/>
      <c r="N1690" s="19"/>
      <c r="O1690" s="19"/>
      <c r="P1690" s="19"/>
      <c r="Q1690" s="19"/>
      <c r="R1690" s="19"/>
      <c r="S1690"/>
    </row>
    <row r="1691" spans="1:19" outlineLevel="1" x14ac:dyDescent="0.2">
      <c r="A1691" s="19"/>
      <c r="B1691" s="19"/>
      <c r="C1691" s="19"/>
      <c r="D1691" s="19"/>
      <c r="E1691" s="19"/>
      <c r="F1691" s="19"/>
      <c r="G1691" s="19"/>
      <c r="H1691" s="19"/>
      <c r="I1691" s="19"/>
      <c r="J1691" s="19"/>
      <c r="K1691" s="19"/>
      <c r="L1691" s="19"/>
      <c r="M1691" s="19"/>
      <c r="N1691" s="19"/>
      <c r="O1691" s="19"/>
      <c r="P1691" s="19"/>
      <c r="Q1691" s="19"/>
      <c r="R1691" s="19"/>
      <c r="S1691"/>
    </row>
    <row r="1692" spans="1:19" outlineLevel="1" x14ac:dyDescent="0.2">
      <c r="A1692" s="19"/>
      <c r="B1692" s="19"/>
      <c r="C1692" s="19"/>
      <c r="D1692" s="19"/>
      <c r="E1692" s="19"/>
      <c r="F1692" s="19"/>
      <c r="G1692" s="19"/>
      <c r="H1692" s="19"/>
      <c r="I1692" s="19"/>
      <c r="J1692" s="19"/>
      <c r="K1692" s="19"/>
      <c r="L1692" s="19"/>
      <c r="M1692" s="19"/>
      <c r="N1692" s="19"/>
      <c r="O1692" s="19"/>
      <c r="P1692" s="19"/>
      <c r="Q1692" s="19"/>
      <c r="R1692" s="19"/>
      <c r="S1692"/>
    </row>
    <row r="1693" spans="1:19" outlineLevel="1" x14ac:dyDescent="0.2">
      <c r="A1693" s="19"/>
      <c r="B1693" s="19"/>
      <c r="C1693" s="19"/>
      <c r="D1693" s="19"/>
      <c r="E1693" s="19"/>
      <c r="F1693" s="19"/>
      <c r="G1693" s="19"/>
      <c r="H1693" s="19"/>
      <c r="I1693" s="19"/>
      <c r="J1693" s="19"/>
      <c r="K1693" s="19"/>
      <c r="L1693" s="19"/>
      <c r="M1693" s="19"/>
      <c r="N1693" s="19"/>
      <c r="O1693" s="19"/>
      <c r="P1693" s="19"/>
      <c r="Q1693" s="19"/>
      <c r="R1693" s="19"/>
      <c r="S1693"/>
    </row>
    <row r="1694" spans="1:19" outlineLevel="1" x14ac:dyDescent="0.2">
      <c r="A1694" s="19"/>
      <c r="B1694" s="19"/>
      <c r="C1694" s="19"/>
      <c r="D1694" s="19"/>
      <c r="E1694" s="19"/>
      <c r="F1694" s="19"/>
      <c r="G1694" s="19"/>
      <c r="H1694" s="19"/>
      <c r="I1694" s="19"/>
      <c r="J1694" s="19"/>
      <c r="K1694" s="19"/>
      <c r="L1694" s="19"/>
      <c r="M1694" s="19"/>
      <c r="N1694" s="19"/>
      <c r="O1694" s="19"/>
      <c r="P1694" s="19"/>
      <c r="Q1694" s="19"/>
      <c r="R1694" s="19"/>
      <c r="S1694"/>
    </row>
    <row r="1695" spans="1:19" outlineLevel="1" x14ac:dyDescent="0.2">
      <c r="A1695" s="19"/>
      <c r="B1695" s="19"/>
      <c r="C1695" s="19"/>
      <c r="D1695" s="19"/>
      <c r="E1695" s="19"/>
      <c r="F1695" s="19"/>
      <c r="G1695" s="19"/>
      <c r="H1695" s="19"/>
      <c r="I1695" s="19"/>
      <c r="J1695" s="19"/>
      <c r="K1695" s="19"/>
      <c r="L1695" s="19"/>
      <c r="M1695" s="19"/>
      <c r="N1695" s="19"/>
      <c r="O1695" s="19"/>
      <c r="P1695" s="19"/>
      <c r="Q1695" s="19"/>
      <c r="R1695" s="19"/>
      <c r="S1695"/>
    </row>
    <row r="1696" spans="1:19" outlineLevel="1" x14ac:dyDescent="0.2">
      <c r="A1696" s="19"/>
      <c r="B1696" s="19"/>
      <c r="C1696" s="19"/>
      <c r="D1696" s="19"/>
      <c r="E1696" s="19"/>
      <c r="F1696" s="19"/>
      <c r="G1696" s="19"/>
      <c r="H1696" s="19"/>
      <c r="I1696" s="19"/>
      <c r="J1696" s="19"/>
      <c r="K1696" s="19"/>
      <c r="L1696" s="19"/>
      <c r="M1696" s="19"/>
      <c r="N1696" s="19"/>
      <c r="O1696" s="19"/>
      <c r="P1696" s="19"/>
      <c r="Q1696" s="19"/>
      <c r="R1696" s="19"/>
      <c r="S1696"/>
    </row>
    <row r="1697" spans="1:19" outlineLevel="1" x14ac:dyDescent="0.2">
      <c r="A1697" s="19"/>
      <c r="B1697" s="19"/>
      <c r="C1697" s="19"/>
      <c r="D1697" s="19"/>
      <c r="E1697" s="19"/>
      <c r="F1697" s="19"/>
      <c r="G1697" s="19"/>
      <c r="H1697" s="19"/>
      <c r="I1697" s="19"/>
      <c r="J1697" s="19"/>
      <c r="K1697" s="19"/>
      <c r="L1697" s="19"/>
      <c r="M1697" s="19"/>
      <c r="N1697" s="19"/>
      <c r="O1697" s="19"/>
      <c r="P1697" s="19"/>
      <c r="Q1697" s="19"/>
      <c r="R1697" s="19"/>
      <c r="S1697"/>
    </row>
    <row r="1698" spans="1:19" outlineLevel="1" x14ac:dyDescent="0.2">
      <c r="A1698" s="19"/>
      <c r="B1698" s="19"/>
      <c r="C1698" s="19"/>
      <c r="D1698" s="19"/>
      <c r="E1698" s="19"/>
      <c r="F1698" s="19"/>
      <c r="G1698" s="19"/>
      <c r="H1698" s="19"/>
      <c r="I1698" s="19"/>
      <c r="J1698" s="19"/>
      <c r="K1698" s="19"/>
      <c r="L1698" s="19"/>
      <c r="M1698" s="19"/>
      <c r="N1698" s="19"/>
      <c r="O1698" s="19"/>
      <c r="P1698" s="19"/>
      <c r="Q1698" s="19"/>
      <c r="R1698" s="19"/>
      <c r="S1698"/>
    </row>
    <row r="1699" spans="1:19" outlineLevel="2" x14ac:dyDescent="0.2">
      <c r="A1699" s="19"/>
      <c r="B1699" s="19"/>
      <c r="C1699" s="19"/>
      <c r="D1699" s="19"/>
      <c r="E1699" s="19"/>
      <c r="F1699" s="19"/>
      <c r="G1699" s="19"/>
      <c r="H1699" s="19"/>
      <c r="I1699" s="19"/>
      <c r="J1699" s="19"/>
      <c r="K1699" s="19"/>
      <c r="L1699" s="19"/>
      <c r="M1699" s="19"/>
      <c r="N1699" s="19"/>
      <c r="O1699" s="19"/>
      <c r="P1699" s="19"/>
      <c r="Q1699" s="19"/>
      <c r="R1699" s="19"/>
      <c r="S1699"/>
    </row>
    <row r="1700" spans="1:19" outlineLevel="2" x14ac:dyDescent="0.2">
      <c r="A1700" s="19"/>
      <c r="B1700" s="19"/>
      <c r="C1700" s="19"/>
      <c r="D1700" s="19"/>
      <c r="E1700" s="19"/>
      <c r="F1700" s="19"/>
      <c r="G1700" s="19"/>
      <c r="H1700" s="19"/>
      <c r="I1700" s="19"/>
      <c r="J1700" s="19"/>
      <c r="K1700" s="19"/>
      <c r="L1700" s="19"/>
      <c r="M1700" s="19"/>
      <c r="N1700" s="19"/>
      <c r="O1700" s="19"/>
      <c r="P1700" s="19"/>
      <c r="Q1700" s="19"/>
      <c r="R1700" s="19"/>
      <c r="S1700"/>
    </row>
    <row r="1701" spans="1:19" outlineLevel="2" x14ac:dyDescent="0.2">
      <c r="A1701" s="19"/>
      <c r="B1701" s="19"/>
      <c r="C1701" s="19"/>
      <c r="D1701" s="19"/>
      <c r="E1701" s="19"/>
      <c r="F1701" s="19"/>
      <c r="G1701" s="19"/>
      <c r="H1701" s="19"/>
      <c r="I1701" s="19"/>
      <c r="J1701" s="19"/>
      <c r="K1701" s="19"/>
      <c r="L1701" s="19"/>
      <c r="M1701" s="19"/>
      <c r="N1701" s="19"/>
      <c r="O1701" s="19"/>
      <c r="P1701" s="19"/>
      <c r="Q1701" s="19"/>
      <c r="R1701" s="19"/>
      <c r="S1701"/>
    </row>
    <row r="1702" spans="1:19" outlineLevel="2" x14ac:dyDescent="0.2">
      <c r="A1702" s="19"/>
      <c r="B1702" s="19"/>
      <c r="C1702" s="19"/>
      <c r="D1702" s="19"/>
      <c r="E1702" s="19"/>
      <c r="F1702" s="19"/>
      <c r="G1702" s="19"/>
      <c r="H1702" s="19"/>
      <c r="I1702" s="19"/>
      <c r="J1702" s="19"/>
      <c r="K1702" s="19"/>
      <c r="L1702" s="19"/>
      <c r="M1702" s="19"/>
      <c r="N1702" s="19"/>
      <c r="O1702" s="19"/>
      <c r="P1702" s="19"/>
      <c r="Q1702" s="19"/>
      <c r="R1702" s="19"/>
      <c r="S1702"/>
    </row>
    <row r="1703" spans="1:19" outlineLevel="2" x14ac:dyDescent="0.2">
      <c r="A1703" s="19"/>
      <c r="B1703" s="19"/>
      <c r="C1703" s="19"/>
      <c r="D1703" s="19"/>
      <c r="E1703" s="19"/>
      <c r="F1703" s="19"/>
      <c r="G1703" s="19"/>
      <c r="H1703" s="19"/>
      <c r="I1703" s="19"/>
      <c r="J1703" s="19"/>
      <c r="K1703" s="19"/>
      <c r="L1703" s="19"/>
      <c r="M1703" s="19"/>
      <c r="N1703" s="19"/>
      <c r="O1703" s="19"/>
      <c r="P1703" s="19"/>
      <c r="Q1703" s="19"/>
      <c r="R1703" s="19"/>
      <c r="S1703"/>
    </row>
    <row r="1704" spans="1:19" outlineLevel="2" x14ac:dyDescent="0.2">
      <c r="A1704" s="19"/>
      <c r="B1704" s="19"/>
      <c r="C1704" s="19"/>
      <c r="D1704" s="19"/>
      <c r="E1704" s="19"/>
      <c r="F1704" s="19"/>
      <c r="G1704" s="19"/>
      <c r="H1704" s="19"/>
      <c r="I1704" s="19"/>
      <c r="J1704" s="19"/>
      <c r="K1704" s="19"/>
      <c r="L1704" s="19"/>
      <c r="M1704" s="19"/>
      <c r="N1704" s="19"/>
      <c r="O1704" s="19"/>
      <c r="P1704" s="19"/>
      <c r="Q1704" s="19"/>
      <c r="R1704" s="19"/>
      <c r="S1704"/>
    </row>
    <row r="1705" spans="1:19" outlineLevel="2" x14ac:dyDescent="0.2">
      <c r="A1705" s="19"/>
      <c r="B1705" s="19"/>
      <c r="C1705" s="19"/>
      <c r="D1705" s="19"/>
      <c r="E1705" s="19"/>
      <c r="F1705" s="19"/>
      <c r="G1705" s="19"/>
      <c r="H1705" s="19"/>
      <c r="I1705" s="19"/>
      <c r="J1705" s="19"/>
      <c r="K1705" s="19"/>
      <c r="L1705" s="19"/>
      <c r="M1705" s="19"/>
      <c r="N1705" s="19"/>
      <c r="O1705" s="19"/>
      <c r="P1705" s="19"/>
      <c r="Q1705" s="19"/>
      <c r="R1705" s="19"/>
      <c r="S1705"/>
    </row>
    <row r="1706" spans="1:19" outlineLevel="2" x14ac:dyDescent="0.2">
      <c r="A1706" s="19"/>
      <c r="B1706" s="19"/>
      <c r="C1706" s="19"/>
      <c r="D1706" s="19"/>
      <c r="E1706" s="19"/>
      <c r="F1706" s="19"/>
      <c r="G1706" s="19"/>
      <c r="H1706" s="19"/>
      <c r="I1706" s="19"/>
      <c r="J1706" s="19"/>
      <c r="K1706" s="19"/>
      <c r="L1706" s="19"/>
      <c r="M1706" s="19"/>
      <c r="N1706" s="19"/>
      <c r="O1706" s="19"/>
      <c r="P1706" s="19"/>
      <c r="Q1706" s="19"/>
      <c r="R1706" s="19"/>
      <c r="S1706"/>
    </row>
    <row r="1707" spans="1:19" outlineLevel="2" x14ac:dyDescent="0.2">
      <c r="A1707" s="19"/>
      <c r="B1707" s="19"/>
      <c r="C1707" s="19"/>
      <c r="D1707" s="19"/>
      <c r="E1707" s="19"/>
      <c r="F1707" s="19"/>
      <c r="G1707" s="19"/>
      <c r="H1707" s="19"/>
      <c r="I1707" s="19"/>
      <c r="J1707" s="19"/>
      <c r="K1707" s="19"/>
      <c r="L1707" s="19"/>
      <c r="M1707" s="19"/>
      <c r="N1707" s="19"/>
      <c r="O1707" s="19"/>
      <c r="P1707" s="19"/>
      <c r="Q1707" s="19"/>
      <c r="R1707" s="19"/>
      <c r="S1707"/>
    </row>
    <row r="1708" spans="1:19" outlineLevel="2" x14ac:dyDescent="0.2">
      <c r="A1708" s="22" t="str">
        <f ca="1">Language!A$825</f>
        <v>График: Прибыльность продаж</v>
      </c>
      <c r="B1708" s="19"/>
      <c r="C1708" s="19"/>
      <c r="D1708" s="19"/>
      <c r="E1708" s="19"/>
      <c r="F1708" s="19"/>
      <c r="G1708" s="19"/>
      <c r="H1708" s="19"/>
      <c r="I1708" s="19"/>
      <c r="J1708" s="19"/>
      <c r="K1708" s="19"/>
      <c r="L1708" s="19"/>
      <c r="M1708" s="19"/>
      <c r="N1708" s="19"/>
      <c r="O1708" s="19"/>
      <c r="P1708" s="19"/>
      <c r="Q1708" s="19"/>
      <c r="R1708" s="19"/>
      <c r="S1708"/>
    </row>
    <row r="1709" spans="1:19" outlineLevel="2" x14ac:dyDescent="0.2">
      <c r="A1709" s="19"/>
      <c r="B1709" s="19"/>
      <c r="C1709" s="19"/>
      <c r="D1709" s="19"/>
      <c r="E1709" s="19"/>
      <c r="F1709" s="19"/>
      <c r="G1709" s="19"/>
      <c r="H1709" s="19"/>
      <c r="I1709" s="19"/>
      <c r="J1709" s="19"/>
      <c r="K1709" s="19"/>
      <c r="L1709" s="19"/>
      <c r="M1709" s="19"/>
      <c r="N1709" s="19"/>
      <c r="O1709" s="19"/>
      <c r="P1709" s="19"/>
      <c r="Q1709" s="19"/>
      <c r="R1709" s="19"/>
      <c r="S1709"/>
    </row>
    <row r="1710" spans="1:19" outlineLevel="2" x14ac:dyDescent="0.2">
      <c r="A1710" s="19"/>
      <c r="B1710" s="19"/>
      <c r="C1710" s="19"/>
      <c r="D1710" s="19"/>
      <c r="E1710" s="19"/>
      <c r="F1710" s="19"/>
      <c r="G1710" s="19"/>
      <c r="H1710" s="19"/>
      <c r="I1710" s="19"/>
      <c r="J1710" s="19"/>
      <c r="K1710" s="19"/>
      <c r="L1710" s="19"/>
      <c r="M1710" s="19"/>
      <c r="N1710" s="19"/>
      <c r="O1710" s="19"/>
      <c r="P1710" s="19"/>
      <c r="Q1710" s="19"/>
      <c r="R1710" s="19"/>
      <c r="S1710"/>
    </row>
    <row r="1711" spans="1:19" outlineLevel="2" x14ac:dyDescent="0.2">
      <c r="A1711" s="19"/>
      <c r="B1711" s="19"/>
      <c r="C1711" s="19"/>
      <c r="D1711" s="19"/>
      <c r="E1711" s="19"/>
      <c r="F1711" s="19"/>
      <c r="G1711" s="19"/>
      <c r="H1711" s="19"/>
      <c r="I1711" s="19"/>
      <c r="J1711" s="19"/>
      <c r="K1711" s="19"/>
      <c r="L1711" s="19"/>
      <c r="M1711" s="19"/>
      <c r="N1711" s="19"/>
      <c r="O1711" s="19"/>
      <c r="P1711" s="19"/>
      <c r="Q1711" s="19"/>
      <c r="R1711" s="19"/>
      <c r="S1711"/>
    </row>
    <row r="1712" spans="1:19" outlineLevel="2" x14ac:dyDescent="0.2">
      <c r="A1712" s="19"/>
      <c r="B1712" s="19"/>
      <c r="C1712" s="19"/>
      <c r="D1712" s="19"/>
      <c r="E1712" s="19"/>
      <c r="F1712" s="19"/>
      <c r="G1712" s="19"/>
      <c r="H1712" s="19"/>
      <c r="I1712" s="19"/>
      <c r="J1712" s="19"/>
      <c r="K1712" s="19"/>
      <c r="L1712" s="19"/>
      <c r="M1712" s="19"/>
      <c r="N1712" s="19"/>
      <c r="O1712" s="19"/>
      <c r="P1712" s="19"/>
      <c r="Q1712" s="19"/>
      <c r="R1712" s="19"/>
      <c r="S1712"/>
    </row>
    <row r="1713" spans="1:19" outlineLevel="2" x14ac:dyDescent="0.2">
      <c r="A1713" s="19"/>
      <c r="B1713" s="19"/>
      <c r="C1713" s="19"/>
      <c r="D1713" s="19"/>
      <c r="E1713" s="19"/>
      <c r="F1713" s="19"/>
      <c r="G1713" s="19"/>
      <c r="H1713" s="19"/>
      <c r="I1713" s="19"/>
      <c r="J1713" s="19"/>
      <c r="K1713" s="19"/>
      <c r="L1713" s="19"/>
      <c r="M1713" s="19"/>
      <c r="N1713" s="19"/>
      <c r="O1713" s="19"/>
      <c r="P1713" s="19"/>
      <c r="Q1713" s="19"/>
      <c r="R1713" s="19"/>
      <c r="S1713"/>
    </row>
    <row r="1714" spans="1:19" outlineLevel="2" x14ac:dyDescent="0.2">
      <c r="A1714" s="19"/>
      <c r="B1714" s="19"/>
      <c r="C1714" s="19"/>
      <c r="D1714" s="19"/>
      <c r="E1714" s="19"/>
      <c r="F1714" s="19"/>
      <c r="G1714" s="19"/>
      <c r="H1714" s="19"/>
      <c r="I1714" s="19"/>
      <c r="J1714" s="19"/>
      <c r="K1714" s="19"/>
      <c r="L1714" s="19"/>
      <c r="M1714" s="19"/>
      <c r="N1714" s="19"/>
      <c r="O1714" s="19"/>
      <c r="P1714" s="19"/>
      <c r="Q1714" s="19"/>
      <c r="R1714" s="19"/>
      <c r="S1714"/>
    </row>
    <row r="1715" spans="1:19" outlineLevel="2" x14ac:dyDescent="0.2">
      <c r="A1715" s="19"/>
      <c r="B1715" s="19"/>
      <c r="C1715" s="19"/>
      <c r="D1715" s="19"/>
      <c r="E1715" s="19"/>
      <c r="F1715" s="19"/>
      <c r="G1715" s="19"/>
      <c r="H1715" s="19"/>
      <c r="I1715" s="19"/>
      <c r="J1715" s="19"/>
      <c r="K1715" s="19"/>
      <c r="L1715" s="19"/>
      <c r="M1715" s="19"/>
      <c r="N1715" s="19"/>
      <c r="O1715" s="19"/>
      <c r="P1715" s="19"/>
      <c r="Q1715" s="19"/>
      <c r="R1715" s="19"/>
      <c r="S1715"/>
    </row>
    <row r="1716" spans="1:19" outlineLevel="2" x14ac:dyDescent="0.2">
      <c r="A1716" s="19"/>
      <c r="B1716" s="19"/>
      <c r="C1716" s="19"/>
      <c r="D1716" s="19"/>
      <c r="E1716" s="19"/>
      <c r="F1716" s="19"/>
      <c r="G1716" s="19"/>
      <c r="H1716" s="19"/>
      <c r="I1716" s="19"/>
      <c r="J1716" s="19"/>
      <c r="K1716" s="19"/>
      <c r="L1716" s="19"/>
      <c r="M1716" s="19"/>
      <c r="N1716" s="19"/>
      <c r="O1716" s="19"/>
      <c r="P1716" s="19"/>
      <c r="Q1716" s="19"/>
      <c r="R1716" s="19"/>
      <c r="S1716"/>
    </row>
    <row r="1717" spans="1:19" outlineLevel="2" x14ac:dyDescent="0.2">
      <c r="A1717" s="19"/>
      <c r="B1717" s="19"/>
      <c r="C1717" s="19"/>
      <c r="D1717" s="19"/>
      <c r="E1717" s="19"/>
      <c r="F1717" s="19"/>
      <c r="G1717" s="19"/>
      <c r="H1717" s="19"/>
      <c r="I1717" s="19"/>
      <c r="J1717" s="19"/>
      <c r="K1717" s="19"/>
      <c r="L1717" s="19"/>
      <c r="M1717" s="19"/>
      <c r="N1717" s="19"/>
      <c r="O1717" s="19"/>
      <c r="P1717" s="19"/>
      <c r="Q1717" s="19"/>
      <c r="R1717" s="19"/>
      <c r="S1717"/>
    </row>
    <row r="1718" spans="1:19" outlineLevel="2" x14ac:dyDescent="0.2">
      <c r="A1718" s="19"/>
      <c r="B1718" s="19"/>
      <c r="C1718" s="19"/>
      <c r="D1718" s="19"/>
      <c r="E1718" s="19"/>
      <c r="F1718" s="19"/>
      <c r="G1718" s="19"/>
      <c r="H1718" s="19"/>
      <c r="I1718" s="19"/>
      <c r="J1718" s="19"/>
      <c r="K1718" s="19"/>
      <c r="L1718" s="19"/>
      <c r="M1718" s="19"/>
      <c r="N1718" s="19"/>
      <c r="O1718" s="19"/>
      <c r="P1718" s="19"/>
      <c r="Q1718" s="19"/>
      <c r="R1718" s="19"/>
      <c r="S1718"/>
    </row>
    <row r="1719" spans="1:19" outlineLevel="2" x14ac:dyDescent="0.2">
      <c r="A1719" s="19"/>
      <c r="B1719" s="19"/>
      <c r="C1719" s="19"/>
      <c r="D1719" s="19"/>
      <c r="E1719" s="19"/>
      <c r="F1719" s="19"/>
      <c r="G1719" s="19"/>
      <c r="H1719" s="19"/>
      <c r="I1719" s="19"/>
      <c r="J1719" s="19"/>
      <c r="K1719" s="19"/>
      <c r="L1719" s="19"/>
      <c r="M1719" s="19"/>
      <c r="N1719" s="19"/>
      <c r="O1719" s="19"/>
      <c r="P1719" s="19"/>
      <c r="Q1719" s="19"/>
      <c r="R1719" s="19"/>
      <c r="S1719"/>
    </row>
    <row r="1720" spans="1:19" outlineLevel="2" x14ac:dyDescent="0.2">
      <c r="A1720" s="19"/>
      <c r="B1720" s="19"/>
      <c r="C1720" s="19"/>
      <c r="D1720" s="19"/>
      <c r="E1720" s="19"/>
      <c r="F1720" s="19"/>
      <c r="G1720" s="19"/>
      <c r="H1720" s="19"/>
      <c r="I1720" s="19"/>
      <c r="J1720" s="19"/>
      <c r="K1720" s="19"/>
      <c r="L1720" s="19"/>
      <c r="M1720" s="19"/>
      <c r="N1720" s="19"/>
      <c r="O1720" s="19"/>
      <c r="P1720" s="19"/>
      <c r="Q1720" s="19"/>
      <c r="R1720" s="19"/>
      <c r="S1720"/>
    </row>
    <row r="1721" spans="1:19" outlineLevel="2" x14ac:dyDescent="0.2">
      <c r="A1721" s="19"/>
      <c r="B1721" s="19"/>
      <c r="C1721" s="19"/>
      <c r="D1721" s="19"/>
      <c r="E1721" s="19"/>
      <c r="F1721" s="19"/>
      <c r="G1721" s="19"/>
      <c r="H1721" s="19"/>
      <c r="I1721" s="19"/>
      <c r="J1721" s="19"/>
      <c r="K1721" s="19"/>
      <c r="L1721" s="19"/>
      <c r="M1721" s="19"/>
      <c r="N1721" s="19"/>
      <c r="O1721" s="19"/>
      <c r="P1721" s="19"/>
      <c r="Q1721" s="19"/>
      <c r="R1721" s="19"/>
      <c r="S1721"/>
    </row>
    <row r="1722" spans="1:19" outlineLevel="1" x14ac:dyDescent="0.2">
      <c r="A1722" s="19"/>
      <c r="B1722" s="19"/>
      <c r="C1722" s="19"/>
      <c r="D1722" s="19"/>
      <c r="E1722" s="19"/>
      <c r="F1722" s="19"/>
      <c r="G1722" s="19"/>
      <c r="H1722" s="19"/>
      <c r="I1722" s="19"/>
      <c r="J1722" s="19"/>
      <c r="K1722" s="19"/>
      <c r="L1722" s="19"/>
      <c r="M1722" s="19"/>
      <c r="N1722" s="19"/>
      <c r="O1722" s="19"/>
      <c r="P1722" s="19"/>
      <c r="Q1722" s="19"/>
      <c r="R1722" s="19"/>
      <c r="S1722"/>
    </row>
    <row r="1723" spans="1:19" outlineLevel="1" x14ac:dyDescent="0.2">
      <c r="A1723" s="19"/>
      <c r="B1723" s="19"/>
      <c r="C1723" s="19"/>
      <c r="D1723" s="19"/>
      <c r="E1723" s="19"/>
      <c r="F1723" s="19"/>
      <c r="G1723" s="19"/>
      <c r="H1723" s="19"/>
      <c r="I1723" s="19"/>
      <c r="J1723" s="19"/>
      <c r="K1723" s="19"/>
      <c r="L1723" s="19"/>
      <c r="M1723" s="19"/>
      <c r="N1723" s="19"/>
      <c r="O1723" s="19"/>
      <c r="P1723" s="19"/>
      <c r="Q1723" s="19"/>
      <c r="R1723" s="19"/>
      <c r="S1723"/>
    </row>
    <row r="1724" spans="1:19" outlineLevel="2" x14ac:dyDescent="0.2">
      <c r="A1724" s="19"/>
      <c r="B1724" s="19"/>
      <c r="C1724" s="19"/>
      <c r="D1724" s="19"/>
      <c r="E1724" s="19"/>
      <c r="F1724" s="19"/>
      <c r="G1724" s="19"/>
      <c r="H1724" s="19"/>
      <c r="I1724" s="19"/>
      <c r="J1724" s="19"/>
      <c r="K1724" s="19"/>
      <c r="L1724" s="19"/>
      <c r="M1724" s="19"/>
      <c r="N1724" s="19"/>
      <c r="O1724" s="19"/>
      <c r="P1724" s="19"/>
      <c r="Q1724" s="19"/>
      <c r="R1724" s="19"/>
      <c r="S1724"/>
    </row>
    <row r="1725" spans="1:19" outlineLevel="2" x14ac:dyDescent="0.2">
      <c r="A1725" s="19"/>
      <c r="B1725" s="19"/>
      <c r="C1725" s="19"/>
      <c r="D1725" s="19"/>
      <c r="E1725" s="19"/>
      <c r="F1725" s="19"/>
      <c r="G1725" s="19"/>
      <c r="H1725" s="19"/>
      <c r="I1725" s="19"/>
      <c r="J1725" s="19"/>
      <c r="K1725" s="19"/>
      <c r="L1725" s="19"/>
      <c r="M1725" s="19"/>
      <c r="N1725" s="19"/>
      <c r="O1725" s="19"/>
      <c r="P1725" s="19"/>
      <c r="Q1725" s="19"/>
      <c r="R1725" s="19"/>
      <c r="S1725"/>
    </row>
    <row r="1726" spans="1:19" outlineLevel="2" x14ac:dyDescent="0.2">
      <c r="A1726" s="19"/>
      <c r="B1726" s="19"/>
      <c r="C1726" s="19"/>
      <c r="D1726" s="19"/>
      <c r="E1726" s="19"/>
      <c r="F1726" s="19"/>
      <c r="G1726" s="19"/>
      <c r="H1726" s="19"/>
      <c r="I1726" s="19"/>
      <c r="J1726" s="19"/>
      <c r="K1726" s="19"/>
      <c r="L1726" s="19"/>
      <c r="M1726" s="19"/>
      <c r="N1726" s="19"/>
      <c r="O1726" s="19"/>
      <c r="P1726" s="19"/>
      <c r="Q1726" s="19"/>
      <c r="R1726" s="19"/>
      <c r="S1726"/>
    </row>
    <row r="1727" spans="1:19" outlineLevel="2" x14ac:dyDescent="0.2">
      <c r="A1727" s="19"/>
      <c r="B1727" s="19"/>
      <c r="C1727" s="19"/>
      <c r="D1727" s="19"/>
      <c r="E1727" s="19"/>
      <c r="F1727" s="19"/>
      <c r="G1727" s="19"/>
      <c r="H1727" s="19"/>
      <c r="I1727" s="19"/>
      <c r="J1727" s="19"/>
      <c r="K1727" s="19"/>
      <c r="L1727" s="19"/>
      <c r="M1727" s="19"/>
      <c r="N1727" s="19"/>
      <c r="O1727" s="19"/>
      <c r="P1727" s="19"/>
      <c r="Q1727" s="19"/>
      <c r="R1727" s="19"/>
      <c r="S1727"/>
    </row>
    <row r="1728" spans="1:19" outlineLevel="2" x14ac:dyDescent="0.2">
      <c r="A1728" s="19"/>
      <c r="B1728" s="19"/>
      <c r="C1728" s="19"/>
      <c r="D1728" s="19"/>
      <c r="E1728" s="19"/>
      <c r="F1728" s="19"/>
      <c r="G1728" s="19"/>
      <c r="H1728" s="19"/>
      <c r="I1728" s="19"/>
      <c r="J1728" s="19"/>
      <c r="K1728" s="19"/>
      <c r="L1728" s="19"/>
      <c r="M1728" s="19"/>
      <c r="N1728" s="19"/>
      <c r="O1728" s="19"/>
      <c r="P1728" s="19"/>
      <c r="Q1728" s="19"/>
      <c r="R1728" s="19"/>
      <c r="S1728"/>
    </row>
    <row r="1729" spans="1:19" outlineLevel="2" x14ac:dyDescent="0.2">
      <c r="A1729" s="19"/>
      <c r="B1729" s="19"/>
      <c r="C1729" s="19"/>
      <c r="D1729" s="19"/>
      <c r="E1729" s="19"/>
      <c r="F1729" s="19"/>
      <c r="G1729" s="19"/>
      <c r="H1729" s="19"/>
      <c r="I1729" s="19"/>
      <c r="J1729" s="19"/>
      <c r="K1729" s="19"/>
      <c r="L1729" s="19"/>
      <c r="M1729" s="19"/>
      <c r="N1729" s="19"/>
      <c r="O1729" s="19"/>
      <c r="P1729" s="19"/>
      <c r="Q1729" s="19"/>
      <c r="R1729" s="19"/>
      <c r="S1729"/>
    </row>
    <row r="1730" spans="1:19" outlineLevel="2" x14ac:dyDescent="0.2">
      <c r="A1730" s="19"/>
      <c r="B1730" s="19"/>
      <c r="C1730" s="19"/>
      <c r="D1730" s="19"/>
      <c r="E1730" s="19"/>
      <c r="F1730" s="19"/>
      <c r="G1730" s="19"/>
      <c r="H1730" s="19"/>
      <c r="I1730" s="19"/>
      <c r="J1730" s="19"/>
      <c r="K1730" s="19"/>
      <c r="L1730" s="19"/>
      <c r="M1730" s="19"/>
      <c r="N1730" s="19"/>
      <c r="O1730" s="19"/>
      <c r="P1730" s="19"/>
      <c r="Q1730" s="19"/>
      <c r="R1730" s="19"/>
      <c r="S1730"/>
    </row>
    <row r="1731" spans="1:19" outlineLevel="2" x14ac:dyDescent="0.2">
      <c r="A1731" s="19"/>
      <c r="B1731" s="19"/>
      <c r="C1731" s="19"/>
      <c r="D1731" s="19"/>
      <c r="E1731" s="19"/>
      <c r="F1731" s="19"/>
      <c r="G1731" s="19"/>
      <c r="H1731" s="19"/>
      <c r="I1731" s="19"/>
      <c r="J1731" s="19"/>
      <c r="K1731" s="19"/>
      <c r="L1731" s="19"/>
      <c r="M1731" s="19"/>
      <c r="N1731" s="19"/>
      <c r="O1731" s="19"/>
      <c r="P1731" s="19"/>
      <c r="Q1731" s="19"/>
      <c r="R1731" s="19"/>
      <c r="S1731"/>
    </row>
    <row r="1732" spans="1:19" outlineLevel="2" x14ac:dyDescent="0.2">
      <c r="A1732" s="19"/>
      <c r="B1732" s="19"/>
      <c r="C1732" s="19"/>
      <c r="D1732" s="19"/>
      <c r="E1732" s="19"/>
      <c r="F1732" s="19"/>
      <c r="G1732" s="19"/>
      <c r="H1732" s="19"/>
      <c r="I1732" s="19"/>
      <c r="J1732" s="19"/>
      <c r="K1732" s="19"/>
      <c r="L1732" s="19"/>
      <c r="M1732" s="19"/>
      <c r="N1732" s="19"/>
      <c r="O1732" s="19"/>
      <c r="P1732" s="19"/>
      <c r="Q1732" s="19"/>
      <c r="R1732" s="19"/>
      <c r="S1732"/>
    </row>
    <row r="1733" spans="1:19" outlineLevel="2" x14ac:dyDescent="0.2">
      <c r="A1733" s="22" t="str">
        <f ca="1">Language!A$826</f>
        <v>График: Рентабельность по EBITDA</v>
      </c>
      <c r="B1733" s="19"/>
      <c r="C1733" s="19"/>
      <c r="D1733" s="19"/>
      <c r="E1733" s="19"/>
      <c r="F1733" s="19"/>
      <c r="G1733" s="19"/>
      <c r="H1733" s="19"/>
      <c r="I1733" s="19"/>
      <c r="J1733" s="19"/>
      <c r="K1733" s="19"/>
      <c r="L1733" s="19"/>
      <c r="M1733" s="19"/>
      <c r="N1733" s="19"/>
      <c r="O1733" s="19"/>
      <c r="P1733" s="19"/>
      <c r="Q1733" s="19"/>
      <c r="R1733" s="19"/>
      <c r="S1733"/>
    </row>
    <row r="1734" spans="1:19" outlineLevel="2" x14ac:dyDescent="0.2">
      <c r="A1734" s="19"/>
      <c r="B1734" s="19"/>
      <c r="C1734" s="19"/>
      <c r="D1734" s="19"/>
      <c r="E1734" s="19"/>
      <c r="F1734" s="19"/>
      <c r="G1734" s="19"/>
      <c r="H1734" s="19"/>
      <c r="I1734" s="19"/>
      <c r="J1734" s="19"/>
      <c r="K1734" s="19"/>
      <c r="L1734" s="19"/>
      <c r="M1734" s="19"/>
      <c r="N1734" s="19"/>
      <c r="O1734" s="19"/>
      <c r="P1734" s="19"/>
      <c r="Q1734" s="19"/>
      <c r="R1734" s="19"/>
      <c r="S1734"/>
    </row>
    <row r="1735" spans="1:19" outlineLevel="2" x14ac:dyDescent="0.2">
      <c r="A1735" s="19"/>
      <c r="B1735" s="19"/>
      <c r="C1735" s="19"/>
      <c r="D1735" s="19"/>
      <c r="E1735" s="19"/>
      <c r="F1735" s="19"/>
      <c r="G1735" s="19"/>
      <c r="H1735" s="19"/>
      <c r="I1735" s="19"/>
      <c r="J1735" s="19"/>
      <c r="K1735" s="19"/>
      <c r="L1735" s="19"/>
      <c r="M1735" s="19"/>
      <c r="N1735" s="19"/>
      <c r="O1735" s="19"/>
      <c r="P1735" s="19"/>
      <c r="Q1735" s="19"/>
      <c r="R1735" s="19"/>
      <c r="S1735"/>
    </row>
    <row r="1736" spans="1:19" outlineLevel="2" x14ac:dyDescent="0.2">
      <c r="A1736" s="19"/>
      <c r="B1736" s="19"/>
      <c r="C1736" s="19"/>
      <c r="D1736" s="19"/>
      <c r="E1736" s="19"/>
      <c r="F1736" s="19"/>
      <c r="G1736" s="19"/>
      <c r="H1736" s="19"/>
      <c r="I1736" s="19"/>
      <c r="J1736" s="19"/>
      <c r="K1736" s="19"/>
      <c r="L1736" s="19"/>
      <c r="M1736" s="19"/>
      <c r="N1736" s="19"/>
      <c r="O1736" s="19"/>
      <c r="P1736" s="19"/>
      <c r="Q1736" s="19"/>
      <c r="R1736" s="19"/>
      <c r="S1736"/>
    </row>
    <row r="1737" spans="1:19" outlineLevel="2" x14ac:dyDescent="0.2">
      <c r="A1737" s="19"/>
      <c r="B1737" s="19"/>
      <c r="C1737" s="19"/>
      <c r="D1737" s="19"/>
      <c r="E1737" s="19"/>
      <c r="F1737" s="19"/>
      <c r="G1737" s="19"/>
      <c r="H1737" s="19"/>
      <c r="I1737" s="19"/>
      <c r="J1737" s="19"/>
      <c r="K1737" s="19"/>
      <c r="L1737" s="19"/>
      <c r="M1737" s="19"/>
      <c r="N1737" s="19"/>
      <c r="O1737" s="19"/>
      <c r="P1737" s="19"/>
      <c r="Q1737" s="19"/>
      <c r="R1737" s="19"/>
      <c r="S1737"/>
    </row>
    <row r="1738" spans="1:19" outlineLevel="2" x14ac:dyDescent="0.2">
      <c r="A1738" s="19"/>
      <c r="B1738" s="19"/>
      <c r="C1738" s="19"/>
      <c r="D1738" s="19"/>
      <c r="E1738" s="19"/>
      <c r="F1738" s="19"/>
      <c r="G1738" s="19"/>
      <c r="H1738" s="19"/>
      <c r="I1738" s="19"/>
      <c r="J1738" s="19"/>
      <c r="K1738" s="19"/>
      <c r="L1738" s="19"/>
      <c r="M1738" s="19"/>
      <c r="N1738" s="19"/>
      <c r="O1738" s="19"/>
      <c r="P1738" s="19"/>
      <c r="Q1738" s="19"/>
      <c r="R1738" s="19"/>
      <c r="S1738"/>
    </row>
    <row r="1739" spans="1:19" outlineLevel="2" x14ac:dyDescent="0.2">
      <c r="A1739" s="19"/>
      <c r="B1739" s="19"/>
      <c r="C1739" s="19"/>
      <c r="D1739" s="19"/>
      <c r="E1739" s="19"/>
      <c r="F1739" s="19"/>
      <c r="G1739" s="19"/>
      <c r="H1739" s="19"/>
      <c r="I1739" s="19"/>
      <c r="J1739" s="19"/>
      <c r="K1739" s="19"/>
      <c r="L1739" s="19"/>
      <c r="M1739" s="19"/>
      <c r="N1739" s="19"/>
      <c r="O1739" s="19"/>
      <c r="P1739" s="19"/>
      <c r="Q1739" s="19"/>
      <c r="R1739" s="19"/>
      <c r="S1739"/>
    </row>
    <row r="1740" spans="1:19" outlineLevel="2" x14ac:dyDescent="0.2">
      <c r="A1740" s="19"/>
      <c r="B1740" s="19"/>
      <c r="C1740" s="19"/>
      <c r="D1740" s="19"/>
      <c r="E1740" s="19"/>
      <c r="F1740" s="19"/>
      <c r="G1740" s="19"/>
      <c r="H1740" s="19"/>
      <c r="I1740" s="19"/>
      <c r="J1740" s="19"/>
      <c r="K1740" s="19"/>
      <c r="L1740" s="19"/>
      <c r="M1740" s="19"/>
      <c r="N1740" s="19"/>
      <c r="O1740" s="19"/>
      <c r="P1740" s="19"/>
      <c r="Q1740" s="19"/>
      <c r="R1740" s="19"/>
      <c r="S1740"/>
    </row>
    <row r="1741" spans="1:19" outlineLevel="2" x14ac:dyDescent="0.2">
      <c r="A1741" s="19"/>
      <c r="B1741" s="19"/>
      <c r="C1741" s="19"/>
      <c r="D1741" s="19"/>
      <c r="E1741" s="19"/>
      <c r="F1741" s="19"/>
      <c r="G1741" s="19"/>
      <c r="H1741" s="19"/>
      <c r="I1741" s="19"/>
      <c r="J1741" s="19"/>
      <c r="K1741" s="19"/>
      <c r="L1741" s="19"/>
      <c r="M1741" s="19"/>
      <c r="N1741" s="19"/>
      <c r="O1741" s="19"/>
      <c r="P1741" s="19"/>
      <c r="Q1741" s="19"/>
      <c r="R1741" s="19"/>
      <c r="S1741"/>
    </row>
    <row r="1742" spans="1:19" outlineLevel="2" x14ac:dyDescent="0.2">
      <c r="A1742" s="19"/>
      <c r="B1742" s="19"/>
      <c r="C1742" s="19"/>
      <c r="D1742" s="19"/>
      <c r="E1742" s="19"/>
      <c r="F1742" s="19"/>
      <c r="G1742" s="19"/>
      <c r="H1742" s="19"/>
      <c r="I1742" s="19"/>
      <c r="J1742" s="19"/>
      <c r="K1742" s="19"/>
      <c r="L1742" s="19"/>
      <c r="M1742" s="19"/>
      <c r="N1742" s="19"/>
      <c r="O1742" s="19"/>
      <c r="P1742" s="19"/>
      <c r="Q1742" s="19"/>
      <c r="R1742" s="19"/>
      <c r="S1742"/>
    </row>
    <row r="1743" spans="1:19" outlineLevel="2" x14ac:dyDescent="0.2">
      <c r="A1743" s="19"/>
      <c r="B1743" s="19"/>
      <c r="C1743" s="19"/>
      <c r="D1743" s="19"/>
      <c r="E1743" s="19"/>
      <c r="F1743" s="19"/>
      <c r="G1743" s="19"/>
      <c r="H1743" s="19"/>
      <c r="I1743" s="19"/>
      <c r="J1743" s="19"/>
      <c r="K1743" s="19"/>
      <c r="L1743" s="19"/>
      <c r="M1743" s="19"/>
      <c r="N1743" s="19"/>
      <c r="O1743" s="19"/>
      <c r="P1743" s="19"/>
      <c r="Q1743" s="19"/>
      <c r="R1743" s="19"/>
      <c r="S1743"/>
    </row>
    <row r="1744" spans="1:19" outlineLevel="2" x14ac:dyDescent="0.2">
      <c r="A1744" s="19"/>
      <c r="B1744" s="19"/>
      <c r="C1744" s="19"/>
      <c r="D1744" s="19"/>
      <c r="E1744" s="19"/>
      <c r="F1744" s="19"/>
      <c r="G1744" s="19"/>
      <c r="H1744" s="19"/>
      <c r="I1744" s="19"/>
      <c r="J1744" s="19"/>
      <c r="K1744" s="19"/>
      <c r="L1744" s="19"/>
      <c r="M1744" s="19"/>
      <c r="N1744" s="19"/>
      <c r="O1744" s="19"/>
      <c r="P1744" s="19"/>
      <c r="Q1744" s="19"/>
      <c r="R1744" s="19"/>
      <c r="S1744"/>
    </row>
    <row r="1745" spans="1:19" outlineLevel="2" x14ac:dyDescent="0.2">
      <c r="A1745" s="19"/>
      <c r="B1745" s="19"/>
      <c r="C1745" s="19"/>
      <c r="D1745" s="19"/>
      <c r="E1745" s="19"/>
      <c r="F1745" s="19"/>
      <c r="G1745" s="19"/>
      <c r="H1745" s="19"/>
      <c r="I1745" s="19"/>
      <c r="J1745" s="19"/>
      <c r="K1745" s="19"/>
      <c r="L1745" s="19"/>
      <c r="M1745" s="19"/>
      <c r="N1745" s="19"/>
      <c r="O1745" s="19"/>
      <c r="P1745" s="19"/>
      <c r="Q1745" s="19"/>
      <c r="R1745" s="19"/>
      <c r="S1745"/>
    </row>
    <row r="1746" spans="1:19" outlineLevel="2" x14ac:dyDescent="0.2">
      <c r="A1746" s="19"/>
      <c r="B1746" s="19"/>
      <c r="C1746" s="19"/>
      <c r="D1746" s="19"/>
      <c r="E1746" s="19"/>
      <c r="F1746" s="19"/>
      <c r="G1746" s="19"/>
      <c r="H1746" s="19"/>
      <c r="I1746" s="19"/>
      <c r="J1746" s="19"/>
      <c r="K1746" s="19"/>
      <c r="L1746" s="19"/>
      <c r="M1746" s="19"/>
      <c r="N1746" s="19"/>
      <c r="O1746" s="19"/>
      <c r="P1746" s="19"/>
      <c r="Q1746" s="19"/>
      <c r="R1746" s="19"/>
    </row>
    <row r="1747" spans="1:19" outlineLevel="1" x14ac:dyDescent="0.2">
      <c r="A1747" s="19"/>
      <c r="B1747" s="19"/>
      <c r="C1747" s="19"/>
      <c r="D1747" s="19"/>
      <c r="E1747" s="19"/>
      <c r="F1747" s="19"/>
      <c r="G1747" s="19"/>
      <c r="H1747" s="19"/>
      <c r="I1747" s="19"/>
      <c r="J1747" s="19"/>
      <c r="K1747" s="19"/>
      <c r="L1747" s="19"/>
      <c r="M1747" s="19"/>
      <c r="N1747" s="19"/>
      <c r="O1747" s="19"/>
      <c r="P1747" s="19"/>
      <c r="Q1747" s="19"/>
      <c r="R1747" s="19"/>
    </row>
    <row r="1748" spans="1:19" outlineLevel="1" x14ac:dyDescent="0.2">
      <c r="A1748" s="19"/>
      <c r="B1748" s="19"/>
      <c r="C1748" s="19"/>
      <c r="D1748" s="19"/>
      <c r="E1748" s="19"/>
      <c r="F1748" s="19"/>
      <c r="G1748" s="19"/>
      <c r="H1748" s="19"/>
      <c r="I1748" s="19"/>
      <c r="J1748" s="19"/>
      <c r="K1748" s="19"/>
      <c r="L1748" s="19"/>
      <c r="M1748" s="19"/>
      <c r="N1748" s="19"/>
      <c r="O1748" s="19"/>
      <c r="P1748" s="19"/>
      <c r="Q1748" s="19"/>
      <c r="R1748" s="19"/>
    </row>
    <row r="1749" spans="1:19" outlineLevel="2" x14ac:dyDescent="0.2">
      <c r="A1749" s="19"/>
      <c r="B1749" s="19"/>
      <c r="C1749" s="19"/>
      <c r="D1749" s="19"/>
      <c r="E1749" s="19"/>
      <c r="F1749" s="19"/>
      <c r="G1749" s="19"/>
      <c r="H1749" s="19"/>
      <c r="I1749" s="19"/>
      <c r="J1749" s="19"/>
      <c r="K1749" s="19"/>
      <c r="L1749" s="19"/>
      <c r="M1749" s="19"/>
      <c r="N1749" s="19"/>
      <c r="O1749" s="19"/>
      <c r="P1749" s="19"/>
      <c r="Q1749" s="19"/>
      <c r="R1749" s="19"/>
    </row>
    <row r="1750" spans="1:19" outlineLevel="2" x14ac:dyDescent="0.2">
      <c r="A1750" s="19"/>
      <c r="B1750" s="19"/>
      <c r="C1750" s="19"/>
      <c r="D1750" s="19"/>
      <c r="E1750" s="19"/>
      <c r="F1750" s="19"/>
      <c r="G1750" s="19"/>
      <c r="H1750" s="19"/>
      <c r="I1750" s="19"/>
      <c r="J1750" s="19"/>
      <c r="K1750" s="19"/>
      <c r="L1750" s="19"/>
      <c r="M1750" s="19"/>
      <c r="N1750" s="19"/>
      <c r="O1750" s="19"/>
      <c r="P1750" s="19"/>
      <c r="Q1750" s="19"/>
      <c r="R1750" s="19"/>
    </row>
    <row r="1751" spans="1:19" outlineLevel="2" x14ac:dyDescent="0.2">
      <c r="A1751" s="19"/>
      <c r="B1751" s="19"/>
      <c r="C1751" s="19"/>
      <c r="D1751" s="19"/>
      <c r="E1751" s="19"/>
      <c r="F1751" s="19"/>
      <c r="G1751" s="19"/>
      <c r="H1751" s="19"/>
      <c r="I1751" s="19"/>
      <c r="J1751" s="19"/>
      <c r="K1751" s="19"/>
      <c r="L1751" s="19"/>
      <c r="M1751" s="19"/>
      <c r="N1751" s="19"/>
      <c r="O1751" s="19"/>
      <c r="P1751" s="19"/>
      <c r="Q1751" s="19"/>
      <c r="R1751" s="19"/>
    </row>
    <row r="1752" spans="1:19" outlineLevel="2" x14ac:dyDescent="0.2">
      <c r="A1752" s="19"/>
      <c r="B1752" s="19"/>
      <c r="C1752" s="19"/>
      <c r="D1752" s="19"/>
      <c r="E1752" s="19"/>
      <c r="F1752" s="19"/>
      <c r="G1752" s="19"/>
      <c r="H1752" s="19"/>
      <c r="I1752" s="19"/>
      <c r="J1752" s="19"/>
      <c r="K1752" s="19"/>
      <c r="L1752" s="19"/>
      <c r="M1752" s="19"/>
      <c r="N1752" s="19"/>
      <c r="O1752" s="19"/>
      <c r="P1752" s="19"/>
      <c r="Q1752" s="19"/>
      <c r="R1752" s="19"/>
    </row>
    <row r="1753" spans="1:19" outlineLevel="2" x14ac:dyDescent="0.2">
      <c r="A1753" s="19"/>
      <c r="B1753" s="19"/>
      <c r="C1753" s="19"/>
      <c r="D1753" s="19"/>
      <c r="E1753" s="19"/>
      <c r="F1753" s="19"/>
      <c r="G1753" s="19"/>
      <c r="H1753" s="19"/>
      <c r="I1753" s="19"/>
      <c r="J1753" s="19"/>
      <c r="K1753" s="19"/>
      <c r="L1753" s="19"/>
      <c r="M1753" s="19"/>
      <c r="N1753" s="19"/>
      <c r="O1753" s="19"/>
      <c r="P1753" s="19"/>
      <c r="Q1753" s="19"/>
      <c r="R1753" s="19"/>
    </row>
    <row r="1754" spans="1:19" outlineLevel="2" x14ac:dyDescent="0.2">
      <c r="A1754" s="19"/>
      <c r="B1754" s="19"/>
      <c r="C1754" s="19"/>
      <c r="D1754" s="19"/>
      <c r="E1754" s="19"/>
      <c r="F1754" s="19"/>
      <c r="G1754" s="19"/>
      <c r="H1754" s="19"/>
      <c r="I1754" s="19"/>
      <c r="J1754" s="19"/>
      <c r="K1754" s="19"/>
      <c r="L1754" s="19"/>
      <c r="M1754" s="19"/>
      <c r="N1754" s="19"/>
      <c r="O1754" s="19"/>
      <c r="P1754" s="19"/>
      <c r="Q1754" s="19"/>
      <c r="R1754" s="19"/>
    </row>
    <row r="1755" spans="1:19" outlineLevel="2" x14ac:dyDescent="0.2">
      <c r="A1755" s="19"/>
      <c r="B1755" s="19"/>
      <c r="C1755" s="19"/>
      <c r="D1755" s="19"/>
      <c r="E1755" s="19"/>
      <c r="F1755" s="19"/>
      <c r="G1755" s="19"/>
      <c r="H1755" s="19"/>
      <c r="I1755" s="19"/>
      <c r="J1755" s="19"/>
      <c r="K1755" s="19"/>
      <c r="L1755" s="19"/>
      <c r="M1755" s="19"/>
      <c r="N1755" s="19"/>
      <c r="O1755" s="19"/>
      <c r="P1755" s="19"/>
      <c r="Q1755" s="19"/>
      <c r="R1755" s="19"/>
    </row>
    <row r="1756" spans="1:19" outlineLevel="2" x14ac:dyDescent="0.2">
      <c r="A1756" s="19"/>
      <c r="B1756" s="19"/>
      <c r="C1756" s="19"/>
      <c r="D1756" s="19"/>
      <c r="E1756" s="19"/>
      <c r="F1756" s="19"/>
      <c r="G1756" s="19"/>
      <c r="H1756" s="19"/>
      <c r="I1756" s="19"/>
      <c r="J1756" s="19"/>
      <c r="K1756" s="19"/>
      <c r="L1756" s="19"/>
      <c r="M1756" s="19"/>
      <c r="N1756" s="19"/>
      <c r="O1756" s="19"/>
      <c r="P1756" s="19"/>
      <c r="Q1756" s="19"/>
      <c r="R1756" s="19"/>
    </row>
    <row r="1757" spans="1:19" outlineLevel="2" x14ac:dyDescent="0.2">
      <c r="A1757" s="19"/>
      <c r="B1757" s="19"/>
      <c r="C1757" s="19"/>
      <c r="D1757" s="19"/>
      <c r="E1757" s="19"/>
      <c r="F1757" s="19"/>
      <c r="G1757" s="19"/>
      <c r="H1757" s="19"/>
      <c r="I1757" s="19"/>
      <c r="J1757" s="19"/>
      <c r="K1757" s="19"/>
      <c r="L1757" s="19"/>
      <c r="M1757" s="19"/>
      <c r="N1757" s="19"/>
      <c r="O1757" s="19"/>
      <c r="P1757" s="19"/>
      <c r="Q1757" s="19"/>
      <c r="R1757" s="19"/>
    </row>
    <row r="1758" spans="1:19" outlineLevel="2" x14ac:dyDescent="0.2"/>
    <row r="1759" spans="1:19" ht="10.5" outlineLevel="2" thickBot="1" x14ac:dyDescent="0.25">
      <c r="A1759" s="166" t="str">
        <f ca="1">Language!A$827</f>
        <v xml:space="preserve">         ЭФФЕКТИВНОСТЬ ПОЛНЫХ ИНВЕСТИЦИОННЫХ ЗАТРАТ</v>
      </c>
      <c r="B1759" s="166"/>
      <c r="C1759" s="166"/>
      <c r="D1759" s="166"/>
      <c r="E1759" s="166"/>
      <c r="F1759" s="178" t="str">
        <f t="shared" ref="F1759:Q1759" si="1902">PeriodTitle</f>
        <v>4/ 2024</v>
      </c>
      <c r="G1759" s="178" t="str">
        <f t="shared" si="1902"/>
        <v>5/ 2024</v>
      </c>
      <c r="H1759" s="178" t="str">
        <f t="shared" si="1902"/>
        <v>6/ 2024</v>
      </c>
      <c r="I1759" s="178" t="str">
        <f t="shared" si="1902"/>
        <v>7/ 2024</v>
      </c>
      <c r="J1759" s="178" t="str">
        <f t="shared" si="1902"/>
        <v>8/ 2024</v>
      </c>
      <c r="K1759" s="178" t="str">
        <f t="shared" si="1902"/>
        <v>9/ 2024</v>
      </c>
      <c r="L1759" s="178" t="str">
        <f t="shared" si="1902"/>
        <v>10/ 2024</v>
      </c>
      <c r="M1759" s="178" t="str">
        <f t="shared" si="1902"/>
        <v>11/ 2024</v>
      </c>
      <c r="N1759" s="178" t="str">
        <f t="shared" si="1902"/>
        <v>12/ 2024</v>
      </c>
      <c r="O1759" s="178" t="str">
        <f t="shared" si="1902"/>
        <v>1/ 2025</v>
      </c>
      <c r="P1759" s="178" t="str">
        <f t="shared" si="1902"/>
        <v>2/ 2025</v>
      </c>
      <c r="Q1759" s="178" t="str">
        <f t="shared" si="1902"/>
        <v>3/ 2025</v>
      </c>
      <c r="R1759" s="166"/>
      <c r="S1759" s="167" t="str">
        <f ca="1">Language!A$371</f>
        <v>ИТОГО</v>
      </c>
    </row>
    <row r="1760" spans="1:19" ht="10.5" outlineLevel="2" thickTop="1" x14ac:dyDescent="0.2"/>
    <row r="1761" spans="1:19" outlineLevel="2" x14ac:dyDescent="0.2">
      <c r="A1761" t="str">
        <f ca="1">Language!A$833</f>
        <v>Учитывать ранее осуществленные инвестиции</v>
      </c>
      <c r="B1761" s="255">
        <v>2</v>
      </c>
      <c r="C1761" s="36" t="str">
        <f ca="1">CHOOSE(B1761,Language!A828,Language!A829)</f>
        <v>Нет</v>
      </c>
    </row>
    <row r="1762" spans="1:19" outlineLevel="2" x14ac:dyDescent="0.2">
      <c r="A1762" t="str">
        <f ca="1">Language!A$834</f>
        <v>Учитывать остаточную стоимость проекта</v>
      </c>
      <c r="B1762" s="255">
        <v>1</v>
      </c>
      <c r="C1762" s="36" t="str">
        <f ca="1">CHOOSE(B1762,Language!A828,Language!A829)</f>
        <v>Да</v>
      </c>
    </row>
    <row r="1763" spans="1:19" outlineLevel="2" x14ac:dyDescent="0.2">
      <c r="A1763" t="str">
        <f ca="1">Language!A$835</f>
        <v>Валюта расчетов:</v>
      </c>
      <c r="B1763" s="255">
        <v>1</v>
      </c>
      <c r="C1763" s="17" t="str">
        <f ca="1">CHOOSE(B1763,CUR_Main,CUR_Foreign)</f>
        <v>руб.</v>
      </c>
    </row>
    <row r="1764" spans="1:19" outlineLevel="2" x14ac:dyDescent="0.2">
      <c r="A1764" t="str">
        <f ca="1">Language!A$836</f>
        <v>Годовая ставка дисконтирования:</v>
      </c>
      <c r="B1764" s="273">
        <v>0.25</v>
      </c>
      <c r="C1764" s="5" t="s">
        <v>177</v>
      </c>
      <c r="D1764" s="16" t="s">
        <v>176</v>
      </c>
      <c r="F1764" s="135">
        <f>$B$1764</f>
        <v>0.25</v>
      </c>
      <c r="G1764" s="135">
        <f t="shared" ref="G1764:Q1764" si="1903">F1764</f>
        <v>0.25</v>
      </c>
      <c r="H1764" s="135">
        <f t="shared" si="1903"/>
        <v>0.25</v>
      </c>
      <c r="I1764" s="135">
        <f t="shared" si="1903"/>
        <v>0.25</v>
      </c>
      <c r="J1764" s="135">
        <f t="shared" si="1903"/>
        <v>0.25</v>
      </c>
      <c r="K1764" s="135">
        <f t="shared" si="1903"/>
        <v>0.25</v>
      </c>
      <c r="L1764" s="135">
        <f t="shared" si="1903"/>
        <v>0.25</v>
      </c>
      <c r="M1764" s="135">
        <f t="shared" si="1903"/>
        <v>0.25</v>
      </c>
      <c r="N1764" s="135">
        <f t="shared" si="1903"/>
        <v>0.25</v>
      </c>
      <c r="O1764" s="135">
        <f t="shared" si="1903"/>
        <v>0.25</v>
      </c>
      <c r="P1764" s="135">
        <f t="shared" si="1903"/>
        <v>0.25</v>
      </c>
      <c r="Q1764" s="135">
        <f t="shared" si="1903"/>
        <v>0.25</v>
      </c>
    </row>
    <row r="1765" spans="1:19" outlineLevel="2" x14ac:dyDescent="0.2">
      <c r="A1765" t="str">
        <f ca="1">Language!A$837</f>
        <v xml:space="preserve">    ставка дисконтирования на расчетный период</v>
      </c>
      <c r="D1765" s="16" t="s">
        <v>176</v>
      </c>
      <c r="F1765" s="135">
        <f>POWER(1+F1764,PRJ_Step/360)-1-IF(CalcMethod=1,IF($B$1763=1,F$81,F$92),0)</f>
        <v>1.8105030477883588E-2</v>
      </c>
      <c r="G1765" s="135">
        <f>POWER(1+G1764,PRJ_Step/360)-1-IF(CalcMethod=1,IF($B$1763=1,G$81,G$92),0)</f>
        <v>1.8105030477883588E-2</v>
      </c>
      <c r="H1765" s="135">
        <f>POWER(1+H1764,PRJ_Step/360)-1-IF(CalcMethod=1,IF($B$1763=1,H$81,H$92),0)</f>
        <v>1.8105030477883588E-2</v>
      </c>
      <c r="I1765" s="135">
        <f>POWER(1+I1764,PRJ_Step/360)-1-IF(CalcMethod=1,IF($B$1763=1,I$81,I$92),0)</f>
        <v>1.8105030477883588E-2</v>
      </c>
      <c r="J1765" s="135">
        <f>POWER(1+J1764,PRJ_Step/360)-1-IF(CalcMethod=1,IF($B$1763=1,J$81,J$92),0)</f>
        <v>1.8105030477883588E-2</v>
      </c>
      <c r="K1765" s="135">
        <f>POWER(1+K1764,PRJ_Step/360)-1-IF(CalcMethod=1,IF($B$1763=1,K$81,K$92),0)</f>
        <v>1.8105030477883588E-2</v>
      </c>
      <c r="L1765" s="135">
        <f>POWER(1+L1764,PRJ_Step/360)-1-IF(CalcMethod=1,IF($B$1763=1,L$81,L$92),0)</f>
        <v>1.8105030477883588E-2</v>
      </c>
      <c r="M1765" s="135">
        <f>POWER(1+M1764,PRJ_Step/360)-1-IF(CalcMethod=1,IF($B$1763=1,M$81,M$92),0)</f>
        <v>1.8105030477883588E-2</v>
      </c>
      <c r="N1765" s="135">
        <f>POWER(1+N1764,PRJ_Step/360)-1-IF(CalcMethod=1,IF($B$1763=1,N$81,N$92),0)</f>
        <v>1.8105030477883588E-2</v>
      </c>
      <c r="O1765" s="135">
        <f>POWER(1+O1764,PRJ_Step/360)-1-IF(CalcMethod=1,IF($B$1763=1,O$81,O$92),0)</f>
        <v>1.8105030477883588E-2</v>
      </c>
      <c r="P1765" s="135">
        <f>POWER(1+P1764,PRJ_Step/360)-1-IF(CalcMethod=1,IF($B$1763=1,P$81,P$92),0)</f>
        <v>1.8105030477883588E-2</v>
      </c>
      <c r="Q1765" s="135">
        <f>POWER(1+Q1764,PRJ_Step/360)-1-IF(CalcMethod=1,IF($B$1763=1,Q$81,Q$92),0)</f>
        <v>1.8105030477883588E-2</v>
      </c>
    </row>
    <row r="1766" spans="1:19" outlineLevel="2" x14ac:dyDescent="0.2">
      <c r="A1766" t="str">
        <f ca="1">Language!A$838</f>
        <v xml:space="preserve">    коэффициент дисконта для потока на начало периода</v>
      </c>
      <c r="D1766" s="16" t="s">
        <v>176</v>
      </c>
      <c r="F1766" s="136">
        <v>1</v>
      </c>
      <c r="G1766" s="136">
        <f t="shared" ref="G1766:Q1766" si="1904">F1766*(1+F1765)</f>
        <v>1.0181050304778836</v>
      </c>
      <c r="H1766" s="136">
        <f t="shared" si="1904"/>
        <v>1.0365378530843723</v>
      </c>
      <c r="I1766" s="136">
        <f t="shared" si="1904"/>
        <v>1.0553044025059448</v>
      </c>
      <c r="J1766" s="136">
        <f t="shared" si="1904"/>
        <v>1.0744107208767597</v>
      </c>
      <c r="K1766" s="136">
        <f t="shared" si="1904"/>
        <v>1.0938629597239984</v>
      </c>
      <c r="L1766" s="136">
        <f t="shared" si="1904"/>
        <v>1.1136673819484293</v>
      </c>
      <c r="M1766" s="136">
        <f t="shared" si="1904"/>
        <v>1.1338303638408305</v>
      </c>
      <c r="N1766" s="136">
        <f t="shared" si="1904"/>
        <v>1.1543583971349185</v>
      </c>
      <c r="O1766" s="136">
        <f t="shared" si="1904"/>
        <v>1.1752580910974471</v>
      </c>
      <c r="P1766" s="136">
        <f t="shared" si="1904"/>
        <v>1.1965361746561456</v>
      </c>
      <c r="Q1766" s="136">
        <f t="shared" si="1904"/>
        <v>1.2181994985661853</v>
      </c>
    </row>
    <row r="1767" spans="1:19" outlineLevel="2" x14ac:dyDescent="0.2">
      <c r="F1767" s="136"/>
    </row>
    <row r="1768" spans="1:19" outlineLevel="2" x14ac:dyDescent="0.2">
      <c r="A1768" s="23" t="str">
        <f ca="1">Language!A$840</f>
        <v>Учитываемые денежные потоки проекта:</v>
      </c>
    </row>
    <row r="1769" spans="1:19" outlineLevel="2" x14ac:dyDescent="0.2">
      <c r="A1769" t="str">
        <f ca="1">Language!A$841</f>
        <v>Денежные потоки от операционной деятельности</v>
      </c>
      <c r="B1769" s="36" t="str">
        <f ca="1">Language!A$828</f>
        <v>Да</v>
      </c>
      <c r="C1769" s="5" t="str">
        <f ca="1">C1763</f>
        <v>руб.</v>
      </c>
      <c r="F1769" s="84">
        <f ca="1">(F1433+F1448)*IF(CUR_I_Report&lt;&gt;$B$1763,IF(CUR_I_Report=2,F$88,1/F$88),1)</f>
        <v>-2966160</v>
      </c>
      <c r="G1769" s="84">
        <f ca="1">(G1433+G1448)*IF(CUR_I_Report&lt;&gt;$B$1763,IF(CUR_I_Report=2,G$88,1/G$88),1)</f>
        <v>-2555760</v>
      </c>
      <c r="H1769" s="84">
        <f ca="1">(H1433+H1448)*IF(CUR_I_Report&lt;&gt;$B$1763,IF(CUR_I_Report=2,H$88,1/H$88),1)</f>
        <v>-2428008.50875</v>
      </c>
      <c r="I1769" s="84">
        <f ca="1">(I1433+I1448)*IF(CUR_I_Report&lt;&gt;$B$1763,IF(CUR_I_Report=2,I$88,1/I$88),1)</f>
        <v>-1917002.54375</v>
      </c>
      <c r="J1769" s="84">
        <f ca="1">(J1433+J1448)*IF(CUR_I_Report&lt;&gt;$B$1763,IF(CUR_I_Report=2,J$88,1/J$88),1)</f>
        <v>-1278245.0874999999</v>
      </c>
      <c r="K1769" s="84">
        <f ca="1">(K1433+K1448)*IF(CUR_I_Report&lt;&gt;$B$1763,IF(CUR_I_Report=2,K$88,1/K$88),1)</f>
        <v>-730.17499999981374</v>
      </c>
      <c r="L1769" s="84">
        <f ca="1">(L1433+L1448)*IF(CUR_I_Report&lt;&gt;$B$1763,IF(CUR_I_Report=2,L$88,1/L$88),1)</f>
        <v>1096547.5479740878</v>
      </c>
      <c r="M1769" s="84">
        <f ca="1">(M1433+M1448)*IF(CUR_I_Report&lt;&gt;$B$1763,IF(CUR_I_Report=2,M$88,1/M$88),1)</f>
        <v>2416169.2904287507</v>
      </c>
      <c r="N1769" s="84">
        <f ca="1">(N1433+N1448)*IF(CUR_I_Report&lt;&gt;$B$1763,IF(CUR_I_Report=2,N$88,1/N$88),1)</f>
        <v>4408306.0298950961</v>
      </c>
      <c r="O1769" s="84">
        <f ca="1">(O1433+O1448)*IF(CUR_I_Report&lt;&gt;$B$1763,IF(CUR_I_Report=2,O$88,1/O$88),1)</f>
        <v>7025601.84375</v>
      </c>
      <c r="P1769" s="84">
        <f ca="1">(P1433+P1448)*IF(CUR_I_Report&lt;&gt;$B$1763,IF(CUR_I_Report=2,P$88,1/P$88),1)</f>
        <v>8941874.2125000004</v>
      </c>
      <c r="Q1769" s="84">
        <f ca="1">(Q1433+Q1448)*IF(CUR_I_Report&lt;&gt;$B$1763,IF(CUR_I_Report=2,Q$88,1/Q$88),1)</f>
        <v>10219389.125</v>
      </c>
      <c r="S1769" s="54">
        <f ca="1">SUM(F1769:Q1769)</f>
        <v>22961981.734547932</v>
      </c>
    </row>
    <row r="1770" spans="1:19" outlineLevel="2" x14ac:dyDescent="0.2">
      <c r="A1770" t="str">
        <f ca="1">Language!A$842</f>
        <v xml:space="preserve">    за исключением процентов по кредитам</v>
      </c>
      <c r="B1770" s="36" t="str">
        <f ca="1">Language!A$828</f>
        <v>Да</v>
      </c>
      <c r="C1770" s="5" t="str">
        <f ca="1">C1763</f>
        <v>руб.</v>
      </c>
      <c r="D1770" s="5"/>
      <c r="F1770" s="53">
        <f>-F1429*IF(CUR_I_Report&lt;&gt;$B$1763,IF(CUR_I_Report=2,F$88,1/F$88),1)</f>
        <v>0</v>
      </c>
      <c r="G1770" s="53">
        <f>-G1429*IF(CUR_I_Report&lt;&gt;$B$1763,IF(CUR_I_Report=2,G$88,1/G$88),1)</f>
        <v>0</v>
      </c>
      <c r="H1770" s="53">
        <f>-H1429*IF(CUR_I_Report&lt;&gt;$B$1763,IF(CUR_I_Report=2,H$88,1/H$88),1)</f>
        <v>0</v>
      </c>
      <c r="I1770" s="53">
        <f>-I1429*IF(CUR_I_Report&lt;&gt;$B$1763,IF(CUR_I_Report=2,I$88,1/I$88),1)</f>
        <v>0</v>
      </c>
      <c r="J1770" s="53">
        <f>-J1429*IF(CUR_I_Report&lt;&gt;$B$1763,IF(CUR_I_Report=2,J$88,1/J$88),1)</f>
        <v>0</v>
      </c>
      <c r="K1770" s="53">
        <f>-K1429*IF(CUR_I_Report&lt;&gt;$B$1763,IF(CUR_I_Report=2,K$88,1/K$88),1)</f>
        <v>0</v>
      </c>
      <c r="L1770" s="53">
        <f>-L1429*IF(CUR_I_Report&lt;&gt;$B$1763,IF(CUR_I_Report=2,L$88,1/L$88),1)</f>
        <v>180237.18952591211</v>
      </c>
      <c r="M1770" s="53">
        <f>-M1429*IF(CUR_I_Report&lt;&gt;$B$1763,IF(CUR_I_Report=2,M$88,1/M$88),1)</f>
        <v>138130.35957124989</v>
      </c>
      <c r="N1770" s="53">
        <f>-N1429*IF(CUR_I_Report&lt;&gt;$B$1763,IF(CUR_I_Report=2,N$88,1/N$88),1)</f>
        <v>62265.988854903924</v>
      </c>
      <c r="O1770" s="53">
        <f>-O1429*IF(CUR_I_Report&lt;&gt;$B$1763,IF(CUR_I_Report=2,O$88,1/O$88),1)</f>
        <v>0</v>
      </c>
      <c r="P1770" s="53">
        <f>-P1429*IF(CUR_I_Report&lt;&gt;$B$1763,IF(CUR_I_Report=2,P$88,1/P$88),1)</f>
        <v>0</v>
      </c>
      <c r="Q1770" s="53">
        <f>-Q1429*IF(CUR_I_Report&lt;&gt;$B$1763,IF(CUR_I_Report=2,Q$88,1/Q$88),1)</f>
        <v>0</v>
      </c>
      <c r="S1770" s="54">
        <f>SUM(F1770:Q1770)</f>
        <v>380633.53795206588</v>
      </c>
    </row>
    <row r="1771" spans="1:19" outlineLevel="2" x14ac:dyDescent="0.2">
      <c r="A1771" t="str">
        <f ca="1">Language!A$843</f>
        <v>Денежные потоки от инвестиционной деятельности</v>
      </c>
      <c r="B1771" s="36" t="str">
        <f ca="1">Language!A$828</f>
        <v>Да</v>
      </c>
      <c r="C1771" s="5" t="str">
        <f ca="1">C1763</f>
        <v>руб.</v>
      </c>
      <c r="D1771" s="5"/>
      <c r="F1771" s="53">
        <f ca="1">F1444*IF(CUR_I_Report&lt;&gt;$B$1763,IF(CUR_I_Report=2,F$88,1/F$88),1)</f>
        <v>648376</v>
      </c>
      <c r="G1771" s="53">
        <f ca="1">G1444*IF(CUR_I_Report&lt;&gt;$B$1763,IF(CUR_I_Report=2,G$88,1/G$88),1)</f>
        <v>-415440</v>
      </c>
      <c r="H1771" s="53">
        <f ca="1">H1444*IF(CUR_I_Report&lt;&gt;$B$1763,IF(CUR_I_Report=2,H$88,1/H$88),1)</f>
        <v>24435.877125000115</v>
      </c>
      <c r="I1771" s="53">
        <f ca="1">I1444*IF(CUR_I_Report&lt;&gt;$B$1763,IF(CUR_I_Report=2,I$88,1/I$88),1)</f>
        <v>97743.508499999763</v>
      </c>
      <c r="J1771" s="53">
        <f ca="1">J1444*IF(CUR_I_Report&lt;&gt;$B$1763,IF(CUR_I_Report=2,J$88,1/J$88),1)</f>
        <v>122179.385625</v>
      </c>
      <c r="K1771" s="53">
        <f ca="1">K1444*IF(CUR_I_Report&lt;&gt;$B$1763,IF(CUR_I_Report=2,K$88,1/K$88),1)</f>
        <v>244358.77125000022</v>
      </c>
      <c r="L1771" s="53">
        <f ca="1">L1444*IF(CUR_I_Report&lt;&gt;$B$1763,IF(CUR_I_Report=2,L$88,1/L$88),1)</f>
        <v>244358.77124999976</v>
      </c>
      <c r="M1771" s="53">
        <f ca="1">M1444*IF(CUR_I_Report&lt;&gt;$B$1763,IF(CUR_I_Report=2,M$88,1/M$88),1)</f>
        <v>244358.77125000011</v>
      </c>
      <c r="N1771" s="53">
        <f ca="1">N1444*IF(CUR_I_Report&lt;&gt;$B$1763,IF(CUR_I_Report=2,N$88,1/N$88),1)</f>
        <v>366538.15687499987</v>
      </c>
      <c r="O1771" s="53">
        <f ca="1">O1444*IF(CUR_I_Report&lt;&gt;$B$1763,IF(CUR_I_Report=2,O$88,1/O$88),1)</f>
        <v>488717.54250000021</v>
      </c>
      <c r="P1771" s="53">
        <f ca="1">P1444*IF(CUR_I_Report&lt;&gt;$B$1763,IF(CUR_I_Report=2,P$88,1/P$88),1)</f>
        <v>366538.1568750001</v>
      </c>
      <c r="Q1771" s="53">
        <f ca="1">Q1444*IF(CUR_I_Report&lt;&gt;$B$1763,IF(CUR_I_Report=2,Q$88,1/Q$88),1)</f>
        <v>244358.77124999976</v>
      </c>
      <c r="S1771" s="54">
        <f ca="1">SUM(F1771:Q1771)</f>
        <v>2676523.7124999999</v>
      </c>
    </row>
    <row r="1772" spans="1:19" outlineLevel="1" x14ac:dyDescent="0.2">
      <c r="A1772" t="str">
        <f ca="1">Language!A$844</f>
        <v>Поступления собственного капитала</v>
      </c>
      <c r="B1772" s="36" t="str">
        <f ca="1">Language!A$829</f>
        <v>Нет</v>
      </c>
      <c r="C1772" s="5" t="str">
        <f ca="1">C1763</f>
        <v>руб.</v>
      </c>
      <c r="D1772" s="5"/>
    </row>
    <row r="1773" spans="1:19" outlineLevel="1" x14ac:dyDescent="0.2">
      <c r="A1773" t="str">
        <f ca="1">Language!A$845</f>
        <v>Поступления целевого финансирования</v>
      </c>
      <c r="B1773" s="36" t="str">
        <f ca="1">Language!A$829</f>
        <v>Нет</v>
      </c>
      <c r="C1773" s="5" t="str">
        <f ca="1">C1763</f>
        <v>руб.</v>
      </c>
      <c r="D1773" s="5"/>
    </row>
    <row r="1774" spans="1:19" s="4" customFormat="1" ht="16" customHeight="1" x14ac:dyDescent="0.2">
      <c r="A1774" t="str">
        <f ca="1">Language!A$846</f>
        <v>Поступления кредитов</v>
      </c>
      <c r="B1774" s="36" t="str">
        <f ca="1">Language!A$829</f>
        <v>Нет</v>
      </c>
      <c r="C1774" s="5" t="str">
        <f ca="1">C1763</f>
        <v>руб.</v>
      </c>
      <c r="D1774" s="5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 s="11"/>
    </row>
    <row r="1775" spans="1:19" outlineLevel="1" x14ac:dyDescent="0.2">
      <c r="A1775" t="str">
        <f ca="1">Language!A$847</f>
        <v>Возврат кредитов</v>
      </c>
      <c r="B1775" s="36" t="str">
        <f ca="1">Language!A$829</f>
        <v>Нет</v>
      </c>
      <c r="C1775" s="5" t="str">
        <f ca="1">C1763</f>
        <v>руб.</v>
      </c>
      <c r="D1775" s="5"/>
    </row>
    <row r="1776" spans="1:19" outlineLevel="1" x14ac:dyDescent="0.2">
      <c r="A1776" t="str">
        <f ca="1">Language!A$848</f>
        <v>Лизинговые платежи</v>
      </c>
      <c r="B1776" s="36" t="str">
        <f ca="1">Language!A$828</f>
        <v>Да</v>
      </c>
      <c r="C1776" s="5" t="str">
        <f ca="1">C1763</f>
        <v>руб.</v>
      </c>
      <c r="D1776" s="5"/>
      <c r="F1776" s="53">
        <f ca="1">F1451*IF(CUR_I_Report&lt;&gt;$B$1763,IF(CUR_I_Report=2,F$88,1/F$88),1)</f>
        <v>0</v>
      </c>
      <c r="G1776" s="53">
        <f ca="1">G1451*IF(CUR_I_Report&lt;&gt;$B$1763,IF(CUR_I_Report=2,G$88,1/G$88),1)</f>
        <v>0</v>
      </c>
      <c r="H1776" s="53">
        <f ca="1">H1451*IF(CUR_I_Report&lt;&gt;$B$1763,IF(CUR_I_Report=2,H$88,1/H$88),1)</f>
        <v>0</v>
      </c>
      <c r="I1776" s="53">
        <f ca="1">I1451*IF(CUR_I_Report&lt;&gt;$B$1763,IF(CUR_I_Report=2,I$88,1/I$88),1)</f>
        <v>0</v>
      </c>
      <c r="J1776" s="53">
        <f ca="1">J1451*IF(CUR_I_Report&lt;&gt;$B$1763,IF(CUR_I_Report=2,J$88,1/J$88),1)</f>
        <v>0</v>
      </c>
      <c r="K1776" s="53">
        <f ca="1">K1451*IF(CUR_I_Report&lt;&gt;$B$1763,IF(CUR_I_Report=2,K$88,1/K$88),1)</f>
        <v>0</v>
      </c>
      <c r="L1776" s="53">
        <f ca="1">L1451*IF(CUR_I_Report&lt;&gt;$B$1763,IF(CUR_I_Report=2,L$88,1/L$88),1)</f>
        <v>0</v>
      </c>
      <c r="M1776" s="53">
        <f ca="1">M1451*IF(CUR_I_Report&lt;&gt;$B$1763,IF(CUR_I_Report=2,M$88,1/M$88),1)</f>
        <v>0</v>
      </c>
      <c r="N1776" s="53">
        <f ca="1">N1451*IF(CUR_I_Report&lt;&gt;$B$1763,IF(CUR_I_Report=2,N$88,1/N$88),1)</f>
        <v>0</v>
      </c>
      <c r="O1776" s="53">
        <f ca="1">O1451*IF(CUR_I_Report&lt;&gt;$B$1763,IF(CUR_I_Report=2,O$88,1/O$88),1)</f>
        <v>0</v>
      </c>
      <c r="P1776" s="53">
        <f ca="1">P1451*IF(CUR_I_Report&lt;&gt;$B$1763,IF(CUR_I_Report=2,P$88,1/P$88),1)</f>
        <v>0</v>
      </c>
      <c r="Q1776" s="53">
        <f ca="1">Q1451*IF(CUR_I_Report&lt;&gt;$B$1763,IF(CUR_I_Report=2,Q$88,1/Q$88),1)</f>
        <v>0</v>
      </c>
      <c r="S1776" s="54">
        <f ca="1">SUM(F1776:Q1776)</f>
        <v>0</v>
      </c>
    </row>
    <row r="1777" spans="1:19" outlineLevel="1" x14ac:dyDescent="0.2">
      <c r="A1777" t="str">
        <f ca="1">Language!A$849</f>
        <v>Выплата дивидендов</v>
      </c>
      <c r="B1777" s="36" t="str">
        <f ca="1">Language!A$829</f>
        <v>Нет</v>
      </c>
      <c r="C1777" s="5" t="str">
        <f ca="1">C1763</f>
        <v>руб.</v>
      </c>
      <c r="D1777" s="5"/>
    </row>
    <row r="1778" spans="1:19" outlineLevel="1" x14ac:dyDescent="0.2">
      <c r="A1778" t="str">
        <f ca="1">Language!A$850</f>
        <v>Ранее осуществленные инвестиции</v>
      </c>
      <c r="B1778" s="36" t="str">
        <f ca="1">CHOOSE(B1761,Language!A828,Language!A829)</f>
        <v>Нет</v>
      </c>
      <c r="C1778" s="5" t="str">
        <f ca="1">C1763</f>
        <v>руб.</v>
      </c>
      <c r="D1778" s="5"/>
      <c r="F1778" s="53">
        <f>IF($B1761=1,-$B$425/IF($B$1763=2,F$88,1),0)</f>
        <v>0</v>
      </c>
      <c r="G1778">
        <v>0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S1778" s="54">
        <f>SUM(F1778:Q1778)</f>
        <v>0</v>
      </c>
    </row>
    <row r="1779" spans="1:19" outlineLevel="1" collapsed="1" x14ac:dyDescent="0.2">
      <c r="A1779" t="str">
        <f ca="1">Language!A$851</f>
        <v>Остаточная стоимость проекта</v>
      </c>
      <c r="B1779" s="36" t="str">
        <f ca="1">CHOOSE(B1762,Language!A828,Language!A829)</f>
        <v>Да</v>
      </c>
      <c r="C1779" s="5" t="str">
        <f ca="1">C1763</f>
        <v>руб.</v>
      </c>
      <c r="D1779" s="5"/>
      <c r="F1779" s="111">
        <f>IF($B1762=1,IF(F$29=PRJ_Len,(F$1600-F$1563)*IF(CUR_I_Report&lt;&gt;$B$1763,IF(CUR_I_Report=2,F$88,1/F$88),1),0),0)</f>
        <v>0</v>
      </c>
      <c r="G1779" s="111">
        <f>IF($B1762=1,IF(G$29=PRJ_Len,(G$1600-G$1563)*IF(CUR_I_Report&lt;&gt;$B$1763,IF(CUR_I_Report=2,G$88,1/G$88),1),0),0)</f>
        <v>0</v>
      </c>
      <c r="H1779" s="111">
        <f>IF($B1762=1,IF(H$29=PRJ_Len,(H$1600-H$1563)*IF(CUR_I_Report&lt;&gt;$B$1763,IF(CUR_I_Report=2,H$88,1/H$88),1),0),0)</f>
        <v>0</v>
      </c>
      <c r="I1779" s="111">
        <f>IF($B1762=1,IF(I$29=PRJ_Len,(I$1600-I$1563)*IF(CUR_I_Report&lt;&gt;$B$1763,IF(CUR_I_Report=2,I$88,1/I$88),1),0),0)</f>
        <v>0</v>
      </c>
      <c r="J1779" s="111">
        <f>IF($B1762=1,IF(J$29=PRJ_Len,(J$1600-J$1563)*IF(CUR_I_Report&lt;&gt;$B$1763,IF(CUR_I_Report=2,J$88,1/J$88),1),0),0)</f>
        <v>0</v>
      </c>
      <c r="K1779" s="111">
        <f>IF($B1762=1,IF(K$29=PRJ_Len,(K$1600-K$1563)*IF(CUR_I_Report&lt;&gt;$B$1763,IF(CUR_I_Report=2,K$88,1/K$88),1),0),0)</f>
        <v>0</v>
      </c>
      <c r="L1779" s="111">
        <f>IF($B1762=1,IF(L$29=PRJ_Len,(L$1600-L$1563)*IF(CUR_I_Report&lt;&gt;$B$1763,IF(CUR_I_Report=2,L$88,1/L$88),1),0),0)</f>
        <v>0</v>
      </c>
      <c r="M1779" s="111">
        <f>IF($B1762=1,IF(M$29=PRJ_Len,(M$1600-M$1563)*IF(CUR_I_Report&lt;&gt;$B$1763,IF(CUR_I_Report=2,M$88,1/M$88),1),0),0)</f>
        <v>0</v>
      </c>
      <c r="N1779" s="111">
        <f>IF($B1762=1,IF(N$29=PRJ_Len,(N$1600-N$1563)*IF(CUR_I_Report&lt;&gt;$B$1763,IF(CUR_I_Report=2,N$88,1/N$88),1),0),0)</f>
        <v>0</v>
      </c>
      <c r="O1779" s="111">
        <f>IF($B1762=1,IF(O$29=PRJ_Len,(O$1600-O$1563)*IF(CUR_I_Report&lt;&gt;$B$1763,IF(CUR_I_Report=2,O$88,1/O$88),1),0),0)</f>
        <v>0</v>
      </c>
      <c r="P1779" s="111">
        <f>IF($B1762=1,IF(P$29=PRJ_Len,(P$1600-P$1563)*IF(CUR_I_Report&lt;&gt;$B$1763,IF(CUR_I_Report=2,P$88,1/P$88),1),0),0)</f>
        <v>0</v>
      </c>
      <c r="Q1779" s="111">
        <f ca="1">IF($B1762=1,IF(Q$29=PRJ_Len,(Q$1600-Q$1563)*IF(CUR_I_Report&lt;&gt;$B$1763,IF(CUR_I_Report=2,Q$88,1/Q$88),1),0),0)</f>
        <v>-3273178.25</v>
      </c>
      <c r="S1779" s="54">
        <f ca="1">SUM(F1779:Q1779)</f>
        <v>-3273178.25</v>
      </c>
    </row>
    <row r="1780" spans="1:19" ht="10.5" hidden="1" outlineLevel="2" x14ac:dyDescent="0.25">
      <c r="A1780" s="63"/>
      <c r="B1780" s="63"/>
      <c r="C1780" s="67"/>
      <c r="D1780" s="67"/>
      <c r="E1780" s="63"/>
      <c r="F1780" s="140"/>
      <c r="G1780" s="140"/>
      <c r="H1780" s="140"/>
      <c r="I1780" s="140"/>
      <c r="J1780" s="140"/>
      <c r="K1780" s="140"/>
      <c r="L1780" s="140"/>
      <c r="M1780" s="140"/>
      <c r="N1780" s="140"/>
      <c r="O1780" s="140"/>
      <c r="P1780" s="140"/>
      <c r="Q1780" s="140"/>
      <c r="R1780" s="140"/>
      <c r="S1780" s="161"/>
    </row>
    <row r="1781" spans="1:19" hidden="1" outlineLevel="2" x14ac:dyDescent="0.2">
      <c r="A1781" s="24" t="str">
        <f ca="1">Language!A$852</f>
        <v>Чистый денежный поток</v>
      </c>
      <c r="B1781" s="24"/>
      <c r="C1781" s="115" t="str">
        <f ca="1">C1763</f>
        <v>руб.</v>
      </c>
      <c r="D1781" s="115"/>
      <c r="E1781" s="24"/>
      <c r="F1781" s="162">
        <f t="shared" ref="F1781:M1781" ca="1" si="1905">SUM(F1769:F1779)</f>
        <v>-2317784</v>
      </c>
      <c r="G1781" s="162">
        <f t="shared" ca="1" si="1905"/>
        <v>-2971200</v>
      </c>
      <c r="H1781" s="162">
        <f t="shared" ca="1" si="1905"/>
        <v>-2403572.6316249999</v>
      </c>
      <c r="I1781" s="162">
        <f t="shared" ca="1" si="1905"/>
        <v>-1819259.0352500002</v>
      </c>
      <c r="J1781" s="162">
        <f t="shared" ca="1" si="1905"/>
        <v>-1156065.7018749998</v>
      </c>
      <c r="K1781" s="162">
        <f t="shared" ca="1" si="1905"/>
        <v>243628.59625000041</v>
      </c>
      <c r="L1781" s="162">
        <f t="shared" ca="1" si="1905"/>
        <v>1521143.5087499996</v>
      </c>
      <c r="M1781" s="162">
        <f t="shared" ca="1" si="1905"/>
        <v>2798658.4212500006</v>
      </c>
      <c r="N1781" s="162">
        <f t="shared" ref="N1781" ca="1" si="1906">SUM(N1769:N1779)</f>
        <v>4837110.1756250001</v>
      </c>
      <c r="O1781" s="162">
        <f t="shared" ref="O1781:Q1781" ca="1" si="1907">SUM(O1769:O1779)</f>
        <v>7514319.3862500004</v>
      </c>
      <c r="P1781" s="162">
        <f t="shared" ref="P1781:Q1781" ca="1" si="1908">SUM(P1769:P1779)</f>
        <v>9308412.3693749998</v>
      </c>
      <c r="Q1781" s="162">
        <f t="shared" ca="1" si="1908"/>
        <v>7190569.6462500002</v>
      </c>
      <c r="R1781" s="24"/>
      <c r="S1781" s="54">
        <f ca="1">SUM(F1781:Q1781)</f>
        <v>22745960.734999999</v>
      </c>
    </row>
    <row r="1782" spans="1:19" outlineLevel="1" collapsed="1" x14ac:dyDescent="0.2">
      <c r="A1782" t="str">
        <f ca="1">Language!A$853</f>
        <v>Дисконтированный чистый денежный поток</v>
      </c>
      <c r="C1782" s="5" t="str">
        <f ca="1">C1763</f>
        <v>руб.</v>
      </c>
      <c r="D1782" s="5"/>
      <c r="F1782" s="53">
        <f t="shared" ref="F1782:M1782" ca="1" si="1909">F1781/F1766</f>
        <v>-2317784</v>
      </c>
      <c r="G1782" s="53">
        <f t="shared" ca="1" si="1909"/>
        <v>-2918362.9498474849</v>
      </c>
      <c r="H1782" s="53">
        <f t="shared" ca="1" si="1909"/>
        <v>-2318846.9427072178</v>
      </c>
      <c r="I1782" s="53">
        <f t="shared" ca="1" si="1909"/>
        <v>-1723918.7393987507</v>
      </c>
      <c r="J1782" s="53">
        <f t="shared" ca="1" si="1909"/>
        <v>-1075999.7824031452</v>
      </c>
      <c r="K1782" s="53">
        <f t="shared" ca="1" si="1909"/>
        <v>222723.14286194713</v>
      </c>
      <c r="L1782" s="53">
        <f t="shared" ca="1" si="1909"/>
        <v>1365886.7390806272</v>
      </c>
      <c r="M1782" s="53">
        <f t="shared" ca="1" si="1909"/>
        <v>2468321.9911042023</v>
      </c>
      <c r="N1782" s="53">
        <f t="shared" ref="N1782" ca="1" si="1910">N1781/N1766</f>
        <v>4190301.892055844</v>
      </c>
      <c r="O1782" s="53">
        <f t="shared" ref="O1782:Q1782" ca="1" si="1911">O1781/O1766</f>
        <v>6393761.0327219162</v>
      </c>
      <c r="P1782" s="53">
        <f t="shared" ref="P1782:Q1782" ca="1" si="1912">P1781/P1766</f>
        <v>7779465.9004354831</v>
      </c>
      <c r="Q1782" s="53">
        <f t="shared" ca="1" si="1912"/>
        <v>5902620.7568737837</v>
      </c>
      <c r="S1782" s="54">
        <f ca="1">SUM(F1782:Q1782)</f>
        <v>17968169.040777203</v>
      </c>
    </row>
    <row r="1783" spans="1:19" hidden="1" outlineLevel="2" x14ac:dyDescent="0.2">
      <c r="A1783" t="str">
        <f ca="1">Language!A$854</f>
        <v>Дисконтированный поток нарастающим итогом</v>
      </c>
      <c r="C1783" s="5" t="str">
        <f ca="1">C1763</f>
        <v>руб.</v>
      </c>
      <c r="D1783" s="16" t="s">
        <v>384</v>
      </c>
      <c r="F1783" s="106">
        <f t="shared" ref="F1783:Q1783" ca="1" si="1913">E1783+F1782</f>
        <v>-2317784</v>
      </c>
      <c r="G1783" s="106">
        <f t="shared" ca="1" si="1913"/>
        <v>-5236146.9498474849</v>
      </c>
      <c r="H1783" s="106">
        <f t="shared" ca="1" si="1913"/>
        <v>-7554993.8925547022</v>
      </c>
      <c r="I1783" s="106">
        <f t="shared" ca="1" si="1913"/>
        <v>-9278912.6319534536</v>
      </c>
      <c r="J1783" s="106">
        <f t="shared" ca="1" si="1913"/>
        <v>-10354912.414356599</v>
      </c>
      <c r="K1783" s="106">
        <f t="shared" ca="1" si="1913"/>
        <v>-10132189.271494651</v>
      </c>
      <c r="L1783" s="106">
        <f t="shared" ca="1" si="1913"/>
        <v>-8766302.5324140247</v>
      </c>
      <c r="M1783" s="106">
        <f t="shared" ca="1" si="1913"/>
        <v>-6297980.5413098224</v>
      </c>
      <c r="N1783" s="106">
        <f t="shared" ca="1" si="1913"/>
        <v>-2107678.6492539784</v>
      </c>
      <c r="O1783" s="106">
        <f t="shared" ca="1" si="1913"/>
        <v>4286082.3834679378</v>
      </c>
      <c r="P1783" s="106">
        <f t="shared" ca="1" si="1913"/>
        <v>12065548.28390342</v>
      </c>
      <c r="Q1783" s="106">
        <f t="shared" ca="1" si="1913"/>
        <v>17968169.040777203</v>
      </c>
    </row>
    <row r="1784" spans="1:19" hidden="1" outlineLevel="2" x14ac:dyDescent="0.2"/>
    <row r="1785" spans="1:19" hidden="1" outlineLevel="2" x14ac:dyDescent="0.2">
      <c r="A1785" s="23" t="str">
        <f ca="1">Language!A$855</f>
        <v>Простой срок окупаемости</v>
      </c>
      <c r="B1785" s="164">
        <f ca="1">IF(ISERROR(E1787),Language!A$829,IF(E1787&gt;=PRJ_Len,Language!A$829,IF(OR(E1787=0),E1787*PRJ_Step/360,(E1787-OFFSET(F1786,0,E1787-1)/(-OFFSET(F1786,0,E1787-1)+OFFSET(F1786,0,E1787)))*PRJ_Step/360)))</f>
        <v>0.76405472895294224</v>
      </c>
      <c r="C1785" s="17" t="str">
        <f ca="1">IF(B1785=0,Language!A$33,IF(OR(B1785&lt;1,AND(B1785&gt;1,B1785&lt;5)),Language!A$830,IF(B1785=1,Language!A$37,Language!A$33)))</f>
        <v>года</v>
      </c>
    </row>
    <row r="1786" spans="1:19" hidden="1" outlineLevel="2" x14ac:dyDescent="0.2">
      <c r="A1786" t="str">
        <f ca="1">Language!A$856</f>
        <v xml:space="preserve">    недисконтированный поток нарастающим итогом</v>
      </c>
      <c r="D1786" s="16" t="s">
        <v>384</v>
      </c>
      <c r="F1786" s="53">
        <f t="shared" ref="F1786:Q1786" ca="1" si="1914">E1786+F1781</f>
        <v>-2317784</v>
      </c>
      <c r="G1786" s="53">
        <f t="shared" ca="1" si="1914"/>
        <v>-5288984</v>
      </c>
      <c r="H1786" s="53">
        <f t="shared" ca="1" si="1914"/>
        <v>-7692556.6316250004</v>
      </c>
      <c r="I1786" s="53">
        <f t="shared" ca="1" si="1914"/>
        <v>-9511815.666875001</v>
      </c>
      <c r="J1786" s="53">
        <f t="shared" ca="1" si="1914"/>
        <v>-10667881.36875</v>
      </c>
      <c r="K1786" s="53">
        <f t="shared" ca="1" si="1914"/>
        <v>-10424252.772500001</v>
      </c>
      <c r="L1786" s="53">
        <f t="shared" ca="1" si="1914"/>
        <v>-8903109.2637500018</v>
      </c>
      <c r="M1786" s="53">
        <f t="shared" ca="1" si="1914"/>
        <v>-6104450.8425000012</v>
      </c>
      <c r="N1786" s="53">
        <f t="shared" ca="1" si="1914"/>
        <v>-1267340.666875001</v>
      </c>
      <c r="O1786" s="53">
        <f t="shared" ca="1" si="1914"/>
        <v>6246978.7193749994</v>
      </c>
      <c r="P1786" s="53">
        <f t="shared" ca="1" si="1914"/>
        <v>15555391.088749999</v>
      </c>
      <c r="Q1786" s="53">
        <f t="shared" ca="1" si="1914"/>
        <v>22745960.734999999</v>
      </c>
    </row>
    <row r="1787" spans="1:19" hidden="1" outlineLevel="2" x14ac:dyDescent="0.2">
      <c r="A1787" t="str">
        <f ca="1">Language!A$857</f>
        <v xml:space="preserve">    знак остатка денежных средств</v>
      </c>
      <c r="D1787" s="16" t="s">
        <v>384</v>
      </c>
      <c r="E1787" s="101">
        <f ca="1">PRJ_Len+1-(MATCH(-1,F1788:R1788,0))</f>
        <v>9</v>
      </c>
      <c r="F1787" s="16">
        <f t="shared" ref="F1787:M1787" ca="1" si="1915">SIGN(F1786)</f>
        <v>-1</v>
      </c>
      <c r="G1787" s="16">
        <f t="shared" ca="1" si="1915"/>
        <v>-1</v>
      </c>
      <c r="H1787" s="16">
        <f t="shared" ca="1" si="1915"/>
        <v>-1</v>
      </c>
      <c r="I1787" s="16">
        <f t="shared" ca="1" si="1915"/>
        <v>-1</v>
      </c>
      <c r="J1787" s="16">
        <f t="shared" ca="1" si="1915"/>
        <v>-1</v>
      </c>
      <c r="K1787" s="16">
        <f t="shared" ca="1" si="1915"/>
        <v>-1</v>
      </c>
      <c r="L1787" s="16">
        <f t="shared" ca="1" si="1915"/>
        <v>-1</v>
      </c>
      <c r="M1787" s="16">
        <f t="shared" ca="1" si="1915"/>
        <v>-1</v>
      </c>
      <c r="N1787" s="16">
        <f t="shared" ref="N1787" ca="1" si="1916">SIGN(N1786)</f>
        <v>-1</v>
      </c>
      <c r="O1787" s="16">
        <f t="shared" ref="O1787:Q1787" ca="1" si="1917">SIGN(O1786)</f>
        <v>1</v>
      </c>
      <c r="P1787" s="16">
        <f t="shared" ref="P1787:Q1787" ca="1" si="1918">SIGN(P1786)</f>
        <v>1</v>
      </c>
      <c r="Q1787" s="16">
        <f t="shared" ca="1" si="1918"/>
        <v>1</v>
      </c>
    </row>
    <row r="1788" spans="1:19" hidden="1" outlineLevel="2" x14ac:dyDescent="0.2">
      <c r="A1788" t="str">
        <f ca="1">Language!A$858</f>
        <v xml:space="preserve">    знак остатка денежных средств (с конца)</v>
      </c>
      <c r="D1788" s="16" t="s">
        <v>384</v>
      </c>
      <c r="E1788" s="48"/>
      <c r="F1788" s="101">
        <f t="shared" ref="F1788:M1788" ca="1" si="1919">OFFSET(F1787,0,PRJ_Len-F$29-F$29+1)</f>
        <v>1</v>
      </c>
      <c r="G1788" s="101">
        <f t="shared" ca="1" si="1919"/>
        <v>1</v>
      </c>
      <c r="H1788" s="101">
        <f t="shared" ca="1" si="1919"/>
        <v>1</v>
      </c>
      <c r="I1788" s="101">
        <f t="shared" ca="1" si="1919"/>
        <v>-1</v>
      </c>
      <c r="J1788" s="101">
        <f t="shared" ca="1" si="1919"/>
        <v>-1</v>
      </c>
      <c r="K1788" s="101">
        <f t="shared" ca="1" si="1919"/>
        <v>-1</v>
      </c>
      <c r="L1788" s="101">
        <f t="shared" ca="1" si="1919"/>
        <v>-1</v>
      </c>
      <c r="M1788" s="101">
        <f t="shared" ca="1" si="1919"/>
        <v>-1</v>
      </c>
      <c r="N1788" s="101">
        <f t="shared" ref="N1788" ca="1" si="1920">OFFSET(N1787,0,PRJ_Len-N$29-N$29+1)</f>
        <v>-1</v>
      </c>
      <c r="O1788" s="101">
        <f t="shared" ref="O1788" ca="1" si="1921">OFFSET(O1787,0,PRJ_Len-O$29-O$29+1)</f>
        <v>-1</v>
      </c>
      <c r="P1788" s="101">
        <f t="shared" ref="P1788:Q1788" ca="1" si="1922">OFFSET(P1787,0,PRJ_Len-P$29-P$29+1)</f>
        <v>-1</v>
      </c>
      <c r="Q1788" s="101">
        <f t="shared" ca="1" si="1922"/>
        <v>-1</v>
      </c>
    </row>
    <row r="1789" spans="1:19" hidden="1" outlineLevel="2" x14ac:dyDescent="0.2">
      <c r="E1789" s="48"/>
    </row>
    <row r="1790" spans="1:19" ht="10.5" hidden="1" outlineLevel="2" x14ac:dyDescent="0.25">
      <c r="A1790" s="35" t="str">
        <f ca="1">Language!A$859</f>
        <v>Чистая приведенная стоимость (NPV)</v>
      </c>
      <c r="B1790" s="151">
        <f ca="1">S1782</f>
        <v>17968169.040777203</v>
      </c>
      <c r="C1790" s="5" t="str">
        <f ca="1">C1763</f>
        <v>руб.</v>
      </c>
      <c r="E1790" s="48"/>
    </row>
    <row r="1791" spans="1:19" ht="10.5" hidden="1" outlineLevel="2" x14ac:dyDescent="0.25">
      <c r="A1791" s="35" t="str">
        <f ca="1">Language!A$860</f>
        <v>Дисконтированный срок окупаемости (PBP)</v>
      </c>
      <c r="B1791" s="150">
        <f ca="1">IF(ISERROR(E1792),Language!A$829,IF(E1792&gt;=PRJ_Len,Language!A$829,IF(OR(E1792=0),E1792*PRJ_Step/360,(E1792-OFFSET(F1783,0,E1792-1)/(-OFFSET(F1783,0,E1792-1)+OFFSET(F1783,0,E1792)))*PRJ_Step/360)))</f>
        <v>0.77747051172837778</v>
      </c>
      <c r="C1791" s="17" t="str">
        <f ca="1">IF(B1791=0,Language!A$33,IF(OR(B1791&lt;1,AND(B1791&gt;1,B1791&lt;5)),Language!A$830,IF(B1791=1,Language!A$37,Language!A$33)))</f>
        <v>года</v>
      </c>
      <c r="E1791" s="48"/>
    </row>
    <row r="1792" spans="1:19" hidden="1" outlineLevel="2" x14ac:dyDescent="0.2">
      <c r="A1792" s="180" t="str">
        <f ca="1">Language!A$861</f>
        <v xml:space="preserve">    знак остатка дисконтированных денежных средств</v>
      </c>
      <c r="B1792" s="180"/>
      <c r="D1792" s="16" t="s">
        <v>384</v>
      </c>
      <c r="E1792" s="101">
        <f ca="1">PRJ_Len+1-(MATCH(-1,F1793:R1793,0))</f>
        <v>9</v>
      </c>
      <c r="F1792" s="16">
        <f t="shared" ref="F1792:M1792" ca="1" si="1923">SIGN(F1783)</f>
        <v>-1</v>
      </c>
      <c r="G1792" s="16">
        <f t="shared" ca="1" si="1923"/>
        <v>-1</v>
      </c>
      <c r="H1792" s="16">
        <f t="shared" ca="1" si="1923"/>
        <v>-1</v>
      </c>
      <c r="I1792" s="16">
        <f t="shared" ca="1" si="1923"/>
        <v>-1</v>
      </c>
      <c r="J1792" s="16">
        <f t="shared" ca="1" si="1923"/>
        <v>-1</v>
      </c>
      <c r="K1792" s="16">
        <f t="shared" ca="1" si="1923"/>
        <v>-1</v>
      </c>
      <c r="L1792" s="16">
        <f t="shared" ca="1" si="1923"/>
        <v>-1</v>
      </c>
      <c r="M1792" s="16">
        <f t="shared" ca="1" si="1923"/>
        <v>-1</v>
      </c>
      <c r="N1792" s="16">
        <f t="shared" ref="N1792" ca="1" si="1924">SIGN(N1783)</f>
        <v>-1</v>
      </c>
      <c r="O1792" s="16">
        <f t="shared" ref="O1792:Q1792" ca="1" si="1925">SIGN(O1783)</f>
        <v>1</v>
      </c>
      <c r="P1792" s="16">
        <f t="shared" ref="P1792:Q1792" ca="1" si="1926">SIGN(P1783)</f>
        <v>1</v>
      </c>
      <c r="Q1792" s="16">
        <f t="shared" ca="1" si="1926"/>
        <v>1</v>
      </c>
    </row>
    <row r="1793" spans="1:19" hidden="1" outlineLevel="2" x14ac:dyDescent="0.2">
      <c r="A1793" s="180" t="str">
        <f ca="1">Language!A$862</f>
        <v xml:space="preserve">    знак остатка дисконтированных денежных средств (с конца)</v>
      </c>
      <c r="B1793" s="180"/>
      <c r="D1793" s="16" t="s">
        <v>384</v>
      </c>
      <c r="E1793" s="48"/>
      <c r="F1793" s="101">
        <f t="shared" ref="F1793:M1793" ca="1" si="1927">OFFSET(F1792,0,PRJ_Len-F$29-F$29+1)</f>
        <v>1</v>
      </c>
      <c r="G1793" s="101">
        <f t="shared" ca="1" si="1927"/>
        <v>1</v>
      </c>
      <c r="H1793" s="101">
        <f t="shared" ca="1" si="1927"/>
        <v>1</v>
      </c>
      <c r="I1793" s="101">
        <f t="shared" ca="1" si="1927"/>
        <v>-1</v>
      </c>
      <c r="J1793" s="101">
        <f t="shared" ca="1" si="1927"/>
        <v>-1</v>
      </c>
      <c r="K1793" s="101">
        <f t="shared" ca="1" si="1927"/>
        <v>-1</v>
      </c>
      <c r="L1793" s="101">
        <f t="shared" ca="1" si="1927"/>
        <v>-1</v>
      </c>
      <c r="M1793" s="101">
        <f t="shared" ca="1" si="1927"/>
        <v>-1</v>
      </c>
      <c r="N1793" s="101">
        <f t="shared" ref="N1793" ca="1" si="1928">OFFSET(N1792,0,PRJ_Len-N$29-N$29+1)</f>
        <v>-1</v>
      </c>
      <c r="O1793" s="101">
        <f t="shared" ref="O1793" ca="1" si="1929">OFFSET(O1792,0,PRJ_Len-O$29-O$29+1)</f>
        <v>-1</v>
      </c>
      <c r="P1793" s="101">
        <f t="shared" ref="P1793:Q1793" ca="1" si="1930">OFFSET(P1792,0,PRJ_Len-P$29-P$29+1)</f>
        <v>-1</v>
      </c>
      <c r="Q1793" s="101">
        <f t="shared" ca="1" si="1930"/>
        <v>-1</v>
      </c>
    </row>
    <row r="1794" spans="1:19" ht="10.5" hidden="1" outlineLevel="2" x14ac:dyDescent="0.25">
      <c r="A1794" s="130" t="str">
        <f ca="1">Language!A$863</f>
        <v>Внутренняя норма рентабельности (IRR)</v>
      </c>
      <c r="B1794" s="152">
        <f ca="1">IF(ISERROR(E1794),Language!A$829,IF(AND(E1794&gt;0,E1794&lt;100),E1794,Language!A$829))</f>
        <v>5.1949015427970213</v>
      </c>
      <c r="C1794" s="107" t="str">
        <f ca="1">IF(CalcMethod=1,Language!A$831,Language!A$832)</f>
        <v>(реальная - без учета инфляции)</v>
      </c>
      <c r="E1794" s="16">
        <f ca="1">(POWER(1+IRR(F1795:Q1795,0.2*PRJ_Step/360),360/PRJ_Step)-1)</f>
        <v>5.1949015427970213</v>
      </c>
    </row>
    <row r="1795" spans="1:19" ht="10.5" hidden="1" outlineLevel="2" x14ac:dyDescent="0.2">
      <c r="A1795" s="24" t="str">
        <f ca="1">Language!A$852</f>
        <v>Чистый денежный поток</v>
      </c>
      <c r="B1795" s="223"/>
      <c r="C1795" s="216"/>
      <c r="D1795" s="48"/>
      <c r="E1795" s="101"/>
      <c r="F1795" s="65">
        <f t="shared" ref="F1795:M1795" ca="1" si="1931">F1781</f>
        <v>-2317784</v>
      </c>
      <c r="G1795" s="65">
        <f t="shared" ca="1" si="1931"/>
        <v>-2971200</v>
      </c>
      <c r="H1795" s="65">
        <f t="shared" ca="1" si="1931"/>
        <v>-2403572.6316249999</v>
      </c>
      <c r="I1795" s="65">
        <f t="shared" ca="1" si="1931"/>
        <v>-1819259.0352500002</v>
      </c>
      <c r="J1795" s="65">
        <f t="shared" ca="1" si="1931"/>
        <v>-1156065.7018749998</v>
      </c>
      <c r="K1795" s="65">
        <f t="shared" ca="1" si="1931"/>
        <v>243628.59625000041</v>
      </c>
      <c r="L1795" s="65">
        <f t="shared" ca="1" si="1931"/>
        <v>1521143.5087499996</v>
      </c>
      <c r="M1795" s="65">
        <f t="shared" ca="1" si="1931"/>
        <v>2798658.4212500006</v>
      </c>
      <c r="N1795" s="65">
        <f t="shared" ref="N1795" ca="1" si="1932">N1781</f>
        <v>4837110.1756250001</v>
      </c>
      <c r="O1795" s="65">
        <f t="shared" ref="O1795:Q1795" ca="1" si="1933">O1781</f>
        <v>7514319.3862500004</v>
      </c>
      <c r="P1795" s="65">
        <f t="shared" ref="P1795:Q1795" ca="1" si="1934">P1781</f>
        <v>9308412.3693749998</v>
      </c>
      <c r="Q1795" s="65">
        <f t="shared" ca="1" si="1934"/>
        <v>7190569.6462500002</v>
      </c>
      <c r="R1795" s="48"/>
      <c r="S1795" s="41"/>
    </row>
    <row r="1796" spans="1:19" outlineLevel="1" x14ac:dyDescent="0.2">
      <c r="A1796" s="23" t="str">
        <f ca="1">Language!A$864</f>
        <v>Норма доходности дисконтированных затрат (PI)</v>
      </c>
      <c r="B1796" s="309">
        <f ca="1">IF(S1800&lt;0,S1798/-S1800,Language!A$829)</f>
        <v>2.7352313879415515</v>
      </c>
      <c r="C1796" s="5" t="str">
        <f ca="1">Language!A$197</f>
        <v>разы</v>
      </c>
    </row>
    <row r="1797" spans="1:19" outlineLevel="1" x14ac:dyDescent="0.2">
      <c r="A1797" t="str">
        <f ca="1">Language!A$865</f>
        <v xml:space="preserve">    притоки</v>
      </c>
      <c r="C1797" s="5" t="str">
        <f ca="1">C1763</f>
        <v>руб.</v>
      </c>
      <c r="F1797" s="43">
        <f t="shared" ref="F1797:M1797" ca="1" si="1935">MAX(0,F1781)</f>
        <v>0</v>
      </c>
      <c r="G1797" s="43">
        <f t="shared" ca="1" si="1935"/>
        <v>0</v>
      </c>
      <c r="H1797" s="43">
        <f t="shared" ca="1" si="1935"/>
        <v>0</v>
      </c>
      <c r="I1797" s="43">
        <f t="shared" ca="1" si="1935"/>
        <v>0</v>
      </c>
      <c r="J1797" s="43">
        <f t="shared" ca="1" si="1935"/>
        <v>0</v>
      </c>
      <c r="K1797" s="43">
        <f t="shared" ca="1" si="1935"/>
        <v>243628.59625000041</v>
      </c>
      <c r="L1797" s="43">
        <f t="shared" ca="1" si="1935"/>
        <v>1521143.5087499996</v>
      </c>
      <c r="M1797" s="43">
        <f t="shared" ca="1" si="1935"/>
        <v>2798658.4212500006</v>
      </c>
      <c r="N1797" s="43">
        <f t="shared" ref="N1797" ca="1" si="1936">MAX(0,N1781)</f>
        <v>4837110.1756250001</v>
      </c>
      <c r="O1797" s="43">
        <f t="shared" ref="O1797:Q1797" ca="1" si="1937">MAX(0,O1781)</f>
        <v>7514319.3862500004</v>
      </c>
      <c r="P1797" s="43">
        <f t="shared" ref="P1797:Q1797" ca="1" si="1938">MAX(0,P1781)</f>
        <v>9308412.3693749998</v>
      </c>
      <c r="Q1797" s="43">
        <f t="shared" ca="1" si="1938"/>
        <v>7190569.6462500002</v>
      </c>
      <c r="S1797" s="54">
        <f ca="1">SUM(F1797:Q1797)</f>
        <v>33413842.103750005</v>
      </c>
    </row>
    <row r="1798" spans="1:19" outlineLevel="1" x14ac:dyDescent="0.2">
      <c r="A1798" t="str">
        <f ca="1">Language!A$866</f>
        <v xml:space="preserve">    дисконтированные притоки</v>
      </c>
      <c r="C1798" s="5" t="str">
        <f ca="1">C1763</f>
        <v>руб.</v>
      </c>
      <c r="F1798" s="43">
        <f t="shared" ref="F1798:M1798" ca="1" si="1939">F1797/F1766</f>
        <v>0</v>
      </c>
      <c r="G1798" s="43">
        <f t="shared" ca="1" si="1939"/>
        <v>0</v>
      </c>
      <c r="H1798" s="43">
        <f t="shared" ca="1" si="1939"/>
        <v>0</v>
      </c>
      <c r="I1798" s="43">
        <f t="shared" ca="1" si="1939"/>
        <v>0</v>
      </c>
      <c r="J1798" s="43">
        <f t="shared" ca="1" si="1939"/>
        <v>0</v>
      </c>
      <c r="K1798" s="43">
        <f t="shared" ca="1" si="1939"/>
        <v>222723.14286194713</v>
      </c>
      <c r="L1798" s="43">
        <f t="shared" ca="1" si="1939"/>
        <v>1365886.7390806272</v>
      </c>
      <c r="M1798" s="43">
        <f t="shared" ca="1" si="1939"/>
        <v>2468321.9911042023</v>
      </c>
      <c r="N1798" s="43">
        <f t="shared" ref="N1798" ca="1" si="1940">N1797/N1766</f>
        <v>4190301.892055844</v>
      </c>
      <c r="O1798" s="43">
        <f t="shared" ref="O1798:Q1798" ca="1" si="1941">O1797/O1766</f>
        <v>6393761.0327219162</v>
      </c>
      <c r="P1798" s="43">
        <f t="shared" ref="P1798:Q1798" ca="1" si="1942">P1797/P1766</f>
        <v>7779465.9004354831</v>
      </c>
      <c r="Q1798" s="43">
        <f t="shared" ca="1" si="1942"/>
        <v>5902620.7568737837</v>
      </c>
      <c r="S1798" s="54">
        <f ca="1">SUM(F1798:Q1798)</f>
        <v>28323081.455133803</v>
      </c>
    </row>
    <row r="1799" spans="1:19" outlineLevel="1" x14ac:dyDescent="0.2">
      <c r="A1799" t="str">
        <f ca="1">Language!A$867</f>
        <v xml:space="preserve">    оттоки</v>
      </c>
      <c r="C1799" s="5" t="str">
        <f ca="1">C1763</f>
        <v>руб.</v>
      </c>
      <c r="F1799" s="43">
        <f t="shared" ref="F1799:M1799" ca="1" si="1943">MIN(0,F1781)</f>
        <v>-2317784</v>
      </c>
      <c r="G1799" s="43">
        <f t="shared" ca="1" si="1943"/>
        <v>-2971200</v>
      </c>
      <c r="H1799" s="43">
        <f t="shared" ca="1" si="1943"/>
        <v>-2403572.6316249999</v>
      </c>
      <c r="I1799" s="43">
        <f t="shared" ca="1" si="1943"/>
        <v>-1819259.0352500002</v>
      </c>
      <c r="J1799" s="43">
        <f t="shared" ca="1" si="1943"/>
        <v>-1156065.7018749998</v>
      </c>
      <c r="K1799" s="43">
        <f t="shared" ca="1" si="1943"/>
        <v>0</v>
      </c>
      <c r="L1799" s="43">
        <f t="shared" ca="1" si="1943"/>
        <v>0</v>
      </c>
      <c r="M1799" s="43">
        <f t="shared" ca="1" si="1943"/>
        <v>0</v>
      </c>
      <c r="N1799" s="43">
        <f t="shared" ref="N1799" ca="1" si="1944">MIN(0,N1781)</f>
        <v>0</v>
      </c>
      <c r="O1799" s="43">
        <f t="shared" ref="O1799:Q1799" ca="1" si="1945">MIN(0,O1781)</f>
        <v>0</v>
      </c>
      <c r="P1799" s="43">
        <f t="shared" ref="P1799:Q1799" ca="1" si="1946">MIN(0,P1781)</f>
        <v>0</v>
      </c>
      <c r="Q1799" s="43">
        <f t="shared" ca="1" si="1946"/>
        <v>0</v>
      </c>
      <c r="S1799" s="54">
        <f ca="1">SUM(F1799:Q1799)</f>
        <v>-10667881.36875</v>
      </c>
    </row>
    <row r="1800" spans="1:19" outlineLevel="1" collapsed="1" x14ac:dyDescent="0.2">
      <c r="A1800" t="str">
        <f ca="1">Language!A$868</f>
        <v xml:space="preserve">    дисконтированные оттоки</v>
      </c>
      <c r="C1800" s="5" t="str">
        <f ca="1">C1763</f>
        <v>руб.</v>
      </c>
      <c r="F1800" s="43">
        <f t="shared" ref="F1800:M1800" ca="1" si="1947">F1799/F1766</f>
        <v>-2317784</v>
      </c>
      <c r="G1800" s="43">
        <f t="shared" ca="1" si="1947"/>
        <v>-2918362.9498474849</v>
      </c>
      <c r="H1800" s="43">
        <f t="shared" ca="1" si="1947"/>
        <v>-2318846.9427072178</v>
      </c>
      <c r="I1800" s="43">
        <f t="shared" ca="1" si="1947"/>
        <v>-1723918.7393987507</v>
      </c>
      <c r="J1800" s="43">
        <f t="shared" ca="1" si="1947"/>
        <v>-1075999.7824031452</v>
      </c>
      <c r="K1800" s="43">
        <f t="shared" ca="1" si="1947"/>
        <v>0</v>
      </c>
      <c r="L1800" s="43">
        <f t="shared" ca="1" si="1947"/>
        <v>0</v>
      </c>
      <c r="M1800" s="43">
        <f t="shared" ca="1" si="1947"/>
        <v>0</v>
      </c>
      <c r="N1800" s="43">
        <f t="shared" ref="N1800" ca="1" si="1948">N1799/N1766</f>
        <v>0</v>
      </c>
      <c r="O1800" s="43">
        <f t="shared" ref="O1800:Q1800" ca="1" si="1949">O1799/O1766</f>
        <v>0</v>
      </c>
      <c r="P1800" s="43">
        <f t="shared" ref="P1800:Q1800" ca="1" si="1950">P1799/P1766</f>
        <v>0</v>
      </c>
      <c r="Q1800" s="43">
        <f t="shared" ca="1" si="1950"/>
        <v>0</v>
      </c>
      <c r="S1800" s="54">
        <f ca="1">SUM(F1800:Q1800)</f>
        <v>-10354912.414356599</v>
      </c>
    </row>
    <row r="1801" spans="1:19" hidden="1" outlineLevel="2" x14ac:dyDescent="0.2">
      <c r="F1801" s="43"/>
      <c r="G1801" s="43"/>
      <c r="H1801" s="43"/>
      <c r="I1801" s="43"/>
      <c r="J1801" s="43"/>
      <c r="K1801" s="43"/>
      <c r="L1801" s="43"/>
      <c r="M1801" s="43"/>
      <c r="N1801" s="43"/>
      <c r="O1801" s="43"/>
      <c r="P1801" s="43"/>
      <c r="Q1801" s="43"/>
    </row>
    <row r="1802" spans="1:19" hidden="1" outlineLevel="2" x14ac:dyDescent="0.2">
      <c r="A1802" s="23" t="str">
        <f ca="1">Language!A$869</f>
        <v>Модифицированная IRR (MIRR)</v>
      </c>
      <c r="B1802" s="310">
        <f ca="1">IF(ISERROR(E1802),Language!A$829,E1802)</f>
        <v>2.72647691921952</v>
      </c>
      <c r="E1802" s="153">
        <f ca="1">(POWER(1+MIRR(F1781:R1781,POWER(1+B1804,PRJ_Step/360)-1,POWER(1+B1803,PRJ_Step/360)-1),360/PRJ_Step)-1)</f>
        <v>2.72647691921952</v>
      </c>
      <c r="F1802" s="43"/>
      <c r="G1802" s="43"/>
      <c r="H1802" s="43"/>
      <c r="I1802" s="43"/>
      <c r="J1802" s="43"/>
      <c r="K1802" s="43"/>
      <c r="L1802" s="43"/>
      <c r="M1802" s="43"/>
      <c r="N1802" s="43"/>
      <c r="O1802" s="43"/>
      <c r="P1802" s="43"/>
      <c r="Q1802" s="43"/>
    </row>
    <row r="1803" spans="1:19" hidden="1" outlineLevel="2" x14ac:dyDescent="0.2">
      <c r="A1803" t="str">
        <f ca="1">Language!A$870</f>
        <v>Ставка реинвестирования доходов</v>
      </c>
      <c r="B1803" s="273">
        <f>B1764</f>
        <v>0.25</v>
      </c>
    </row>
    <row r="1804" spans="1:19" outlineLevel="1" x14ac:dyDescent="0.2">
      <c r="A1804" t="str">
        <f ca="1">Language!A$871</f>
        <v>Ставка дисконтирования инвестиционных затрат</v>
      </c>
      <c r="B1804" s="273">
        <f>B1764</f>
        <v>0.25</v>
      </c>
    </row>
    <row r="1805" spans="1:19" outlineLevel="1" x14ac:dyDescent="0.2">
      <c r="A1805" s="63"/>
      <c r="B1805" s="63"/>
      <c r="C1805" s="63"/>
      <c r="D1805" s="63"/>
      <c r="E1805" s="63"/>
      <c r="F1805" s="63"/>
      <c r="G1805" s="63"/>
      <c r="H1805" s="63"/>
      <c r="I1805" s="63"/>
      <c r="J1805" s="63"/>
      <c r="K1805" s="63"/>
      <c r="L1805" s="63"/>
      <c r="M1805" s="63"/>
      <c r="N1805" s="63"/>
      <c r="O1805" s="63"/>
      <c r="P1805" s="63"/>
      <c r="Q1805" s="63"/>
      <c r="R1805" s="63"/>
      <c r="S1805" s="64"/>
    </row>
    <row r="1806" spans="1:19" outlineLevel="1" collapsed="1" x14ac:dyDescent="0.2">
      <c r="A1806" s="22" t="str">
        <f ca="1">Language!A$872 &amp; ", " &amp; Проект!CUR_Report</f>
        <v>График: Окупаемость проекта (для полных инвестиционных затрат), руб.</v>
      </c>
      <c r="B1806" s="19"/>
      <c r="C1806" s="19"/>
      <c r="D1806" s="19"/>
      <c r="E1806" s="19"/>
      <c r="F1806" s="19"/>
      <c r="G1806" s="19"/>
      <c r="H1806" s="19"/>
      <c r="I1806" s="19"/>
      <c r="J1806" s="19"/>
      <c r="K1806" s="19"/>
      <c r="L1806" s="19"/>
      <c r="M1806" s="19"/>
      <c r="N1806" s="19"/>
      <c r="O1806" s="19"/>
      <c r="P1806" s="19"/>
      <c r="Q1806" s="19"/>
      <c r="R1806" s="19"/>
      <c r="S1806" s="22"/>
    </row>
    <row r="1807" spans="1:19" hidden="1" outlineLevel="2" x14ac:dyDescent="0.2">
      <c r="A1807" s="19"/>
      <c r="B1807" s="19"/>
      <c r="C1807" s="19"/>
      <c r="D1807" s="19"/>
      <c r="E1807" s="19"/>
      <c r="F1807" s="19"/>
      <c r="G1807" s="19"/>
      <c r="H1807" s="19"/>
      <c r="I1807" s="19"/>
      <c r="J1807" s="19"/>
      <c r="K1807" s="19"/>
      <c r="L1807" s="19"/>
      <c r="M1807" s="19"/>
      <c r="N1807" s="19"/>
      <c r="O1807" s="19"/>
      <c r="P1807" s="19"/>
      <c r="Q1807" s="19"/>
      <c r="R1807" s="19"/>
      <c r="S1807" s="22"/>
    </row>
    <row r="1808" spans="1:19" hidden="1" outlineLevel="2" x14ac:dyDescent="0.2">
      <c r="A1808" s="19"/>
      <c r="B1808" s="19"/>
      <c r="C1808" s="19"/>
      <c r="D1808" s="19"/>
      <c r="E1808" s="19"/>
      <c r="F1808" s="19"/>
      <c r="G1808" s="19"/>
      <c r="H1808" s="19"/>
      <c r="I1808" s="19"/>
      <c r="J1808" s="19"/>
      <c r="K1808" s="19"/>
      <c r="L1808" s="19"/>
      <c r="M1808" s="19"/>
      <c r="N1808" s="19"/>
      <c r="O1808" s="19"/>
      <c r="P1808" s="19"/>
      <c r="Q1808" s="19"/>
      <c r="R1808" s="19"/>
      <c r="S1808" s="22"/>
    </row>
    <row r="1809" spans="1:19" outlineLevel="1" collapsed="1" x14ac:dyDescent="0.2">
      <c r="A1809" s="19"/>
      <c r="B1809" s="19"/>
      <c r="C1809" s="19"/>
      <c r="D1809" s="19"/>
      <c r="E1809" s="19"/>
      <c r="F1809" s="19"/>
      <c r="G1809" s="19"/>
      <c r="H1809" s="19"/>
      <c r="I1809" s="19"/>
      <c r="J1809" s="19"/>
      <c r="K1809" s="19"/>
      <c r="L1809" s="19"/>
      <c r="M1809" s="19"/>
      <c r="N1809" s="19"/>
      <c r="O1809" s="19"/>
      <c r="P1809" s="19"/>
      <c r="Q1809" s="19"/>
      <c r="R1809" s="19"/>
      <c r="S1809" s="22"/>
    </row>
    <row r="1810" spans="1:19" s="48" customFormat="1" hidden="1" outlineLevel="2" x14ac:dyDescent="0.2">
      <c r="A1810" s="19"/>
      <c r="B1810" s="19"/>
      <c r="C1810" s="19"/>
      <c r="D1810" s="19"/>
      <c r="E1810" s="19"/>
      <c r="F1810" s="19"/>
      <c r="G1810" s="19"/>
      <c r="H1810" s="19"/>
      <c r="I1810" s="19"/>
      <c r="J1810" s="19"/>
      <c r="K1810" s="19"/>
      <c r="L1810" s="19"/>
      <c r="M1810" s="19"/>
      <c r="N1810" s="19"/>
      <c r="O1810" s="19"/>
      <c r="P1810" s="19"/>
      <c r="Q1810" s="19"/>
      <c r="R1810" s="19"/>
      <c r="S1810" s="22"/>
    </row>
    <row r="1811" spans="1:19" outlineLevel="1" collapsed="1" x14ac:dyDescent="0.2">
      <c r="A1811" s="19"/>
      <c r="B1811" s="19"/>
      <c r="C1811" s="19"/>
      <c r="D1811" s="19"/>
      <c r="E1811" s="19"/>
      <c r="F1811" s="19"/>
      <c r="G1811" s="19"/>
      <c r="H1811" s="19"/>
      <c r="I1811" s="19"/>
      <c r="J1811" s="19"/>
      <c r="K1811" s="19"/>
      <c r="L1811" s="19"/>
      <c r="M1811" s="19"/>
      <c r="N1811" s="19"/>
      <c r="O1811" s="19"/>
      <c r="P1811" s="19"/>
      <c r="Q1811" s="19"/>
      <c r="R1811" s="19"/>
      <c r="S1811" s="22"/>
    </row>
    <row r="1812" spans="1:19" hidden="1" outlineLevel="2" x14ac:dyDescent="0.2">
      <c r="A1812" s="19"/>
      <c r="B1812" s="19"/>
      <c r="C1812" s="19"/>
      <c r="D1812" s="19"/>
      <c r="E1812" s="19"/>
      <c r="F1812" s="19"/>
      <c r="G1812" s="19"/>
      <c r="H1812" s="19"/>
      <c r="I1812" s="19"/>
      <c r="J1812" s="19"/>
      <c r="K1812" s="19"/>
      <c r="L1812" s="19"/>
      <c r="M1812" s="19"/>
      <c r="N1812" s="19"/>
      <c r="O1812" s="19"/>
      <c r="P1812" s="19"/>
      <c r="Q1812" s="19"/>
      <c r="R1812" s="19"/>
      <c r="S1812" s="22"/>
    </row>
    <row r="1813" spans="1:19" hidden="1" outlineLevel="2" x14ac:dyDescent="0.2">
      <c r="A1813" s="19"/>
      <c r="B1813" s="19"/>
      <c r="C1813" s="19"/>
      <c r="D1813" s="19"/>
      <c r="E1813" s="19"/>
      <c r="F1813" s="19"/>
      <c r="G1813" s="19"/>
      <c r="H1813" s="19"/>
      <c r="I1813" s="19"/>
      <c r="J1813" s="19"/>
      <c r="K1813" s="19"/>
      <c r="L1813" s="19"/>
      <c r="M1813" s="19"/>
      <c r="N1813" s="19"/>
      <c r="O1813" s="19"/>
      <c r="P1813" s="19"/>
      <c r="Q1813" s="19"/>
      <c r="R1813" s="19"/>
      <c r="S1813" s="22"/>
    </row>
    <row r="1814" spans="1:19" hidden="1" outlineLevel="2" x14ac:dyDescent="0.2">
      <c r="A1814" s="19"/>
      <c r="B1814" s="19"/>
      <c r="C1814" s="19"/>
      <c r="D1814" s="19"/>
      <c r="E1814" s="19"/>
      <c r="F1814" s="19"/>
      <c r="G1814" s="19"/>
      <c r="H1814" s="19"/>
      <c r="I1814" s="19"/>
      <c r="J1814" s="19"/>
      <c r="K1814" s="19"/>
      <c r="L1814" s="19"/>
      <c r="M1814" s="19"/>
      <c r="N1814" s="19"/>
      <c r="O1814" s="19"/>
      <c r="P1814" s="19"/>
      <c r="Q1814" s="19"/>
      <c r="R1814" s="19"/>
      <c r="S1814" s="22"/>
    </row>
    <row r="1815" spans="1:19" hidden="1" outlineLevel="2" x14ac:dyDescent="0.2">
      <c r="A1815" s="19"/>
      <c r="B1815" s="19"/>
      <c r="C1815" s="19"/>
      <c r="D1815" s="19"/>
      <c r="E1815" s="19"/>
      <c r="F1815" s="19"/>
      <c r="G1815" s="19"/>
      <c r="H1815" s="19"/>
      <c r="I1815" s="19"/>
      <c r="J1815" s="19"/>
      <c r="K1815" s="19"/>
      <c r="L1815" s="19"/>
      <c r="M1815" s="19"/>
      <c r="N1815" s="19"/>
      <c r="O1815" s="19"/>
      <c r="P1815" s="19"/>
      <c r="Q1815" s="19"/>
      <c r="R1815" s="19"/>
      <c r="S1815" s="22"/>
    </row>
    <row r="1816" spans="1:19" outlineLevel="1" x14ac:dyDescent="0.2">
      <c r="A1816" s="19"/>
      <c r="B1816" s="19"/>
      <c r="C1816" s="19"/>
      <c r="D1816" s="19"/>
      <c r="E1816" s="19"/>
      <c r="F1816" s="19"/>
      <c r="G1816" s="19"/>
      <c r="H1816" s="19"/>
      <c r="I1816" s="19"/>
      <c r="J1816" s="19"/>
      <c r="K1816" s="19"/>
      <c r="L1816" s="19"/>
      <c r="M1816" s="19"/>
      <c r="N1816" s="19"/>
      <c r="O1816" s="19"/>
      <c r="P1816" s="19"/>
      <c r="Q1816" s="19"/>
      <c r="R1816" s="19"/>
      <c r="S1816" s="22"/>
    </row>
    <row r="1817" spans="1:19" outlineLevel="1" x14ac:dyDescent="0.2">
      <c r="A1817" s="19"/>
      <c r="B1817" s="19"/>
      <c r="C1817" s="19"/>
      <c r="D1817" s="19"/>
      <c r="E1817" s="19"/>
      <c r="F1817" s="19"/>
      <c r="G1817" s="19"/>
      <c r="H1817" s="19"/>
      <c r="I1817" s="19"/>
      <c r="J1817" s="19"/>
      <c r="K1817" s="19"/>
      <c r="L1817" s="19"/>
      <c r="M1817" s="19"/>
      <c r="N1817" s="19"/>
      <c r="O1817" s="19"/>
      <c r="P1817" s="19"/>
      <c r="Q1817" s="19"/>
      <c r="R1817" s="19"/>
      <c r="S1817" s="22"/>
    </row>
    <row r="1818" spans="1:19" outlineLevel="1" x14ac:dyDescent="0.2">
      <c r="A1818" s="19"/>
      <c r="B1818" s="19"/>
      <c r="C1818" s="19"/>
      <c r="D1818" s="19"/>
      <c r="E1818" s="19"/>
      <c r="F1818" s="19"/>
      <c r="G1818" s="19"/>
      <c r="H1818" s="19"/>
      <c r="I1818" s="19"/>
      <c r="J1818" s="19"/>
      <c r="K1818" s="19"/>
      <c r="L1818" s="19"/>
      <c r="M1818" s="19"/>
      <c r="N1818" s="19"/>
      <c r="O1818" s="19"/>
      <c r="P1818" s="19"/>
      <c r="Q1818" s="19"/>
      <c r="R1818" s="19"/>
      <c r="S1818" s="22"/>
    </row>
    <row r="1819" spans="1:19" outlineLevel="1" x14ac:dyDescent="0.2">
      <c r="A1819" s="19"/>
      <c r="B1819" s="19"/>
      <c r="C1819" s="19"/>
      <c r="D1819" s="19"/>
      <c r="E1819" s="19"/>
      <c r="F1819" s="19"/>
      <c r="G1819" s="19"/>
      <c r="H1819" s="19"/>
      <c r="I1819" s="19"/>
      <c r="J1819" s="19"/>
      <c r="K1819" s="19"/>
      <c r="L1819" s="19"/>
      <c r="M1819" s="19"/>
      <c r="N1819" s="19"/>
      <c r="O1819" s="19"/>
      <c r="P1819" s="19"/>
      <c r="Q1819" s="19"/>
      <c r="R1819" s="19"/>
      <c r="S1819" s="22"/>
    </row>
    <row r="1820" spans="1:19" outlineLevel="1" x14ac:dyDescent="0.2">
      <c r="A1820" s="19"/>
      <c r="B1820" s="19"/>
      <c r="C1820" s="19"/>
      <c r="D1820" s="19"/>
      <c r="E1820" s="19"/>
      <c r="F1820" s="19"/>
      <c r="G1820" s="19"/>
      <c r="H1820" s="19"/>
      <c r="I1820" s="19"/>
      <c r="J1820" s="19"/>
      <c r="K1820" s="19"/>
      <c r="L1820" s="19"/>
      <c r="M1820" s="19"/>
      <c r="N1820" s="19"/>
      <c r="O1820" s="19"/>
      <c r="P1820" s="19"/>
      <c r="Q1820" s="19"/>
      <c r="R1820" s="19"/>
      <c r="S1820" s="22"/>
    </row>
    <row r="1821" spans="1:19" outlineLevel="1" x14ac:dyDescent="0.2">
      <c r="A1821" s="19"/>
      <c r="B1821" s="19"/>
      <c r="C1821" s="19"/>
      <c r="D1821" s="19"/>
      <c r="E1821" s="19"/>
      <c r="F1821" s="19"/>
      <c r="G1821" s="19"/>
      <c r="H1821" s="19"/>
      <c r="I1821" s="19"/>
      <c r="J1821" s="19"/>
      <c r="K1821" s="19"/>
      <c r="L1821" s="19"/>
      <c r="M1821" s="19"/>
      <c r="N1821" s="19"/>
      <c r="O1821" s="19"/>
      <c r="P1821" s="19"/>
      <c r="Q1821" s="19"/>
      <c r="R1821" s="19"/>
      <c r="S1821" s="22"/>
    </row>
    <row r="1822" spans="1:19" outlineLevel="2" x14ac:dyDescent="0.2">
      <c r="A1822" s="19"/>
      <c r="B1822" s="19"/>
      <c r="C1822" s="19"/>
      <c r="D1822" s="19"/>
      <c r="E1822" s="19"/>
      <c r="F1822" s="19"/>
      <c r="G1822" s="19"/>
      <c r="H1822" s="19"/>
      <c r="I1822" s="19"/>
      <c r="J1822" s="19"/>
      <c r="K1822" s="19"/>
      <c r="L1822" s="19"/>
      <c r="M1822" s="19"/>
      <c r="N1822" s="19"/>
      <c r="O1822" s="19"/>
      <c r="P1822" s="19"/>
      <c r="Q1822" s="19"/>
      <c r="R1822" s="19"/>
      <c r="S1822" s="22"/>
    </row>
    <row r="1823" spans="1:19" outlineLevel="2" x14ac:dyDescent="0.2">
      <c r="A1823" s="19"/>
      <c r="B1823" s="19"/>
      <c r="C1823" s="19"/>
      <c r="D1823" s="19"/>
      <c r="E1823" s="19"/>
      <c r="F1823" s="19"/>
      <c r="G1823" s="19"/>
      <c r="H1823" s="19"/>
      <c r="I1823" s="19"/>
      <c r="J1823" s="19"/>
      <c r="K1823" s="19"/>
      <c r="L1823" s="19"/>
      <c r="M1823" s="19"/>
      <c r="N1823" s="19"/>
      <c r="O1823" s="19"/>
      <c r="P1823" s="19"/>
      <c r="Q1823" s="19"/>
      <c r="R1823" s="19"/>
      <c r="S1823" s="22"/>
    </row>
    <row r="1824" spans="1:19" outlineLevel="2" x14ac:dyDescent="0.2">
      <c r="A1824" s="19"/>
      <c r="B1824" s="19"/>
      <c r="C1824" s="19"/>
      <c r="D1824" s="19"/>
      <c r="E1824" s="19"/>
      <c r="F1824" s="19"/>
      <c r="G1824" s="19"/>
      <c r="H1824" s="19"/>
      <c r="I1824" s="19"/>
      <c r="J1824" s="19"/>
      <c r="K1824" s="19"/>
      <c r="L1824" s="19"/>
      <c r="M1824" s="19"/>
      <c r="N1824" s="19"/>
      <c r="O1824" s="19"/>
      <c r="P1824" s="19"/>
      <c r="Q1824" s="19"/>
      <c r="R1824" s="19"/>
      <c r="S1824" s="22"/>
    </row>
    <row r="1825" spans="1:19" outlineLevel="2" x14ac:dyDescent="0.2">
      <c r="A1825" s="19"/>
      <c r="B1825" s="19"/>
      <c r="C1825" s="19"/>
      <c r="D1825" s="19"/>
      <c r="E1825" s="19"/>
      <c r="F1825" s="19"/>
      <c r="G1825" s="19"/>
      <c r="H1825" s="19"/>
      <c r="I1825" s="19"/>
      <c r="J1825" s="19"/>
      <c r="K1825" s="19"/>
      <c r="L1825" s="19"/>
      <c r="M1825" s="19"/>
      <c r="N1825" s="19"/>
      <c r="O1825" s="19"/>
      <c r="P1825" s="19"/>
      <c r="Q1825" s="19"/>
      <c r="R1825" s="19"/>
      <c r="S1825" s="22"/>
    </row>
    <row r="1826" spans="1:19" outlineLevel="2" x14ac:dyDescent="0.2">
      <c r="A1826" s="19"/>
      <c r="B1826" s="19"/>
      <c r="C1826" s="19"/>
      <c r="D1826" s="19"/>
      <c r="E1826" s="19"/>
      <c r="F1826" s="19"/>
      <c r="G1826" s="19"/>
      <c r="H1826" s="19"/>
      <c r="I1826" s="19"/>
      <c r="J1826" s="19"/>
      <c r="K1826" s="19"/>
      <c r="L1826" s="19"/>
      <c r="M1826" s="19"/>
      <c r="N1826" s="19"/>
      <c r="O1826" s="19"/>
      <c r="P1826" s="19"/>
      <c r="Q1826" s="19"/>
      <c r="R1826" s="19"/>
      <c r="S1826" s="22"/>
    </row>
    <row r="1827" spans="1:19" outlineLevel="2" x14ac:dyDescent="0.2">
      <c r="A1827" s="19"/>
      <c r="B1827" s="19"/>
      <c r="C1827" s="19"/>
      <c r="D1827" s="19"/>
      <c r="E1827" s="19"/>
      <c r="F1827" s="19"/>
      <c r="G1827" s="19"/>
      <c r="H1827" s="19"/>
      <c r="I1827" s="19"/>
      <c r="J1827" s="19"/>
      <c r="K1827" s="19"/>
      <c r="L1827" s="19"/>
      <c r="M1827" s="19"/>
      <c r="N1827" s="19"/>
      <c r="O1827" s="19"/>
      <c r="P1827" s="19"/>
      <c r="Q1827" s="19"/>
      <c r="R1827" s="19"/>
      <c r="S1827" s="22"/>
    </row>
    <row r="1828" spans="1:19" outlineLevel="2" x14ac:dyDescent="0.2">
      <c r="A1828" s="19"/>
      <c r="B1828" s="19"/>
      <c r="C1828" s="19"/>
      <c r="D1828" s="19"/>
      <c r="E1828" s="19"/>
      <c r="F1828" s="19"/>
      <c r="G1828" s="19"/>
      <c r="H1828" s="19"/>
      <c r="I1828" s="19"/>
      <c r="J1828" s="19"/>
      <c r="K1828" s="19"/>
      <c r="L1828" s="19"/>
      <c r="M1828" s="19"/>
      <c r="N1828" s="19"/>
      <c r="O1828" s="19"/>
      <c r="P1828" s="19"/>
      <c r="Q1828" s="19"/>
      <c r="R1828" s="19"/>
      <c r="S1828" s="22"/>
    </row>
    <row r="1829" spans="1:19" outlineLevel="2" x14ac:dyDescent="0.2">
      <c r="A1829" s="19"/>
      <c r="B1829" s="19"/>
      <c r="C1829" s="19"/>
      <c r="D1829" s="19"/>
      <c r="E1829" s="19"/>
      <c r="F1829" s="19"/>
      <c r="G1829" s="19"/>
      <c r="H1829" s="19"/>
      <c r="I1829" s="19"/>
      <c r="J1829" s="19"/>
      <c r="K1829" s="19"/>
      <c r="L1829" s="19"/>
      <c r="M1829" s="19"/>
      <c r="N1829" s="19"/>
      <c r="O1829" s="19"/>
      <c r="P1829" s="19"/>
      <c r="Q1829" s="19"/>
      <c r="R1829" s="19"/>
      <c r="S1829" s="22"/>
    </row>
    <row r="1830" spans="1:19" outlineLevel="2" x14ac:dyDescent="0.2"/>
    <row r="1831" spans="1:19" outlineLevel="2" x14ac:dyDescent="0.2"/>
    <row r="1832" spans="1:19" ht="10.5" outlineLevel="2" thickBot="1" x14ac:dyDescent="0.25">
      <c r="A1832" s="166" t="str">
        <f ca="1">Language!A873</f>
        <v xml:space="preserve">         ЭФФЕКТИВНОСТЬ ДЛЯ СОБСТВЕННОГО КАПИТАЛА</v>
      </c>
      <c r="B1832" s="166"/>
      <c r="C1832" s="166"/>
      <c r="D1832" s="166"/>
      <c r="E1832" s="166"/>
      <c r="F1832" s="178" t="str">
        <f t="shared" ref="F1832:Q1832" si="1951">PeriodTitle</f>
        <v>4/ 2024</v>
      </c>
      <c r="G1832" s="178" t="str">
        <f t="shared" si="1951"/>
        <v>5/ 2024</v>
      </c>
      <c r="H1832" s="178" t="str">
        <f t="shared" si="1951"/>
        <v>6/ 2024</v>
      </c>
      <c r="I1832" s="178" t="str">
        <f t="shared" si="1951"/>
        <v>7/ 2024</v>
      </c>
      <c r="J1832" s="178" t="str">
        <f t="shared" si="1951"/>
        <v>8/ 2024</v>
      </c>
      <c r="K1832" s="178" t="str">
        <f t="shared" si="1951"/>
        <v>9/ 2024</v>
      </c>
      <c r="L1832" s="178" t="str">
        <f t="shared" si="1951"/>
        <v>10/ 2024</v>
      </c>
      <c r="M1832" s="178" t="str">
        <f t="shared" si="1951"/>
        <v>11/ 2024</v>
      </c>
      <c r="N1832" s="178" t="str">
        <f t="shared" si="1951"/>
        <v>12/ 2024</v>
      </c>
      <c r="O1832" s="178" t="str">
        <f t="shared" si="1951"/>
        <v>1/ 2025</v>
      </c>
      <c r="P1832" s="178" t="str">
        <f t="shared" si="1951"/>
        <v>2/ 2025</v>
      </c>
      <c r="Q1832" s="178" t="str">
        <f t="shared" si="1951"/>
        <v>3/ 2025</v>
      </c>
      <c r="R1832" s="166"/>
      <c r="S1832" s="167" t="str">
        <f ca="1">Language!A$371</f>
        <v>ИТОГО</v>
      </c>
    </row>
    <row r="1833" spans="1:19" ht="10.5" outlineLevel="2" thickTop="1" x14ac:dyDescent="0.2"/>
    <row r="1834" spans="1:19" outlineLevel="2" x14ac:dyDescent="0.2">
      <c r="A1834" t="str">
        <f ca="1">Language!A$833</f>
        <v>Учитывать ранее осуществленные инвестиции</v>
      </c>
      <c r="B1834" s="255">
        <v>1</v>
      </c>
      <c r="C1834" s="36" t="str">
        <f ca="1">CHOOSE(B1834,Language!A828,Language!A829)</f>
        <v>Да</v>
      </c>
    </row>
    <row r="1835" spans="1:19" outlineLevel="2" x14ac:dyDescent="0.2">
      <c r="A1835" t="str">
        <f ca="1">Language!A$834</f>
        <v>Учитывать остаточную стоимость проекта</v>
      </c>
      <c r="B1835" s="255">
        <v>1</v>
      </c>
      <c r="C1835" s="36" t="str">
        <f ca="1">CHOOSE(B1835,Language!A828,Language!A829)</f>
        <v>Да</v>
      </c>
    </row>
    <row r="1836" spans="1:19" outlineLevel="2" x14ac:dyDescent="0.2">
      <c r="A1836" t="str">
        <f ca="1">Language!A$835</f>
        <v>Валюта расчетов:</v>
      </c>
      <c r="B1836" s="255">
        <v>1</v>
      </c>
      <c r="C1836" s="17" t="str">
        <f ca="1">CHOOSE(B1836,CUR_Main,CUR_Foreign)</f>
        <v>руб.</v>
      </c>
    </row>
    <row r="1837" spans="1:19" outlineLevel="2" x14ac:dyDescent="0.2">
      <c r="A1837" t="str">
        <f ca="1">Language!A$836</f>
        <v>Годовая ставка дисконтирования:</v>
      </c>
      <c r="B1837" s="273">
        <f>SENS_Discount</f>
        <v>0.25</v>
      </c>
      <c r="C1837" s="5" t="s">
        <v>177</v>
      </c>
      <c r="D1837" s="16" t="s">
        <v>176</v>
      </c>
      <c r="F1837" s="135">
        <f>$B$1837</f>
        <v>0.25</v>
      </c>
      <c r="G1837" s="135">
        <f t="shared" ref="G1837:Q1837" si="1952">F1837</f>
        <v>0.25</v>
      </c>
      <c r="H1837" s="135">
        <f t="shared" si="1952"/>
        <v>0.25</v>
      </c>
      <c r="I1837" s="135">
        <f t="shared" si="1952"/>
        <v>0.25</v>
      </c>
      <c r="J1837" s="135">
        <f t="shared" si="1952"/>
        <v>0.25</v>
      </c>
      <c r="K1837" s="135">
        <f t="shared" si="1952"/>
        <v>0.25</v>
      </c>
      <c r="L1837" s="135">
        <f t="shared" si="1952"/>
        <v>0.25</v>
      </c>
      <c r="M1837" s="135">
        <f t="shared" si="1952"/>
        <v>0.25</v>
      </c>
      <c r="N1837" s="135">
        <f t="shared" si="1952"/>
        <v>0.25</v>
      </c>
      <c r="O1837" s="135">
        <f t="shared" si="1952"/>
        <v>0.25</v>
      </c>
      <c r="P1837" s="135">
        <f t="shared" si="1952"/>
        <v>0.25</v>
      </c>
      <c r="Q1837" s="135">
        <f t="shared" si="1952"/>
        <v>0.25</v>
      </c>
    </row>
    <row r="1838" spans="1:19" outlineLevel="2" x14ac:dyDescent="0.2">
      <c r="A1838" t="str">
        <f ca="1">Language!A$837</f>
        <v xml:space="preserve">    ставка дисконтирования на расчетный период</v>
      </c>
      <c r="D1838" s="16" t="s">
        <v>176</v>
      </c>
      <c r="F1838" s="135">
        <f>POWER(1+F1837,PRJ_Step/360)-1-IF(CalcMethod=1,IF($B$1836=1,F$81,F$92),0)</f>
        <v>1.8105030477883588E-2</v>
      </c>
      <c r="G1838" s="135">
        <f>POWER(1+G1837,PRJ_Step/360)-1-IF(CalcMethod=1,IF($B$1836=1,G$81,G$92),0)</f>
        <v>1.8105030477883588E-2</v>
      </c>
      <c r="H1838" s="135">
        <f>POWER(1+H1837,PRJ_Step/360)-1-IF(CalcMethod=1,IF($B$1836=1,H$81,H$92),0)</f>
        <v>1.8105030477883588E-2</v>
      </c>
      <c r="I1838" s="135">
        <f>POWER(1+I1837,PRJ_Step/360)-1-IF(CalcMethod=1,IF($B$1836=1,I$81,I$92),0)</f>
        <v>1.8105030477883588E-2</v>
      </c>
      <c r="J1838" s="135">
        <f>POWER(1+J1837,PRJ_Step/360)-1-IF(CalcMethod=1,IF($B$1836=1,J$81,J$92),0)</f>
        <v>1.8105030477883588E-2</v>
      </c>
      <c r="K1838" s="135">
        <f>POWER(1+K1837,PRJ_Step/360)-1-IF(CalcMethod=1,IF($B$1836=1,K$81,K$92),0)</f>
        <v>1.8105030477883588E-2</v>
      </c>
      <c r="L1838" s="135">
        <f>POWER(1+L1837,PRJ_Step/360)-1-IF(CalcMethod=1,IF($B$1836=1,L$81,L$92),0)</f>
        <v>1.8105030477883588E-2</v>
      </c>
      <c r="M1838" s="135">
        <f>POWER(1+M1837,PRJ_Step/360)-1-IF(CalcMethod=1,IF($B$1836=1,M$81,M$92),0)</f>
        <v>1.8105030477883588E-2</v>
      </c>
      <c r="N1838" s="135">
        <f>POWER(1+N1837,PRJ_Step/360)-1-IF(CalcMethod=1,IF($B$1836=1,N$81,N$92),0)</f>
        <v>1.8105030477883588E-2</v>
      </c>
      <c r="O1838" s="135">
        <f>POWER(1+O1837,PRJ_Step/360)-1-IF(CalcMethod=1,IF($B$1836=1,O$81,O$92),0)</f>
        <v>1.8105030477883588E-2</v>
      </c>
      <c r="P1838" s="135">
        <f>POWER(1+P1837,PRJ_Step/360)-1-IF(CalcMethod=1,IF($B$1836=1,P$81,P$92),0)</f>
        <v>1.8105030477883588E-2</v>
      </c>
      <c r="Q1838" s="135">
        <f>POWER(1+Q1837,PRJ_Step/360)-1-IF(CalcMethod=1,IF($B$1836=1,Q$81,Q$92),0)</f>
        <v>1.8105030477883588E-2</v>
      </c>
    </row>
    <row r="1839" spans="1:19" outlineLevel="2" x14ac:dyDescent="0.2">
      <c r="A1839" t="str">
        <f ca="1">Language!A$838</f>
        <v xml:space="preserve">    коэффициент дисконта для потока на начало периода</v>
      </c>
      <c r="D1839" s="16" t="s">
        <v>176</v>
      </c>
      <c r="F1839" s="136">
        <v>1</v>
      </c>
      <c r="G1839" s="136">
        <f t="shared" ref="G1839:Q1839" si="1953">F1839*(1+F1838)</f>
        <v>1.0181050304778836</v>
      </c>
      <c r="H1839" s="136">
        <f t="shared" si="1953"/>
        <v>1.0365378530843723</v>
      </c>
      <c r="I1839" s="136">
        <f t="shared" si="1953"/>
        <v>1.0553044025059448</v>
      </c>
      <c r="J1839" s="136">
        <f t="shared" si="1953"/>
        <v>1.0744107208767597</v>
      </c>
      <c r="K1839" s="136">
        <f t="shared" si="1953"/>
        <v>1.0938629597239984</v>
      </c>
      <c r="L1839" s="136">
        <f t="shared" si="1953"/>
        <v>1.1136673819484293</v>
      </c>
      <c r="M1839" s="136">
        <f t="shared" si="1953"/>
        <v>1.1338303638408305</v>
      </c>
      <c r="N1839" s="136">
        <f t="shared" si="1953"/>
        <v>1.1543583971349185</v>
      </c>
      <c r="O1839" s="136">
        <f t="shared" si="1953"/>
        <v>1.1752580910974471</v>
      </c>
      <c r="P1839" s="136">
        <f t="shared" si="1953"/>
        <v>1.1965361746561456</v>
      </c>
      <c r="Q1839" s="136">
        <f t="shared" si="1953"/>
        <v>1.2181994985661853</v>
      </c>
    </row>
    <row r="1840" spans="1:19" outlineLevel="2" x14ac:dyDescent="0.2"/>
    <row r="1841" spans="1:19" outlineLevel="2" x14ac:dyDescent="0.2">
      <c r="A1841" s="23" t="str">
        <f ca="1">Language!A$840</f>
        <v>Учитываемые денежные потоки проекта:</v>
      </c>
    </row>
    <row r="1842" spans="1:19" outlineLevel="2" x14ac:dyDescent="0.2">
      <c r="A1842" t="str">
        <f ca="1">Language!A$841</f>
        <v>Денежные потоки от операционной деятельности</v>
      </c>
      <c r="B1842" s="36" t="str">
        <f ca="1">Language!A$828</f>
        <v>Да</v>
      </c>
      <c r="C1842" s="5" t="str">
        <f ca="1">C1836</f>
        <v>руб.</v>
      </c>
      <c r="F1842" s="84">
        <f ca="1">F1433*IF(CUR_I_Report&lt;&gt;$B$1836,IF(CUR_I_Report=2,F$88,1/F$88),1)</f>
        <v>-2966160</v>
      </c>
      <c r="G1842" s="84">
        <f ca="1">G1433*IF(CUR_I_Report&lt;&gt;$B$1836,IF(CUR_I_Report=2,G$88,1/G$88),1)</f>
        <v>-2555760</v>
      </c>
      <c r="H1842" s="84">
        <f ca="1">H1433*IF(CUR_I_Report&lt;&gt;$B$1836,IF(CUR_I_Report=2,H$88,1/H$88),1)</f>
        <v>-2428008.50875</v>
      </c>
      <c r="I1842" s="84">
        <f ca="1">I1433*IF(CUR_I_Report&lt;&gt;$B$1836,IF(CUR_I_Report=2,I$88,1/I$88),1)</f>
        <v>-1917002.54375</v>
      </c>
      <c r="J1842" s="84">
        <f ca="1">J1433*IF(CUR_I_Report&lt;&gt;$B$1836,IF(CUR_I_Report=2,J$88,1/J$88),1)</f>
        <v>-1278245.0874999999</v>
      </c>
      <c r="K1842" s="84">
        <f ca="1">K1433*IF(CUR_I_Report&lt;&gt;$B$1836,IF(CUR_I_Report=2,K$88,1/K$88),1)</f>
        <v>-730.17499999981374</v>
      </c>
      <c r="L1842" s="84">
        <f ca="1">L1433*IF(CUR_I_Report&lt;&gt;$B$1836,IF(CUR_I_Report=2,L$88,1/L$88),1)</f>
        <v>1096547.5479740878</v>
      </c>
      <c r="M1842" s="84">
        <f ca="1">M1433*IF(CUR_I_Report&lt;&gt;$B$1836,IF(CUR_I_Report=2,M$88,1/M$88),1)</f>
        <v>2416169.2904287507</v>
      </c>
      <c r="N1842" s="84">
        <f ca="1">N1433*IF(CUR_I_Report&lt;&gt;$B$1836,IF(CUR_I_Report=2,N$88,1/N$88),1)</f>
        <v>4408306.0298950961</v>
      </c>
      <c r="O1842" s="84">
        <f ca="1">O1433*IF(CUR_I_Report&lt;&gt;$B$1836,IF(CUR_I_Report=2,O$88,1/O$88),1)</f>
        <v>7025601.84375</v>
      </c>
      <c r="P1842" s="84">
        <f ca="1">P1433*IF(CUR_I_Report&lt;&gt;$B$1836,IF(CUR_I_Report=2,P$88,1/P$88),1)</f>
        <v>8941874.2125000004</v>
      </c>
      <c r="Q1842" s="84">
        <f ca="1">Q1433*IF(CUR_I_Report&lt;&gt;$B$1836,IF(CUR_I_Report=2,Q$88,1/Q$88),1)</f>
        <v>10219389.125</v>
      </c>
      <c r="R1842" s="43"/>
      <c r="S1842" s="54">
        <f ca="1">SUM(F1842:Q1842)</f>
        <v>22961981.734547932</v>
      </c>
    </row>
    <row r="1843" spans="1:19" outlineLevel="2" x14ac:dyDescent="0.2">
      <c r="A1843" t="str">
        <f ca="1">Language!A$842</f>
        <v xml:space="preserve">    за исключением процентов по кредитам</v>
      </c>
      <c r="B1843" s="36" t="str">
        <f ca="1">Language!A$829</f>
        <v>Нет</v>
      </c>
      <c r="C1843" s="5" t="str">
        <f ca="1">C1836</f>
        <v>руб.</v>
      </c>
      <c r="D1843" s="5"/>
      <c r="F1843" s="43"/>
      <c r="G1843" s="43"/>
      <c r="H1843" s="43"/>
      <c r="I1843" s="43"/>
      <c r="J1843" s="43"/>
      <c r="K1843" s="43"/>
      <c r="L1843" s="43"/>
      <c r="M1843" s="43"/>
      <c r="N1843" s="43"/>
      <c r="O1843" s="43"/>
      <c r="P1843" s="43"/>
      <c r="Q1843" s="43"/>
      <c r="R1843" s="43"/>
      <c r="S1843" s="54"/>
    </row>
    <row r="1844" spans="1:19" outlineLevel="2" x14ac:dyDescent="0.2">
      <c r="A1844" t="str">
        <f ca="1">Language!A$843</f>
        <v>Денежные потоки от инвестиционной деятельности</v>
      </c>
      <c r="B1844" s="36" t="str">
        <f ca="1">Language!A$828</f>
        <v>Да</v>
      </c>
      <c r="C1844" s="5" t="str">
        <f ca="1">C1836</f>
        <v>руб.</v>
      </c>
      <c r="D1844" s="5"/>
      <c r="F1844" s="43">
        <f ca="1">F1444*IF(CUR_I_Report&lt;&gt;$B$1836,IF(CUR_I_Report=2,F$88,1/F$88),1)</f>
        <v>648376</v>
      </c>
      <c r="G1844" s="43">
        <f ca="1">G1444*IF(CUR_I_Report&lt;&gt;$B$1836,IF(CUR_I_Report=2,G$88,1/G$88),1)</f>
        <v>-415440</v>
      </c>
      <c r="H1844" s="43">
        <f ca="1">H1444*IF(CUR_I_Report&lt;&gt;$B$1836,IF(CUR_I_Report=2,H$88,1/H$88),1)</f>
        <v>24435.877125000115</v>
      </c>
      <c r="I1844" s="43">
        <f ca="1">I1444*IF(CUR_I_Report&lt;&gt;$B$1836,IF(CUR_I_Report=2,I$88,1/I$88),1)</f>
        <v>97743.508499999763</v>
      </c>
      <c r="J1844" s="43">
        <f ca="1">J1444*IF(CUR_I_Report&lt;&gt;$B$1836,IF(CUR_I_Report=2,J$88,1/J$88),1)</f>
        <v>122179.385625</v>
      </c>
      <c r="K1844" s="43">
        <f ca="1">K1444*IF(CUR_I_Report&lt;&gt;$B$1836,IF(CUR_I_Report=2,K$88,1/K$88),1)</f>
        <v>244358.77125000022</v>
      </c>
      <c r="L1844" s="43">
        <f ca="1">L1444*IF(CUR_I_Report&lt;&gt;$B$1836,IF(CUR_I_Report=2,L$88,1/L$88),1)</f>
        <v>244358.77124999976</v>
      </c>
      <c r="M1844" s="43">
        <f ca="1">M1444*IF(CUR_I_Report&lt;&gt;$B$1836,IF(CUR_I_Report=2,M$88,1/M$88),1)</f>
        <v>244358.77125000011</v>
      </c>
      <c r="N1844" s="43">
        <f ca="1">N1444*IF(CUR_I_Report&lt;&gt;$B$1836,IF(CUR_I_Report=2,N$88,1/N$88),1)</f>
        <v>366538.15687499987</v>
      </c>
      <c r="O1844" s="43">
        <f ca="1">O1444*IF(CUR_I_Report&lt;&gt;$B$1836,IF(CUR_I_Report=2,O$88,1/O$88),1)</f>
        <v>488717.54250000021</v>
      </c>
      <c r="P1844" s="43">
        <f ca="1">P1444*IF(CUR_I_Report&lt;&gt;$B$1836,IF(CUR_I_Report=2,P$88,1/P$88),1)</f>
        <v>366538.1568750001</v>
      </c>
      <c r="Q1844" s="43">
        <f ca="1">Q1444*IF(CUR_I_Report&lt;&gt;$B$1836,IF(CUR_I_Report=2,Q$88,1/Q$88),1)</f>
        <v>244358.77124999976</v>
      </c>
      <c r="R1844" s="43"/>
      <c r="S1844" s="54">
        <f ca="1">SUM(F1844:Q1844)</f>
        <v>2676523.7124999999</v>
      </c>
    </row>
    <row r="1845" spans="1:19" outlineLevel="1" x14ac:dyDescent="0.2">
      <c r="A1845" t="str">
        <f ca="1">Language!A$844</f>
        <v>Поступления собственного капитала</v>
      </c>
      <c r="B1845" s="36" t="str">
        <f ca="1">Language!A$829</f>
        <v>Нет</v>
      </c>
      <c r="C1845" s="5" t="str">
        <f ca="1">C1836</f>
        <v>руб.</v>
      </c>
      <c r="D1845" s="5"/>
      <c r="F1845" s="43"/>
      <c r="G1845" s="43"/>
      <c r="H1845" s="43"/>
      <c r="I1845" s="43"/>
      <c r="J1845" s="43"/>
      <c r="K1845" s="43"/>
      <c r="L1845" s="43"/>
      <c r="M1845" s="43"/>
      <c r="N1845" s="43"/>
      <c r="O1845" s="43"/>
      <c r="P1845" s="43"/>
      <c r="Q1845" s="43"/>
      <c r="R1845" s="43"/>
      <c r="S1845" s="54"/>
    </row>
    <row r="1846" spans="1:19" outlineLevel="1" x14ac:dyDescent="0.2">
      <c r="A1846" t="str">
        <f ca="1">Language!A$845</f>
        <v>Поступления целевого финансирования</v>
      </c>
      <c r="B1846" s="36" t="str">
        <f ca="1">Language!A$828</f>
        <v>Да</v>
      </c>
      <c r="C1846" s="5" t="str">
        <f ca="1">C1836</f>
        <v>руб.</v>
      </c>
      <c r="D1846" s="5"/>
      <c r="F1846" s="53">
        <f>(F1447+F1448)*IF(CUR_I_Report&lt;&gt;$B$1836,IF(CUR_I_Report=2,F$88,1/F$88),1)</f>
        <v>0</v>
      </c>
      <c r="G1846" s="53">
        <f>(G1447+G1448)*IF(CUR_I_Report&lt;&gt;$B$1836,IF(CUR_I_Report=2,G$88,1/G$88),1)</f>
        <v>0</v>
      </c>
      <c r="H1846" s="53">
        <f>(H1447+H1448)*IF(CUR_I_Report&lt;&gt;$B$1836,IF(CUR_I_Report=2,H$88,1/H$88),1)</f>
        <v>0</v>
      </c>
      <c r="I1846" s="53">
        <f>(I1447+I1448)*IF(CUR_I_Report&lt;&gt;$B$1836,IF(CUR_I_Report=2,I$88,1/I$88),1)</f>
        <v>0</v>
      </c>
      <c r="J1846" s="53">
        <f>(J1447+J1448)*IF(CUR_I_Report&lt;&gt;$B$1836,IF(CUR_I_Report=2,J$88,1/J$88),1)</f>
        <v>0</v>
      </c>
      <c r="K1846" s="53">
        <f>(K1447+K1448)*IF(CUR_I_Report&lt;&gt;$B$1836,IF(CUR_I_Report=2,K$88,1/K$88),1)</f>
        <v>0</v>
      </c>
      <c r="L1846" s="53">
        <f>(L1447+L1448)*IF(CUR_I_Report&lt;&gt;$B$1836,IF(CUR_I_Report=2,L$88,1/L$88),1)</f>
        <v>0</v>
      </c>
      <c r="M1846" s="53">
        <f>(M1447+M1448)*IF(CUR_I_Report&lt;&gt;$B$1836,IF(CUR_I_Report=2,M$88,1/M$88),1)</f>
        <v>0</v>
      </c>
      <c r="N1846" s="53">
        <f>(N1447+N1448)*IF(CUR_I_Report&lt;&gt;$B$1836,IF(CUR_I_Report=2,N$88,1/N$88),1)</f>
        <v>0</v>
      </c>
      <c r="O1846" s="53">
        <f>(O1447+O1448)*IF(CUR_I_Report&lt;&gt;$B$1836,IF(CUR_I_Report=2,O$88,1/O$88),1)</f>
        <v>0</v>
      </c>
      <c r="P1846" s="53">
        <f>(P1447+P1448)*IF(CUR_I_Report&lt;&gt;$B$1836,IF(CUR_I_Report=2,P$88,1/P$88),1)</f>
        <v>0</v>
      </c>
      <c r="Q1846" s="53">
        <f>(Q1447+Q1448)*IF(CUR_I_Report&lt;&gt;$B$1836,IF(CUR_I_Report=2,Q$88,1/Q$88),1)</f>
        <v>0</v>
      </c>
      <c r="R1846" s="43"/>
      <c r="S1846" s="54">
        <f>SUM(F1846:Q1846)</f>
        <v>0</v>
      </c>
    </row>
    <row r="1847" spans="1:19" s="4" customFormat="1" ht="16" customHeight="1" x14ac:dyDescent="0.2">
      <c r="A1847" t="str">
        <f ca="1">Language!A$846</f>
        <v>Поступления кредитов</v>
      </c>
      <c r="B1847" s="36" t="str">
        <f ca="1">Language!A$828</f>
        <v>Да</v>
      </c>
      <c r="C1847" s="5" t="str">
        <f ca="1">C1836</f>
        <v>руб.</v>
      </c>
      <c r="D1847" s="5"/>
      <c r="E1847"/>
      <c r="F1847" s="53">
        <f>F1449*IF(CUR_I_Report&lt;&gt;$B$1836,IF(CUR_I_Report=2,F$88,1/F$88),1)</f>
        <v>2359067.6844783714</v>
      </c>
      <c r="G1847" s="53">
        <f>G1449*IF(CUR_I_Report&lt;&gt;$B$1836,IF(CUR_I_Report=2,G$88,1/G$88),1)</f>
        <v>2982103.1201237948</v>
      </c>
      <c r="H1847" s="53">
        <f>H1449*IF(CUR_I_Report&lt;&gt;$B$1836,IF(CUR_I_Report=2,H$88,1/H$88),1)</f>
        <v>2393268.0173260393</v>
      </c>
      <c r="I1847" s="53">
        <f>I1449*IF(CUR_I_Report&lt;&gt;$B$1836,IF(CUR_I_Report=2,I$88,1/I$88),1)</f>
        <v>1809034.9566888495</v>
      </c>
      <c r="J1847" s="53">
        <f>J1449*IF(CUR_I_Report&lt;&gt;$B$1836,IF(CUR_I_Report=2,J$88,1/J$88),1)</f>
        <v>1144435.2062421832</v>
      </c>
      <c r="K1847" s="53">
        <f>K1449*IF(CUR_I_Report&lt;&gt;$B$1836,IF(CUR_I_Report=2,K$88,1/K$88),1)</f>
        <v>0</v>
      </c>
      <c r="L1847" s="53">
        <f>L1449*IF(CUR_I_Report&lt;&gt;$B$1836,IF(CUR_I_Report=2,L$88,1/L$88),1)</f>
        <v>0</v>
      </c>
      <c r="M1847" s="53">
        <f>M1449*IF(CUR_I_Report&lt;&gt;$B$1836,IF(CUR_I_Report=2,M$88,1/M$88),1)</f>
        <v>0</v>
      </c>
      <c r="N1847" s="53">
        <f>N1449*IF(CUR_I_Report&lt;&gt;$B$1836,IF(CUR_I_Report=2,N$88,1/N$88),1)</f>
        <v>0</v>
      </c>
      <c r="O1847" s="53">
        <f>O1449*IF(CUR_I_Report&lt;&gt;$B$1836,IF(CUR_I_Report=2,O$88,1/O$88),1)</f>
        <v>0</v>
      </c>
      <c r="P1847" s="53">
        <f>P1449*IF(CUR_I_Report&lt;&gt;$B$1836,IF(CUR_I_Report=2,P$88,1/P$88),1)</f>
        <v>0</v>
      </c>
      <c r="Q1847" s="53">
        <f>Q1449*IF(CUR_I_Report&lt;&gt;$B$1836,IF(CUR_I_Report=2,Q$88,1/Q$88),1)</f>
        <v>0</v>
      </c>
      <c r="R1847" s="43"/>
      <c r="S1847" s="54">
        <f>SUM(F1847:Q1847)</f>
        <v>10687908.984859239</v>
      </c>
    </row>
    <row r="1848" spans="1:19" outlineLevel="1" x14ac:dyDescent="0.2">
      <c r="A1848" t="str">
        <f ca="1">Language!A$847</f>
        <v>Возврат кредитов</v>
      </c>
      <c r="B1848" s="36" t="str">
        <f ca="1">Language!A$828</f>
        <v>Да</v>
      </c>
      <c r="C1848" s="5" t="str">
        <f ca="1">C1836</f>
        <v>руб.</v>
      </c>
      <c r="D1848" s="5"/>
      <c r="F1848" s="53">
        <f>F1450*IF(CUR_I_Report&lt;&gt;$B$1836,IF(CUR_I_Report=2,F$88,1/F$88),1)</f>
        <v>0</v>
      </c>
      <c r="G1848" s="53">
        <f>G1450*IF(CUR_I_Report&lt;&gt;$B$1836,IF(CUR_I_Report=2,G$88,1/G$88),1)</f>
        <v>0</v>
      </c>
      <c r="H1848" s="53">
        <f>H1450*IF(CUR_I_Report&lt;&gt;$B$1836,IF(CUR_I_Report=2,H$88,1/H$88),1)</f>
        <v>0</v>
      </c>
      <c r="I1848" s="53">
        <f>I1450*IF(CUR_I_Report&lt;&gt;$B$1836,IF(CUR_I_Report=2,I$88,1/I$88),1)</f>
        <v>0</v>
      </c>
      <c r="J1848" s="53">
        <f>J1450*IF(CUR_I_Report&lt;&gt;$B$1836,IF(CUR_I_Report=2,J$88,1/J$88),1)</f>
        <v>0</v>
      </c>
      <c r="K1848" s="53">
        <f>K1450*IF(CUR_I_Report&lt;&gt;$B$1836,IF(CUR_I_Report=2,K$88,1/K$88),1)</f>
        <v>-23659.363592692334</v>
      </c>
      <c r="L1848" s="53">
        <f>L1450*IF(CUR_I_Report&lt;&gt;$B$1836,IF(CUR_I_Report=2,L$88,1/L$88),1)</f>
        <v>-1202620.5457013601</v>
      </c>
      <c r="M1848" s="53">
        <f>M1450*IF(CUR_I_Report&lt;&gt;$B$1836,IF(CUR_I_Report=2,M$88,1/M$88),1)</f>
        <v>-2406104.568837841</v>
      </c>
      <c r="N1848" s="53">
        <f>N1450*IF(CUR_I_Report&lt;&gt;$B$1836,IF(CUR_I_Report=2,N$88,1/N$88),1)</f>
        <v>-4335106.8980769133</v>
      </c>
      <c r="O1848" s="53">
        <f>O1450*IF(CUR_I_Report&lt;&gt;$B$1836,IF(CUR_I_Report=2,O$88,1/O$88),1)</f>
        <v>-3558056.5059945099</v>
      </c>
      <c r="P1848" s="53">
        <f>P1450*IF(CUR_I_Report&lt;&gt;$B$1836,IF(CUR_I_Report=2,P$88,1/P$88),1)</f>
        <v>0</v>
      </c>
      <c r="Q1848" s="53">
        <f>Q1450*IF(CUR_I_Report&lt;&gt;$B$1836,IF(CUR_I_Report=2,Q$88,1/Q$88),1)</f>
        <v>0</v>
      </c>
      <c r="R1848" s="43"/>
      <c r="S1848" s="54">
        <f>SUM(F1848:Q1848)</f>
        <v>-11525547.882203316</v>
      </c>
    </row>
    <row r="1849" spans="1:19" outlineLevel="1" x14ac:dyDescent="0.2">
      <c r="A1849" t="str">
        <f ca="1">Language!A$848</f>
        <v>Лизинговые платежи</v>
      </c>
      <c r="B1849" s="36" t="str">
        <f ca="1">Language!A$828</f>
        <v>Да</v>
      </c>
      <c r="C1849" s="5" t="str">
        <f ca="1">C1836</f>
        <v>руб.</v>
      </c>
      <c r="D1849" s="5"/>
      <c r="F1849" s="43">
        <f ca="1">F1451*IF(CUR_I_Report&lt;&gt;$B$1836,IF(CUR_I_Report=2,F$88,1/F$88),1)</f>
        <v>0</v>
      </c>
      <c r="G1849" s="43">
        <f ca="1">G1451*IF(CUR_I_Report&lt;&gt;$B$1836,IF(CUR_I_Report=2,G$88,1/G$88),1)</f>
        <v>0</v>
      </c>
      <c r="H1849" s="43">
        <f ca="1">H1451*IF(CUR_I_Report&lt;&gt;$B$1836,IF(CUR_I_Report=2,H$88,1/H$88),1)</f>
        <v>0</v>
      </c>
      <c r="I1849" s="43">
        <f ca="1">I1451*IF(CUR_I_Report&lt;&gt;$B$1836,IF(CUR_I_Report=2,I$88,1/I$88),1)</f>
        <v>0</v>
      </c>
      <c r="J1849" s="43">
        <f ca="1">J1451*IF(CUR_I_Report&lt;&gt;$B$1836,IF(CUR_I_Report=2,J$88,1/J$88),1)</f>
        <v>0</v>
      </c>
      <c r="K1849" s="43">
        <f ca="1">K1451*IF(CUR_I_Report&lt;&gt;$B$1836,IF(CUR_I_Report=2,K$88,1/K$88),1)</f>
        <v>0</v>
      </c>
      <c r="L1849" s="43">
        <f ca="1">L1451*IF(CUR_I_Report&lt;&gt;$B$1836,IF(CUR_I_Report=2,L$88,1/L$88),1)</f>
        <v>0</v>
      </c>
      <c r="M1849" s="43">
        <f ca="1">M1451*IF(CUR_I_Report&lt;&gt;$B$1836,IF(CUR_I_Report=2,M$88,1/M$88),1)</f>
        <v>0</v>
      </c>
      <c r="N1849" s="43">
        <f ca="1">N1451*IF(CUR_I_Report&lt;&gt;$B$1836,IF(CUR_I_Report=2,N$88,1/N$88),1)</f>
        <v>0</v>
      </c>
      <c r="O1849" s="43">
        <f ca="1">O1451*IF(CUR_I_Report&lt;&gt;$B$1836,IF(CUR_I_Report=2,O$88,1/O$88),1)</f>
        <v>0</v>
      </c>
      <c r="P1849" s="43">
        <f ca="1">P1451*IF(CUR_I_Report&lt;&gt;$B$1836,IF(CUR_I_Report=2,P$88,1/P$88),1)</f>
        <v>0</v>
      </c>
      <c r="Q1849" s="43">
        <f ca="1">Q1451*IF(CUR_I_Report&lt;&gt;$B$1836,IF(CUR_I_Report=2,Q$88,1/Q$88),1)</f>
        <v>0</v>
      </c>
      <c r="R1849" s="43"/>
      <c r="S1849" s="54">
        <f ca="1">SUM(F1849:Q1849)</f>
        <v>0</v>
      </c>
    </row>
    <row r="1850" spans="1:19" outlineLevel="1" x14ac:dyDescent="0.2">
      <c r="A1850" t="str">
        <f ca="1">Language!A$849</f>
        <v>Выплата дивидендов</v>
      </c>
      <c r="B1850" s="36" t="str">
        <f ca="1">Language!A$829</f>
        <v>Нет</v>
      </c>
      <c r="C1850" s="5" t="str">
        <f ca="1">C1836</f>
        <v>руб.</v>
      </c>
      <c r="D1850" s="5"/>
      <c r="F1850" s="43"/>
      <c r="G1850" s="43"/>
      <c r="H1850" s="43"/>
      <c r="I1850" s="43"/>
      <c r="J1850" s="43"/>
      <c r="K1850" s="43"/>
      <c r="L1850" s="43"/>
      <c r="M1850" s="43"/>
      <c r="N1850" s="43"/>
      <c r="O1850" s="43"/>
      <c r="P1850" s="43"/>
      <c r="Q1850" s="43"/>
      <c r="R1850" s="43"/>
      <c r="S1850" s="54"/>
    </row>
    <row r="1851" spans="1:19" outlineLevel="1" x14ac:dyDescent="0.2">
      <c r="A1851" t="str">
        <f ca="1">Language!A$850</f>
        <v>Ранее осуществленные инвестиции</v>
      </c>
      <c r="B1851" s="36" t="str">
        <f ca="1">CHOOSE(B1834,Language!A828,Language!A829)</f>
        <v>Да</v>
      </c>
      <c r="C1851" s="5" t="str">
        <f ca="1">C1836</f>
        <v>руб.</v>
      </c>
      <c r="D1851" s="5"/>
      <c r="F1851" s="53">
        <f>IF($B1834=1,-$B$425/IF($B$1836=2,F$88,1),0)</f>
        <v>0</v>
      </c>
      <c r="G1851" s="43">
        <v>0</v>
      </c>
      <c r="H1851" s="43">
        <v>0</v>
      </c>
      <c r="I1851" s="43">
        <v>0</v>
      </c>
      <c r="J1851" s="43">
        <v>0</v>
      </c>
      <c r="K1851" s="43">
        <v>0</v>
      </c>
      <c r="L1851" s="43">
        <v>0</v>
      </c>
      <c r="M1851" s="43">
        <v>0</v>
      </c>
      <c r="N1851" s="43">
        <v>0</v>
      </c>
      <c r="O1851" s="43">
        <v>0</v>
      </c>
      <c r="P1851" s="43">
        <v>0</v>
      </c>
      <c r="Q1851" s="43">
        <v>0</v>
      </c>
      <c r="R1851" s="43"/>
      <c r="S1851" s="54">
        <f>SUM(F1851:Q1851)</f>
        <v>0</v>
      </c>
    </row>
    <row r="1852" spans="1:19" outlineLevel="1" collapsed="1" x14ac:dyDescent="0.2">
      <c r="A1852" t="str">
        <f ca="1">Language!A$851</f>
        <v>Остаточная стоимость проекта</v>
      </c>
      <c r="B1852" s="36" t="str">
        <f ca="1">CHOOSE(B1835,Language!A828,Language!A829)</f>
        <v>Да</v>
      </c>
      <c r="C1852" s="5" t="str">
        <f ca="1">C1836</f>
        <v>руб.</v>
      </c>
      <c r="D1852" s="5"/>
      <c r="F1852" s="111">
        <f>IF($B1835=1,IF(F$29=PRJ_Len,(F$1600-F$1563)*IF(CUR_I_Report&lt;&gt;$B$1836,IF(CUR_I_Report=2,F$88,1/F$88),1),0),0)</f>
        <v>0</v>
      </c>
      <c r="G1852" s="111">
        <f>IF($B1835=1,IF(G$29=PRJ_Len,(G$1600-G$1563)*IF(CUR_I_Report&lt;&gt;$B$1836,IF(CUR_I_Report=2,G$88,1/G$88),1),0),0)</f>
        <v>0</v>
      </c>
      <c r="H1852" s="111">
        <f>IF($B1835=1,IF(H$29=PRJ_Len,(H$1600-H$1563)*IF(CUR_I_Report&lt;&gt;$B$1836,IF(CUR_I_Report=2,H$88,1/H$88),1),0),0)</f>
        <v>0</v>
      </c>
      <c r="I1852" s="111">
        <f>IF($B1835=1,IF(I$29=PRJ_Len,(I$1600-I$1563)*IF(CUR_I_Report&lt;&gt;$B$1836,IF(CUR_I_Report=2,I$88,1/I$88),1),0),0)</f>
        <v>0</v>
      </c>
      <c r="J1852" s="111">
        <f>IF($B1835=1,IF(J$29=PRJ_Len,(J$1600-J$1563)*IF(CUR_I_Report&lt;&gt;$B$1836,IF(CUR_I_Report=2,J$88,1/J$88),1),0),0)</f>
        <v>0</v>
      </c>
      <c r="K1852" s="111">
        <f>IF($B1835=1,IF(K$29=PRJ_Len,(K$1600-K$1563)*IF(CUR_I_Report&lt;&gt;$B$1836,IF(CUR_I_Report=2,K$88,1/K$88),1),0),0)</f>
        <v>0</v>
      </c>
      <c r="L1852" s="111">
        <f>IF($B1835=1,IF(L$29=PRJ_Len,(L$1600-L$1563)*IF(CUR_I_Report&lt;&gt;$B$1836,IF(CUR_I_Report=2,L$88,1/L$88),1),0),0)</f>
        <v>0</v>
      </c>
      <c r="M1852" s="111">
        <f>IF($B1835=1,IF(M$29=PRJ_Len,(M$1600-M$1563)*IF(CUR_I_Report&lt;&gt;$B$1836,IF(CUR_I_Report=2,M$88,1/M$88),1),0),0)</f>
        <v>0</v>
      </c>
      <c r="N1852" s="111">
        <f>IF($B1835=1,IF(N$29=PRJ_Len,(N$1600-N$1563)*IF(CUR_I_Report&lt;&gt;$B$1836,IF(CUR_I_Report=2,N$88,1/N$88),1),0),0)</f>
        <v>0</v>
      </c>
      <c r="O1852" s="111">
        <f>IF($B1835=1,IF(O$29=PRJ_Len,(O$1600-O$1563)*IF(CUR_I_Report&lt;&gt;$B$1836,IF(CUR_I_Report=2,O$88,1/O$88),1),0),0)</f>
        <v>0</v>
      </c>
      <c r="P1852" s="111">
        <f>IF($B1835=1,IF(P$29=PRJ_Len,(P$1600-P$1563)*IF(CUR_I_Report&lt;&gt;$B$1836,IF(CUR_I_Report=2,P$88,1/P$88),1),0),0)</f>
        <v>0</v>
      </c>
      <c r="Q1852" s="111">
        <f ca="1">IF($B1835=1,IF(Q$29=PRJ_Len,(Q$1600-Q$1563)*IF(CUR_I_Report&lt;&gt;$B$1836,IF(CUR_I_Report=2,Q$88,1/Q$88),1),0),0)</f>
        <v>-3273178.25</v>
      </c>
      <c r="R1852" s="43"/>
      <c r="S1852" s="54">
        <f ca="1">SUM(F1852:Q1852)</f>
        <v>-3273178.25</v>
      </c>
    </row>
    <row r="1853" spans="1:19" hidden="1" outlineLevel="2" x14ac:dyDescent="0.2">
      <c r="A1853" s="63"/>
      <c r="B1853" s="63"/>
      <c r="C1853" s="67"/>
      <c r="D1853" s="67"/>
      <c r="E1853" s="63"/>
      <c r="F1853" s="121"/>
      <c r="G1853" s="121"/>
      <c r="H1853" s="121"/>
      <c r="I1853" s="121"/>
      <c r="J1853" s="121"/>
      <c r="K1853" s="121"/>
      <c r="L1853" s="121"/>
      <c r="M1853" s="121"/>
      <c r="N1853" s="121"/>
      <c r="O1853" s="121"/>
      <c r="P1853" s="121"/>
      <c r="Q1853" s="121"/>
      <c r="R1853" s="121"/>
      <c r="S1853" s="122"/>
    </row>
    <row r="1854" spans="1:19" hidden="1" outlineLevel="2" x14ac:dyDescent="0.2">
      <c r="A1854" s="24" t="str">
        <f ca="1">Language!A$852</f>
        <v>Чистый денежный поток</v>
      </c>
      <c r="B1854" s="19"/>
      <c r="C1854" s="26" t="str">
        <f ca="1">C1836</f>
        <v>руб.</v>
      </c>
      <c r="D1854" s="26"/>
      <c r="E1854" s="19"/>
      <c r="F1854" s="65">
        <f t="shared" ref="F1854:M1854" ca="1" si="1954">F1844+F1851+F1846+F1847+F1848+F1852+F1842+F1843+F1849</f>
        <v>41283.684478371404</v>
      </c>
      <c r="G1854" s="65">
        <f t="shared" ca="1" si="1954"/>
        <v>10903.120123794768</v>
      </c>
      <c r="H1854" s="65">
        <f t="shared" ca="1" si="1954"/>
        <v>-10304.61429896066</v>
      </c>
      <c r="I1854" s="65">
        <f t="shared" ca="1" si="1954"/>
        <v>-10224.078561150702</v>
      </c>
      <c r="J1854" s="65">
        <f t="shared" ca="1" si="1954"/>
        <v>-11630.495632816572</v>
      </c>
      <c r="K1854" s="65">
        <f t="shared" ca="1" si="1954"/>
        <v>219969.23265730808</v>
      </c>
      <c r="L1854" s="65">
        <f t="shared" ca="1" si="1954"/>
        <v>138285.77352272742</v>
      </c>
      <c r="M1854" s="65">
        <f t="shared" ca="1" si="1954"/>
        <v>254423.49284090986</v>
      </c>
      <c r="N1854" s="65">
        <f t="shared" ref="N1854" ca="1" si="1955">N1844+N1851+N1846+N1847+N1848+N1852+N1842+N1843+N1849</f>
        <v>439737.28869318264</v>
      </c>
      <c r="O1854" s="65">
        <f t="shared" ref="O1854:Q1854" ca="1" si="1956">O1844+O1851+O1846+O1847+O1848+O1852+O1842+O1843+O1849</f>
        <v>3956262.8802554905</v>
      </c>
      <c r="P1854" s="65">
        <f t="shared" ref="P1854:Q1854" ca="1" si="1957">P1844+P1851+P1846+P1847+P1848+P1852+P1842+P1843+P1849</f>
        <v>9308412.3693749998</v>
      </c>
      <c r="Q1854" s="65">
        <f t="shared" ca="1" si="1957"/>
        <v>7190569.6462500002</v>
      </c>
      <c r="R1854" s="65"/>
      <c r="S1854" s="54">
        <f ca="1">SUM(F1854:Q1854)</f>
        <v>21527688.299703859</v>
      </c>
    </row>
    <row r="1855" spans="1:19" outlineLevel="1" collapsed="1" x14ac:dyDescent="0.2">
      <c r="A1855" t="str">
        <f ca="1">Language!A$853</f>
        <v>Дисконтированный чистый денежный поток</v>
      </c>
      <c r="B1855" s="19"/>
      <c r="C1855" s="26" t="str">
        <f ca="1">C1836</f>
        <v>руб.</v>
      </c>
      <c r="D1855" s="26"/>
      <c r="E1855" s="19"/>
      <c r="F1855" s="53">
        <f t="shared" ref="F1855:M1855" ca="1" si="1958">F1854/F1839</f>
        <v>41283.684478371404</v>
      </c>
      <c r="G1855" s="53">
        <f t="shared" ca="1" si="1958"/>
        <v>10709.229202685507</v>
      </c>
      <c r="H1855" s="53">
        <f t="shared" ca="1" si="1958"/>
        <v>-9941.3777010629656</v>
      </c>
      <c r="I1855" s="53">
        <f t="shared" ca="1" si="1958"/>
        <v>-9688.2743375962618</v>
      </c>
      <c r="J1855" s="53">
        <f t="shared" ca="1" si="1958"/>
        <v>-10824.999608460392</v>
      </c>
      <c r="K1855" s="53">
        <f t="shared" ca="1" si="1958"/>
        <v>201093.95852731893</v>
      </c>
      <c r="L1855" s="53">
        <f t="shared" ca="1" si="1958"/>
        <v>124171.52173460266</v>
      </c>
      <c r="M1855" s="53">
        <f t="shared" ca="1" si="1958"/>
        <v>224392.90828220083</v>
      </c>
      <c r="N1855" s="53">
        <f t="shared" ref="N1855" ca="1" si="1959">N1854/N1839</f>
        <v>380936.53564144106</v>
      </c>
      <c r="O1855" s="53">
        <f t="shared" ref="O1855:Q1855" ca="1" si="1960">O1854/O1839</f>
        <v>3366292.8255709028</v>
      </c>
      <c r="P1855" s="53">
        <f t="shared" ref="P1855:Q1855" ca="1" si="1961">P1854/P1839</f>
        <v>7779465.9004354831</v>
      </c>
      <c r="Q1855" s="53">
        <f t="shared" ca="1" si="1961"/>
        <v>5902620.7568737837</v>
      </c>
      <c r="R1855" s="65"/>
      <c r="S1855" s="54">
        <f ca="1">SUM(F1855:Q1855)</f>
        <v>18000512.66909967</v>
      </c>
    </row>
    <row r="1856" spans="1:19" hidden="1" outlineLevel="2" x14ac:dyDescent="0.2">
      <c r="A1856" t="str">
        <f ca="1">Language!A$854</f>
        <v>Дисконтированный поток нарастающим итогом</v>
      </c>
      <c r="C1856" s="5" t="str">
        <f ca="1">C1836</f>
        <v>руб.</v>
      </c>
      <c r="D1856" s="16" t="s">
        <v>384</v>
      </c>
      <c r="F1856" s="43">
        <f t="shared" ref="F1856:Q1856" ca="1" si="1962">E1856+F1855</f>
        <v>41283.684478371404</v>
      </c>
      <c r="G1856" s="43">
        <f t="shared" ca="1" si="1962"/>
        <v>51992.913681056911</v>
      </c>
      <c r="H1856" s="43">
        <f t="shared" ca="1" si="1962"/>
        <v>42051.535979993947</v>
      </c>
      <c r="I1856" s="43">
        <f t="shared" ca="1" si="1962"/>
        <v>32363.261642397687</v>
      </c>
      <c r="J1856" s="43">
        <f t="shared" ca="1" si="1962"/>
        <v>21538.262033937295</v>
      </c>
      <c r="K1856" s="43">
        <f t="shared" ca="1" si="1962"/>
        <v>222632.22056125622</v>
      </c>
      <c r="L1856" s="43">
        <f t="shared" ca="1" si="1962"/>
        <v>346803.74229585892</v>
      </c>
      <c r="M1856" s="43">
        <f t="shared" ca="1" si="1962"/>
        <v>571196.65057805972</v>
      </c>
      <c r="N1856" s="43">
        <f t="shared" ca="1" si="1962"/>
        <v>952133.18621950084</v>
      </c>
      <c r="O1856" s="43">
        <f t="shared" ca="1" si="1962"/>
        <v>4318426.0117904041</v>
      </c>
      <c r="P1856" s="43">
        <f t="shared" ca="1" si="1962"/>
        <v>12097891.912225887</v>
      </c>
      <c r="Q1856" s="43">
        <f t="shared" ca="1" si="1962"/>
        <v>18000512.66909967</v>
      </c>
      <c r="R1856" s="43"/>
      <c r="S1856" s="54"/>
    </row>
    <row r="1857" spans="1:19" hidden="1" outlineLevel="2" x14ac:dyDescent="0.2">
      <c r="F1857" s="43"/>
      <c r="G1857" s="43"/>
      <c r="H1857" s="43"/>
      <c r="I1857" s="43"/>
      <c r="J1857" s="43"/>
      <c r="K1857" s="43"/>
      <c r="L1857" s="43"/>
      <c r="M1857" s="43"/>
      <c r="N1857" s="43"/>
      <c r="O1857" s="43"/>
      <c r="P1857" s="43"/>
      <c r="Q1857" s="43"/>
      <c r="R1857" s="43"/>
      <c r="S1857" s="54"/>
    </row>
    <row r="1858" spans="1:19" hidden="1" outlineLevel="2" x14ac:dyDescent="0.2">
      <c r="A1858" s="23" t="str">
        <f ca="1">Language!A$855</f>
        <v>Простой срок окупаемости</v>
      </c>
      <c r="B1858" s="164" t="str">
        <f ca="1">IF(ISERROR(E1860),Language!A$829,IF(E1860&gt;=PRJ_Len,Language!A$829,IF(OR(E1860=0),E1860*PRJ_Step/360,(E1860-OFFSET(F1859,0,E1860-1)/(-OFFSET(F1859,0,E1860-1)+OFFSET(F1859,0,E1860)))*PRJ_Step/360)))</f>
        <v>Нет</v>
      </c>
      <c r="C1858" s="17" t="str">
        <f ca="1">IF(B1858=0,Language!A$33,IF(OR(B1858&lt;1,AND(B1858&gt;1,B1858&lt;5)),Language!A$830,IF(B1858=1,Language!A$37,Language!A$33)))</f>
        <v>лет</v>
      </c>
    </row>
    <row r="1859" spans="1:19" hidden="1" outlineLevel="2" x14ac:dyDescent="0.2">
      <c r="A1859" t="str">
        <f ca="1">Language!A$856</f>
        <v xml:space="preserve">    недисконтированный поток нарастающим итогом</v>
      </c>
      <c r="D1859" s="16" t="s">
        <v>384</v>
      </c>
      <c r="F1859" s="53">
        <f t="shared" ref="F1859:Q1859" ca="1" si="1963">E1859+F1854</f>
        <v>41283.684478371404</v>
      </c>
      <c r="G1859" s="53">
        <f t="shared" ca="1" si="1963"/>
        <v>52186.804602166172</v>
      </c>
      <c r="H1859" s="53">
        <f t="shared" ca="1" si="1963"/>
        <v>41882.190303205512</v>
      </c>
      <c r="I1859" s="53">
        <f t="shared" ca="1" si="1963"/>
        <v>31658.111742054811</v>
      </c>
      <c r="J1859" s="53">
        <f t="shared" ca="1" si="1963"/>
        <v>20027.616109238239</v>
      </c>
      <c r="K1859" s="53">
        <f t="shared" ca="1" si="1963"/>
        <v>239996.84876654632</v>
      </c>
      <c r="L1859" s="53">
        <f t="shared" ca="1" si="1963"/>
        <v>378282.62228927377</v>
      </c>
      <c r="M1859" s="53">
        <f t="shared" ca="1" si="1963"/>
        <v>632706.11513018364</v>
      </c>
      <c r="N1859" s="53">
        <f t="shared" ca="1" si="1963"/>
        <v>1072443.4038233664</v>
      </c>
      <c r="O1859" s="53">
        <f t="shared" ca="1" si="1963"/>
        <v>5028706.2840788569</v>
      </c>
      <c r="P1859" s="53">
        <f t="shared" ca="1" si="1963"/>
        <v>14337118.653453857</v>
      </c>
      <c r="Q1859" s="53">
        <f t="shared" ca="1" si="1963"/>
        <v>21527688.299703859</v>
      </c>
    </row>
    <row r="1860" spans="1:19" hidden="1" outlineLevel="2" x14ac:dyDescent="0.2">
      <c r="A1860" t="str">
        <f ca="1">Language!A$857</f>
        <v xml:space="preserve">    знак остатка денежных средств</v>
      </c>
      <c r="D1860" s="16" t="s">
        <v>384</v>
      </c>
      <c r="E1860" s="101" t="e">
        <f ca="1">PRJ_Len+1-(MATCH(-1,F1861:R1861,0))</f>
        <v>#N/A</v>
      </c>
      <c r="F1860" s="16">
        <f t="shared" ref="F1860:M1860" ca="1" si="1964">SIGN(F1859)</f>
        <v>1</v>
      </c>
      <c r="G1860" s="16">
        <f t="shared" ca="1" si="1964"/>
        <v>1</v>
      </c>
      <c r="H1860" s="16">
        <f t="shared" ca="1" si="1964"/>
        <v>1</v>
      </c>
      <c r="I1860" s="16">
        <f t="shared" ca="1" si="1964"/>
        <v>1</v>
      </c>
      <c r="J1860" s="16">
        <f t="shared" ca="1" si="1964"/>
        <v>1</v>
      </c>
      <c r="K1860" s="16">
        <f t="shared" ca="1" si="1964"/>
        <v>1</v>
      </c>
      <c r="L1860" s="16">
        <f t="shared" ca="1" si="1964"/>
        <v>1</v>
      </c>
      <c r="M1860" s="16">
        <f t="shared" ca="1" si="1964"/>
        <v>1</v>
      </c>
      <c r="N1860" s="16">
        <f t="shared" ref="N1860" ca="1" si="1965">SIGN(N1859)</f>
        <v>1</v>
      </c>
      <c r="O1860" s="16">
        <f t="shared" ref="O1860:Q1860" ca="1" si="1966">SIGN(O1859)</f>
        <v>1</v>
      </c>
      <c r="P1860" s="16">
        <f t="shared" ref="P1860:Q1860" ca="1" si="1967">SIGN(P1859)</f>
        <v>1</v>
      </c>
      <c r="Q1860" s="16">
        <f t="shared" ca="1" si="1967"/>
        <v>1</v>
      </c>
    </row>
    <row r="1861" spans="1:19" hidden="1" outlineLevel="2" x14ac:dyDescent="0.2">
      <c r="A1861" t="str">
        <f ca="1">Language!A$858</f>
        <v xml:space="preserve">    знак остатка денежных средств (с конца)</v>
      </c>
      <c r="D1861" s="16" t="s">
        <v>384</v>
      </c>
      <c r="F1861" s="101">
        <f t="shared" ref="F1861:M1861" ca="1" si="1968">OFFSET(F1860,0,PRJ_Len-F$29-F$29+1)</f>
        <v>1</v>
      </c>
      <c r="G1861" s="101">
        <f t="shared" ca="1" si="1968"/>
        <v>1</v>
      </c>
      <c r="H1861" s="101">
        <f t="shared" ca="1" si="1968"/>
        <v>1</v>
      </c>
      <c r="I1861" s="101">
        <f t="shared" ca="1" si="1968"/>
        <v>1</v>
      </c>
      <c r="J1861" s="101">
        <f t="shared" ca="1" si="1968"/>
        <v>1</v>
      </c>
      <c r="K1861" s="101">
        <f t="shared" ca="1" si="1968"/>
        <v>1</v>
      </c>
      <c r="L1861" s="101">
        <f t="shared" ca="1" si="1968"/>
        <v>1</v>
      </c>
      <c r="M1861" s="101">
        <f t="shared" ca="1" si="1968"/>
        <v>1</v>
      </c>
      <c r="N1861" s="101">
        <f t="shared" ref="N1861" ca="1" si="1969">OFFSET(N1860,0,PRJ_Len-N$29-N$29+1)</f>
        <v>1</v>
      </c>
      <c r="O1861" s="101">
        <f t="shared" ref="O1861" ca="1" si="1970">OFFSET(O1860,0,PRJ_Len-O$29-O$29+1)</f>
        <v>1</v>
      </c>
      <c r="P1861" s="101">
        <f t="shared" ref="P1861:Q1861" ca="1" si="1971">OFFSET(P1860,0,PRJ_Len-P$29-P$29+1)</f>
        <v>1</v>
      </c>
      <c r="Q1861" s="101">
        <f t="shared" ca="1" si="1971"/>
        <v>1</v>
      </c>
    </row>
    <row r="1862" spans="1:19" hidden="1" outlineLevel="2" x14ac:dyDescent="0.2"/>
    <row r="1863" spans="1:19" ht="10.5" hidden="1" outlineLevel="2" x14ac:dyDescent="0.25">
      <c r="A1863" s="35" t="str">
        <f ca="1">Language!A$859</f>
        <v>Чистая приведенная стоимость (NPV)</v>
      </c>
      <c r="B1863" s="151">
        <f ca="1">S1855</f>
        <v>18000512.66909967</v>
      </c>
      <c r="C1863" s="5" t="str">
        <f ca="1">C1836</f>
        <v>руб.</v>
      </c>
    </row>
    <row r="1864" spans="1:19" ht="10.5" hidden="1" outlineLevel="2" x14ac:dyDescent="0.25">
      <c r="A1864" s="35" t="str">
        <f ca="1">Language!A$860</f>
        <v>Дисконтированный срок окупаемости (PBP)</v>
      </c>
      <c r="B1864" s="150" t="str">
        <f ca="1">IF(ISERROR(E1865),Language!A$829,IF(E1865&gt;=PRJ_Len,Language!A$829,IF(OR(E1865=0),E1865*PRJ_Step/360,(E1865-OFFSET(F1856,0,E1865-1)/(-OFFSET(F1856,0,E1865-1)+OFFSET(F1856,0,E1865)))*PRJ_Step/360)))</f>
        <v>Нет</v>
      </c>
      <c r="C1864" s="17" t="str">
        <f ca="1">IF(B1864=0,Language!A$33,IF(OR(B1864&lt;1,AND(B1864&gt;1,B1864&lt;5)),Language!A$830,IF(B1864=1,Language!A$37,Language!A$33)))</f>
        <v>лет</v>
      </c>
    </row>
    <row r="1865" spans="1:19" hidden="1" outlineLevel="2" x14ac:dyDescent="0.2">
      <c r="A1865" s="180" t="str">
        <f ca="1">Language!A$861</f>
        <v xml:space="preserve">    знак остатка дисконтированных денежных средств</v>
      </c>
      <c r="B1865" s="180"/>
      <c r="D1865" s="16" t="s">
        <v>384</v>
      </c>
      <c r="E1865" s="101" t="e">
        <f ca="1">PRJ_Len+1-(MATCH(-1,F1866:R1866,0))</f>
        <v>#N/A</v>
      </c>
      <c r="F1865" s="16">
        <f t="shared" ref="F1865:M1865" ca="1" si="1972">SIGN(F1856)</f>
        <v>1</v>
      </c>
      <c r="G1865" s="16">
        <f t="shared" ca="1" si="1972"/>
        <v>1</v>
      </c>
      <c r="H1865" s="16">
        <f t="shared" ca="1" si="1972"/>
        <v>1</v>
      </c>
      <c r="I1865" s="16">
        <f t="shared" ca="1" si="1972"/>
        <v>1</v>
      </c>
      <c r="J1865" s="16">
        <f t="shared" ca="1" si="1972"/>
        <v>1</v>
      </c>
      <c r="K1865" s="16">
        <f t="shared" ca="1" si="1972"/>
        <v>1</v>
      </c>
      <c r="L1865" s="16">
        <f t="shared" ca="1" si="1972"/>
        <v>1</v>
      </c>
      <c r="M1865" s="16">
        <f t="shared" ca="1" si="1972"/>
        <v>1</v>
      </c>
      <c r="N1865" s="16">
        <f t="shared" ref="N1865" ca="1" si="1973">SIGN(N1856)</f>
        <v>1</v>
      </c>
      <c r="O1865" s="16">
        <f t="shared" ref="O1865:Q1865" ca="1" si="1974">SIGN(O1856)</f>
        <v>1</v>
      </c>
      <c r="P1865" s="16">
        <f t="shared" ref="P1865:Q1865" ca="1" si="1975">SIGN(P1856)</f>
        <v>1</v>
      </c>
      <c r="Q1865" s="16">
        <f t="shared" ca="1" si="1975"/>
        <v>1</v>
      </c>
    </row>
    <row r="1866" spans="1:19" hidden="1" outlineLevel="2" x14ac:dyDescent="0.2">
      <c r="A1866" s="180" t="str">
        <f ca="1">Language!A$862</f>
        <v xml:space="preserve">    знак остатка дисконтированных денежных средств (с конца)</v>
      </c>
      <c r="B1866" s="180"/>
      <c r="D1866" s="16" t="s">
        <v>384</v>
      </c>
      <c r="F1866" s="101">
        <f t="shared" ref="F1866:M1866" ca="1" si="1976">OFFSET(F1865,0,PRJ_Len-F$29-F$29+1)</f>
        <v>1</v>
      </c>
      <c r="G1866" s="101">
        <f t="shared" ca="1" si="1976"/>
        <v>1</v>
      </c>
      <c r="H1866" s="101">
        <f t="shared" ca="1" si="1976"/>
        <v>1</v>
      </c>
      <c r="I1866" s="101">
        <f t="shared" ca="1" si="1976"/>
        <v>1</v>
      </c>
      <c r="J1866" s="101">
        <f t="shared" ca="1" si="1976"/>
        <v>1</v>
      </c>
      <c r="K1866" s="101">
        <f t="shared" ca="1" si="1976"/>
        <v>1</v>
      </c>
      <c r="L1866" s="101">
        <f t="shared" ca="1" si="1976"/>
        <v>1</v>
      </c>
      <c r="M1866" s="101">
        <f t="shared" ca="1" si="1976"/>
        <v>1</v>
      </c>
      <c r="N1866" s="101">
        <f t="shared" ref="N1866" ca="1" si="1977">OFFSET(N1865,0,PRJ_Len-N$29-N$29+1)</f>
        <v>1</v>
      </c>
      <c r="O1866" s="101">
        <f t="shared" ref="O1866" ca="1" si="1978">OFFSET(O1865,0,PRJ_Len-O$29-O$29+1)</f>
        <v>1</v>
      </c>
      <c r="P1866" s="101">
        <f t="shared" ref="P1866:Q1866" ca="1" si="1979">OFFSET(P1865,0,PRJ_Len-P$29-P$29+1)</f>
        <v>1</v>
      </c>
      <c r="Q1866" s="101">
        <f t="shared" ca="1" si="1979"/>
        <v>1</v>
      </c>
    </row>
    <row r="1867" spans="1:19" ht="10.5" hidden="1" outlineLevel="2" x14ac:dyDescent="0.25">
      <c r="A1867" s="130" t="str">
        <f ca="1">Language!A$863</f>
        <v>Внутренняя норма рентабельности (IRR)</v>
      </c>
      <c r="B1867" s="152" t="str">
        <f ca="1">IF(ISERROR(E1867),Language!A$829,IF(AND(E1867&gt;0,E1867&lt;100),E1867,Language!A$829))</f>
        <v>Нет</v>
      </c>
      <c r="C1867" s="107" t="str">
        <f ca="1">IF(CalcMethod=1,Language!A$831,Language!A$832)</f>
        <v>(реальная - без учета инфляции)</v>
      </c>
      <c r="E1867" s="16" t="e">
        <f ca="1">(POWER(1+IRR(F1868:Q1868,0.2*PRJ_Step/360),360/PRJ_Step)-1)</f>
        <v>#NUM!</v>
      </c>
    </row>
    <row r="1868" spans="1:19" ht="10.5" hidden="1" outlineLevel="2" x14ac:dyDescent="0.2">
      <c r="A1868" s="24" t="str">
        <f ca="1">Language!A$852</f>
        <v>Чистый денежный поток</v>
      </c>
      <c r="B1868" s="223"/>
      <c r="C1868" s="216"/>
      <c r="D1868" s="48"/>
      <c r="E1868" s="101"/>
      <c r="F1868" s="65">
        <f t="shared" ref="F1868:M1868" ca="1" si="1980">F1854</f>
        <v>41283.684478371404</v>
      </c>
      <c r="G1868" s="65">
        <f t="shared" ca="1" si="1980"/>
        <v>10903.120123794768</v>
      </c>
      <c r="H1868" s="65">
        <f t="shared" ca="1" si="1980"/>
        <v>-10304.61429896066</v>
      </c>
      <c r="I1868" s="65">
        <f t="shared" ca="1" si="1980"/>
        <v>-10224.078561150702</v>
      </c>
      <c r="J1868" s="65">
        <f t="shared" ca="1" si="1980"/>
        <v>-11630.495632816572</v>
      </c>
      <c r="K1868" s="65">
        <f t="shared" ca="1" si="1980"/>
        <v>219969.23265730808</v>
      </c>
      <c r="L1868" s="65">
        <f t="shared" ca="1" si="1980"/>
        <v>138285.77352272742</v>
      </c>
      <c r="M1868" s="65">
        <f t="shared" ca="1" si="1980"/>
        <v>254423.49284090986</v>
      </c>
      <c r="N1868" s="65">
        <f t="shared" ref="N1868" ca="1" si="1981">N1854</f>
        <v>439737.28869318264</v>
      </c>
      <c r="O1868" s="65">
        <f t="shared" ref="O1868:Q1868" ca="1" si="1982">O1854</f>
        <v>3956262.8802554905</v>
      </c>
      <c r="P1868" s="65">
        <f t="shared" ref="P1868:Q1868" ca="1" si="1983">P1854</f>
        <v>9308412.3693749998</v>
      </c>
      <c r="Q1868" s="65">
        <f t="shared" ca="1" si="1983"/>
        <v>7190569.6462500002</v>
      </c>
      <c r="R1868" s="48"/>
      <c r="S1868" s="41"/>
    </row>
    <row r="1869" spans="1:19" outlineLevel="1" x14ac:dyDescent="0.2">
      <c r="A1869" s="23" t="str">
        <f ca="1">Language!A$864</f>
        <v>Норма доходности дисконтированных затрат (PI)</v>
      </c>
      <c r="B1869" s="309">
        <f ca="1">IF(S1873&lt;0,S1871/-S1873,Language!A$829)</f>
        <v>592.05954905257136</v>
      </c>
      <c r="C1869" s="5" t="str">
        <f ca="1">Language!A$197</f>
        <v>разы</v>
      </c>
    </row>
    <row r="1870" spans="1:19" outlineLevel="1" x14ac:dyDescent="0.2">
      <c r="A1870" t="str">
        <f ca="1">Language!A$865</f>
        <v xml:space="preserve">    притоки</v>
      </c>
      <c r="C1870" s="5" t="str">
        <f ca="1">C1836</f>
        <v>руб.</v>
      </c>
      <c r="F1870" s="43">
        <f t="shared" ref="F1870:M1870" ca="1" si="1984">MAX(0,F1854)</f>
        <v>41283.684478371404</v>
      </c>
      <c r="G1870" s="43">
        <f t="shared" ca="1" si="1984"/>
        <v>10903.120123794768</v>
      </c>
      <c r="H1870" s="43">
        <f t="shared" ca="1" si="1984"/>
        <v>0</v>
      </c>
      <c r="I1870" s="43">
        <f t="shared" ca="1" si="1984"/>
        <v>0</v>
      </c>
      <c r="J1870" s="43">
        <f t="shared" ca="1" si="1984"/>
        <v>0</v>
      </c>
      <c r="K1870" s="43">
        <f t="shared" ca="1" si="1984"/>
        <v>219969.23265730808</v>
      </c>
      <c r="L1870" s="43">
        <f t="shared" ca="1" si="1984"/>
        <v>138285.77352272742</v>
      </c>
      <c r="M1870" s="43">
        <f t="shared" ca="1" si="1984"/>
        <v>254423.49284090986</v>
      </c>
      <c r="N1870" s="43">
        <f t="shared" ref="N1870" ca="1" si="1985">MAX(0,N1854)</f>
        <v>439737.28869318264</v>
      </c>
      <c r="O1870" s="43">
        <f t="shared" ref="O1870:Q1870" ca="1" si="1986">MAX(0,O1854)</f>
        <v>3956262.8802554905</v>
      </c>
      <c r="P1870" s="43">
        <f t="shared" ref="P1870:Q1870" ca="1" si="1987">MAX(0,P1854)</f>
        <v>9308412.3693749998</v>
      </c>
      <c r="Q1870" s="43">
        <f t="shared" ca="1" si="1987"/>
        <v>7190569.6462500002</v>
      </c>
      <c r="S1870" s="54">
        <f ca="1">SUM(F1870:Q1870)</f>
        <v>21559847.488196783</v>
      </c>
    </row>
    <row r="1871" spans="1:19" outlineLevel="1" x14ac:dyDescent="0.2">
      <c r="A1871" t="str">
        <f ca="1">Language!A$866</f>
        <v xml:space="preserve">    дисконтированные притоки</v>
      </c>
      <c r="C1871" s="5" t="str">
        <f ca="1">C1836</f>
        <v>руб.</v>
      </c>
      <c r="F1871" s="43">
        <f t="shared" ref="F1871:M1871" ca="1" si="1988">F1870/F1839</f>
        <v>41283.684478371404</v>
      </c>
      <c r="G1871" s="43">
        <f t="shared" ca="1" si="1988"/>
        <v>10709.229202685507</v>
      </c>
      <c r="H1871" s="43">
        <f t="shared" ca="1" si="1988"/>
        <v>0</v>
      </c>
      <c r="I1871" s="43">
        <f t="shared" ca="1" si="1988"/>
        <v>0</v>
      </c>
      <c r="J1871" s="43">
        <f t="shared" ca="1" si="1988"/>
        <v>0</v>
      </c>
      <c r="K1871" s="43">
        <f t="shared" ca="1" si="1988"/>
        <v>201093.95852731893</v>
      </c>
      <c r="L1871" s="43">
        <f t="shared" ca="1" si="1988"/>
        <v>124171.52173460266</v>
      </c>
      <c r="M1871" s="43">
        <f t="shared" ca="1" si="1988"/>
        <v>224392.90828220083</v>
      </c>
      <c r="N1871" s="43">
        <f t="shared" ref="N1871" ca="1" si="1989">N1870/N1839</f>
        <v>380936.53564144106</v>
      </c>
      <c r="O1871" s="43">
        <f t="shared" ref="O1871:Q1871" ca="1" si="1990">O1870/O1839</f>
        <v>3366292.8255709028</v>
      </c>
      <c r="P1871" s="43">
        <f t="shared" ref="P1871:Q1871" ca="1" si="1991">P1870/P1839</f>
        <v>7779465.9004354831</v>
      </c>
      <c r="Q1871" s="43">
        <f t="shared" ca="1" si="1991"/>
        <v>5902620.7568737837</v>
      </c>
      <c r="S1871" s="54">
        <f ca="1">SUM(F1871:Q1871)</f>
        <v>18030967.320746791</v>
      </c>
    </row>
    <row r="1872" spans="1:19" outlineLevel="1" x14ac:dyDescent="0.2">
      <c r="A1872" t="str">
        <f ca="1">Language!A$867</f>
        <v xml:space="preserve">    оттоки</v>
      </c>
      <c r="C1872" s="5" t="str">
        <f ca="1">C1836</f>
        <v>руб.</v>
      </c>
      <c r="F1872" s="43">
        <f t="shared" ref="F1872:M1872" ca="1" si="1992">MIN(0,F1854)</f>
        <v>0</v>
      </c>
      <c r="G1872" s="43">
        <f t="shared" ca="1" si="1992"/>
        <v>0</v>
      </c>
      <c r="H1872" s="43">
        <f t="shared" ca="1" si="1992"/>
        <v>-10304.61429896066</v>
      </c>
      <c r="I1872" s="43">
        <f t="shared" ca="1" si="1992"/>
        <v>-10224.078561150702</v>
      </c>
      <c r="J1872" s="43">
        <f t="shared" ca="1" si="1992"/>
        <v>-11630.495632816572</v>
      </c>
      <c r="K1872" s="43">
        <f t="shared" ca="1" si="1992"/>
        <v>0</v>
      </c>
      <c r="L1872" s="43">
        <f t="shared" ca="1" si="1992"/>
        <v>0</v>
      </c>
      <c r="M1872" s="43">
        <f t="shared" ca="1" si="1992"/>
        <v>0</v>
      </c>
      <c r="N1872" s="43">
        <f t="shared" ref="N1872" ca="1" si="1993">MIN(0,N1854)</f>
        <v>0</v>
      </c>
      <c r="O1872" s="43">
        <f t="shared" ref="O1872:Q1872" ca="1" si="1994">MIN(0,O1854)</f>
        <v>0</v>
      </c>
      <c r="P1872" s="43">
        <f t="shared" ref="P1872:Q1872" ca="1" si="1995">MIN(0,P1854)</f>
        <v>0</v>
      </c>
      <c r="Q1872" s="43">
        <f t="shared" ca="1" si="1995"/>
        <v>0</v>
      </c>
      <c r="S1872" s="54">
        <f ca="1">SUM(F1872:Q1872)</f>
        <v>-32159.188492927933</v>
      </c>
    </row>
    <row r="1873" spans="1:19" outlineLevel="1" collapsed="1" x14ac:dyDescent="0.2">
      <c r="A1873" t="str">
        <f ca="1">Language!A$868</f>
        <v xml:space="preserve">    дисконтированные оттоки</v>
      </c>
      <c r="C1873" s="5" t="str">
        <f ca="1">C1836</f>
        <v>руб.</v>
      </c>
      <c r="F1873" s="43">
        <f t="shared" ref="F1873:M1873" ca="1" si="1996">F1872/F1839</f>
        <v>0</v>
      </c>
      <c r="G1873" s="43">
        <f t="shared" ca="1" si="1996"/>
        <v>0</v>
      </c>
      <c r="H1873" s="43">
        <f t="shared" ca="1" si="1996"/>
        <v>-9941.3777010629656</v>
      </c>
      <c r="I1873" s="43">
        <f t="shared" ca="1" si="1996"/>
        <v>-9688.2743375962618</v>
      </c>
      <c r="J1873" s="43">
        <f t="shared" ca="1" si="1996"/>
        <v>-10824.999608460392</v>
      </c>
      <c r="K1873" s="43">
        <f t="shared" ca="1" si="1996"/>
        <v>0</v>
      </c>
      <c r="L1873" s="43">
        <f t="shared" ca="1" si="1996"/>
        <v>0</v>
      </c>
      <c r="M1873" s="43">
        <f t="shared" ca="1" si="1996"/>
        <v>0</v>
      </c>
      <c r="N1873" s="43">
        <f t="shared" ref="N1873" ca="1" si="1997">N1872/N1839</f>
        <v>0</v>
      </c>
      <c r="O1873" s="43">
        <f t="shared" ref="O1873:Q1873" ca="1" si="1998">O1872/O1839</f>
        <v>0</v>
      </c>
      <c r="P1873" s="43">
        <f t="shared" ref="P1873:Q1873" ca="1" si="1999">P1872/P1839</f>
        <v>0</v>
      </c>
      <c r="Q1873" s="43">
        <f t="shared" ca="1" si="1999"/>
        <v>0</v>
      </c>
      <c r="S1873" s="54">
        <f ca="1">SUM(F1873:Q1873)</f>
        <v>-30454.651647119619</v>
      </c>
    </row>
    <row r="1874" spans="1:19" hidden="1" outlineLevel="2" x14ac:dyDescent="0.2">
      <c r="F1874" s="43"/>
      <c r="G1874" s="43"/>
      <c r="H1874" s="43"/>
      <c r="I1874" s="43"/>
      <c r="J1874" s="43"/>
      <c r="K1874" s="43"/>
      <c r="L1874" s="43"/>
      <c r="M1874" s="43"/>
      <c r="N1874" s="43"/>
      <c r="O1874" s="43"/>
      <c r="P1874" s="43"/>
      <c r="Q1874" s="43"/>
    </row>
    <row r="1875" spans="1:19" hidden="1" outlineLevel="2" x14ac:dyDescent="0.2">
      <c r="A1875" s="23" t="str">
        <f ca="1">Language!A$869</f>
        <v>Модифицированная IRR (MIRR)</v>
      </c>
      <c r="B1875" s="310">
        <f ca="1">IF(ISERROR(E1875),Language!A$829,E1875)</f>
        <v>1314.7405027279276</v>
      </c>
      <c r="E1875" s="153">
        <f ca="1">(POWER(1+MIRR(F1854:R1854,POWER(1+B1877,PRJ_Step/360)-1,POWER(1+B1876,PRJ_Step/360)-1),360/PRJ_Step)-1)</f>
        <v>1314.7405027279276</v>
      </c>
      <c r="F1875" s="43"/>
      <c r="G1875" s="43"/>
      <c r="H1875" s="43"/>
      <c r="I1875" s="43"/>
      <c r="J1875" s="43"/>
      <c r="K1875" s="43"/>
      <c r="L1875" s="43"/>
      <c r="M1875" s="43"/>
      <c r="N1875" s="43"/>
      <c r="O1875" s="43"/>
      <c r="P1875" s="43"/>
      <c r="Q1875" s="43"/>
    </row>
    <row r="1876" spans="1:19" hidden="1" outlineLevel="2" x14ac:dyDescent="0.2">
      <c r="A1876" t="str">
        <f ca="1">Language!A$870</f>
        <v>Ставка реинвестирования доходов</v>
      </c>
      <c r="B1876" s="273">
        <f>B1837</f>
        <v>0.25</v>
      </c>
    </row>
    <row r="1877" spans="1:19" outlineLevel="1" x14ac:dyDescent="0.2">
      <c r="A1877" t="str">
        <f ca="1">Language!A$871</f>
        <v>Ставка дисконтирования инвестиционных затрат</v>
      </c>
      <c r="B1877" s="273">
        <f>B1837</f>
        <v>0.25</v>
      </c>
    </row>
    <row r="1878" spans="1:19" outlineLevel="1" x14ac:dyDescent="0.2">
      <c r="A1878" s="63"/>
      <c r="B1878" s="63"/>
      <c r="C1878" s="63"/>
      <c r="D1878" s="63"/>
      <c r="E1878" s="63"/>
      <c r="F1878" s="63"/>
      <c r="G1878" s="63"/>
      <c r="H1878" s="63"/>
      <c r="I1878" s="63"/>
      <c r="J1878" s="63"/>
      <c r="K1878" s="63"/>
      <c r="L1878" s="63"/>
      <c r="M1878" s="63"/>
      <c r="N1878" s="63"/>
      <c r="O1878" s="63"/>
      <c r="P1878" s="63"/>
      <c r="Q1878" s="63"/>
      <c r="R1878" s="63"/>
      <c r="S1878" s="64"/>
    </row>
    <row r="1879" spans="1:19" outlineLevel="1" collapsed="1" x14ac:dyDescent="0.2">
      <c r="A1879" s="22" t="str">
        <f ca="1">Language!A$874 &amp; ", " &amp; Проект!CUR_Report</f>
        <v>График: Окупаемость проекта (для собственного капитала), руб.</v>
      </c>
      <c r="B1879" s="19"/>
      <c r="C1879" s="19"/>
      <c r="D1879" s="19"/>
      <c r="E1879" s="19"/>
      <c r="F1879" s="19"/>
      <c r="G1879" s="19"/>
      <c r="H1879" s="19"/>
      <c r="I1879" s="19"/>
      <c r="J1879" s="19"/>
      <c r="K1879" s="19"/>
      <c r="L1879" s="19"/>
      <c r="M1879" s="19"/>
      <c r="N1879" s="19"/>
      <c r="O1879" s="19"/>
      <c r="P1879" s="19"/>
      <c r="Q1879" s="19"/>
      <c r="R1879" s="19"/>
      <c r="S1879" s="22"/>
    </row>
    <row r="1880" spans="1:19" hidden="1" outlineLevel="2" x14ac:dyDescent="0.2">
      <c r="A1880" s="19"/>
      <c r="B1880" s="19"/>
      <c r="C1880" s="19"/>
      <c r="D1880" s="19"/>
      <c r="E1880" s="19"/>
      <c r="F1880" s="19"/>
      <c r="G1880" s="19"/>
      <c r="H1880" s="19"/>
      <c r="I1880" s="19"/>
      <c r="J1880" s="19"/>
      <c r="K1880" s="19"/>
      <c r="L1880" s="19"/>
      <c r="M1880" s="19"/>
      <c r="N1880" s="19"/>
      <c r="O1880" s="19"/>
      <c r="P1880" s="19"/>
      <c r="Q1880" s="19"/>
      <c r="R1880" s="19"/>
      <c r="S1880" s="22"/>
    </row>
    <row r="1881" spans="1:19" hidden="1" outlineLevel="2" x14ac:dyDescent="0.2">
      <c r="A1881" s="19"/>
      <c r="B1881" s="19"/>
      <c r="C1881" s="19"/>
      <c r="D1881" s="19"/>
      <c r="E1881" s="19"/>
      <c r="F1881" s="19"/>
      <c r="G1881" s="19"/>
      <c r="H1881" s="19"/>
      <c r="I1881" s="19"/>
      <c r="J1881" s="19"/>
      <c r="K1881" s="19"/>
      <c r="L1881" s="19"/>
      <c r="M1881" s="19"/>
      <c r="N1881" s="19"/>
      <c r="O1881" s="19"/>
      <c r="P1881" s="19"/>
      <c r="Q1881" s="19"/>
      <c r="R1881" s="19"/>
      <c r="S1881" s="22"/>
    </row>
    <row r="1882" spans="1:19" outlineLevel="1" collapsed="1" x14ac:dyDescent="0.2">
      <c r="A1882" s="19"/>
      <c r="B1882" s="19"/>
      <c r="C1882" s="19"/>
      <c r="D1882" s="19"/>
      <c r="E1882" s="19"/>
      <c r="F1882" s="19"/>
      <c r="G1882" s="19"/>
      <c r="H1882" s="19"/>
      <c r="I1882" s="19"/>
      <c r="J1882" s="19"/>
      <c r="K1882" s="19"/>
      <c r="L1882" s="19"/>
      <c r="M1882" s="19"/>
      <c r="N1882" s="19"/>
      <c r="O1882" s="19"/>
      <c r="P1882" s="19"/>
      <c r="Q1882" s="19"/>
      <c r="R1882" s="19"/>
      <c r="S1882" s="22"/>
    </row>
    <row r="1883" spans="1:19" s="48" customFormat="1" hidden="1" outlineLevel="2" x14ac:dyDescent="0.2">
      <c r="A1883" s="19"/>
      <c r="B1883" s="19"/>
      <c r="C1883" s="19"/>
      <c r="D1883" s="19"/>
      <c r="E1883" s="19"/>
      <c r="F1883" s="19"/>
      <c r="G1883" s="19"/>
      <c r="H1883" s="19"/>
      <c r="I1883" s="19"/>
      <c r="J1883" s="19"/>
      <c r="K1883" s="19"/>
      <c r="L1883" s="19"/>
      <c r="M1883" s="19"/>
      <c r="N1883" s="19"/>
      <c r="O1883" s="19"/>
      <c r="P1883" s="19"/>
      <c r="Q1883" s="19"/>
      <c r="R1883" s="19"/>
      <c r="S1883" s="22"/>
    </row>
    <row r="1884" spans="1:19" outlineLevel="1" collapsed="1" x14ac:dyDescent="0.2">
      <c r="A1884" s="19"/>
      <c r="B1884" s="19"/>
      <c r="C1884" s="19"/>
      <c r="D1884" s="19"/>
      <c r="E1884" s="19"/>
      <c r="F1884" s="19"/>
      <c r="G1884" s="19"/>
      <c r="H1884" s="19"/>
      <c r="I1884" s="19"/>
      <c r="J1884" s="19"/>
      <c r="K1884" s="19"/>
      <c r="L1884" s="19"/>
      <c r="M1884" s="19"/>
      <c r="N1884" s="19"/>
      <c r="O1884" s="19"/>
      <c r="P1884" s="19"/>
      <c r="Q1884" s="19"/>
      <c r="R1884" s="19"/>
      <c r="S1884" s="22"/>
    </row>
    <row r="1885" spans="1:19" hidden="1" outlineLevel="2" x14ac:dyDescent="0.2">
      <c r="A1885" s="19"/>
      <c r="B1885" s="19"/>
      <c r="C1885" s="19"/>
      <c r="D1885" s="19"/>
      <c r="E1885" s="19"/>
      <c r="F1885" s="19"/>
      <c r="G1885" s="19"/>
      <c r="H1885" s="19"/>
      <c r="I1885" s="19"/>
      <c r="J1885" s="19"/>
      <c r="K1885" s="19"/>
      <c r="L1885" s="19"/>
      <c r="M1885" s="19"/>
      <c r="N1885" s="19"/>
      <c r="O1885" s="19"/>
      <c r="P1885" s="19"/>
      <c r="Q1885" s="19"/>
      <c r="R1885" s="19"/>
      <c r="S1885" s="22"/>
    </row>
    <row r="1886" spans="1:19" hidden="1" outlineLevel="2" x14ac:dyDescent="0.2">
      <c r="A1886" s="19"/>
      <c r="B1886" s="19"/>
      <c r="C1886" s="19"/>
      <c r="D1886" s="19"/>
      <c r="E1886" s="19"/>
      <c r="F1886" s="19"/>
      <c r="G1886" s="19"/>
      <c r="H1886" s="19"/>
      <c r="I1886" s="19"/>
      <c r="J1886" s="19"/>
      <c r="K1886" s="19"/>
      <c r="L1886" s="19"/>
      <c r="M1886" s="19"/>
      <c r="N1886" s="19"/>
      <c r="O1886" s="19"/>
      <c r="P1886" s="19"/>
      <c r="Q1886" s="19"/>
      <c r="R1886" s="19"/>
      <c r="S1886" s="22"/>
    </row>
    <row r="1887" spans="1:19" hidden="1" outlineLevel="2" x14ac:dyDescent="0.2">
      <c r="A1887" s="19"/>
      <c r="B1887" s="19"/>
      <c r="C1887" s="19"/>
      <c r="D1887" s="19"/>
      <c r="E1887" s="19"/>
      <c r="F1887" s="19"/>
      <c r="G1887" s="19"/>
      <c r="H1887" s="19"/>
      <c r="I1887" s="19"/>
      <c r="J1887" s="19"/>
      <c r="K1887" s="19"/>
      <c r="L1887" s="19"/>
      <c r="M1887" s="19"/>
      <c r="N1887" s="19"/>
      <c r="O1887" s="19"/>
      <c r="P1887" s="19"/>
      <c r="Q1887" s="19"/>
      <c r="R1887" s="19"/>
      <c r="S1887" s="22"/>
    </row>
    <row r="1888" spans="1:19" hidden="1" outlineLevel="2" x14ac:dyDescent="0.2">
      <c r="A1888" s="19"/>
      <c r="B1888" s="19"/>
      <c r="C1888" s="19"/>
      <c r="D1888" s="19"/>
      <c r="E1888" s="19"/>
      <c r="F1888" s="19"/>
      <c r="G1888" s="19"/>
      <c r="H1888" s="19"/>
      <c r="I1888" s="19"/>
      <c r="J1888" s="19"/>
      <c r="K1888" s="19"/>
      <c r="L1888" s="19"/>
      <c r="M1888" s="19"/>
      <c r="N1888" s="19"/>
      <c r="O1888" s="19"/>
      <c r="P1888" s="19"/>
      <c r="Q1888" s="19"/>
      <c r="R1888" s="19"/>
      <c r="S1888" s="22"/>
    </row>
    <row r="1889" spans="1:19" outlineLevel="1" x14ac:dyDescent="0.2">
      <c r="A1889" s="19"/>
      <c r="B1889" s="19"/>
      <c r="C1889" s="19"/>
      <c r="D1889" s="19"/>
      <c r="E1889" s="19"/>
      <c r="F1889" s="19"/>
      <c r="G1889" s="19"/>
      <c r="H1889" s="19"/>
      <c r="I1889" s="19"/>
      <c r="J1889" s="19"/>
      <c r="K1889" s="19"/>
      <c r="L1889" s="19"/>
      <c r="M1889" s="19"/>
      <c r="N1889" s="19"/>
      <c r="O1889" s="19"/>
      <c r="P1889" s="19"/>
      <c r="Q1889" s="19"/>
      <c r="R1889" s="19"/>
      <c r="S1889" s="22"/>
    </row>
    <row r="1890" spans="1:19" outlineLevel="1" x14ac:dyDescent="0.2">
      <c r="A1890" s="19"/>
      <c r="B1890" s="19"/>
      <c r="C1890" s="19"/>
      <c r="D1890" s="19"/>
      <c r="E1890" s="19"/>
      <c r="F1890" s="19"/>
      <c r="G1890" s="19"/>
      <c r="H1890" s="19"/>
      <c r="I1890" s="19"/>
      <c r="J1890" s="19"/>
      <c r="K1890" s="19"/>
      <c r="L1890" s="19"/>
      <c r="M1890" s="19"/>
      <c r="N1890" s="19"/>
      <c r="O1890" s="19"/>
      <c r="P1890" s="19"/>
      <c r="Q1890" s="19"/>
      <c r="R1890" s="19"/>
      <c r="S1890" s="22"/>
    </row>
    <row r="1891" spans="1:19" outlineLevel="1" x14ac:dyDescent="0.2">
      <c r="A1891" s="19"/>
      <c r="B1891" s="19"/>
      <c r="C1891" s="19"/>
      <c r="D1891" s="19"/>
      <c r="E1891" s="19"/>
      <c r="F1891" s="19"/>
      <c r="G1891" s="19"/>
      <c r="H1891" s="19"/>
      <c r="I1891" s="19"/>
      <c r="J1891" s="19"/>
      <c r="K1891" s="19"/>
      <c r="L1891" s="19"/>
      <c r="M1891" s="19"/>
      <c r="N1891" s="19"/>
      <c r="O1891" s="19"/>
      <c r="P1891" s="19"/>
      <c r="Q1891" s="19"/>
      <c r="R1891" s="19"/>
      <c r="S1891" s="22"/>
    </row>
    <row r="1892" spans="1:19" outlineLevel="1" x14ac:dyDescent="0.2">
      <c r="A1892" s="19"/>
      <c r="B1892" s="19"/>
      <c r="C1892" s="19"/>
      <c r="D1892" s="19"/>
      <c r="E1892" s="19"/>
      <c r="F1892" s="19"/>
      <c r="G1892" s="19"/>
      <c r="H1892" s="19"/>
      <c r="I1892" s="19"/>
      <c r="J1892" s="19"/>
      <c r="K1892" s="19"/>
      <c r="L1892" s="19"/>
      <c r="M1892" s="19"/>
      <c r="N1892" s="19"/>
      <c r="O1892" s="19"/>
      <c r="P1892" s="19"/>
      <c r="Q1892" s="19"/>
      <c r="R1892" s="19"/>
      <c r="S1892" s="22"/>
    </row>
    <row r="1893" spans="1:19" outlineLevel="1" x14ac:dyDescent="0.2">
      <c r="A1893" s="19"/>
      <c r="B1893" s="19"/>
      <c r="C1893" s="19"/>
      <c r="D1893" s="19"/>
      <c r="E1893" s="19"/>
      <c r="F1893" s="19"/>
      <c r="G1893" s="19"/>
      <c r="H1893" s="19"/>
      <c r="I1893" s="19"/>
      <c r="J1893" s="19"/>
      <c r="K1893" s="19"/>
      <c r="L1893" s="19"/>
      <c r="M1893" s="19"/>
      <c r="N1893" s="19"/>
      <c r="O1893" s="19"/>
      <c r="P1893" s="19"/>
      <c r="Q1893" s="19"/>
      <c r="R1893" s="19"/>
      <c r="S1893" s="22"/>
    </row>
    <row r="1894" spans="1:19" outlineLevel="1" x14ac:dyDescent="0.2">
      <c r="A1894" s="19"/>
      <c r="B1894" s="19"/>
      <c r="C1894" s="19"/>
      <c r="D1894" s="19"/>
      <c r="E1894" s="19"/>
      <c r="F1894" s="19"/>
      <c r="G1894" s="19"/>
      <c r="H1894" s="19"/>
      <c r="I1894" s="19"/>
      <c r="J1894" s="19"/>
      <c r="K1894" s="19"/>
      <c r="L1894" s="19"/>
      <c r="M1894" s="19"/>
      <c r="N1894" s="19"/>
      <c r="O1894" s="19"/>
      <c r="P1894" s="19"/>
      <c r="Q1894" s="19"/>
      <c r="R1894" s="19"/>
      <c r="S1894" s="22"/>
    </row>
    <row r="1895" spans="1:19" outlineLevel="2" x14ac:dyDescent="0.2">
      <c r="A1895" s="19"/>
      <c r="B1895" s="19"/>
      <c r="C1895" s="19"/>
      <c r="D1895" s="19"/>
      <c r="E1895" s="19"/>
      <c r="F1895" s="19"/>
      <c r="G1895" s="19"/>
      <c r="H1895" s="19"/>
      <c r="I1895" s="19"/>
      <c r="J1895" s="19"/>
      <c r="K1895" s="19"/>
      <c r="L1895" s="19"/>
      <c r="M1895" s="19"/>
      <c r="N1895" s="19"/>
      <c r="O1895" s="19"/>
      <c r="P1895" s="19"/>
      <c r="Q1895" s="19"/>
      <c r="R1895" s="19"/>
      <c r="S1895" s="22"/>
    </row>
    <row r="1896" spans="1:19" outlineLevel="2" x14ac:dyDescent="0.2">
      <c r="A1896" s="19"/>
      <c r="B1896" s="19"/>
      <c r="C1896" s="19"/>
      <c r="D1896" s="19"/>
      <c r="E1896" s="19"/>
      <c r="F1896" s="19"/>
      <c r="G1896" s="19"/>
      <c r="H1896" s="19"/>
      <c r="I1896" s="19"/>
      <c r="J1896" s="19"/>
      <c r="K1896" s="19"/>
      <c r="L1896" s="19"/>
      <c r="M1896" s="19"/>
      <c r="N1896" s="19"/>
      <c r="O1896" s="19"/>
      <c r="P1896" s="19"/>
      <c r="Q1896" s="19"/>
      <c r="R1896" s="19"/>
      <c r="S1896" s="22"/>
    </row>
    <row r="1897" spans="1:19" outlineLevel="2" x14ac:dyDescent="0.2">
      <c r="A1897" s="19"/>
      <c r="B1897" s="19"/>
      <c r="C1897" s="19"/>
      <c r="D1897" s="19"/>
      <c r="E1897" s="19"/>
      <c r="F1897" s="19"/>
      <c r="G1897" s="19"/>
      <c r="H1897" s="19"/>
      <c r="I1897" s="19"/>
      <c r="J1897" s="19"/>
      <c r="K1897" s="19"/>
      <c r="L1897" s="19"/>
      <c r="M1897" s="19"/>
      <c r="N1897" s="19"/>
      <c r="O1897" s="19"/>
      <c r="P1897" s="19"/>
      <c r="Q1897" s="19"/>
      <c r="R1897" s="19"/>
      <c r="S1897" s="22"/>
    </row>
    <row r="1898" spans="1:19" outlineLevel="2" x14ac:dyDescent="0.2">
      <c r="A1898" s="19"/>
      <c r="B1898" s="19"/>
      <c r="C1898" s="19"/>
      <c r="D1898" s="19"/>
      <c r="E1898" s="19"/>
      <c r="F1898" s="19"/>
      <c r="G1898" s="19"/>
      <c r="H1898" s="19"/>
      <c r="I1898" s="19"/>
      <c r="J1898" s="19"/>
      <c r="K1898" s="19"/>
      <c r="L1898" s="19"/>
      <c r="M1898" s="19"/>
      <c r="N1898" s="19"/>
      <c r="O1898" s="19"/>
      <c r="P1898" s="19"/>
      <c r="Q1898" s="19"/>
      <c r="R1898" s="19"/>
      <c r="S1898" s="22"/>
    </row>
    <row r="1899" spans="1:19" outlineLevel="2" x14ac:dyDescent="0.2">
      <c r="A1899" s="19"/>
      <c r="B1899" s="19"/>
      <c r="C1899" s="19"/>
      <c r="D1899" s="19"/>
      <c r="E1899" s="19"/>
      <c r="F1899" s="19"/>
      <c r="G1899" s="19"/>
      <c r="H1899" s="19"/>
      <c r="I1899" s="19"/>
      <c r="J1899" s="19"/>
      <c r="K1899" s="19"/>
      <c r="L1899" s="19"/>
      <c r="M1899" s="19"/>
      <c r="N1899" s="19"/>
      <c r="O1899" s="19"/>
      <c r="P1899" s="19"/>
      <c r="Q1899" s="19"/>
      <c r="R1899" s="19"/>
      <c r="S1899" s="22"/>
    </row>
    <row r="1900" spans="1:19" outlineLevel="2" x14ac:dyDescent="0.2">
      <c r="A1900" s="19"/>
      <c r="B1900" s="19"/>
      <c r="C1900" s="19"/>
      <c r="D1900" s="19"/>
      <c r="E1900" s="19"/>
      <c r="F1900" s="19"/>
      <c r="G1900" s="19"/>
      <c r="H1900" s="19"/>
      <c r="I1900" s="19"/>
      <c r="J1900" s="19"/>
      <c r="K1900" s="19"/>
      <c r="L1900" s="19"/>
      <c r="M1900" s="19"/>
      <c r="N1900" s="19"/>
      <c r="O1900" s="19"/>
      <c r="P1900" s="19"/>
      <c r="Q1900" s="19"/>
      <c r="R1900" s="19"/>
      <c r="S1900" s="22"/>
    </row>
    <row r="1901" spans="1:19" outlineLevel="2" x14ac:dyDescent="0.2">
      <c r="A1901" s="19"/>
      <c r="B1901" s="19"/>
      <c r="C1901" s="19"/>
      <c r="D1901" s="19"/>
      <c r="E1901" s="19"/>
      <c r="F1901" s="19"/>
      <c r="G1901" s="19"/>
      <c r="H1901" s="19"/>
      <c r="I1901" s="19"/>
      <c r="J1901" s="19"/>
      <c r="K1901" s="19"/>
      <c r="L1901" s="19"/>
      <c r="M1901" s="19"/>
      <c r="N1901" s="19"/>
      <c r="O1901" s="19"/>
      <c r="P1901" s="19"/>
      <c r="Q1901" s="19"/>
      <c r="R1901" s="19"/>
      <c r="S1901" s="22"/>
    </row>
    <row r="1902" spans="1:19" outlineLevel="2" x14ac:dyDescent="0.2">
      <c r="A1902" s="19"/>
      <c r="B1902" s="19"/>
      <c r="C1902" s="19"/>
      <c r="D1902" s="19"/>
      <c r="E1902" s="19"/>
      <c r="F1902" s="19"/>
      <c r="G1902" s="19"/>
      <c r="H1902" s="19"/>
      <c r="I1902" s="19"/>
      <c r="J1902" s="19"/>
      <c r="K1902" s="19"/>
      <c r="L1902" s="19"/>
      <c r="M1902" s="19"/>
      <c r="N1902" s="19"/>
      <c r="O1902" s="19"/>
      <c r="P1902" s="19"/>
      <c r="Q1902" s="19"/>
      <c r="R1902" s="19"/>
      <c r="S1902" s="22"/>
    </row>
    <row r="1903" spans="1:19" outlineLevel="2" x14ac:dyDescent="0.2">
      <c r="A1903" s="19"/>
      <c r="B1903" s="19"/>
      <c r="C1903" s="19"/>
      <c r="D1903" s="19"/>
      <c r="E1903" s="19"/>
      <c r="F1903" s="19"/>
      <c r="G1903" s="19"/>
      <c r="H1903" s="19"/>
      <c r="I1903" s="19"/>
      <c r="J1903" s="19"/>
      <c r="K1903" s="19"/>
      <c r="L1903" s="19"/>
      <c r="M1903" s="19"/>
      <c r="N1903" s="19"/>
      <c r="O1903" s="19"/>
      <c r="P1903" s="19"/>
      <c r="Q1903" s="19"/>
      <c r="R1903" s="19"/>
      <c r="S1903" s="22"/>
    </row>
    <row r="1904" spans="1:19" outlineLevel="2" x14ac:dyDescent="0.2">
      <c r="A1904" s="19"/>
      <c r="B1904" s="19"/>
      <c r="C1904" s="19"/>
      <c r="D1904" s="19"/>
      <c r="E1904" s="19"/>
      <c r="F1904" s="19"/>
      <c r="G1904" s="19"/>
      <c r="H1904" s="19"/>
      <c r="I1904" s="19"/>
      <c r="J1904" s="19"/>
      <c r="K1904" s="19"/>
      <c r="L1904" s="19"/>
      <c r="M1904" s="19"/>
      <c r="N1904" s="19"/>
      <c r="O1904" s="19"/>
      <c r="P1904" s="19"/>
      <c r="Q1904" s="19"/>
      <c r="R1904" s="19"/>
      <c r="S1904" s="22"/>
    </row>
    <row r="1905" spans="1:19" ht="10.5" outlineLevel="2" thickBot="1" x14ac:dyDescent="0.25">
      <c r="A1905" s="166" t="str">
        <f ca="1">Language!A875</f>
        <v xml:space="preserve">         ЭФФЕКТИВНОСТЬ ДЛЯ БАНКА</v>
      </c>
      <c r="B1905" s="166"/>
      <c r="C1905" s="166"/>
      <c r="D1905" s="166"/>
      <c r="E1905" s="166"/>
      <c r="F1905" s="178" t="str">
        <f t="shared" ref="F1905:Q1905" si="2000">PeriodTitle</f>
        <v>4/ 2024</v>
      </c>
      <c r="G1905" s="178" t="str">
        <f t="shared" si="2000"/>
        <v>5/ 2024</v>
      </c>
      <c r="H1905" s="178" t="str">
        <f t="shared" si="2000"/>
        <v>6/ 2024</v>
      </c>
      <c r="I1905" s="178" t="str">
        <f t="shared" si="2000"/>
        <v>7/ 2024</v>
      </c>
      <c r="J1905" s="178" t="str">
        <f t="shared" si="2000"/>
        <v>8/ 2024</v>
      </c>
      <c r="K1905" s="178" t="str">
        <f t="shared" si="2000"/>
        <v>9/ 2024</v>
      </c>
      <c r="L1905" s="178" t="str">
        <f t="shared" si="2000"/>
        <v>10/ 2024</v>
      </c>
      <c r="M1905" s="178" t="str">
        <f t="shared" si="2000"/>
        <v>11/ 2024</v>
      </c>
      <c r="N1905" s="178" t="str">
        <f t="shared" si="2000"/>
        <v>12/ 2024</v>
      </c>
      <c r="O1905" s="178" t="str">
        <f t="shared" si="2000"/>
        <v>1/ 2025</v>
      </c>
      <c r="P1905" s="178" t="str">
        <f t="shared" si="2000"/>
        <v>2/ 2025</v>
      </c>
      <c r="Q1905" s="178" t="str">
        <f t="shared" si="2000"/>
        <v>3/ 2025</v>
      </c>
      <c r="R1905" s="166"/>
      <c r="S1905" s="167" t="str">
        <f ca="1">Language!A$371</f>
        <v>ИТОГО</v>
      </c>
    </row>
    <row r="1906" spans="1:19" ht="10.5" outlineLevel="2" thickTop="1" x14ac:dyDescent="0.2"/>
    <row r="1907" spans="1:19" outlineLevel="2" x14ac:dyDescent="0.2">
      <c r="A1907" t="str">
        <f ca="1">Language!A$835</f>
        <v>Валюта расчетов:</v>
      </c>
      <c r="B1907" s="255">
        <v>1</v>
      </c>
      <c r="C1907" s="17" t="str">
        <f ca="1">CHOOSE(B1907,CUR_Main,CUR_Foreign)</f>
        <v>руб.</v>
      </c>
    </row>
    <row r="1908" spans="1:19" outlineLevel="2" x14ac:dyDescent="0.2">
      <c r="A1908" t="str">
        <f ca="1">Language!A$836</f>
        <v>Годовая ставка дисконтирования:</v>
      </c>
      <c r="B1908" s="273">
        <f>SENS_Discount</f>
        <v>0.25</v>
      </c>
      <c r="C1908" s="5" t="s">
        <v>177</v>
      </c>
      <c r="D1908" s="16" t="s">
        <v>176</v>
      </c>
      <c r="F1908" s="135">
        <f>$B$1908</f>
        <v>0.25</v>
      </c>
      <c r="G1908" s="135">
        <f t="shared" ref="G1908:Q1908" si="2001">F1908</f>
        <v>0.25</v>
      </c>
      <c r="H1908" s="135">
        <f t="shared" si="2001"/>
        <v>0.25</v>
      </c>
      <c r="I1908" s="135">
        <f t="shared" si="2001"/>
        <v>0.25</v>
      </c>
      <c r="J1908" s="135">
        <f t="shared" si="2001"/>
        <v>0.25</v>
      </c>
      <c r="K1908" s="135">
        <f t="shared" si="2001"/>
        <v>0.25</v>
      </c>
      <c r="L1908" s="135">
        <f t="shared" si="2001"/>
        <v>0.25</v>
      </c>
      <c r="M1908" s="135">
        <f t="shared" si="2001"/>
        <v>0.25</v>
      </c>
      <c r="N1908" s="135">
        <f t="shared" si="2001"/>
        <v>0.25</v>
      </c>
      <c r="O1908" s="135">
        <f t="shared" si="2001"/>
        <v>0.25</v>
      </c>
      <c r="P1908" s="135">
        <f t="shared" si="2001"/>
        <v>0.25</v>
      </c>
      <c r="Q1908" s="135">
        <f t="shared" si="2001"/>
        <v>0.25</v>
      </c>
    </row>
    <row r="1909" spans="1:19" outlineLevel="2" x14ac:dyDescent="0.2">
      <c r="A1909" t="str">
        <f ca="1">Language!A$837</f>
        <v xml:space="preserve">    ставка дисконтирования на расчетный период</v>
      </c>
      <c r="D1909" s="16" t="s">
        <v>176</v>
      </c>
      <c r="F1909" s="135">
        <f>POWER(1+F1908,PRJ_Step/360)-1-IF(CalcMethod=1,IF($B$1907=1,F$81,F$92),0)</f>
        <v>1.8105030477883588E-2</v>
      </c>
      <c r="G1909" s="135">
        <f>POWER(1+G1908,PRJ_Step/360)-1-IF(CalcMethod=1,IF($B$1907=1,G$81,G$92),0)</f>
        <v>1.8105030477883588E-2</v>
      </c>
      <c r="H1909" s="135">
        <f>POWER(1+H1908,PRJ_Step/360)-1-IF(CalcMethod=1,IF($B$1907=1,H$81,H$92),0)</f>
        <v>1.8105030477883588E-2</v>
      </c>
      <c r="I1909" s="135">
        <f>POWER(1+I1908,PRJ_Step/360)-1-IF(CalcMethod=1,IF($B$1907=1,I$81,I$92),0)</f>
        <v>1.8105030477883588E-2</v>
      </c>
      <c r="J1909" s="135">
        <f>POWER(1+J1908,PRJ_Step/360)-1-IF(CalcMethod=1,IF($B$1907=1,J$81,J$92),0)</f>
        <v>1.8105030477883588E-2</v>
      </c>
      <c r="K1909" s="135">
        <f>POWER(1+K1908,PRJ_Step/360)-1-IF(CalcMethod=1,IF($B$1907=1,K$81,K$92),0)</f>
        <v>1.8105030477883588E-2</v>
      </c>
      <c r="L1909" s="135">
        <f>POWER(1+L1908,PRJ_Step/360)-1-IF(CalcMethod=1,IF($B$1907=1,L$81,L$92),0)</f>
        <v>1.8105030477883588E-2</v>
      </c>
      <c r="M1909" s="135">
        <f>POWER(1+M1908,PRJ_Step/360)-1-IF(CalcMethod=1,IF($B$1907=1,M$81,M$92),0)</f>
        <v>1.8105030477883588E-2</v>
      </c>
      <c r="N1909" s="135">
        <f>POWER(1+N1908,PRJ_Step/360)-1-IF(CalcMethod=1,IF($B$1907=1,N$81,N$92),0)</f>
        <v>1.8105030477883588E-2</v>
      </c>
      <c r="O1909" s="135">
        <f>POWER(1+O1908,PRJ_Step/360)-1-IF(CalcMethod=1,IF($B$1907=1,O$81,O$92),0)</f>
        <v>1.8105030477883588E-2</v>
      </c>
      <c r="P1909" s="135">
        <f>POWER(1+P1908,PRJ_Step/360)-1-IF(CalcMethod=1,IF($B$1907=1,P$81,P$92),0)</f>
        <v>1.8105030477883588E-2</v>
      </c>
      <c r="Q1909" s="135">
        <f>POWER(1+Q1908,PRJ_Step/360)-1-IF(CalcMethod=1,IF($B$1907=1,Q$81,Q$92),0)</f>
        <v>1.8105030477883588E-2</v>
      </c>
    </row>
    <row r="1910" spans="1:19" outlineLevel="2" x14ac:dyDescent="0.2">
      <c r="A1910" t="str">
        <f ca="1">Language!A$838</f>
        <v xml:space="preserve">    коэффициент дисконта для потока на начало периода</v>
      </c>
      <c r="D1910" s="16" t="s">
        <v>176</v>
      </c>
      <c r="F1910" s="136">
        <v>1</v>
      </c>
      <c r="G1910" s="136">
        <f t="shared" ref="G1910:Q1910" si="2002">F1910*(1+F1909)</f>
        <v>1.0181050304778836</v>
      </c>
      <c r="H1910" s="136">
        <f t="shared" si="2002"/>
        <v>1.0365378530843723</v>
      </c>
      <c r="I1910" s="136">
        <f t="shared" si="2002"/>
        <v>1.0553044025059448</v>
      </c>
      <c r="J1910" s="136">
        <f t="shared" si="2002"/>
        <v>1.0744107208767597</v>
      </c>
      <c r="K1910" s="136">
        <f t="shared" si="2002"/>
        <v>1.0938629597239984</v>
      </c>
      <c r="L1910" s="136">
        <f t="shared" si="2002"/>
        <v>1.1136673819484293</v>
      </c>
      <c r="M1910" s="136">
        <f t="shared" si="2002"/>
        <v>1.1338303638408305</v>
      </c>
      <c r="N1910" s="136">
        <f t="shared" si="2002"/>
        <v>1.1543583971349185</v>
      </c>
      <c r="O1910" s="136">
        <f t="shared" si="2002"/>
        <v>1.1752580910974471</v>
      </c>
      <c r="P1910" s="136">
        <f t="shared" si="2002"/>
        <v>1.1965361746561456</v>
      </c>
      <c r="Q1910" s="136">
        <f t="shared" si="2002"/>
        <v>1.2181994985661853</v>
      </c>
    </row>
    <row r="1911" spans="1:19" outlineLevel="2" x14ac:dyDescent="0.2"/>
    <row r="1912" spans="1:19" outlineLevel="2" x14ac:dyDescent="0.2">
      <c r="A1912" s="23" t="str">
        <f ca="1">Language!A$840</f>
        <v>Учитываемые денежные потоки проекта:</v>
      </c>
    </row>
    <row r="1913" spans="1:19" outlineLevel="2" x14ac:dyDescent="0.2">
      <c r="A1913" t="str">
        <f ca="1">Language!A$841</f>
        <v>Денежные потоки от операционной деятельности</v>
      </c>
      <c r="B1913" s="36" t="str">
        <f ca="1">Language!A$828</f>
        <v>Да</v>
      </c>
      <c r="C1913" s="5" t="str">
        <f ca="1">C1907</f>
        <v>руб.</v>
      </c>
      <c r="F1913" s="43">
        <f ca="1">F1433*IF(CUR_I_Report&lt;&gt;$B$1907,IF(CUR_I_Report=2,F$88,1/F$88),1)</f>
        <v>-2966160</v>
      </c>
      <c r="G1913" s="43">
        <f ca="1">G1433*IF(CUR_I_Report&lt;&gt;$B$1907,IF(CUR_I_Report=2,G$88,1/G$88),1)</f>
        <v>-2555760</v>
      </c>
      <c r="H1913" s="43">
        <f ca="1">H1433*IF(CUR_I_Report&lt;&gt;$B$1907,IF(CUR_I_Report=2,H$88,1/H$88),1)</f>
        <v>-2428008.50875</v>
      </c>
      <c r="I1913" s="43">
        <f ca="1">I1433*IF(CUR_I_Report&lt;&gt;$B$1907,IF(CUR_I_Report=2,I$88,1/I$88),1)</f>
        <v>-1917002.54375</v>
      </c>
      <c r="J1913" s="43">
        <f ca="1">J1433*IF(CUR_I_Report&lt;&gt;$B$1907,IF(CUR_I_Report=2,J$88,1/J$88),1)</f>
        <v>-1278245.0874999999</v>
      </c>
      <c r="K1913" s="43">
        <f ca="1">K1433*IF(CUR_I_Report&lt;&gt;$B$1907,IF(CUR_I_Report=2,K$88,1/K$88),1)</f>
        <v>-730.17499999981374</v>
      </c>
      <c r="L1913" s="43">
        <f ca="1">L1433*IF(CUR_I_Report&lt;&gt;$B$1907,IF(CUR_I_Report=2,L$88,1/L$88),1)</f>
        <v>1096547.5479740878</v>
      </c>
      <c r="M1913" s="43">
        <f ca="1">M1433*IF(CUR_I_Report&lt;&gt;$B$1907,IF(CUR_I_Report=2,M$88,1/M$88),1)</f>
        <v>2416169.2904287507</v>
      </c>
      <c r="N1913" s="43">
        <f ca="1">N1433*IF(CUR_I_Report&lt;&gt;$B$1907,IF(CUR_I_Report=2,N$88,1/N$88),1)</f>
        <v>4408306.0298950961</v>
      </c>
      <c r="O1913" s="43">
        <f ca="1">O1433*IF(CUR_I_Report&lt;&gt;$B$1907,IF(CUR_I_Report=2,O$88,1/O$88),1)</f>
        <v>7025601.84375</v>
      </c>
      <c r="P1913" s="43">
        <f ca="1">P1433*IF(CUR_I_Report&lt;&gt;$B$1907,IF(CUR_I_Report=2,P$88,1/P$88),1)</f>
        <v>8941874.2125000004</v>
      </c>
      <c r="Q1913" s="43">
        <f ca="1">Q1433*IF(CUR_I_Report&lt;&gt;$B$1907,IF(CUR_I_Report=2,Q$88,1/Q$88),1)</f>
        <v>10219389.125</v>
      </c>
      <c r="R1913" s="43"/>
      <c r="S1913" s="54">
        <f ca="1">SUM(F1913:Q1913)</f>
        <v>22961981.734547932</v>
      </c>
    </row>
    <row r="1914" spans="1:19" outlineLevel="2" x14ac:dyDescent="0.2">
      <c r="A1914" t="str">
        <f ca="1">Language!A$842</f>
        <v xml:space="preserve">    за исключением процентов по кредитам</v>
      </c>
      <c r="B1914" s="36" t="str">
        <f ca="1">Language!A$828</f>
        <v>Да</v>
      </c>
      <c r="C1914" s="5" t="str">
        <f ca="1">C1907</f>
        <v>руб.</v>
      </c>
      <c r="D1914" s="5"/>
      <c r="F1914" s="43">
        <f>-F1429*IF(CUR_I_Report&lt;&gt;$B$1907,IF(CUR_I_Report=2,F$88,1/F$88),1)</f>
        <v>0</v>
      </c>
      <c r="G1914" s="43">
        <f>-G1429*IF(CUR_I_Report&lt;&gt;$B$1907,IF(CUR_I_Report=2,G$88,1/G$88),1)</f>
        <v>0</v>
      </c>
      <c r="H1914" s="43">
        <f>-H1429*IF(CUR_I_Report&lt;&gt;$B$1907,IF(CUR_I_Report=2,H$88,1/H$88),1)</f>
        <v>0</v>
      </c>
      <c r="I1914" s="43">
        <f>-I1429*IF(CUR_I_Report&lt;&gt;$B$1907,IF(CUR_I_Report=2,I$88,1/I$88),1)</f>
        <v>0</v>
      </c>
      <c r="J1914" s="43">
        <f>-J1429*IF(CUR_I_Report&lt;&gt;$B$1907,IF(CUR_I_Report=2,J$88,1/J$88),1)</f>
        <v>0</v>
      </c>
      <c r="K1914" s="43">
        <f>-K1429*IF(CUR_I_Report&lt;&gt;$B$1907,IF(CUR_I_Report=2,K$88,1/K$88),1)</f>
        <v>0</v>
      </c>
      <c r="L1914" s="43">
        <f>-L1429*IF(CUR_I_Report&lt;&gt;$B$1907,IF(CUR_I_Report=2,L$88,1/L$88),1)</f>
        <v>180237.18952591211</v>
      </c>
      <c r="M1914" s="43">
        <f>-M1429*IF(CUR_I_Report&lt;&gt;$B$1907,IF(CUR_I_Report=2,M$88,1/M$88),1)</f>
        <v>138130.35957124989</v>
      </c>
      <c r="N1914" s="43">
        <f>-N1429*IF(CUR_I_Report&lt;&gt;$B$1907,IF(CUR_I_Report=2,N$88,1/N$88),1)</f>
        <v>62265.988854903924</v>
      </c>
      <c r="O1914" s="43">
        <f>-O1429*IF(CUR_I_Report&lt;&gt;$B$1907,IF(CUR_I_Report=2,O$88,1/O$88),1)</f>
        <v>0</v>
      </c>
      <c r="P1914" s="43">
        <f>-P1429*IF(CUR_I_Report&lt;&gt;$B$1907,IF(CUR_I_Report=2,P$88,1/P$88),1)</f>
        <v>0</v>
      </c>
      <c r="Q1914" s="43">
        <f>-Q1429*IF(CUR_I_Report&lt;&gt;$B$1907,IF(CUR_I_Report=2,Q$88,1/Q$88),1)</f>
        <v>0</v>
      </c>
      <c r="R1914" s="43"/>
      <c r="S1914" s="54">
        <f>SUM(F1914:Q1914)</f>
        <v>380633.53795206588</v>
      </c>
    </row>
    <row r="1915" spans="1:19" outlineLevel="2" x14ac:dyDescent="0.2">
      <c r="A1915" t="str">
        <f ca="1">Language!A$843</f>
        <v>Денежные потоки от инвестиционной деятельности</v>
      </c>
      <c r="B1915" s="36" t="str">
        <f ca="1">Language!A$828</f>
        <v>Да</v>
      </c>
      <c r="C1915" s="5" t="str">
        <f ca="1">C1907</f>
        <v>руб.</v>
      </c>
      <c r="D1915" s="5"/>
      <c r="F1915" s="43">
        <f ca="1">F1444*IF(CUR_I_Report&lt;&gt;$B$1907,IF(CUR_I_Report=2,F$88,1/F$88),1)</f>
        <v>648376</v>
      </c>
      <c r="G1915" s="43">
        <f ca="1">G1444*IF(CUR_I_Report&lt;&gt;$B$1907,IF(CUR_I_Report=2,G$88,1/G$88),1)</f>
        <v>-415440</v>
      </c>
      <c r="H1915" s="43">
        <f ca="1">H1444*IF(CUR_I_Report&lt;&gt;$B$1907,IF(CUR_I_Report=2,H$88,1/H$88),1)</f>
        <v>24435.877125000115</v>
      </c>
      <c r="I1915" s="43">
        <f ca="1">I1444*IF(CUR_I_Report&lt;&gt;$B$1907,IF(CUR_I_Report=2,I$88,1/I$88),1)</f>
        <v>97743.508499999763</v>
      </c>
      <c r="J1915" s="43">
        <f ca="1">J1444*IF(CUR_I_Report&lt;&gt;$B$1907,IF(CUR_I_Report=2,J$88,1/J$88),1)</f>
        <v>122179.385625</v>
      </c>
      <c r="K1915" s="43">
        <f ca="1">K1444*IF(CUR_I_Report&lt;&gt;$B$1907,IF(CUR_I_Report=2,K$88,1/K$88),1)</f>
        <v>244358.77125000022</v>
      </c>
      <c r="L1915" s="43">
        <f ca="1">L1444*IF(CUR_I_Report&lt;&gt;$B$1907,IF(CUR_I_Report=2,L$88,1/L$88),1)</f>
        <v>244358.77124999976</v>
      </c>
      <c r="M1915" s="43">
        <f ca="1">M1444*IF(CUR_I_Report&lt;&gt;$B$1907,IF(CUR_I_Report=2,M$88,1/M$88),1)</f>
        <v>244358.77125000011</v>
      </c>
      <c r="N1915" s="43">
        <f ca="1">N1444*IF(CUR_I_Report&lt;&gt;$B$1907,IF(CUR_I_Report=2,N$88,1/N$88),1)</f>
        <v>366538.15687499987</v>
      </c>
      <c r="O1915" s="43">
        <f ca="1">O1444*IF(CUR_I_Report&lt;&gt;$B$1907,IF(CUR_I_Report=2,O$88,1/O$88),1)</f>
        <v>488717.54250000021</v>
      </c>
      <c r="P1915" s="43">
        <f ca="1">P1444*IF(CUR_I_Report&lt;&gt;$B$1907,IF(CUR_I_Report=2,P$88,1/P$88),1)</f>
        <v>366538.1568750001</v>
      </c>
      <c r="Q1915" s="43">
        <f ca="1">Q1444*IF(CUR_I_Report&lt;&gt;$B$1907,IF(CUR_I_Report=2,Q$88,1/Q$88),1)</f>
        <v>244358.77124999976</v>
      </c>
      <c r="R1915" s="43"/>
      <c r="S1915" s="54">
        <f ca="1">SUM(F1915:Q1915)</f>
        <v>2676523.7124999999</v>
      </c>
    </row>
    <row r="1916" spans="1:19" outlineLevel="2" x14ac:dyDescent="0.2">
      <c r="A1916" t="str">
        <f ca="1">Language!A$844</f>
        <v>Поступления собственного капитала</v>
      </c>
      <c r="B1916" s="36" t="str">
        <f ca="1">Language!A$828</f>
        <v>Да</v>
      </c>
      <c r="C1916" s="5" t="str">
        <f ca="1">C1907</f>
        <v>руб.</v>
      </c>
      <c r="D1916" s="5"/>
      <c r="F1916" s="53">
        <f>F1446*IF(CUR_I_Report&lt;&gt;$B$1907,IF(CUR_I_Report=2,F$88,1/F$88),1)</f>
        <v>0</v>
      </c>
      <c r="G1916" s="53">
        <f>G1446*IF(CUR_I_Report&lt;&gt;$B$1907,IF(CUR_I_Report=2,G$88,1/G$88),1)</f>
        <v>0</v>
      </c>
      <c r="H1916" s="53">
        <f>H1446*IF(CUR_I_Report&lt;&gt;$B$1907,IF(CUR_I_Report=2,H$88,1/H$88),1)</f>
        <v>0</v>
      </c>
      <c r="I1916" s="53">
        <f>I1446*IF(CUR_I_Report&lt;&gt;$B$1907,IF(CUR_I_Report=2,I$88,1/I$88),1)</f>
        <v>0</v>
      </c>
      <c r="J1916" s="53">
        <f>J1446*IF(CUR_I_Report&lt;&gt;$B$1907,IF(CUR_I_Report=2,J$88,1/J$88),1)</f>
        <v>0</v>
      </c>
      <c r="K1916" s="53">
        <f>K1446*IF(CUR_I_Report&lt;&gt;$B$1907,IF(CUR_I_Report=2,K$88,1/K$88),1)</f>
        <v>0</v>
      </c>
      <c r="L1916" s="53">
        <f>L1446*IF(CUR_I_Report&lt;&gt;$B$1907,IF(CUR_I_Report=2,L$88,1/L$88),1)</f>
        <v>0</v>
      </c>
      <c r="M1916" s="53">
        <f>M1446*IF(CUR_I_Report&lt;&gt;$B$1907,IF(CUR_I_Report=2,M$88,1/M$88),1)</f>
        <v>0</v>
      </c>
      <c r="N1916" s="53">
        <f>N1446*IF(CUR_I_Report&lt;&gt;$B$1907,IF(CUR_I_Report=2,N$88,1/N$88),1)</f>
        <v>0</v>
      </c>
      <c r="O1916" s="53">
        <f>O1446*IF(CUR_I_Report&lt;&gt;$B$1907,IF(CUR_I_Report=2,O$88,1/O$88),1)</f>
        <v>0</v>
      </c>
      <c r="P1916" s="53">
        <f>P1446*IF(CUR_I_Report&lt;&gt;$B$1907,IF(CUR_I_Report=2,P$88,1/P$88),1)</f>
        <v>0</v>
      </c>
      <c r="Q1916" s="53">
        <f>Q1446*IF(CUR_I_Report&lt;&gt;$B$1907,IF(CUR_I_Report=2,Q$88,1/Q$88),1)</f>
        <v>0</v>
      </c>
      <c r="R1916" s="43"/>
      <c r="S1916" s="54">
        <f>SUM(F1916:Q1916)</f>
        <v>0</v>
      </c>
    </row>
    <row r="1917" spans="1:19" outlineLevel="2" x14ac:dyDescent="0.2">
      <c r="A1917" t="str">
        <f ca="1">Language!A$845</f>
        <v>Поступления целевого финансирования</v>
      </c>
      <c r="B1917" s="36" t="str">
        <f ca="1">Language!A$828</f>
        <v>Да</v>
      </c>
      <c r="C1917" s="5" t="str">
        <f ca="1">C1907</f>
        <v>руб.</v>
      </c>
      <c r="D1917" s="5"/>
      <c r="F1917" s="43">
        <f>(F1447+F1448)*IF(CUR_I_Report&lt;&gt;$B$1907,IF(CUR_I_Report=2,F$88,1/F$88),1)</f>
        <v>0</v>
      </c>
      <c r="G1917" s="43">
        <f>(G1447+G1448)*IF(CUR_I_Report&lt;&gt;$B$1907,IF(CUR_I_Report=2,G$88,1/G$88),1)</f>
        <v>0</v>
      </c>
      <c r="H1917" s="43">
        <f>(H1447+H1448)*IF(CUR_I_Report&lt;&gt;$B$1907,IF(CUR_I_Report=2,H$88,1/H$88),1)</f>
        <v>0</v>
      </c>
      <c r="I1917" s="43">
        <f>(I1447+I1448)*IF(CUR_I_Report&lt;&gt;$B$1907,IF(CUR_I_Report=2,I$88,1/I$88),1)</f>
        <v>0</v>
      </c>
      <c r="J1917" s="43">
        <f>(J1447+J1448)*IF(CUR_I_Report&lt;&gt;$B$1907,IF(CUR_I_Report=2,J$88,1/J$88),1)</f>
        <v>0</v>
      </c>
      <c r="K1917" s="43">
        <f>(K1447+K1448)*IF(CUR_I_Report&lt;&gt;$B$1907,IF(CUR_I_Report=2,K$88,1/K$88),1)</f>
        <v>0</v>
      </c>
      <c r="L1917" s="43">
        <f>(L1447+L1448)*IF(CUR_I_Report&lt;&gt;$B$1907,IF(CUR_I_Report=2,L$88,1/L$88),1)</f>
        <v>0</v>
      </c>
      <c r="M1917" s="43">
        <f>(M1447+M1448)*IF(CUR_I_Report&lt;&gt;$B$1907,IF(CUR_I_Report=2,M$88,1/M$88),1)</f>
        <v>0</v>
      </c>
      <c r="N1917" s="43">
        <f>(N1447+N1448)*IF(CUR_I_Report&lt;&gt;$B$1907,IF(CUR_I_Report=2,N$88,1/N$88),1)</f>
        <v>0</v>
      </c>
      <c r="O1917" s="43">
        <f>(O1447+O1448)*IF(CUR_I_Report&lt;&gt;$B$1907,IF(CUR_I_Report=2,O$88,1/O$88),1)</f>
        <v>0</v>
      </c>
      <c r="P1917" s="43">
        <f>(P1447+P1448)*IF(CUR_I_Report&lt;&gt;$B$1907,IF(CUR_I_Report=2,P$88,1/P$88),1)</f>
        <v>0</v>
      </c>
      <c r="Q1917" s="43">
        <f>(Q1447+Q1448)*IF(CUR_I_Report&lt;&gt;$B$1907,IF(CUR_I_Report=2,Q$88,1/Q$88),1)</f>
        <v>0</v>
      </c>
      <c r="R1917" s="43"/>
      <c r="S1917" s="54">
        <f>SUM(F1917:Q1917)</f>
        <v>0</v>
      </c>
    </row>
    <row r="1918" spans="1:19" outlineLevel="1" x14ac:dyDescent="0.2">
      <c r="A1918" t="str">
        <f ca="1">Language!A$846</f>
        <v>Поступления кредитов</v>
      </c>
      <c r="B1918" s="36" t="str">
        <f ca="1">Language!A$829</f>
        <v>Нет</v>
      </c>
      <c r="C1918" s="5" t="str">
        <f ca="1">C1907</f>
        <v>руб.</v>
      </c>
      <c r="D1918" s="5"/>
      <c r="F1918" s="43"/>
      <c r="G1918" s="43"/>
      <c r="H1918" s="43"/>
      <c r="I1918" s="43"/>
      <c r="J1918" s="43"/>
      <c r="K1918" s="43"/>
      <c r="L1918" s="43"/>
      <c r="M1918" s="43"/>
      <c r="N1918" s="43"/>
      <c r="O1918" s="43"/>
      <c r="P1918" s="43"/>
      <c r="Q1918" s="43"/>
      <c r="R1918" s="43"/>
      <c r="S1918" s="54"/>
    </row>
    <row r="1919" spans="1:19" outlineLevel="1" x14ac:dyDescent="0.2">
      <c r="A1919" t="str">
        <f ca="1">Language!A$847</f>
        <v>Возврат кредитов</v>
      </c>
      <c r="B1919" s="36" t="str">
        <f ca="1">Language!A$829</f>
        <v>Нет</v>
      </c>
      <c r="C1919" s="5" t="str">
        <f ca="1">C1907</f>
        <v>руб.</v>
      </c>
      <c r="D1919" s="5"/>
      <c r="F1919" s="43"/>
      <c r="G1919" s="43"/>
      <c r="H1919" s="43"/>
      <c r="I1919" s="43"/>
      <c r="J1919" s="43"/>
      <c r="K1919" s="43"/>
      <c r="L1919" s="43"/>
      <c r="M1919" s="43"/>
      <c r="N1919" s="43"/>
      <c r="O1919" s="43"/>
      <c r="P1919" s="43"/>
      <c r="Q1919" s="43"/>
      <c r="R1919" s="43"/>
      <c r="S1919" s="54"/>
    </row>
    <row r="1920" spans="1:19" s="4" customFormat="1" ht="16" customHeight="1" x14ac:dyDescent="0.2">
      <c r="A1920" t="str">
        <f ca="1">Language!A$848</f>
        <v>Лизинговые платежи</v>
      </c>
      <c r="B1920" s="36" t="str">
        <f ca="1">Language!A$828</f>
        <v>Да</v>
      </c>
      <c r="C1920" s="5" t="str">
        <f ca="1">C1907</f>
        <v>руб.</v>
      </c>
      <c r="D1920" s="5"/>
      <c r="E1920"/>
      <c r="F1920" s="43">
        <f ca="1">F1451*IF(CUR_I_Report&lt;&gt;$B$1907,IF(CUR_I_Report=2,F$88,1/F$88),1)</f>
        <v>0</v>
      </c>
      <c r="G1920" s="43">
        <f ca="1">G1451*IF(CUR_I_Report&lt;&gt;$B$1907,IF(CUR_I_Report=2,G$88,1/G$88),1)</f>
        <v>0</v>
      </c>
      <c r="H1920" s="43">
        <f ca="1">H1451*IF(CUR_I_Report&lt;&gt;$B$1907,IF(CUR_I_Report=2,H$88,1/H$88),1)</f>
        <v>0</v>
      </c>
      <c r="I1920" s="43">
        <f ca="1">I1451*IF(CUR_I_Report&lt;&gt;$B$1907,IF(CUR_I_Report=2,I$88,1/I$88),1)</f>
        <v>0</v>
      </c>
      <c r="J1920" s="43">
        <f ca="1">J1451*IF(CUR_I_Report&lt;&gt;$B$1907,IF(CUR_I_Report=2,J$88,1/J$88),1)</f>
        <v>0</v>
      </c>
      <c r="K1920" s="43">
        <f ca="1">K1451*IF(CUR_I_Report&lt;&gt;$B$1907,IF(CUR_I_Report=2,K$88,1/K$88),1)</f>
        <v>0</v>
      </c>
      <c r="L1920" s="43">
        <f ca="1">L1451*IF(CUR_I_Report&lt;&gt;$B$1907,IF(CUR_I_Report=2,L$88,1/L$88),1)</f>
        <v>0</v>
      </c>
      <c r="M1920" s="43">
        <f ca="1">M1451*IF(CUR_I_Report&lt;&gt;$B$1907,IF(CUR_I_Report=2,M$88,1/M$88),1)</f>
        <v>0</v>
      </c>
      <c r="N1920" s="43">
        <f ca="1">N1451*IF(CUR_I_Report&lt;&gt;$B$1907,IF(CUR_I_Report=2,N$88,1/N$88),1)</f>
        <v>0</v>
      </c>
      <c r="O1920" s="43">
        <f ca="1">O1451*IF(CUR_I_Report&lt;&gt;$B$1907,IF(CUR_I_Report=2,O$88,1/O$88),1)</f>
        <v>0</v>
      </c>
      <c r="P1920" s="43">
        <f ca="1">P1451*IF(CUR_I_Report&lt;&gt;$B$1907,IF(CUR_I_Report=2,P$88,1/P$88),1)</f>
        <v>0</v>
      </c>
      <c r="Q1920" s="43">
        <f ca="1">Q1451*IF(CUR_I_Report&lt;&gt;$B$1907,IF(CUR_I_Report=2,Q$88,1/Q$88),1)</f>
        <v>0</v>
      </c>
      <c r="R1920" s="43"/>
      <c r="S1920" s="54">
        <f ca="1">SUM(F1920:Q1920)</f>
        <v>0</v>
      </c>
    </row>
    <row r="1921" spans="1:19" outlineLevel="1" x14ac:dyDescent="0.2">
      <c r="A1921" t="str">
        <f ca="1">Language!A$849</f>
        <v>Выплата дивидендов</v>
      </c>
      <c r="B1921" s="36" t="str">
        <f ca="1">Language!A$828</f>
        <v>Да</v>
      </c>
      <c r="C1921" s="5" t="str">
        <f ca="1">C1907</f>
        <v>руб.</v>
      </c>
      <c r="D1921" s="5"/>
      <c r="F1921" s="53">
        <f ca="1">F1452*IF(CUR_I_Report&lt;&gt;$B$1907,IF(CUR_I_Report=2,F$88,1/F$88),1)</f>
        <v>0</v>
      </c>
      <c r="G1921" s="53">
        <f ca="1">G1452*IF(CUR_I_Report&lt;&gt;$B$1907,IF(CUR_I_Report=2,G$88,1/G$88),1)</f>
        <v>0</v>
      </c>
      <c r="H1921" s="53">
        <f ca="1">H1452*IF(CUR_I_Report&lt;&gt;$B$1907,IF(CUR_I_Report=2,H$88,1/H$88),1)</f>
        <v>0</v>
      </c>
      <c r="I1921" s="53">
        <f ca="1">I1452*IF(CUR_I_Report&lt;&gt;$B$1907,IF(CUR_I_Report=2,I$88,1/I$88),1)</f>
        <v>0</v>
      </c>
      <c r="J1921" s="53">
        <f ca="1">J1452*IF(CUR_I_Report&lt;&gt;$B$1907,IF(CUR_I_Report=2,J$88,1/J$88),1)</f>
        <v>0</v>
      </c>
      <c r="K1921" s="53">
        <f ca="1">K1452*IF(CUR_I_Report&lt;&gt;$B$1907,IF(CUR_I_Report=2,K$88,1/K$88),1)</f>
        <v>0</v>
      </c>
      <c r="L1921" s="53">
        <f ca="1">L1452*IF(CUR_I_Report&lt;&gt;$B$1907,IF(CUR_I_Report=2,L$88,1/L$88),1)</f>
        <v>0</v>
      </c>
      <c r="M1921" s="53">
        <f ca="1">M1452*IF(CUR_I_Report&lt;&gt;$B$1907,IF(CUR_I_Report=2,M$88,1/M$88),1)</f>
        <v>0</v>
      </c>
      <c r="N1921" s="53">
        <f ca="1">N1452*IF(CUR_I_Report&lt;&gt;$B$1907,IF(CUR_I_Report=2,N$88,1/N$88),1)</f>
        <v>0</v>
      </c>
      <c r="O1921" s="53">
        <f ca="1">O1452*IF(CUR_I_Report&lt;&gt;$B$1907,IF(CUR_I_Report=2,O$88,1/O$88),1)</f>
        <v>0</v>
      </c>
      <c r="P1921" s="53">
        <f ca="1">P1452*IF(CUR_I_Report&lt;&gt;$B$1907,IF(CUR_I_Report=2,P$88,1/P$88),1)</f>
        <v>0</v>
      </c>
      <c r="Q1921" s="53">
        <f ca="1">Q1452*IF(CUR_I_Report&lt;&gt;$B$1907,IF(CUR_I_Report=2,Q$88,1/Q$88),1)</f>
        <v>0</v>
      </c>
      <c r="R1921" s="43"/>
      <c r="S1921" s="54">
        <f ca="1">SUM(F1921:Q1921)</f>
        <v>0</v>
      </c>
    </row>
    <row r="1922" spans="1:19" outlineLevel="1" x14ac:dyDescent="0.2">
      <c r="A1922" t="str">
        <f ca="1">Language!A$850</f>
        <v>Ранее осуществленные инвестиции</v>
      </c>
      <c r="B1922" s="36" t="str">
        <f ca="1">Language!A$829</f>
        <v>Нет</v>
      </c>
      <c r="C1922" s="5" t="str">
        <f ca="1">C1907</f>
        <v>руб.</v>
      </c>
      <c r="D1922" s="5"/>
      <c r="F1922" s="43"/>
      <c r="G1922" s="43"/>
      <c r="H1922" s="43"/>
      <c r="I1922" s="43"/>
      <c r="J1922" s="43"/>
      <c r="K1922" s="43"/>
      <c r="L1922" s="43"/>
      <c r="M1922" s="43"/>
      <c r="N1922" s="43"/>
      <c r="O1922" s="43"/>
      <c r="P1922" s="43"/>
      <c r="Q1922" s="43"/>
      <c r="R1922" s="43"/>
      <c r="S1922" s="54"/>
    </row>
    <row r="1923" spans="1:19" outlineLevel="1" collapsed="1" x14ac:dyDescent="0.2">
      <c r="A1923" t="str">
        <f ca="1">Language!A$851</f>
        <v>Остаточная стоимость проекта</v>
      </c>
      <c r="B1923" s="36" t="str">
        <f ca="1">Language!A$829</f>
        <v>Нет</v>
      </c>
      <c r="C1923" s="5" t="str">
        <f ca="1">C1907</f>
        <v>руб.</v>
      </c>
      <c r="D1923" s="5"/>
      <c r="F1923" s="43"/>
      <c r="G1923" s="43"/>
      <c r="H1923" s="43"/>
      <c r="I1923" s="43"/>
      <c r="J1923" s="43"/>
      <c r="K1923" s="43"/>
      <c r="L1923" s="43"/>
      <c r="M1923" s="43"/>
      <c r="N1923" s="43"/>
      <c r="O1923" s="43"/>
      <c r="P1923" s="43"/>
      <c r="Q1923" s="43"/>
      <c r="R1923" s="43"/>
      <c r="S1923" s="54"/>
    </row>
    <row r="1924" spans="1:19" hidden="1" outlineLevel="2" x14ac:dyDescent="0.2">
      <c r="A1924" s="63"/>
      <c r="B1924" s="63"/>
      <c r="C1924" s="67"/>
      <c r="D1924" s="67"/>
      <c r="E1924" s="63"/>
      <c r="F1924" s="121"/>
      <c r="G1924" s="121"/>
      <c r="H1924" s="121"/>
      <c r="I1924" s="121"/>
      <c r="J1924" s="121"/>
      <c r="K1924" s="121"/>
      <c r="L1924" s="121"/>
      <c r="M1924" s="121"/>
      <c r="N1924" s="121"/>
      <c r="O1924" s="121"/>
      <c r="P1924" s="121"/>
      <c r="Q1924" s="121"/>
      <c r="R1924" s="121"/>
      <c r="S1924" s="122"/>
    </row>
    <row r="1925" spans="1:19" hidden="1" outlineLevel="2" x14ac:dyDescent="0.2">
      <c r="A1925" s="24" t="str">
        <f ca="1">Language!A$852</f>
        <v>Чистый денежный поток</v>
      </c>
      <c r="B1925" s="19"/>
      <c r="C1925" s="26" t="str">
        <f ca="1">C1907</f>
        <v>руб.</v>
      </c>
      <c r="D1925" s="26"/>
      <c r="E1925" s="19"/>
      <c r="F1925" s="65">
        <f t="shared" ref="F1925:M1925" ca="1" si="2003">F1915+F1922+F1917+F1916+F1923+F1913+F1914+F1920+F1921</f>
        <v>-2317784</v>
      </c>
      <c r="G1925" s="65">
        <f t="shared" ca="1" si="2003"/>
        <v>-2971200</v>
      </c>
      <c r="H1925" s="65">
        <f t="shared" ca="1" si="2003"/>
        <v>-2403572.6316249999</v>
      </c>
      <c r="I1925" s="65">
        <f t="shared" ca="1" si="2003"/>
        <v>-1819259.0352500002</v>
      </c>
      <c r="J1925" s="65">
        <f t="shared" ca="1" si="2003"/>
        <v>-1156065.7018749998</v>
      </c>
      <c r="K1925" s="65">
        <f t="shared" ca="1" si="2003"/>
        <v>243628.59625000041</v>
      </c>
      <c r="L1925" s="65">
        <f t="shared" ca="1" si="2003"/>
        <v>1521143.5087499996</v>
      </c>
      <c r="M1925" s="65">
        <f t="shared" ca="1" si="2003"/>
        <v>2798658.4212500006</v>
      </c>
      <c r="N1925" s="65">
        <f t="shared" ref="N1925" ca="1" si="2004">N1915+N1922+N1917+N1916+N1923+N1913+N1914+N1920+N1921</f>
        <v>4837110.1756250001</v>
      </c>
      <c r="O1925" s="65">
        <f t="shared" ref="O1925:Q1925" ca="1" si="2005">O1915+O1922+O1917+O1916+O1923+O1913+O1914+O1920+O1921</f>
        <v>7514319.3862500004</v>
      </c>
      <c r="P1925" s="65">
        <f t="shared" ref="P1925:Q1925" ca="1" si="2006">P1915+P1922+P1917+P1916+P1923+P1913+P1914+P1920+P1921</f>
        <v>9308412.3693749998</v>
      </c>
      <c r="Q1925" s="65">
        <f t="shared" ca="1" si="2006"/>
        <v>10463747.89625</v>
      </c>
      <c r="R1925" s="65"/>
      <c r="S1925" s="54">
        <f ca="1">SUM(F1925:Q1925)</f>
        <v>26019138.984999999</v>
      </c>
    </row>
    <row r="1926" spans="1:19" outlineLevel="1" collapsed="1" x14ac:dyDescent="0.2">
      <c r="A1926" t="str">
        <f ca="1">Language!A$853</f>
        <v>Дисконтированный чистый денежный поток</v>
      </c>
      <c r="C1926" s="5" t="str">
        <f ca="1">C1907</f>
        <v>руб.</v>
      </c>
      <c r="D1926" s="5"/>
      <c r="F1926" s="43">
        <f t="shared" ref="F1926:M1926" ca="1" si="2007">F1925/F1910</f>
        <v>-2317784</v>
      </c>
      <c r="G1926" s="43">
        <f t="shared" ca="1" si="2007"/>
        <v>-2918362.9498474849</v>
      </c>
      <c r="H1926" s="43">
        <f t="shared" ca="1" si="2007"/>
        <v>-2318846.9427072178</v>
      </c>
      <c r="I1926" s="43">
        <f t="shared" ca="1" si="2007"/>
        <v>-1723918.7393987507</v>
      </c>
      <c r="J1926" s="43">
        <f t="shared" ca="1" si="2007"/>
        <v>-1075999.7824031452</v>
      </c>
      <c r="K1926" s="43">
        <f t="shared" ca="1" si="2007"/>
        <v>222723.14286194713</v>
      </c>
      <c r="L1926" s="43">
        <f t="shared" ca="1" si="2007"/>
        <v>1365886.7390806272</v>
      </c>
      <c r="M1926" s="43">
        <f t="shared" ca="1" si="2007"/>
        <v>2468321.9911042023</v>
      </c>
      <c r="N1926" s="43">
        <f t="shared" ref="N1926" ca="1" si="2008">N1925/N1910</f>
        <v>4190301.892055844</v>
      </c>
      <c r="O1926" s="43">
        <f t="shared" ref="O1926:Q1926" ca="1" si="2009">O1925/O1910</f>
        <v>6393761.0327219162</v>
      </c>
      <c r="P1926" s="43">
        <f t="shared" ref="P1926:Q1926" ca="1" si="2010">P1925/P1910</f>
        <v>7779465.9004354831</v>
      </c>
      <c r="Q1926" s="43">
        <f t="shared" ca="1" si="2010"/>
        <v>8589519.1293099187</v>
      </c>
      <c r="R1926" s="43"/>
      <c r="S1926" s="54">
        <f ca="1">SUM(F1926:Q1926)</f>
        <v>20655067.413213339</v>
      </c>
    </row>
    <row r="1927" spans="1:19" hidden="1" outlineLevel="2" x14ac:dyDescent="0.2">
      <c r="A1927" t="str">
        <f ca="1">Language!A$854</f>
        <v>Дисконтированный поток нарастающим итогом</v>
      </c>
      <c r="C1927" s="5" t="str">
        <f ca="1">C1907</f>
        <v>руб.</v>
      </c>
      <c r="D1927" s="5"/>
      <c r="F1927" s="43">
        <f t="shared" ref="F1927:Q1927" ca="1" si="2011">E1927+F1926</f>
        <v>-2317784</v>
      </c>
      <c r="G1927" s="43">
        <f t="shared" ca="1" si="2011"/>
        <v>-5236146.9498474849</v>
      </c>
      <c r="H1927" s="43">
        <f t="shared" ca="1" si="2011"/>
        <v>-7554993.8925547022</v>
      </c>
      <c r="I1927" s="43">
        <f t="shared" ca="1" si="2011"/>
        <v>-9278912.6319534536</v>
      </c>
      <c r="J1927" s="43">
        <f t="shared" ca="1" si="2011"/>
        <v>-10354912.414356599</v>
      </c>
      <c r="K1927" s="43">
        <f t="shared" ca="1" si="2011"/>
        <v>-10132189.271494651</v>
      </c>
      <c r="L1927" s="43">
        <f t="shared" ca="1" si="2011"/>
        <v>-8766302.5324140247</v>
      </c>
      <c r="M1927" s="43">
        <f t="shared" ca="1" si="2011"/>
        <v>-6297980.5413098224</v>
      </c>
      <c r="N1927" s="43">
        <f t="shared" ca="1" si="2011"/>
        <v>-2107678.6492539784</v>
      </c>
      <c r="O1927" s="43">
        <f t="shared" ca="1" si="2011"/>
        <v>4286082.3834679378</v>
      </c>
      <c r="P1927" s="43">
        <f t="shared" ca="1" si="2011"/>
        <v>12065548.28390342</v>
      </c>
      <c r="Q1927" s="43">
        <f t="shared" ca="1" si="2011"/>
        <v>20655067.413213339</v>
      </c>
      <c r="R1927" s="43"/>
      <c r="S1927" s="54"/>
    </row>
    <row r="1928" spans="1:19" hidden="1" outlineLevel="2" x14ac:dyDescent="0.2">
      <c r="F1928" s="43"/>
      <c r="G1928" s="43"/>
      <c r="H1928" s="43"/>
      <c r="I1928" s="43"/>
      <c r="J1928" s="43"/>
      <c r="K1928" s="43"/>
      <c r="L1928" s="43"/>
      <c r="M1928" s="43"/>
      <c r="N1928" s="43"/>
      <c r="O1928" s="43"/>
      <c r="P1928" s="43"/>
      <c r="Q1928" s="43"/>
      <c r="R1928" s="43"/>
      <c r="S1928" s="54"/>
    </row>
    <row r="1929" spans="1:19" hidden="1" outlineLevel="2" x14ac:dyDescent="0.2">
      <c r="A1929" s="23" t="str">
        <f ca="1">Language!A$855</f>
        <v>Простой срок окупаемости</v>
      </c>
      <c r="B1929" s="164">
        <f ca="1">IF(ISERROR(E1931),Language!A$829,IF(E1931&gt;=PRJ_Len,Language!A$829,IF(OR(E1931=0),E1931*PRJ_Step/360,(E1931-OFFSET(F1930,0,E1931-1)/(-OFFSET(F1930,0,E1931-1)+OFFSET(F1930,0,E1931)))*PRJ_Step/360)))</f>
        <v>0.76405472895294224</v>
      </c>
      <c r="C1929" s="17" t="str">
        <f ca="1">IF(B1929=0,Language!A$33,IF(OR(B1929&lt;1,AND(B1929&gt;1,B1929&lt;5)),Language!A$830,IF(B1929=1,Language!A$37,Language!A$33)))</f>
        <v>года</v>
      </c>
    </row>
    <row r="1930" spans="1:19" hidden="1" outlineLevel="2" x14ac:dyDescent="0.2">
      <c r="A1930" t="str">
        <f ca="1">Language!A$856</f>
        <v xml:space="preserve">    недисконтированный поток нарастающим итогом</v>
      </c>
      <c r="D1930" s="16" t="s">
        <v>384</v>
      </c>
      <c r="F1930" s="53">
        <f t="shared" ref="F1930:Q1930" ca="1" si="2012">E1930+F1925</f>
        <v>-2317784</v>
      </c>
      <c r="G1930" s="53">
        <f t="shared" ca="1" si="2012"/>
        <v>-5288984</v>
      </c>
      <c r="H1930" s="53">
        <f t="shared" ca="1" si="2012"/>
        <v>-7692556.6316250004</v>
      </c>
      <c r="I1930" s="53">
        <f t="shared" ca="1" si="2012"/>
        <v>-9511815.666875001</v>
      </c>
      <c r="J1930" s="53">
        <f t="shared" ca="1" si="2012"/>
        <v>-10667881.36875</v>
      </c>
      <c r="K1930" s="53">
        <f t="shared" ca="1" si="2012"/>
        <v>-10424252.772500001</v>
      </c>
      <c r="L1930" s="53">
        <f t="shared" ca="1" si="2012"/>
        <v>-8903109.2637500018</v>
      </c>
      <c r="M1930" s="53">
        <f t="shared" ca="1" si="2012"/>
        <v>-6104450.8425000012</v>
      </c>
      <c r="N1930" s="53">
        <f t="shared" ca="1" si="2012"/>
        <v>-1267340.666875001</v>
      </c>
      <c r="O1930" s="53">
        <f t="shared" ca="1" si="2012"/>
        <v>6246978.7193749994</v>
      </c>
      <c r="P1930" s="53">
        <f t="shared" ca="1" si="2012"/>
        <v>15555391.088749999</v>
      </c>
      <c r="Q1930" s="53">
        <f t="shared" ca="1" si="2012"/>
        <v>26019138.984999999</v>
      </c>
    </row>
    <row r="1931" spans="1:19" hidden="1" outlineLevel="2" x14ac:dyDescent="0.2">
      <c r="A1931" t="str">
        <f ca="1">Language!A$857</f>
        <v xml:space="preserve">    знак остатка денежных средств</v>
      </c>
      <c r="D1931" s="16" t="s">
        <v>384</v>
      </c>
      <c r="E1931" s="101">
        <f ca="1">PRJ_Len+1-(MATCH(-1,F1932:R1932,0))</f>
        <v>9</v>
      </c>
      <c r="F1931" s="16">
        <f t="shared" ref="F1931:M1931" ca="1" si="2013">SIGN(F1930)</f>
        <v>-1</v>
      </c>
      <c r="G1931" s="16">
        <f t="shared" ca="1" si="2013"/>
        <v>-1</v>
      </c>
      <c r="H1931" s="16">
        <f t="shared" ca="1" si="2013"/>
        <v>-1</v>
      </c>
      <c r="I1931" s="16">
        <f t="shared" ca="1" si="2013"/>
        <v>-1</v>
      </c>
      <c r="J1931" s="16">
        <f t="shared" ca="1" si="2013"/>
        <v>-1</v>
      </c>
      <c r="K1931" s="16">
        <f t="shared" ca="1" si="2013"/>
        <v>-1</v>
      </c>
      <c r="L1931" s="16">
        <f t="shared" ca="1" si="2013"/>
        <v>-1</v>
      </c>
      <c r="M1931" s="16">
        <f t="shared" ca="1" si="2013"/>
        <v>-1</v>
      </c>
      <c r="N1931" s="16">
        <f t="shared" ref="N1931" ca="1" si="2014">SIGN(N1930)</f>
        <v>-1</v>
      </c>
      <c r="O1931" s="16">
        <f t="shared" ref="O1931:Q1931" ca="1" si="2015">SIGN(O1930)</f>
        <v>1</v>
      </c>
      <c r="P1931" s="16">
        <f t="shared" ref="P1931:Q1931" ca="1" si="2016">SIGN(P1930)</f>
        <v>1</v>
      </c>
      <c r="Q1931" s="16">
        <f t="shared" ca="1" si="2016"/>
        <v>1</v>
      </c>
    </row>
    <row r="1932" spans="1:19" hidden="1" outlineLevel="2" x14ac:dyDescent="0.2">
      <c r="A1932" t="str">
        <f ca="1">Language!A$858</f>
        <v xml:space="preserve">    знак остатка денежных средств (с конца)</v>
      </c>
      <c r="D1932" s="16" t="s">
        <v>384</v>
      </c>
      <c r="F1932" s="101">
        <f t="shared" ref="F1932:M1932" ca="1" si="2017">OFFSET(F1931,0,PRJ_Len-F$29-F$29+1)</f>
        <v>1</v>
      </c>
      <c r="G1932" s="101">
        <f t="shared" ca="1" si="2017"/>
        <v>1</v>
      </c>
      <c r="H1932" s="101">
        <f t="shared" ca="1" si="2017"/>
        <v>1</v>
      </c>
      <c r="I1932" s="101">
        <f t="shared" ca="1" si="2017"/>
        <v>-1</v>
      </c>
      <c r="J1932" s="101">
        <f t="shared" ca="1" si="2017"/>
        <v>-1</v>
      </c>
      <c r="K1932" s="101">
        <f t="shared" ca="1" si="2017"/>
        <v>-1</v>
      </c>
      <c r="L1932" s="101">
        <f t="shared" ca="1" si="2017"/>
        <v>-1</v>
      </c>
      <c r="M1932" s="101">
        <f t="shared" ca="1" si="2017"/>
        <v>-1</v>
      </c>
      <c r="N1932" s="101">
        <f t="shared" ref="N1932" ca="1" si="2018">OFFSET(N1931,0,PRJ_Len-N$29-N$29+1)</f>
        <v>-1</v>
      </c>
      <c r="O1932" s="101">
        <f t="shared" ref="O1932" ca="1" si="2019">OFFSET(O1931,0,PRJ_Len-O$29-O$29+1)</f>
        <v>-1</v>
      </c>
      <c r="P1932" s="101">
        <f t="shared" ref="P1932:Q1932" ca="1" si="2020">OFFSET(P1931,0,PRJ_Len-P$29-P$29+1)</f>
        <v>-1</v>
      </c>
      <c r="Q1932" s="101">
        <f t="shared" ca="1" si="2020"/>
        <v>-1</v>
      </c>
    </row>
    <row r="1933" spans="1:19" hidden="1" outlineLevel="2" x14ac:dyDescent="0.2"/>
    <row r="1934" spans="1:19" ht="10.5" hidden="1" outlineLevel="2" x14ac:dyDescent="0.25">
      <c r="A1934" s="35" t="str">
        <f ca="1">Language!A$859</f>
        <v>Чистая приведенная стоимость (NPV)</v>
      </c>
      <c r="B1934" s="151">
        <f ca="1">S1926</f>
        <v>20655067.413213339</v>
      </c>
      <c r="C1934" s="5" t="str">
        <f ca="1">C1907</f>
        <v>руб.</v>
      </c>
    </row>
    <row r="1935" spans="1:19" ht="10.5" hidden="1" outlineLevel="2" x14ac:dyDescent="0.25">
      <c r="A1935" s="35" t="str">
        <f ca="1">Language!A$860</f>
        <v>Дисконтированный срок окупаемости (PBP)</v>
      </c>
      <c r="B1935" s="150">
        <f ca="1">IF(ISERROR(E1936),Language!A$829,IF(E1936&gt;=PRJ_Len,Language!A$829,IF(OR(E1936=0),E1936*PRJ_Step/360,(E1936-OFFSET(F1927,0,E1936-1)/(-OFFSET(F1927,0,E1936-1)+OFFSET(F1927,0,E1936)))*PRJ_Step/360)))</f>
        <v>0.77747051172837778</v>
      </c>
      <c r="C1935" s="17" t="str">
        <f ca="1">IF(B1935=0,Language!A$33,IF(OR(B1935&lt;1,AND(B1935&gt;1,B1935&lt;5)),Language!A$830,IF(B1935=1,Language!A$37,Language!A$33)))</f>
        <v>года</v>
      </c>
    </row>
    <row r="1936" spans="1:19" hidden="1" outlineLevel="2" x14ac:dyDescent="0.2">
      <c r="A1936" t="str">
        <f ca="1">Language!A$861</f>
        <v xml:space="preserve">    знак остатка дисконтированных денежных средств</v>
      </c>
      <c r="D1936" s="16" t="s">
        <v>384</v>
      </c>
      <c r="E1936" s="101">
        <f ca="1">PRJ_Len+1-(MATCH(-1,F1937:R1937,0))</f>
        <v>9</v>
      </c>
      <c r="F1936" s="16">
        <f t="shared" ref="F1936:M1936" ca="1" si="2021">SIGN(F1927)</f>
        <v>-1</v>
      </c>
      <c r="G1936" s="16">
        <f t="shared" ca="1" si="2021"/>
        <v>-1</v>
      </c>
      <c r="H1936" s="16">
        <f t="shared" ca="1" si="2021"/>
        <v>-1</v>
      </c>
      <c r="I1936" s="16">
        <f t="shared" ca="1" si="2021"/>
        <v>-1</v>
      </c>
      <c r="J1936" s="16">
        <f t="shared" ca="1" si="2021"/>
        <v>-1</v>
      </c>
      <c r="K1936" s="16">
        <f t="shared" ca="1" si="2021"/>
        <v>-1</v>
      </c>
      <c r="L1936" s="16">
        <f t="shared" ca="1" si="2021"/>
        <v>-1</v>
      </c>
      <c r="M1936" s="16">
        <f t="shared" ca="1" si="2021"/>
        <v>-1</v>
      </c>
      <c r="N1936" s="16">
        <f t="shared" ref="N1936" ca="1" si="2022">SIGN(N1927)</f>
        <v>-1</v>
      </c>
      <c r="O1936" s="16">
        <f t="shared" ref="O1936:Q1936" ca="1" si="2023">SIGN(O1927)</f>
        <v>1</v>
      </c>
      <c r="P1936" s="16">
        <f t="shared" ref="P1936:Q1936" ca="1" si="2024">SIGN(P1927)</f>
        <v>1</v>
      </c>
      <c r="Q1936" s="16">
        <f t="shared" ca="1" si="2024"/>
        <v>1</v>
      </c>
    </row>
    <row r="1937" spans="1:19" hidden="1" outlineLevel="2" x14ac:dyDescent="0.2">
      <c r="A1937" t="str">
        <f ca="1">Language!A$862</f>
        <v xml:space="preserve">    знак остатка дисконтированных денежных средств (с конца)</v>
      </c>
      <c r="D1937" s="16" t="s">
        <v>384</v>
      </c>
      <c r="F1937" s="101">
        <f t="shared" ref="F1937:M1937" ca="1" si="2025">OFFSET(F1936,0,PRJ_Len-F$29-F$29+1)</f>
        <v>1</v>
      </c>
      <c r="G1937" s="101">
        <f t="shared" ca="1" si="2025"/>
        <v>1</v>
      </c>
      <c r="H1937" s="101">
        <f t="shared" ca="1" si="2025"/>
        <v>1</v>
      </c>
      <c r="I1937" s="101">
        <f t="shared" ca="1" si="2025"/>
        <v>-1</v>
      </c>
      <c r="J1937" s="101">
        <f t="shared" ca="1" si="2025"/>
        <v>-1</v>
      </c>
      <c r="K1937" s="101">
        <f t="shared" ca="1" si="2025"/>
        <v>-1</v>
      </c>
      <c r="L1937" s="101">
        <f t="shared" ca="1" si="2025"/>
        <v>-1</v>
      </c>
      <c r="M1937" s="101">
        <f t="shared" ca="1" si="2025"/>
        <v>-1</v>
      </c>
      <c r="N1937" s="101">
        <f t="shared" ref="N1937" ca="1" si="2026">OFFSET(N1936,0,PRJ_Len-N$29-N$29+1)</f>
        <v>-1</v>
      </c>
      <c r="O1937" s="101">
        <f t="shared" ref="O1937" ca="1" si="2027">OFFSET(O1936,0,PRJ_Len-O$29-O$29+1)</f>
        <v>-1</v>
      </c>
      <c r="P1937" s="101">
        <f t="shared" ref="P1937:Q1937" ca="1" si="2028">OFFSET(P1936,0,PRJ_Len-P$29-P$29+1)</f>
        <v>-1</v>
      </c>
      <c r="Q1937" s="101">
        <f t="shared" ca="1" si="2028"/>
        <v>-1</v>
      </c>
    </row>
    <row r="1938" spans="1:19" ht="10.5" hidden="1" outlineLevel="2" x14ac:dyDescent="0.25">
      <c r="A1938" s="130" t="str">
        <f ca="1">Language!A$863</f>
        <v>Внутренняя норма рентабельности (IRR)</v>
      </c>
      <c r="B1938" s="152">
        <f ca="1">IF(ISERROR(E1938),Language!A$829,IF(AND(E1938&gt;0,E1938&lt;100),E1938,Language!A$829))</f>
        <v>5.9241601325997308</v>
      </c>
      <c r="C1938" s="107" t="str">
        <f ca="1">IF(CalcMethod=1,Language!A$831,Language!A$832)</f>
        <v>(реальная - без учета инфляции)</v>
      </c>
      <c r="E1938" s="16">
        <f ca="1">(POWER(1+IRR(F1939:Q1939,0.2*PRJ_Step/360),360/PRJ_Step)-1)</f>
        <v>5.9241601325997308</v>
      </c>
    </row>
    <row r="1939" spans="1:19" ht="10.5" hidden="1" outlineLevel="2" x14ac:dyDescent="0.2">
      <c r="A1939" s="24" t="str">
        <f ca="1">Language!A$852</f>
        <v>Чистый денежный поток</v>
      </c>
      <c r="B1939" s="223"/>
      <c r="C1939" s="216"/>
      <c r="D1939" s="48"/>
      <c r="E1939" s="101"/>
      <c r="F1939" s="65">
        <f t="shared" ref="F1939:M1939" ca="1" si="2029">F1925</f>
        <v>-2317784</v>
      </c>
      <c r="G1939" s="65">
        <f t="shared" ca="1" si="2029"/>
        <v>-2971200</v>
      </c>
      <c r="H1939" s="65">
        <f t="shared" ca="1" si="2029"/>
        <v>-2403572.6316249999</v>
      </c>
      <c r="I1939" s="65">
        <f t="shared" ca="1" si="2029"/>
        <v>-1819259.0352500002</v>
      </c>
      <c r="J1939" s="65">
        <f t="shared" ca="1" si="2029"/>
        <v>-1156065.7018749998</v>
      </c>
      <c r="K1939" s="65">
        <f t="shared" ca="1" si="2029"/>
        <v>243628.59625000041</v>
      </c>
      <c r="L1939" s="65">
        <f t="shared" ca="1" si="2029"/>
        <v>1521143.5087499996</v>
      </c>
      <c r="M1939" s="65">
        <f t="shared" ca="1" si="2029"/>
        <v>2798658.4212500006</v>
      </c>
      <c r="N1939" s="65">
        <f t="shared" ref="N1939" ca="1" si="2030">N1925</f>
        <v>4837110.1756250001</v>
      </c>
      <c r="O1939" s="65">
        <f t="shared" ref="O1939:Q1939" ca="1" si="2031">O1925</f>
        <v>7514319.3862500004</v>
      </c>
      <c r="P1939" s="65">
        <f t="shared" ref="P1939:Q1939" ca="1" si="2032">P1925</f>
        <v>9308412.3693749998</v>
      </c>
      <c r="Q1939" s="65">
        <f t="shared" ca="1" si="2032"/>
        <v>10463747.89625</v>
      </c>
      <c r="R1939" s="48"/>
      <c r="S1939" s="41"/>
    </row>
    <row r="1940" spans="1:19" outlineLevel="1" x14ac:dyDescent="0.2">
      <c r="A1940" s="23" t="str">
        <f ca="1">Language!A$864</f>
        <v>Норма доходности дисконтированных затрат (PI)</v>
      </c>
      <c r="B1940" s="309">
        <f ca="1">IF(S1944&lt;0,S1942/-S1944,Language!A$829)</f>
        <v>2.9947119383236949</v>
      </c>
      <c r="C1940" s="5" t="str">
        <f ca="1">Language!A$197</f>
        <v>разы</v>
      </c>
    </row>
    <row r="1941" spans="1:19" outlineLevel="1" x14ac:dyDescent="0.2">
      <c r="A1941" t="str">
        <f ca="1">Language!A$865</f>
        <v xml:space="preserve">    притоки</v>
      </c>
      <c r="C1941" s="5" t="str">
        <f ca="1">C1907</f>
        <v>руб.</v>
      </c>
      <c r="F1941" s="43">
        <f t="shared" ref="F1941:M1941" ca="1" si="2033">MAX(0,F1925)</f>
        <v>0</v>
      </c>
      <c r="G1941" s="43">
        <f t="shared" ca="1" si="2033"/>
        <v>0</v>
      </c>
      <c r="H1941" s="43">
        <f t="shared" ca="1" si="2033"/>
        <v>0</v>
      </c>
      <c r="I1941" s="43">
        <f t="shared" ca="1" si="2033"/>
        <v>0</v>
      </c>
      <c r="J1941" s="43">
        <f t="shared" ca="1" si="2033"/>
        <v>0</v>
      </c>
      <c r="K1941" s="43">
        <f t="shared" ca="1" si="2033"/>
        <v>243628.59625000041</v>
      </c>
      <c r="L1941" s="43">
        <f t="shared" ca="1" si="2033"/>
        <v>1521143.5087499996</v>
      </c>
      <c r="M1941" s="43">
        <f t="shared" ca="1" si="2033"/>
        <v>2798658.4212500006</v>
      </c>
      <c r="N1941" s="43">
        <f t="shared" ref="N1941" ca="1" si="2034">MAX(0,N1925)</f>
        <v>4837110.1756250001</v>
      </c>
      <c r="O1941" s="43">
        <f t="shared" ref="O1941:Q1941" ca="1" si="2035">MAX(0,O1925)</f>
        <v>7514319.3862500004</v>
      </c>
      <c r="P1941" s="43">
        <f t="shared" ref="P1941:Q1941" ca="1" si="2036">MAX(0,P1925)</f>
        <v>9308412.3693749998</v>
      </c>
      <c r="Q1941" s="43">
        <f t="shared" ca="1" si="2036"/>
        <v>10463747.89625</v>
      </c>
      <c r="S1941" s="54">
        <f ca="1">SUM(F1941:Q1941)</f>
        <v>36687020.353750005</v>
      </c>
    </row>
    <row r="1942" spans="1:19" outlineLevel="1" x14ac:dyDescent="0.2">
      <c r="A1942" t="str">
        <f ca="1">Language!A$866</f>
        <v xml:space="preserve">    дисконтированные притоки</v>
      </c>
      <c r="C1942" s="5" t="str">
        <f ca="1">C1907</f>
        <v>руб.</v>
      </c>
      <c r="F1942" s="43">
        <f t="shared" ref="F1942:M1942" ca="1" si="2037">F1941/F1910</f>
        <v>0</v>
      </c>
      <c r="G1942" s="43">
        <f t="shared" ca="1" si="2037"/>
        <v>0</v>
      </c>
      <c r="H1942" s="43">
        <f t="shared" ca="1" si="2037"/>
        <v>0</v>
      </c>
      <c r="I1942" s="43">
        <f t="shared" ca="1" si="2037"/>
        <v>0</v>
      </c>
      <c r="J1942" s="43">
        <f t="shared" ca="1" si="2037"/>
        <v>0</v>
      </c>
      <c r="K1942" s="43">
        <f t="shared" ca="1" si="2037"/>
        <v>222723.14286194713</v>
      </c>
      <c r="L1942" s="43">
        <f t="shared" ca="1" si="2037"/>
        <v>1365886.7390806272</v>
      </c>
      <c r="M1942" s="43">
        <f t="shared" ca="1" si="2037"/>
        <v>2468321.9911042023</v>
      </c>
      <c r="N1942" s="43">
        <f t="shared" ref="N1942" ca="1" si="2038">N1941/N1910</f>
        <v>4190301.892055844</v>
      </c>
      <c r="O1942" s="43">
        <f t="shared" ref="O1942:Q1942" ca="1" si="2039">O1941/O1910</f>
        <v>6393761.0327219162</v>
      </c>
      <c r="P1942" s="43">
        <f t="shared" ref="P1942:Q1942" ca="1" si="2040">P1941/P1910</f>
        <v>7779465.9004354831</v>
      </c>
      <c r="Q1942" s="43">
        <f t="shared" ca="1" si="2040"/>
        <v>8589519.1293099187</v>
      </c>
      <c r="S1942" s="54">
        <f ca="1">SUM(F1942:Q1942)</f>
        <v>31009979.827569939</v>
      </c>
    </row>
    <row r="1943" spans="1:19" outlineLevel="1" x14ac:dyDescent="0.2">
      <c r="A1943" t="str">
        <f ca="1">Language!A$867</f>
        <v xml:space="preserve">    оттоки</v>
      </c>
      <c r="C1943" s="5" t="str">
        <f ca="1">C1907</f>
        <v>руб.</v>
      </c>
      <c r="F1943" s="43">
        <f t="shared" ref="F1943:M1943" ca="1" si="2041">MIN(0,F1925)</f>
        <v>-2317784</v>
      </c>
      <c r="G1943" s="43">
        <f t="shared" ca="1" si="2041"/>
        <v>-2971200</v>
      </c>
      <c r="H1943" s="43">
        <f t="shared" ca="1" si="2041"/>
        <v>-2403572.6316249999</v>
      </c>
      <c r="I1943" s="43">
        <f t="shared" ca="1" si="2041"/>
        <v>-1819259.0352500002</v>
      </c>
      <c r="J1943" s="43">
        <f t="shared" ca="1" si="2041"/>
        <v>-1156065.7018749998</v>
      </c>
      <c r="K1943" s="43">
        <f t="shared" ca="1" si="2041"/>
        <v>0</v>
      </c>
      <c r="L1943" s="43">
        <f t="shared" ca="1" si="2041"/>
        <v>0</v>
      </c>
      <c r="M1943" s="43">
        <f t="shared" ca="1" si="2041"/>
        <v>0</v>
      </c>
      <c r="N1943" s="43">
        <f t="shared" ref="N1943" ca="1" si="2042">MIN(0,N1925)</f>
        <v>0</v>
      </c>
      <c r="O1943" s="43">
        <f t="shared" ref="O1943:Q1943" ca="1" si="2043">MIN(0,O1925)</f>
        <v>0</v>
      </c>
      <c r="P1943" s="43">
        <f t="shared" ref="P1943:Q1943" ca="1" si="2044">MIN(0,P1925)</f>
        <v>0</v>
      </c>
      <c r="Q1943" s="43">
        <f t="shared" ca="1" si="2044"/>
        <v>0</v>
      </c>
      <c r="S1943" s="54">
        <f ca="1">SUM(F1943:Q1943)</f>
        <v>-10667881.36875</v>
      </c>
    </row>
    <row r="1944" spans="1:19" outlineLevel="1" collapsed="1" x14ac:dyDescent="0.2">
      <c r="A1944" t="str">
        <f ca="1">Language!A$868</f>
        <v xml:space="preserve">    дисконтированные оттоки</v>
      </c>
      <c r="C1944" s="5" t="str">
        <f ca="1">C1907</f>
        <v>руб.</v>
      </c>
      <c r="F1944" s="43">
        <f t="shared" ref="F1944:M1944" ca="1" si="2045">F1943/F1910</f>
        <v>-2317784</v>
      </c>
      <c r="G1944" s="43">
        <f t="shared" ca="1" si="2045"/>
        <v>-2918362.9498474849</v>
      </c>
      <c r="H1944" s="43">
        <f t="shared" ca="1" si="2045"/>
        <v>-2318846.9427072178</v>
      </c>
      <c r="I1944" s="43">
        <f t="shared" ca="1" si="2045"/>
        <v>-1723918.7393987507</v>
      </c>
      <c r="J1944" s="43">
        <f t="shared" ca="1" si="2045"/>
        <v>-1075999.7824031452</v>
      </c>
      <c r="K1944" s="43">
        <f t="shared" ca="1" si="2045"/>
        <v>0</v>
      </c>
      <c r="L1944" s="43">
        <f t="shared" ca="1" si="2045"/>
        <v>0</v>
      </c>
      <c r="M1944" s="43">
        <f t="shared" ca="1" si="2045"/>
        <v>0</v>
      </c>
      <c r="N1944" s="43">
        <f t="shared" ref="N1944" ca="1" si="2046">N1943/N1910</f>
        <v>0</v>
      </c>
      <c r="O1944" s="43">
        <f t="shared" ref="O1944:Q1944" ca="1" si="2047">O1943/O1910</f>
        <v>0</v>
      </c>
      <c r="P1944" s="43">
        <f t="shared" ref="P1944:Q1944" ca="1" si="2048">P1943/P1910</f>
        <v>0</v>
      </c>
      <c r="Q1944" s="43">
        <f t="shared" ca="1" si="2048"/>
        <v>0</v>
      </c>
      <c r="S1944" s="54">
        <f ca="1">SUM(F1944:Q1944)</f>
        <v>-10354912.414356599</v>
      </c>
    </row>
    <row r="1945" spans="1:19" hidden="1" outlineLevel="2" x14ac:dyDescent="0.2">
      <c r="F1945" s="43"/>
      <c r="G1945" s="43"/>
      <c r="H1945" s="43"/>
      <c r="I1945" s="43"/>
      <c r="J1945" s="43"/>
      <c r="K1945" s="43"/>
      <c r="L1945" s="43"/>
      <c r="M1945" s="43"/>
      <c r="N1945" s="43"/>
      <c r="O1945" s="43"/>
      <c r="P1945" s="43"/>
      <c r="Q1945" s="43"/>
    </row>
    <row r="1946" spans="1:19" hidden="1" outlineLevel="2" x14ac:dyDescent="0.2">
      <c r="A1946" s="23" t="str">
        <f ca="1">Language!A$869</f>
        <v>Модифицированная IRR (MIRR)</v>
      </c>
      <c r="B1946" s="310">
        <f ca="1">IF(ISERROR(E1946),Language!A$829,E1946)</f>
        <v>3.1132898992099198</v>
      </c>
      <c r="E1946" s="153">
        <f ca="1">(POWER(1+MIRR(F1925:R1925,POWER(1+B1948,PRJ_Step/360)-1,POWER(1+B1947,PRJ_Step/360)-1),360/PRJ_Step)-1)</f>
        <v>3.1132898992099198</v>
      </c>
      <c r="F1946" s="43"/>
      <c r="G1946" s="43"/>
      <c r="H1946" s="43"/>
      <c r="I1946" s="43"/>
      <c r="J1946" s="43"/>
      <c r="K1946" s="43"/>
      <c r="L1946" s="43"/>
      <c r="M1946" s="43"/>
      <c r="N1946" s="43"/>
      <c r="O1946" s="43"/>
      <c r="P1946" s="43"/>
      <c r="Q1946" s="43"/>
    </row>
    <row r="1947" spans="1:19" hidden="1" outlineLevel="2" x14ac:dyDescent="0.2">
      <c r="A1947" t="str">
        <f ca="1">Language!A$870</f>
        <v>Ставка реинвестирования доходов</v>
      </c>
      <c r="B1947" s="273">
        <f>B1908</f>
        <v>0.25</v>
      </c>
    </row>
    <row r="1948" spans="1:19" outlineLevel="1" x14ac:dyDescent="0.2">
      <c r="A1948" t="str">
        <f ca="1">Language!A$871</f>
        <v>Ставка дисконтирования инвестиционных затрат</v>
      </c>
      <c r="B1948" s="273">
        <f>B1908</f>
        <v>0.25</v>
      </c>
    </row>
    <row r="1949" spans="1:19" outlineLevel="1" x14ac:dyDescent="0.2">
      <c r="A1949" s="63"/>
      <c r="B1949" s="63"/>
      <c r="C1949" s="63"/>
      <c r="D1949" s="63"/>
      <c r="E1949" s="63"/>
      <c r="F1949" s="63"/>
      <c r="G1949" s="63"/>
      <c r="H1949" s="63"/>
      <c r="I1949" s="63"/>
      <c r="J1949" s="63"/>
      <c r="K1949" s="63"/>
      <c r="L1949" s="63"/>
      <c r="M1949" s="63"/>
      <c r="N1949" s="63"/>
      <c r="O1949" s="63"/>
      <c r="P1949" s="63"/>
      <c r="Q1949" s="63"/>
      <c r="R1949" s="63"/>
      <c r="S1949" s="64"/>
    </row>
    <row r="1950" spans="1:19" outlineLevel="1" collapsed="1" x14ac:dyDescent="0.2">
      <c r="A1950" s="22" t="str">
        <f ca="1">Language!A$876 &amp; ", " &amp; Проект!CUR_Report</f>
        <v>График: Окупаемость проекта (для банка), руб.</v>
      </c>
      <c r="B1950" s="19"/>
      <c r="C1950" s="19"/>
      <c r="D1950" s="19"/>
      <c r="E1950" s="19"/>
      <c r="F1950" s="19"/>
      <c r="G1950" s="19"/>
      <c r="H1950" s="19"/>
      <c r="I1950" s="19"/>
      <c r="J1950" s="19"/>
      <c r="K1950" s="19"/>
      <c r="L1950" s="19"/>
      <c r="M1950" s="19"/>
      <c r="N1950" s="19"/>
      <c r="O1950" s="19"/>
      <c r="P1950" s="19"/>
      <c r="Q1950" s="19"/>
      <c r="R1950" s="19"/>
      <c r="S1950" s="22"/>
    </row>
    <row r="1951" spans="1:19" hidden="1" outlineLevel="2" x14ac:dyDescent="0.2">
      <c r="A1951" s="19"/>
      <c r="B1951" s="19"/>
      <c r="C1951" s="19"/>
      <c r="D1951" s="19"/>
      <c r="E1951" s="19"/>
      <c r="F1951" s="19"/>
      <c r="G1951" s="19"/>
      <c r="H1951" s="19"/>
      <c r="I1951" s="19"/>
      <c r="J1951" s="19"/>
      <c r="K1951" s="19"/>
      <c r="L1951" s="19"/>
      <c r="M1951" s="19"/>
      <c r="N1951" s="19"/>
      <c r="O1951" s="19"/>
      <c r="P1951" s="19"/>
      <c r="Q1951" s="19"/>
      <c r="R1951" s="19"/>
      <c r="S1951" s="22"/>
    </row>
    <row r="1952" spans="1:19" hidden="1" outlineLevel="2" x14ac:dyDescent="0.2">
      <c r="A1952" s="19"/>
      <c r="B1952" s="19"/>
      <c r="C1952" s="19"/>
      <c r="D1952" s="19"/>
      <c r="E1952" s="19"/>
      <c r="F1952" s="19"/>
      <c r="G1952" s="19"/>
      <c r="H1952" s="19"/>
      <c r="I1952" s="19"/>
      <c r="J1952" s="19"/>
      <c r="K1952" s="19"/>
      <c r="L1952" s="19"/>
      <c r="M1952" s="19"/>
      <c r="N1952" s="19"/>
      <c r="O1952" s="19"/>
      <c r="P1952" s="19"/>
      <c r="Q1952" s="19"/>
      <c r="R1952" s="19"/>
      <c r="S1952" s="22"/>
    </row>
    <row r="1953" spans="1:19" outlineLevel="1" collapsed="1" x14ac:dyDescent="0.2">
      <c r="A1953" s="19"/>
      <c r="B1953" s="19"/>
      <c r="C1953" s="19"/>
      <c r="D1953" s="19"/>
      <c r="E1953" s="19"/>
      <c r="F1953" s="19"/>
      <c r="G1953" s="19"/>
      <c r="H1953" s="19"/>
      <c r="I1953" s="19"/>
      <c r="J1953" s="19"/>
      <c r="K1953" s="19"/>
      <c r="L1953" s="19"/>
      <c r="M1953" s="19"/>
      <c r="N1953" s="19"/>
      <c r="O1953" s="19"/>
      <c r="P1953" s="19"/>
      <c r="Q1953" s="19"/>
      <c r="R1953" s="19"/>
      <c r="S1953" s="22"/>
    </row>
    <row r="1954" spans="1:19" s="48" customFormat="1" hidden="1" outlineLevel="2" x14ac:dyDescent="0.2">
      <c r="A1954" s="19"/>
      <c r="B1954" s="19"/>
      <c r="C1954" s="19"/>
      <c r="D1954" s="19"/>
      <c r="E1954" s="19"/>
      <c r="F1954" s="19"/>
      <c r="G1954" s="19"/>
      <c r="H1954" s="19"/>
      <c r="I1954" s="19"/>
      <c r="J1954" s="19"/>
      <c r="K1954" s="19"/>
      <c r="L1954" s="19"/>
      <c r="M1954" s="19"/>
      <c r="N1954" s="19"/>
      <c r="O1954" s="19"/>
      <c r="P1954" s="19"/>
      <c r="Q1954" s="19"/>
      <c r="R1954" s="19"/>
      <c r="S1954" s="22"/>
    </row>
    <row r="1955" spans="1:19" outlineLevel="1" collapsed="1" x14ac:dyDescent="0.2">
      <c r="A1955" s="19"/>
      <c r="B1955" s="19"/>
      <c r="C1955" s="19"/>
      <c r="D1955" s="19"/>
      <c r="E1955" s="19"/>
      <c r="F1955" s="19"/>
      <c r="G1955" s="19"/>
      <c r="H1955" s="19"/>
      <c r="I1955" s="19"/>
      <c r="J1955" s="19"/>
      <c r="K1955" s="19"/>
      <c r="L1955" s="19"/>
      <c r="M1955" s="19"/>
      <c r="N1955" s="19"/>
      <c r="O1955" s="19"/>
      <c r="P1955" s="19"/>
      <c r="Q1955" s="19"/>
      <c r="R1955" s="19"/>
      <c r="S1955" s="22"/>
    </row>
    <row r="1956" spans="1:19" hidden="1" outlineLevel="2" x14ac:dyDescent="0.2">
      <c r="A1956" s="19"/>
      <c r="B1956" s="19"/>
      <c r="C1956" s="19"/>
      <c r="D1956" s="19"/>
      <c r="E1956" s="19"/>
      <c r="F1956" s="19"/>
      <c r="G1956" s="19"/>
      <c r="H1956" s="19"/>
      <c r="I1956" s="19"/>
      <c r="J1956" s="19"/>
      <c r="K1956" s="19"/>
      <c r="L1956" s="19"/>
      <c r="M1956" s="19"/>
      <c r="N1956" s="19"/>
      <c r="O1956" s="19"/>
      <c r="P1956" s="19"/>
      <c r="Q1956" s="19"/>
      <c r="R1956" s="19"/>
      <c r="S1956" s="22"/>
    </row>
    <row r="1957" spans="1:19" hidden="1" outlineLevel="2" x14ac:dyDescent="0.2">
      <c r="A1957" s="19"/>
      <c r="B1957" s="19"/>
      <c r="C1957" s="19"/>
      <c r="D1957" s="19"/>
      <c r="E1957" s="19"/>
      <c r="F1957" s="19"/>
      <c r="G1957" s="19"/>
      <c r="H1957" s="19"/>
      <c r="I1957" s="19"/>
      <c r="J1957" s="19"/>
      <c r="K1957" s="19"/>
      <c r="L1957" s="19"/>
      <c r="M1957" s="19"/>
      <c r="N1957" s="19"/>
      <c r="O1957" s="19"/>
      <c r="P1957" s="19"/>
      <c r="Q1957" s="19"/>
      <c r="R1957" s="19"/>
      <c r="S1957" s="22"/>
    </row>
    <row r="1958" spans="1:19" hidden="1" outlineLevel="2" x14ac:dyDescent="0.2">
      <c r="A1958" s="19"/>
      <c r="B1958" s="19"/>
      <c r="C1958" s="19"/>
      <c r="D1958" s="19"/>
      <c r="E1958" s="19"/>
      <c r="F1958" s="19"/>
      <c r="G1958" s="19"/>
      <c r="H1958" s="19"/>
      <c r="I1958" s="19"/>
      <c r="J1958" s="19"/>
      <c r="K1958" s="19"/>
      <c r="L1958" s="19"/>
      <c r="M1958" s="19"/>
      <c r="N1958" s="19"/>
      <c r="O1958" s="19"/>
      <c r="P1958" s="19"/>
      <c r="Q1958" s="19"/>
      <c r="R1958" s="19"/>
      <c r="S1958" s="22"/>
    </row>
    <row r="1959" spans="1:19" hidden="1" outlineLevel="2" x14ac:dyDescent="0.2">
      <c r="A1959" s="19"/>
      <c r="B1959" s="19"/>
      <c r="C1959" s="19"/>
      <c r="D1959" s="19"/>
      <c r="E1959" s="19"/>
      <c r="F1959" s="19"/>
      <c r="G1959" s="19"/>
      <c r="H1959" s="19"/>
      <c r="I1959" s="19"/>
      <c r="J1959" s="19"/>
      <c r="K1959" s="19"/>
      <c r="L1959" s="19"/>
      <c r="M1959" s="19"/>
      <c r="N1959" s="19"/>
      <c r="O1959" s="19"/>
      <c r="P1959" s="19"/>
      <c r="Q1959" s="19"/>
      <c r="R1959" s="19"/>
      <c r="S1959" s="22"/>
    </row>
    <row r="1960" spans="1:19" outlineLevel="1" x14ac:dyDescent="0.2">
      <c r="A1960" s="19"/>
      <c r="B1960" s="19"/>
      <c r="C1960" s="19"/>
      <c r="D1960" s="19"/>
      <c r="E1960" s="19"/>
      <c r="F1960" s="19"/>
      <c r="G1960" s="19"/>
      <c r="H1960" s="19"/>
      <c r="I1960" s="19"/>
      <c r="J1960" s="19"/>
      <c r="K1960" s="19"/>
      <c r="L1960" s="19"/>
      <c r="M1960" s="19"/>
      <c r="N1960" s="19"/>
      <c r="O1960" s="19"/>
      <c r="P1960" s="19"/>
      <c r="Q1960" s="19"/>
      <c r="R1960" s="19"/>
      <c r="S1960" s="22"/>
    </row>
    <row r="1961" spans="1:19" outlineLevel="1" x14ac:dyDescent="0.2">
      <c r="A1961" s="19"/>
      <c r="B1961" s="19"/>
      <c r="C1961" s="19"/>
      <c r="D1961" s="19"/>
      <c r="E1961" s="19"/>
      <c r="F1961" s="19"/>
      <c r="G1961" s="19"/>
      <c r="H1961" s="19"/>
      <c r="I1961" s="19"/>
      <c r="J1961" s="19"/>
      <c r="K1961" s="19"/>
      <c r="L1961" s="19"/>
      <c r="M1961" s="19"/>
      <c r="N1961" s="19"/>
      <c r="O1961" s="19"/>
      <c r="P1961" s="19"/>
      <c r="Q1961" s="19"/>
      <c r="R1961" s="19"/>
      <c r="S1961" s="22"/>
    </row>
    <row r="1962" spans="1:19" outlineLevel="1" x14ac:dyDescent="0.2">
      <c r="A1962" s="19"/>
      <c r="B1962" s="19"/>
      <c r="C1962" s="19"/>
      <c r="D1962" s="19"/>
      <c r="E1962" s="19"/>
      <c r="F1962" s="19"/>
      <c r="G1962" s="19"/>
      <c r="H1962" s="19"/>
      <c r="I1962" s="19"/>
      <c r="J1962" s="19"/>
      <c r="K1962" s="19"/>
      <c r="L1962" s="19"/>
      <c r="M1962" s="19"/>
      <c r="N1962" s="19"/>
      <c r="O1962" s="19"/>
      <c r="P1962" s="19"/>
      <c r="Q1962" s="19"/>
      <c r="R1962" s="19"/>
      <c r="S1962" s="22"/>
    </row>
    <row r="1963" spans="1:19" outlineLevel="1" x14ac:dyDescent="0.2">
      <c r="A1963" s="19"/>
      <c r="B1963" s="19"/>
      <c r="C1963" s="19"/>
      <c r="D1963" s="19"/>
      <c r="E1963" s="19"/>
      <c r="F1963" s="19"/>
      <c r="G1963" s="19"/>
      <c r="H1963" s="19"/>
      <c r="I1963" s="19"/>
      <c r="J1963" s="19"/>
      <c r="K1963" s="19"/>
      <c r="L1963" s="19"/>
      <c r="M1963" s="19"/>
      <c r="N1963" s="19"/>
      <c r="O1963" s="19"/>
      <c r="P1963" s="19"/>
      <c r="Q1963" s="19"/>
      <c r="R1963" s="19"/>
      <c r="S1963" s="22"/>
    </row>
    <row r="1964" spans="1:19" outlineLevel="1" x14ac:dyDescent="0.2">
      <c r="A1964" s="19"/>
      <c r="B1964" s="19"/>
      <c r="C1964" s="19"/>
      <c r="D1964" s="19"/>
      <c r="E1964" s="19"/>
      <c r="F1964" s="19"/>
      <c r="G1964" s="19"/>
      <c r="H1964" s="19"/>
      <c r="I1964" s="19"/>
      <c r="J1964" s="19"/>
      <c r="K1964" s="19"/>
      <c r="L1964" s="19"/>
      <c r="M1964" s="19"/>
      <c r="N1964" s="19"/>
      <c r="O1964" s="19"/>
      <c r="P1964" s="19"/>
      <c r="Q1964" s="19"/>
      <c r="R1964" s="19"/>
      <c r="S1964" s="22"/>
    </row>
    <row r="1965" spans="1:19" outlineLevel="1" x14ac:dyDescent="0.2">
      <c r="A1965" s="19"/>
      <c r="B1965" s="19"/>
      <c r="C1965" s="19"/>
      <c r="D1965" s="19"/>
      <c r="E1965" s="19"/>
      <c r="F1965" s="19"/>
      <c r="G1965" s="19"/>
      <c r="H1965" s="19"/>
      <c r="I1965" s="19"/>
      <c r="J1965" s="19"/>
      <c r="K1965" s="19"/>
      <c r="L1965" s="19"/>
      <c r="M1965" s="19"/>
      <c r="N1965" s="19"/>
      <c r="O1965" s="19"/>
      <c r="P1965" s="19"/>
      <c r="Q1965" s="19"/>
      <c r="R1965" s="19"/>
      <c r="S1965" s="22"/>
    </row>
    <row r="1966" spans="1:19" outlineLevel="2" x14ac:dyDescent="0.2">
      <c r="A1966" s="19"/>
      <c r="B1966" s="19"/>
      <c r="C1966" s="19"/>
      <c r="D1966" s="19"/>
      <c r="E1966" s="19"/>
      <c r="F1966" s="19"/>
      <c r="G1966" s="19"/>
      <c r="H1966" s="19"/>
      <c r="I1966" s="19"/>
      <c r="J1966" s="19"/>
      <c r="K1966" s="19"/>
      <c r="L1966" s="19"/>
      <c r="M1966" s="19"/>
      <c r="N1966" s="19"/>
      <c r="O1966" s="19"/>
      <c r="P1966" s="19"/>
      <c r="Q1966" s="19"/>
      <c r="R1966" s="19"/>
      <c r="S1966" s="22"/>
    </row>
    <row r="1967" spans="1:19" outlineLevel="2" x14ac:dyDescent="0.2">
      <c r="A1967" s="19"/>
      <c r="B1967" s="19"/>
      <c r="C1967" s="19"/>
      <c r="D1967" s="19"/>
      <c r="E1967" s="19"/>
      <c r="F1967" s="19"/>
      <c r="G1967" s="19"/>
      <c r="H1967" s="19"/>
      <c r="I1967" s="19"/>
      <c r="J1967" s="19"/>
      <c r="K1967" s="19"/>
      <c r="L1967" s="19"/>
      <c r="M1967" s="19"/>
      <c r="N1967" s="19"/>
      <c r="O1967" s="19"/>
      <c r="P1967" s="19"/>
      <c r="Q1967" s="19"/>
      <c r="R1967" s="19"/>
      <c r="S1967" s="22"/>
    </row>
    <row r="1968" spans="1:19" outlineLevel="2" x14ac:dyDescent="0.2">
      <c r="A1968" s="19"/>
      <c r="B1968" s="19"/>
      <c r="C1968" s="19"/>
      <c r="D1968" s="19"/>
      <c r="E1968" s="19"/>
      <c r="F1968" s="19"/>
      <c r="G1968" s="19"/>
      <c r="H1968" s="19"/>
      <c r="I1968" s="19"/>
      <c r="J1968" s="19"/>
      <c r="K1968" s="19"/>
      <c r="L1968" s="19"/>
      <c r="M1968" s="19"/>
      <c r="N1968" s="19"/>
      <c r="O1968" s="19"/>
      <c r="P1968" s="19"/>
      <c r="Q1968" s="19"/>
      <c r="R1968" s="19"/>
      <c r="S1968" s="22"/>
    </row>
    <row r="1969" spans="1:19" outlineLevel="2" x14ac:dyDescent="0.2">
      <c r="A1969" s="19"/>
      <c r="B1969" s="19"/>
      <c r="C1969" s="19"/>
      <c r="D1969" s="19"/>
      <c r="E1969" s="19"/>
      <c r="F1969" s="19"/>
      <c r="G1969" s="19"/>
      <c r="H1969" s="19"/>
      <c r="I1969" s="19"/>
      <c r="J1969" s="19"/>
      <c r="K1969" s="19"/>
      <c r="L1969" s="19"/>
      <c r="M1969" s="19"/>
      <c r="N1969" s="19"/>
      <c r="O1969" s="19"/>
      <c r="P1969" s="19"/>
      <c r="Q1969" s="19"/>
      <c r="R1969" s="19"/>
      <c r="S1969" s="22"/>
    </row>
    <row r="1970" spans="1:19" outlineLevel="2" x14ac:dyDescent="0.2">
      <c r="A1970" s="19"/>
      <c r="B1970" s="19"/>
      <c r="C1970" s="19"/>
      <c r="D1970" s="19"/>
      <c r="E1970" s="19"/>
      <c r="F1970" s="19"/>
      <c r="G1970" s="19"/>
      <c r="H1970" s="19"/>
      <c r="I1970" s="19"/>
      <c r="J1970" s="19"/>
      <c r="K1970" s="19"/>
      <c r="L1970" s="19"/>
      <c r="M1970" s="19"/>
      <c r="N1970" s="19"/>
      <c r="O1970" s="19"/>
      <c r="P1970" s="19"/>
      <c r="Q1970" s="19"/>
      <c r="R1970" s="19"/>
      <c r="S1970" s="22"/>
    </row>
    <row r="1971" spans="1:19" outlineLevel="2" x14ac:dyDescent="0.2">
      <c r="A1971" s="19"/>
      <c r="B1971" s="19"/>
      <c r="C1971" s="19"/>
      <c r="D1971" s="19"/>
      <c r="E1971" s="19"/>
      <c r="F1971" s="19"/>
      <c r="G1971" s="19"/>
      <c r="H1971" s="19"/>
      <c r="I1971" s="19"/>
      <c r="J1971" s="19"/>
      <c r="K1971" s="19"/>
      <c r="L1971" s="19"/>
      <c r="M1971" s="19"/>
      <c r="N1971" s="19"/>
      <c r="O1971" s="19"/>
      <c r="P1971" s="19"/>
      <c r="Q1971" s="19"/>
      <c r="R1971" s="19"/>
      <c r="S1971" s="22"/>
    </row>
    <row r="1972" spans="1:19" outlineLevel="2" x14ac:dyDescent="0.2">
      <c r="A1972" s="19"/>
      <c r="B1972" s="19"/>
      <c r="C1972" s="19"/>
      <c r="D1972" s="19"/>
      <c r="E1972" s="19"/>
      <c r="F1972" s="19"/>
      <c r="G1972" s="19"/>
      <c r="H1972" s="19"/>
      <c r="I1972" s="19"/>
      <c r="J1972" s="19"/>
      <c r="K1972" s="19"/>
      <c r="L1972" s="19"/>
      <c r="M1972" s="19"/>
      <c r="N1972" s="19"/>
      <c r="O1972" s="19"/>
      <c r="P1972" s="19"/>
      <c r="Q1972" s="19"/>
      <c r="R1972" s="19"/>
      <c r="S1972" s="22"/>
    </row>
    <row r="1973" spans="1:19" outlineLevel="2" x14ac:dyDescent="0.2">
      <c r="A1973" s="19"/>
      <c r="B1973" s="19"/>
      <c r="C1973" s="19"/>
      <c r="D1973" s="19"/>
      <c r="E1973" s="19"/>
      <c r="F1973" s="19"/>
      <c r="G1973" s="19"/>
      <c r="H1973" s="19"/>
      <c r="I1973" s="19"/>
      <c r="J1973" s="19"/>
      <c r="K1973" s="19"/>
      <c r="L1973" s="19"/>
      <c r="M1973" s="19"/>
      <c r="N1973" s="19"/>
      <c r="O1973" s="19"/>
      <c r="P1973" s="19"/>
      <c r="Q1973" s="19"/>
      <c r="R1973" s="19"/>
      <c r="S1973" s="22"/>
    </row>
    <row r="1974" spans="1:19" outlineLevel="2" x14ac:dyDescent="0.2">
      <c r="A1974" s="19"/>
      <c r="B1974" s="19"/>
      <c r="C1974" s="19"/>
      <c r="D1974" s="19"/>
      <c r="E1974" s="19"/>
      <c r="F1974" s="19"/>
      <c r="G1974" s="19"/>
      <c r="H1974" s="19"/>
      <c r="I1974" s="19"/>
      <c r="J1974" s="19"/>
      <c r="K1974" s="19"/>
      <c r="L1974" s="19"/>
      <c r="M1974" s="19"/>
      <c r="N1974" s="19"/>
      <c r="O1974" s="19"/>
      <c r="P1974" s="19"/>
      <c r="Q1974" s="19"/>
      <c r="R1974" s="19"/>
      <c r="S1974" s="22"/>
    </row>
    <row r="1975" spans="1:19" outlineLevel="2" x14ac:dyDescent="0.2">
      <c r="A1975" s="19"/>
      <c r="B1975" s="19"/>
      <c r="C1975" s="19"/>
      <c r="D1975" s="19"/>
      <c r="E1975" s="19"/>
      <c r="F1975" s="19"/>
      <c r="G1975" s="19"/>
      <c r="H1975" s="19"/>
      <c r="I1975" s="19"/>
      <c r="J1975" s="19"/>
      <c r="K1975" s="19"/>
      <c r="L1975" s="19"/>
      <c r="M1975" s="19"/>
      <c r="N1975" s="19"/>
      <c r="O1975" s="19"/>
      <c r="P1975" s="19"/>
      <c r="Q1975" s="19"/>
      <c r="R1975" s="19"/>
      <c r="S1975" s="22"/>
    </row>
    <row r="1976" spans="1:19" ht="10.5" outlineLevel="2" thickBot="1" x14ac:dyDescent="0.25">
      <c r="A1976" s="166" t="str">
        <f ca="1">Language!A877</f>
        <v xml:space="preserve">         ОЦЕНКА БИЗНЕСА</v>
      </c>
      <c r="B1976" s="166"/>
      <c r="C1976" s="166"/>
      <c r="D1976" s="166"/>
      <c r="E1976" s="166"/>
      <c r="F1976" s="178" t="str">
        <f t="shared" ref="F1976:Q1976" si="2049">PeriodTitle</f>
        <v>4/ 2024</v>
      </c>
      <c r="G1976" s="178" t="str">
        <f t="shared" si="2049"/>
        <v>5/ 2024</v>
      </c>
      <c r="H1976" s="178" t="str">
        <f t="shared" si="2049"/>
        <v>6/ 2024</v>
      </c>
      <c r="I1976" s="178" t="str">
        <f t="shared" si="2049"/>
        <v>7/ 2024</v>
      </c>
      <c r="J1976" s="178" t="str">
        <f t="shared" si="2049"/>
        <v>8/ 2024</v>
      </c>
      <c r="K1976" s="178" t="str">
        <f t="shared" si="2049"/>
        <v>9/ 2024</v>
      </c>
      <c r="L1976" s="178" t="str">
        <f t="shared" si="2049"/>
        <v>10/ 2024</v>
      </c>
      <c r="M1976" s="178" t="str">
        <f t="shared" si="2049"/>
        <v>11/ 2024</v>
      </c>
      <c r="N1976" s="178" t="str">
        <f t="shared" si="2049"/>
        <v>12/ 2024</v>
      </c>
      <c r="O1976" s="178" t="str">
        <f t="shared" si="2049"/>
        <v>1/ 2025</v>
      </c>
      <c r="P1976" s="178" t="str">
        <f t="shared" si="2049"/>
        <v>2/ 2025</v>
      </c>
      <c r="Q1976" s="178" t="str">
        <f t="shared" si="2049"/>
        <v>3/ 2025</v>
      </c>
      <c r="R1976" s="166"/>
      <c r="S1976" s="167" t="str">
        <f ca="1">Language!A$371</f>
        <v>ИТОГО</v>
      </c>
    </row>
    <row r="1977" spans="1:19" ht="10.5" outlineLevel="2" thickTop="1" x14ac:dyDescent="0.2"/>
    <row r="1978" spans="1:19" outlineLevel="2" x14ac:dyDescent="0.2">
      <c r="A1978" t="str">
        <f ca="1">Language!A$835</f>
        <v>Валюта расчетов:</v>
      </c>
      <c r="B1978" s="255">
        <v>1</v>
      </c>
      <c r="C1978" s="17" t="str">
        <f ca="1">CHOOSE(B1978,CUR_Main,CUR_Foreign)</f>
        <v>руб.</v>
      </c>
    </row>
    <row r="1979" spans="1:19" outlineLevel="2" x14ac:dyDescent="0.2">
      <c r="A1979" t="str">
        <f ca="1">Language!A$836</f>
        <v>Годовая ставка дисконтирования:</v>
      </c>
      <c r="B1979" s="273">
        <f>SENS_Discount</f>
        <v>0.25</v>
      </c>
      <c r="C1979" s="5" t="s">
        <v>177</v>
      </c>
      <c r="D1979" s="16" t="s">
        <v>176</v>
      </c>
      <c r="F1979" s="251">
        <f>$B$1979</f>
        <v>0.25</v>
      </c>
      <c r="G1979" s="251">
        <f t="shared" ref="G1979:Q1979" si="2050">F1979</f>
        <v>0.25</v>
      </c>
      <c r="H1979" s="251">
        <f t="shared" si="2050"/>
        <v>0.25</v>
      </c>
      <c r="I1979" s="251">
        <f t="shared" si="2050"/>
        <v>0.25</v>
      </c>
      <c r="J1979" s="251">
        <f t="shared" si="2050"/>
        <v>0.25</v>
      </c>
      <c r="K1979" s="251">
        <f t="shared" si="2050"/>
        <v>0.25</v>
      </c>
      <c r="L1979" s="251">
        <f t="shared" si="2050"/>
        <v>0.25</v>
      </c>
      <c r="M1979" s="251">
        <f t="shared" si="2050"/>
        <v>0.25</v>
      </c>
      <c r="N1979" s="251">
        <f t="shared" si="2050"/>
        <v>0.25</v>
      </c>
      <c r="O1979" s="251">
        <f t="shared" si="2050"/>
        <v>0.25</v>
      </c>
      <c r="P1979" s="251">
        <f t="shared" si="2050"/>
        <v>0.25</v>
      </c>
      <c r="Q1979" s="251">
        <f t="shared" si="2050"/>
        <v>0.25</v>
      </c>
    </row>
    <row r="1980" spans="1:19" outlineLevel="2" x14ac:dyDescent="0.2">
      <c r="A1980" t="str">
        <f ca="1">Language!A$837</f>
        <v xml:space="preserve">    ставка дисконтирования на расчетный период</v>
      </c>
      <c r="D1980" s="16" t="s">
        <v>176</v>
      </c>
      <c r="F1980" s="251">
        <f>POWER(1+F1979,PRJ_Step/360)-1-IF(CalcMethod=1,IF($B$1978=1,F$81,F$92),0)</f>
        <v>1.8105030477883588E-2</v>
      </c>
      <c r="G1980" s="251">
        <f>POWER(1+G1979,PRJ_Step/360)-1-IF(CalcMethod=1,IF($B$1978=1,G$81,G$92),0)</f>
        <v>1.8105030477883588E-2</v>
      </c>
      <c r="H1980" s="251">
        <f>POWER(1+H1979,PRJ_Step/360)-1-IF(CalcMethod=1,IF($B$1978=1,H$81,H$92),0)</f>
        <v>1.8105030477883588E-2</v>
      </c>
      <c r="I1980" s="251">
        <f>POWER(1+I1979,PRJ_Step/360)-1-IF(CalcMethod=1,IF($B$1978=1,I$81,I$92),0)</f>
        <v>1.8105030477883588E-2</v>
      </c>
      <c r="J1980" s="251">
        <f>POWER(1+J1979,PRJ_Step/360)-1-IF(CalcMethod=1,IF($B$1978=1,J$81,J$92),0)</f>
        <v>1.8105030477883588E-2</v>
      </c>
      <c r="K1980" s="251">
        <f>POWER(1+K1979,PRJ_Step/360)-1-IF(CalcMethod=1,IF($B$1978=1,K$81,K$92),0)</f>
        <v>1.8105030477883588E-2</v>
      </c>
      <c r="L1980" s="251">
        <f>POWER(1+L1979,PRJ_Step/360)-1-IF(CalcMethod=1,IF($B$1978=1,L$81,L$92),0)</f>
        <v>1.8105030477883588E-2</v>
      </c>
      <c r="M1980" s="251">
        <f>POWER(1+M1979,PRJ_Step/360)-1-IF(CalcMethod=1,IF($B$1978=1,M$81,M$92),0)</f>
        <v>1.8105030477883588E-2</v>
      </c>
      <c r="N1980" s="251">
        <f>POWER(1+N1979,PRJ_Step/360)-1-IF(CalcMethod=1,IF($B$1978=1,N$81,N$92),0)</f>
        <v>1.8105030477883588E-2</v>
      </c>
      <c r="O1980" s="251">
        <f>POWER(1+O1979,PRJ_Step/360)-1-IF(CalcMethod=1,IF($B$1978=1,O$81,O$92),0)</f>
        <v>1.8105030477883588E-2</v>
      </c>
      <c r="P1980" s="251">
        <f>POWER(1+P1979,PRJ_Step/360)-1-IF(CalcMethod=1,IF($B$1978=1,P$81,P$92),0)</f>
        <v>1.8105030477883588E-2</v>
      </c>
      <c r="Q1980" s="251">
        <f>POWER(1+Q1979,PRJ_Step/360)-1-IF(CalcMethod=1,IF($B$1978=1,Q$81,Q$92),0)</f>
        <v>1.8105030477883588E-2</v>
      </c>
    </row>
    <row r="1981" spans="1:19" outlineLevel="2" x14ac:dyDescent="0.2">
      <c r="A1981" t="str">
        <f ca="1">Language!A$878</f>
        <v xml:space="preserve">    коэффициент дисконта на середину периода</v>
      </c>
      <c r="D1981" s="16" t="s">
        <v>176</v>
      </c>
      <c r="F1981" s="252">
        <f>(1+F1980)^0.5</f>
        <v>1.0090119079960769</v>
      </c>
      <c r="G1981" s="252">
        <f t="shared" ref="G1981:Q1981" si="2051">F1981*(1+G1980)</f>
        <v>1.0272800993428932</v>
      </c>
      <c r="H1981" s="252">
        <f t="shared" si="2051"/>
        <v>1.0458790368508195</v>
      </c>
      <c r="I1981" s="252">
        <f t="shared" si="2051"/>
        <v>1.064814708689183</v>
      </c>
      <c r="J1981" s="252">
        <f t="shared" si="2051"/>
        <v>1.0840932114432995</v>
      </c>
      <c r="K1981" s="252">
        <f t="shared" si="2051"/>
        <v>1.1037207520773471</v>
      </c>
      <c r="L1981" s="252">
        <f t="shared" si="2051"/>
        <v>1.1237036499327802</v>
      </c>
      <c r="M1981" s="252">
        <f t="shared" si="2051"/>
        <v>1.1440483387629221</v>
      </c>
      <c r="N1981" s="252">
        <f t="shared" si="2051"/>
        <v>1.164761368804397</v>
      </c>
      <c r="O1981" s="252">
        <f t="shared" si="2051"/>
        <v>1.1858494088860621</v>
      </c>
      <c r="P1981" s="252">
        <f t="shared" si="2051"/>
        <v>1.2073192485761244</v>
      </c>
      <c r="Q1981" s="252">
        <f t="shared" si="2051"/>
        <v>1.2291778003681306</v>
      </c>
    </row>
    <row r="1982" spans="1:19" outlineLevel="2" x14ac:dyDescent="0.2">
      <c r="A1982" t="str">
        <f ca="1">Language!A$839</f>
        <v xml:space="preserve">    коэффициент дисконта для потока на конец периода</v>
      </c>
      <c r="D1982" s="16" t="s">
        <v>176</v>
      </c>
      <c r="F1982" s="252">
        <f>1+F1980</f>
        <v>1.0181050304778836</v>
      </c>
      <c r="G1982" s="252">
        <f t="shared" ref="G1982:Q1982" si="2052">F1982*(1+G1980)</f>
        <v>1.0365378530843723</v>
      </c>
      <c r="H1982" s="252">
        <f t="shared" si="2052"/>
        <v>1.0553044025059448</v>
      </c>
      <c r="I1982" s="252">
        <f t="shared" si="2052"/>
        <v>1.0744107208767597</v>
      </c>
      <c r="J1982" s="252">
        <f t="shared" si="2052"/>
        <v>1.0938629597239984</v>
      </c>
      <c r="K1982" s="252">
        <f t="shared" si="2052"/>
        <v>1.1136673819484293</v>
      </c>
      <c r="L1982" s="252">
        <f t="shared" si="2052"/>
        <v>1.1338303638408305</v>
      </c>
      <c r="M1982" s="252">
        <f t="shared" si="2052"/>
        <v>1.1543583971349185</v>
      </c>
      <c r="N1982" s="252">
        <f t="shared" si="2052"/>
        <v>1.1752580910974471</v>
      </c>
      <c r="O1982" s="252">
        <f t="shared" si="2052"/>
        <v>1.1965361746561456</v>
      </c>
      <c r="P1982" s="252">
        <f t="shared" si="2052"/>
        <v>1.2181994985661853</v>
      </c>
      <c r="Q1982" s="252">
        <f t="shared" si="2052"/>
        <v>1.2402550376158685</v>
      </c>
    </row>
    <row r="1983" spans="1:19" outlineLevel="2" x14ac:dyDescent="0.2">
      <c r="A1983" t="str">
        <f ca="1">Language!A$879</f>
        <v>Долгосрочные темпы роста в постпрогнозный период</v>
      </c>
      <c r="B1983" s="273">
        <f ca="1">IF($B$1978=1,OFFSET(F80,0,PRJ_Len-1),OFFSET(F91,0,PRJ_Len-1))</f>
        <v>8.0000000000000002E-3</v>
      </c>
      <c r="C1983" s="5" t="s">
        <v>177</v>
      </c>
    </row>
    <row r="1984" spans="1:19" outlineLevel="2" x14ac:dyDescent="0.2">
      <c r="A1984" t="str">
        <f ca="1">Language!A$880</f>
        <v xml:space="preserve">    в пересчете на период, равный шагу проекта</v>
      </c>
      <c r="B1984" s="137">
        <f ca="1">MAX(0,POWER(1+B1983,PRJ_Step/360)-1-IF(CalcMethod=1,IF($B$1978=1,OFFSET(F$81,0,PRJ_Len-1),OFFSET(F$92,0,PRJ_Len-1)),0))</f>
        <v>0</v>
      </c>
    </row>
    <row r="1985" spans="1:19" outlineLevel="2" x14ac:dyDescent="0.2"/>
    <row r="1986" spans="1:19" ht="10.5" outlineLevel="2" x14ac:dyDescent="0.25">
      <c r="A1986" s="35" t="str">
        <f ca="1">Language!A$881</f>
        <v>Денежный поток для собственного капитала</v>
      </c>
      <c r="C1986" s="5" t="str">
        <f ca="1">CHOOSE(B1978,CUR_Main,CUR_Foreign)</f>
        <v>руб.</v>
      </c>
      <c r="F1986" s="58">
        <f t="shared" ref="F1986:M1986" ca="1" si="2053">F1987+F1988-F1989+F1990+F1991</f>
        <v>0</v>
      </c>
      <c r="G1986" s="58">
        <f t="shared" ca="1" si="2053"/>
        <v>-83289.833435114007</v>
      </c>
      <c r="H1986" s="58">
        <f t="shared" ca="1" si="2053"/>
        <v>-148028.13484835671</v>
      </c>
      <c r="I1986" s="58">
        <f t="shared" ca="1" si="2053"/>
        <v>-182015.87246221513</v>
      </c>
      <c r="J1986" s="58">
        <f t="shared" ca="1" si="2053"/>
        <v>-206456.26203638921</v>
      </c>
      <c r="K1986" s="58">
        <f t="shared" ca="1" si="2053"/>
        <v>22148.054204545941</v>
      </c>
      <c r="L1986" s="58">
        <f t="shared" ca="1" si="2053"/>
        <v>138285.77352272766</v>
      </c>
      <c r="M1986" s="58">
        <f t="shared" ca="1" si="2053"/>
        <v>254423.49284090847</v>
      </c>
      <c r="N1986" s="58">
        <f t="shared" ref="N1986" ca="1" si="2054">N1987+N1988-N1989+N1990+N1991</f>
        <v>439737.2886931831</v>
      </c>
      <c r="O1986" s="58">
        <f t="shared" ref="O1986:Q1986" ca="1" si="2055">O1987+O1988-O1989+O1990+O1991</f>
        <v>3956262.8802554905</v>
      </c>
      <c r="P1986" s="58">
        <f t="shared" ref="P1986:Q1986" ca="1" si="2056">P1987+P1988-P1989+P1990+P1991</f>
        <v>9308412.3693749998</v>
      </c>
      <c r="Q1986" s="58">
        <f t="shared" ca="1" si="2056"/>
        <v>10463747.89625</v>
      </c>
      <c r="R1986" s="35"/>
      <c r="S1986" s="57">
        <f t="shared" ref="S1986:S1991" ca="1" si="2057">SUM(F1986:Q1986)</f>
        <v>23963227.652359784</v>
      </c>
    </row>
    <row r="1987" spans="1:19" outlineLevel="2" x14ac:dyDescent="0.2">
      <c r="A1987" t="str">
        <f ca="1">Language!A$882</f>
        <v>Чистая прибыль</v>
      </c>
      <c r="C1987" s="5" t="str">
        <f ca="1">CHOOSE(B1978,CUR_Main,CUR_Foreign)</f>
        <v>руб.</v>
      </c>
      <c r="F1987" s="43">
        <f ca="1">(F1324-F1318)*IF(CUR_I_Report&lt;&gt;$B$1978,IF(CUR_I_Report=2,F$88,1/F$88),1)</f>
        <v>-3007443.6844783714</v>
      </c>
      <c r="G1987" s="43">
        <f ca="1">(G1324-G1318)*IF(CUR_I_Report&lt;&gt;$B$1978,IF(CUR_I_Report=2,G$88,1/G$88),1)</f>
        <v>-2649952.9535589088</v>
      </c>
      <c r="H1987" s="43">
        <f ca="1">(H1324-H1318)*IF(CUR_I_Report&lt;&gt;$B$1978,IF(CUR_I_Report=2,H$88,1/H$88),1)</f>
        <v>-2565732.0292993961</v>
      </c>
      <c r="I1987" s="43">
        <f ca="1">(I1324-I1318)*IF(CUR_I_Report&lt;&gt;$B$1978,IF(CUR_I_Report=2,I$88,1/I$88),1)</f>
        <v>-2088794.3376510644</v>
      </c>
      <c r="J1987" s="43">
        <f ca="1">(J1324-J1318)*IF(CUR_I_Report&lt;&gt;$B$1978,IF(CUR_I_Report=2,J$88,1/J$88),1)</f>
        <v>-1473070.8539035725</v>
      </c>
      <c r="K1987" s="43">
        <f ca="1">(K1324-K1318)*IF(CUR_I_Report&lt;&gt;$B$1978,IF(CUR_I_Report=2,K$88,1/K$88),1)</f>
        <v>-198551.35345276195</v>
      </c>
      <c r="L1987" s="43">
        <f ca="1">(L1324-L1318)*IF(CUR_I_Report&lt;&gt;$B$1978,IF(CUR_I_Report=2,L$88,1/L$88),1)</f>
        <v>1096547.547974088</v>
      </c>
      <c r="M1987" s="43">
        <f ca="1">(M1324-M1318)*IF(CUR_I_Report&lt;&gt;$B$1978,IF(CUR_I_Report=2,M$88,1/M$88),1)</f>
        <v>2416169.2904287493</v>
      </c>
      <c r="N1987" s="43">
        <f ca="1">(N1324-N1318)*IF(CUR_I_Report&lt;&gt;$B$1978,IF(CUR_I_Report=2,N$88,1/N$88),1)</f>
        <v>4408306.029895097</v>
      </c>
      <c r="O1987" s="43">
        <f ca="1">(O1324-O1318)*IF(CUR_I_Report&lt;&gt;$B$1978,IF(CUR_I_Report=2,O$88,1/O$88),1)</f>
        <v>7025601.84375</v>
      </c>
      <c r="P1987" s="43">
        <f ca="1">(P1324-P1318)*IF(CUR_I_Report&lt;&gt;$B$1978,IF(CUR_I_Report=2,P$88,1/P$88),1)</f>
        <v>8941874.2125000004</v>
      </c>
      <c r="Q1987" s="43">
        <f ca="1">(Q1324-Q1318)*IF(CUR_I_Report&lt;&gt;$B$1978,IF(CUR_I_Report=2,Q$88,1/Q$88),1)</f>
        <v>10219389.125</v>
      </c>
      <c r="S1987" s="54">
        <f t="shared" ca="1" si="2057"/>
        <v>22124342.83720386</v>
      </c>
    </row>
    <row r="1988" spans="1:19" outlineLevel="2" x14ac:dyDescent="0.2">
      <c r="A1988" t="str">
        <f ca="1">Language!A$883</f>
        <v>Амортизация</v>
      </c>
      <c r="C1988" s="5" t="str">
        <f ca="1">CHOOSE(B1978,CUR_Main,CUR_Foreign)</f>
        <v>руб.</v>
      </c>
      <c r="F1988" s="43">
        <f ca="1">F1309*IF(CUR_I_Report&lt;&gt;$B$1978,IF(CUR_I_Report=2,F$88,1/F$88),1)</f>
        <v>0</v>
      </c>
      <c r="G1988" s="43">
        <f ca="1">G1309*IF(CUR_I_Report&lt;&gt;$B$1978,IF(CUR_I_Report=2,G$88,1/G$88),1)</f>
        <v>0</v>
      </c>
      <c r="H1988" s="43">
        <f ca="1">H1309*IF(CUR_I_Report&lt;&gt;$B$1978,IF(CUR_I_Report=2,H$88,1/H$88),1)</f>
        <v>0</v>
      </c>
      <c r="I1988" s="43">
        <f ca="1">I1309*IF(CUR_I_Report&lt;&gt;$B$1978,IF(CUR_I_Report=2,I$88,1/I$88),1)</f>
        <v>0</v>
      </c>
      <c r="J1988" s="43">
        <f ca="1">J1309*IF(CUR_I_Report&lt;&gt;$B$1978,IF(CUR_I_Report=2,J$88,1/J$88),1)</f>
        <v>0</v>
      </c>
      <c r="K1988" s="43">
        <f ca="1">K1309*IF(CUR_I_Report&lt;&gt;$B$1978,IF(CUR_I_Report=2,K$88,1/K$88),1)</f>
        <v>0</v>
      </c>
      <c r="L1988" s="43">
        <f ca="1">L1309*IF(CUR_I_Report&lt;&gt;$B$1978,IF(CUR_I_Report=2,L$88,1/L$88),1)</f>
        <v>0</v>
      </c>
      <c r="M1988" s="43">
        <f ca="1">M1309*IF(CUR_I_Report&lt;&gt;$B$1978,IF(CUR_I_Report=2,M$88,1/M$88),1)</f>
        <v>0</v>
      </c>
      <c r="N1988" s="43">
        <f ca="1">N1309*IF(CUR_I_Report&lt;&gt;$B$1978,IF(CUR_I_Report=2,N$88,1/N$88),1)</f>
        <v>0</v>
      </c>
      <c r="O1988" s="43">
        <f ca="1">O1309*IF(CUR_I_Report&lt;&gt;$B$1978,IF(CUR_I_Report=2,O$88,1/O$88),1)</f>
        <v>0</v>
      </c>
      <c r="P1988" s="43">
        <f ca="1">P1309*IF(CUR_I_Report&lt;&gt;$B$1978,IF(CUR_I_Report=2,P$88,1/P$88),1)</f>
        <v>0</v>
      </c>
      <c r="Q1988" s="43">
        <f ca="1">Q1309*IF(CUR_I_Report&lt;&gt;$B$1978,IF(CUR_I_Report=2,Q$88,1/Q$88),1)</f>
        <v>0</v>
      </c>
      <c r="S1988" s="54">
        <f t="shared" ca="1" si="2057"/>
        <v>0</v>
      </c>
    </row>
    <row r="1989" spans="1:19" outlineLevel="1" x14ac:dyDescent="0.2">
      <c r="A1989" t="str">
        <f ca="1">Language!A$884</f>
        <v>Изменение чистого оборотного капитала</v>
      </c>
      <c r="C1989" s="5" t="str">
        <f ca="1">CHOOSE(B1978,CUR_Main,CUR_Foreign)</f>
        <v>руб.</v>
      </c>
      <c r="F1989" s="43">
        <f ca="1">F1173/IF($B1978=1,1,F$88)</f>
        <v>-648376</v>
      </c>
      <c r="G1989" s="43">
        <f ca="1">G1173/IF($B1978=1,1,G$88)</f>
        <v>415440</v>
      </c>
      <c r="H1989" s="43">
        <f ca="1">H1173/IF($B1978=1,1,H$88)</f>
        <v>-24435.877125000115</v>
      </c>
      <c r="I1989" s="43">
        <f ca="1">I1173/IF($B1978=1,1,I$88)</f>
        <v>-97743.508499999763</v>
      </c>
      <c r="J1989" s="43">
        <f ca="1">J1173/IF($B1978=1,1,J$88)</f>
        <v>-122179.385625</v>
      </c>
      <c r="K1989" s="43">
        <f ca="1">K1173/IF($B1978=1,1,K$88)</f>
        <v>-244358.77125000022</v>
      </c>
      <c r="L1989" s="43">
        <f ca="1">L1173/IF($B1978=1,1,L$88)</f>
        <v>-244358.77124999976</v>
      </c>
      <c r="M1989" s="43">
        <f ca="1">M1173/IF($B1978=1,1,M$88)</f>
        <v>-244358.77125000011</v>
      </c>
      <c r="N1989" s="43">
        <f ca="1">N1173/IF($B1978=1,1,N$88)</f>
        <v>-366538.15687499987</v>
      </c>
      <c r="O1989" s="43">
        <f ca="1">O1173/IF($B1978=1,1,O$88)</f>
        <v>-488717.54250000021</v>
      </c>
      <c r="P1989" s="43">
        <f ca="1">P1173/IF($B1978=1,1,P$88)</f>
        <v>-366538.1568750001</v>
      </c>
      <c r="Q1989" s="43">
        <f ca="1">Q1173/IF($B1978=1,1,Q$88)</f>
        <v>-244358.77124999976</v>
      </c>
      <c r="S1989" s="54">
        <f t="shared" ca="1" si="2057"/>
        <v>-2676523.7124999999</v>
      </c>
    </row>
    <row r="1990" spans="1:19" outlineLevel="1" x14ac:dyDescent="0.2">
      <c r="A1990" t="str">
        <f ca="1">Language!A$885</f>
        <v>Инвестиции</v>
      </c>
      <c r="C1990" s="5" t="str">
        <f ca="1">CHOOSE(B1978,CUR_Main,CUR_Foreign)</f>
        <v>руб.</v>
      </c>
      <c r="F1990" s="43">
        <f>(F1435+F1438+F1436+F1437+F1439+F1440+F1442)*IF(CUR_I_Report&lt;&gt;$B$1978,IF(CUR_I_Report=2,F$88,1/F$88),1)</f>
        <v>0</v>
      </c>
      <c r="G1990" s="43">
        <f>(G1435+G1438+G1436+G1437+G1439+G1440+G1442)*IF(CUR_I_Report&lt;&gt;$B$1978,IF(CUR_I_Report=2,G$88,1/G$88),1)</f>
        <v>0</v>
      </c>
      <c r="H1990" s="43">
        <f>(H1435+H1438+H1436+H1437+H1439+H1440+H1442)*IF(CUR_I_Report&lt;&gt;$B$1978,IF(CUR_I_Report=2,H$88,1/H$88),1)</f>
        <v>0</v>
      </c>
      <c r="I1990" s="43">
        <f>(I1435+I1438+I1436+I1437+I1439+I1440+I1442)*IF(CUR_I_Report&lt;&gt;$B$1978,IF(CUR_I_Report=2,I$88,1/I$88),1)</f>
        <v>0</v>
      </c>
      <c r="J1990" s="43">
        <f>(J1435+J1438+J1436+J1437+J1439+J1440+J1442)*IF(CUR_I_Report&lt;&gt;$B$1978,IF(CUR_I_Report=2,J$88,1/J$88),1)</f>
        <v>0</v>
      </c>
      <c r="K1990" s="43">
        <f>(K1435+K1438+K1436+K1437+K1439+K1440+K1442)*IF(CUR_I_Report&lt;&gt;$B$1978,IF(CUR_I_Report=2,K$88,1/K$88),1)</f>
        <v>0</v>
      </c>
      <c r="L1990" s="43">
        <f>(L1435+L1438+L1436+L1437+L1439+L1440+L1442)*IF(CUR_I_Report&lt;&gt;$B$1978,IF(CUR_I_Report=2,L$88,1/L$88),1)</f>
        <v>0</v>
      </c>
      <c r="M1990" s="43">
        <f>(M1435+M1438+M1436+M1437+M1439+M1440+M1442)*IF(CUR_I_Report&lt;&gt;$B$1978,IF(CUR_I_Report=2,M$88,1/M$88),1)</f>
        <v>0</v>
      </c>
      <c r="N1990" s="43">
        <f>(N1435+N1438+N1436+N1437+N1439+N1440+N1442)*IF(CUR_I_Report&lt;&gt;$B$1978,IF(CUR_I_Report=2,N$88,1/N$88),1)</f>
        <v>0</v>
      </c>
      <c r="O1990" s="43">
        <f>(O1435+O1438+O1436+O1437+O1439+O1440+O1442)*IF(CUR_I_Report&lt;&gt;$B$1978,IF(CUR_I_Report=2,O$88,1/O$88),1)</f>
        <v>0</v>
      </c>
      <c r="P1990" s="43">
        <f>(P1435+P1438+P1436+P1437+P1439+P1440+P1442)*IF(CUR_I_Report&lt;&gt;$B$1978,IF(CUR_I_Report=2,P$88,1/P$88),1)</f>
        <v>0</v>
      </c>
      <c r="Q1990" s="43">
        <f>(Q1435+Q1438+Q1436+Q1437+Q1439+Q1440+Q1442)*IF(CUR_I_Report&lt;&gt;$B$1978,IF(CUR_I_Report=2,Q$88,1/Q$88),1)</f>
        <v>0</v>
      </c>
      <c r="S1990" s="54">
        <f t="shared" si="2057"/>
        <v>0</v>
      </c>
    </row>
    <row r="1991" spans="1:19" s="4" customFormat="1" ht="16" customHeight="1" x14ac:dyDescent="0.2">
      <c r="A1991" t="str">
        <f ca="1">Language!A$886</f>
        <v>Изменение долгосрочной задолженности</v>
      </c>
      <c r="B1991"/>
      <c r="C1991" s="5" t="str">
        <f ca="1">CHOOSE(B1978,CUR_Main,CUR_Foreign)</f>
        <v>руб.</v>
      </c>
      <c r="D1991"/>
      <c r="E1991"/>
      <c r="F1991" s="43">
        <f>(F1449+F1450)*IF(CUR_I_Report&lt;&gt;$B$1978,IF(CUR_I_Report=2,F$88,1/F$88),1)</f>
        <v>2359067.6844783714</v>
      </c>
      <c r="G1991" s="43">
        <f>(G1449+G1450)*IF(CUR_I_Report&lt;&gt;$B$1978,IF(CUR_I_Report=2,G$88,1/G$88),1)</f>
        <v>2982103.1201237948</v>
      </c>
      <c r="H1991" s="43">
        <f>(H1449+H1450)*IF(CUR_I_Report&lt;&gt;$B$1978,IF(CUR_I_Report=2,H$88,1/H$88),1)</f>
        <v>2393268.0173260393</v>
      </c>
      <c r="I1991" s="43">
        <f>(I1449+I1450)*IF(CUR_I_Report&lt;&gt;$B$1978,IF(CUR_I_Report=2,I$88,1/I$88),1)</f>
        <v>1809034.9566888495</v>
      </c>
      <c r="J1991" s="43">
        <f>(J1449+J1450)*IF(CUR_I_Report&lt;&gt;$B$1978,IF(CUR_I_Report=2,J$88,1/J$88),1)</f>
        <v>1144435.2062421832</v>
      </c>
      <c r="K1991" s="43">
        <f>(K1449+K1450)*IF(CUR_I_Report&lt;&gt;$B$1978,IF(CUR_I_Report=2,K$88,1/K$88),1)</f>
        <v>-23659.363592692334</v>
      </c>
      <c r="L1991" s="43">
        <f>(L1449+L1450)*IF(CUR_I_Report&lt;&gt;$B$1978,IF(CUR_I_Report=2,L$88,1/L$88),1)</f>
        <v>-1202620.5457013601</v>
      </c>
      <c r="M1991" s="43">
        <f>(M1449+M1450)*IF(CUR_I_Report&lt;&gt;$B$1978,IF(CUR_I_Report=2,M$88,1/M$88),1)</f>
        <v>-2406104.568837841</v>
      </c>
      <c r="N1991" s="43">
        <f>(N1449+N1450)*IF(CUR_I_Report&lt;&gt;$B$1978,IF(CUR_I_Report=2,N$88,1/N$88),1)</f>
        <v>-4335106.8980769133</v>
      </c>
      <c r="O1991" s="43">
        <f>(O1449+O1450)*IF(CUR_I_Report&lt;&gt;$B$1978,IF(CUR_I_Report=2,O$88,1/O$88),1)</f>
        <v>-3558056.5059945099</v>
      </c>
      <c r="P1991" s="43">
        <f>(P1449+P1450)*IF(CUR_I_Report&lt;&gt;$B$1978,IF(CUR_I_Report=2,P$88,1/P$88),1)</f>
        <v>0</v>
      </c>
      <c r="Q1991" s="43">
        <f>(Q1449+Q1450)*IF(CUR_I_Report&lt;&gt;$B$1978,IF(CUR_I_Report=2,Q$88,1/Q$88),1)</f>
        <v>0</v>
      </c>
      <c r="R1991"/>
      <c r="S1991" s="54">
        <f t="shared" si="2057"/>
        <v>-837638.89734407701</v>
      </c>
    </row>
    <row r="1992" spans="1:19" outlineLevel="1" x14ac:dyDescent="0.2"/>
    <row r="1993" spans="1:19" outlineLevel="1" x14ac:dyDescent="0.2">
      <c r="A1993" t="str">
        <f ca="1">Language!A$887</f>
        <v>Дисконтированный денежный поток</v>
      </c>
      <c r="C1993" s="5" t="str">
        <f ca="1">CHOOSE(B1978,CUR_Main,CUR_Foreign)</f>
        <v>руб.</v>
      </c>
      <c r="F1993" s="43">
        <f t="shared" ref="F1993:M1993" ca="1" si="2058">F1986/F1981</f>
        <v>0</v>
      </c>
      <c r="G1993" s="43">
        <f t="shared" ca="1" si="2058"/>
        <v>-81078.017074788979</v>
      </c>
      <c r="H1993" s="43">
        <f t="shared" ca="1" si="2058"/>
        <v>-141534.66092414942</v>
      </c>
      <c r="I1993" s="43">
        <f t="shared" ca="1" si="2058"/>
        <v>-170936.66247931699</v>
      </c>
      <c r="J1993" s="43">
        <f t="shared" ca="1" si="2058"/>
        <v>-190441.43054961591</v>
      </c>
      <c r="K1993" s="43">
        <f t="shared" ca="1" si="2058"/>
        <v>20066.71901643636</v>
      </c>
      <c r="L1993" s="43">
        <f t="shared" ca="1" si="2058"/>
        <v>123062.49386214942</v>
      </c>
      <c r="M1993" s="43">
        <f t="shared" ca="1" si="2058"/>
        <v>222388.76122666345</v>
      </c>
      <c r="N1993" s="43">
        <f t="shared" ref="N1993" ca="1" si="2059">N1986/N1981</f>
        <v>377534.23187838396</v>
      </c>
      <c r="O1993" s="43">
        <f t="shared" ref="O1993:Q1993" ca="1" si="2060">O1986/O1981</f>
        <v>3336227.0543034975</v>
      </c>
      <c r="P1993" s="43">
        <f t="shared" ref="P1993:Q1993" ca="1" si="2061">P1986/P1981</f>
        <v>7709984.2318865191</v>
      </c>
      <c r="Q1993" s="43">
        <f t="shared" ca="1" si="2061"/>
        <v>8512802.5360661224</v>
      </c>
      <c r="R1993" s="43"/>
      <c r="S1993" s="54">
        <f ca="1">SUM(F1993:Q1993)</f>
        <v>19718075.257211901</v>
      </c>
    </row>
    <row r="1994" spans="1:19" outlineLevel="1" x14ac:dyDescent="0.2"/>
    <row r="1995" spans="1:19" ht="10.5" outlineLevel="2" x14ac:dyDescent="0.25">
      <c r="A1995" s="35" t="str">
        <f ca="1">Language!A$888</f>
        <v>Продленная стоимость проекта</v>
      </c>
      <c r="B1995" s="55">
        <f ca="1">OFFSET(F1996,0,PRJ_Len-1)*(1+B1984)/(OFFSET(F1980,0,PRJ_Len-1)-B1984)</f>
        <v>564450258.03649509</v>
      </c>
      <c r="C1995" s="5" t="str">
        <f ca="1">CHOOSE(B1978,CUR_Main,CUR_Foreign)</f>
        <v>руб.</v>
      </c>
      <c r="F1995" s="35"/>
      <c r="G1995" s="35"/>
      <c r="H1995" s="35"/>
      <c r="I1995" s="35"/>
      <c r="J1995" s="35"/>
      <c r="K1995" s="35"/>
      <c r="L1995" s="35"/>
      <c r="M1995" s="35"/>
      <c r="N1995" s="35"/>
      <c r="O1995" s="35"/>
      <c r="P1995" s="35"/>
      <c r="Q1995" s="35"/>
      <c r="R1995" s="35"/>
      <c r="S1995" s="51"/>
    </row>
    <row r="1996" spans="1:19" ht="10.5" outlineLevel="2" x14ac:dyDescent="0.25">
      <c r="A1996" s="23" t="str">
        <f ca="1">Language!A$889</f>
        <v>Посленалоговая операционная прибыль (NOPLAT)</v>
      </c>
      <c r="C1996" s="5" t="str">
        <f ca="1">CHOOSE(B1978,CUR_Main,CUR_Foreign)</f>
        <v>руб.</v>
      </c>
      <c r="F1996" s="53">
        <f ca="1">(F1317+F1314)*(1-F1672)*IF(CUR_I_Report&lt;&gt;$B$1978,IF(CUR_I_Report=2,F$88,1/F$88),1)</f>
        <v>-2966160</v>
      </c>
      <c r="G1996" s="53">
        <f ca="1">(G1317+G1314)*(1-G1672)*IF(CUR_I_Report&lt;&gt;$B$1978,IF(CUR_I_Report=2,G$88,1/G$88),1)</f>
        <v>-2555760</v>
      </c>
      <c r="H1996" s="53">
        <f ca="1">(H1317+H1314)*(1-H1672)*IF(CUR_I_Report&lt;&gt;$B$1978,IF(CUR_I_Report=2,H$88,1/H$88),1)</f>
        <v>-2419853.3087499999</v>
      </c>
      <c r="I1996" s="53">
        <f ca="1">(I1317+I1314)*(1-I1672)*IF(CUR_I_Report&lt;&gt;$B$1978,IF(CUR_I_Report=2,I$88,1/I$88),1)</f>
        <v>-1876226.54375</v>
      </c>
      <c r="J1996" s="53">
        <f ca="1">(J1317+J1314)*(1-J1672)*IF(CUR_I_Report&lt;&gt;$B$1978,IF(CUR_I_Report=2,J$88,1/J$88),1)</f>
        <v>-1196693.0874999999</v>
      </c>
      <c r="K1996" s="53">
        <f ca="1">(K1317+K1314)*(1-K1672)*IF(CUR_I_Report&lt;&gt;$B$1978,IF(CUR_I_Report=2,K$88,1/K$88),1)</f>
        <v>162373.82499999995</v>
      </c>
      <c r="L1996" s="53">
        <f ca="1">(L1317+L1314)*(1-L1672)*IF(CUR_I_Report&lt;&gt;$B$1978,IF(CUR_I_Report=2,L$88,1/L$88),1)</f>
        <v>1243906.7228934481</v>
      </c>
      <c r="M1996" s="53">
        <f ca="1">(M1317+M1314)*(1-M1672)*IF(CUR_I_Report&lt;&gt;$B$1978,IF(CUR_I_Report=2,M$88,1/M$88),1)</f>
        <v>2537868.9318445218</v>
      </c>
      <c r="N1996" s="53">
        <f ca="1">(N1317+N1314)*(1-N1672)*IF(CUR_I_Report&lt;&gt;$B$1978,IF(CUR_I_Report=2,N$88,1/N$88),1)</f>
        <v>4464821.669571436</v>
      </c>
      <c r="O1996" s="53">
        <f ca="1">(O1317+O1314)*(1-O1672)*IF(CUR_I_Report&lt;&gt;$B$1978,IF(CUR_I_Report=2,O$88,1/O$88),1)</f>
        <v>7025601.84375</v>
      </c>
      <c r="P1996" s="53">
        <f ca="1">(P1317+P1314)*(1-P1672)*IF(CUR_I_Report&lt;&gt;$B$1978,IF(CUR_I_Report=2,P$88,1/P$88),1)</f>
        <v>8941874.2125000004</v>
      </c>
      <c r="Q1996" s="53">
        <f ca="1">(Q1317+Q1314)*(1-Q1672)*IF(CUR_I_Report&lt;&gt;$B$1978,IF(CUR_I_Report=2,Q$88,1/Q$88),1)</f>
        <v>10219389.125</v>
      </c>
      <c r="R1996" s="35"/>
      <c r="S1996" s="51"/>
    </row>
    <row r="1997" spans="1:19" outlineLevel="2" x14ac:dyDescent="0.2">
      <c r="A1997" s="23" t="str">
        <f ca="1">Language!A$890</f>
        <v>Дисконтированная продленная стоимость</v>
      </c>
      <c r="B1997" s="144">
        <f ca="1">B1995/OFFSET(F1982,0,PRJ_Len-1)</f>
        <v>455108216.38872993</v>
      </c>
      <c r="C1997" s="5" t="str">
        <f ca="1">CHOOSE(B1978,CUR_Main,CUR_Foreign)</f>
        <v>руб.</v>
      </c>
    </row>
    <row r="1998" spans="1:19" outlineLevel="1" collapsed="1" x14ac:dyDescent="0.2"/>
    <row r="1999" spans="1:19" ht="10.5" hidden="1" outlineLevel="2" x14ac:dyDescent="0.25">
      <c r="A1999" s="35" t="str">
        <f ca="1">Language!A$891</f>
        <v>Итого стоимость бизнеса</v>
      </c>
      <c r="B1999" s="151">
        <f ca="1">S1993+B1997</f>
        <v>474826291.64594185</v>
      </c>
      <c r="C1999" t="str">
        <f ca="1">CHOOSE(B1978,CUR_Main,CUR_Foreign)</f>
        <v>руб.</v>
      </c>
      <c r="F1999" s="43"/>
    </row>
    <row r="2000" spans="1:19" outlineLevel="1" x14ac:dyDescent="0.2">
      <c r="A2000" s="63"/>
      <c r="B2000" s="63"/>
      <c r="C2000" s="63"/>
      <c r="D2000" s="63"/>
      <c r="E2000" s="63"/>
      <c r="F2000" s="121"/>
      <c r="G2000" s="63"/>
      <c r="H2000" s="63"/>
      <c r="I2000" s="63"/>
      <c r="J2000" s="63"/>
      <c r="K2000" s="63"/>
      <c r="L2000" s="63"/>
      <c r="M2000" s="63"/>
      <c r="N2000" s="63"/>
      <c r="O2000" s="63"/>
      <c r="P2000" s="63"/>
      <c r="Q2000" s="63"/>
      <c r="R2000" s="63"/>
      <c r="S2000" s="64"/>
    </row>
    <row r="2001" spans="1:19" outlineLevel="1" x14ac:dyDescent="0.2"/>
    <row r="2002" spans="1:19" ht="10.5" outlineLevel="1" thickBot="1" x14ac:dyDescent="0.25">
      <c r="A2002" s="166" t="str">
        <f ca="1">Language!A892</f>
        <v xml:space="preserve">         БЮДЖЕТНАЯ ЭФФЕКТИВНОСТЬ</v>
      </c>
      <c r="B2002" s="166"/>
      <c r="C2002" s="166"/>
      <c r="D2002" s="166"/>
      <c r="E2002" s="166"/>
      <c r="F2002" s="178" t="str">
        <f t="shared" ref="F2002:Q2002" si="2062">PeriodTitle</f>
        <v>4/ 2024</v>
      </c>
      <c r="G2002" s="178" t="str">
        <f t="shared" si="2062"/>
        <v>5/ 2024</v>
      </c>
      <c r="H2002" s="178" t="str">
        <f t="shared" si="2062"/>
        <v>6/ 2024</v>
      </c>
      <c r="I2002" s="178" t="str">
        <f t="shared" si="2062"/>
        <v>7/ 2024</v>
      </c>
      <c r="J2002" s="178" t="str">
        <f t="shared" si="2062"/>
        <v>8/ 2024</v>
      </c>
      <c r="K2002" s="178" t="str">
        <f t="shared" si="2062"/>
        <v>9/ 2024</v>
      </c>
      <c r="L2002" s="178" t="str">
        <f t="shared" si="2062"/>
        <v>10/ 2024</v>
      </c>
      <c r="M2002" s="178" t="str">
        <f t="shared" si="2062"/>
        <v>11/ 2024</v>
      </c>
      <c r="N2002" s="178" t="str">
        <f t="shared" si="2062"/>
        <v>12/ 2024</v>
      </c>
      <c r="O2002" s="178" t="str">
        <f t="shared" si="2062"/>
        <v>1/ 2025</v>
      </c>
      <c r="P2002" s="178" t="str">
        <f t="shared" si="2062"/>
        <v>2/ 2025</v>
      </c>
      <c r="Q2002" s="178" t="str">
        <f t="shared" si="2062"/>
        <v>3/ 2025</v>
      </c>
      <c r="R2002" s="166"/>
      <c r="S2002" s="167" t="str">
        <f ca="1">Language!A$371</f>
        <v>ИТОГО</v>
      </c>
    </row>
    <row r="2003" spans="1:19" ht="10.5" outlineLevel="1" thickTop="1" x14ac:dyDescent="0.2"/>
    <row r="2004" spans="1:19" ht="10.5" outlineLevel="1" x14ac:dyDescent="0.25">
      <c r="A2004" s="35" t="str">
        <f ca="1">Language!A895</f>
        <v>Доли налоговых поступлений в бюджеты разных уровней</v>
      </c>
    </row>
    <row r="2005" spans="1:19" outlineLevel="1" x14ac:dyDescent="0.2">
      <c r="B2005" s="11" t="str">
        <f ca="1">Language!A893</f>
        <v>федеральный</v>
      </c>
      <c r="C2005" s="11" t="str">
        <f ca="1">Language!A894</f>
        <v>территории</v>
      </c>
    </row>
    <row r="2006" spans="1:19" outlineLevel="1" x14ac:dyDescent="0.2">
      <c r="A2006" t="str">
        <f ca="1">Language!A896</f>
        <v>Налог на добавленную стоимость</v>
      </c>
      <c r="B2006" s="154">
        <f>1-C2006</f>
        <v>1</v>
      </c>
      <c r="C2006" s="273">
        <v>0</v>
      </c>
    </row>
    <row r="2007" spans="1:19" outlineLevel="1" x14ac:dyDescent="0.2">
      <c r="A2007" t="str">
        <f ca="1">Language!A897</f>
        <v>Налог на прибыль</v>
      </c>
      <c r="B2007" s="154">
        <f t="shared" ref="B2007:B2017" si="2063">1-C2007</f>
        <v>0.20833333333333337</v>
      </c>
      <c r="C2007" s="273">
        <v>0.79166666666666663</v>
      </c>
    </row>
    <row r="2008" spans="1:19" outlineLevel="1" x14ac:dyDescent="0.2">
      <c r="A2008" t="str">
        <f ca="1">Language!A898</f>
        <v xml:space="preserve">Начисления на заработную плату </v>
      </c>
      <c r="B2008" s="154">
        <f t="shared" si="2063"/>
        <v>1</v>
      </c>
      <c r="C2008" s="273">
        <v>0</v>
      </c>
    </row>
    <row r="2009" spans="1:19" outlineLevel="1" x14ac:dyDescent="0.2">
      <c r="A2009" t="str">
        <f ca="1">Language!A899</f>
        <v>Акцизы и экспортные пошлины</v>
      </c>
      <c r="B2009" s="154">
        <f t="shared" si="2063"/>
        <v>1</v>
      </c>
      <c r="C2009" s="273">
        <v>0</v>
      </c>
    </row>
    <row r="2010" spans="1:19" outlineLevel="1" collapsed="1" x14ac:dyDescent="0.2">
      <c r="A2010" t="str">
        <f ca="1">Language!A900</f>
        <v>Импортная пошлина</v>
      </c>
      <c r="B2010" s="154">
        <f t="shared" si="2063"/>
        <v>1</v>
      </c>
      <c r="C2010" s="273">
        <v>0</v>
      </c>
    </row>
    <row r="2011" spans="1:19" hidden="1" outlineLevel="2" x14ac:dyDescent="0.2">
      <c r="A2011" t="str">
        <f ca="1">Language!A901</f>
        <v>Подоходный налог</v>
      </c>
      <c r="B2011" s="154">
        <f t="shared" si="2063"/>
        <v>1</v>
      </c>
      <c r="C2011" s="273">
        <v>0</v>
      </c>
    </row>
    <row r="2012" spans="1:19" hidden="1" outlineLevel="2" x14ac:dyDescent="0.2">
      <c r="A2012" t="str">
        <f ca="1">Language!A902</f>
        <v>Земельный налог</v>
      </c>
      <c r="B2012" s="154">
        <f t="shared" si="2063"/>
        <v>1</v>
      </c>
      <c r="C2012" s="273">
        <v>0</v>
      </c>
    </row>
    <row r="2013" spans="1:19" outlineLevel="1" x14ac:dyDescent="0.2">
      <c r="A2013" t="str">
        <f ca="1">Language!A903</f>
        <v>Налог на имущество</v>
      </c>
      <c r="B2013" s="154">
        <f t="shared" si="2063"/>
        <v>0.5</v>
      </c>
      <c r="C2013" s="273">
        <v>0.5</v>
      </c>
    </row>
    <row r="2014" spans="1:19" outlineLevel="1" x14ac:dyDescent="0.2">
      <c r="A2014" t="str">
        <f ca="1">A147</f>
        <v>Другие налоги, относимые на текущие затраты</v>
      </c>
      <c r="B2014" s="154">
        <f t="shared" si="2063"/>
        <v>1</v>
      </c>
      <c r="C2014" s="273">
        <v>0</v>
      </c>
    </row>
    <row r="2015" spans="1:19" outlineLevel="1" x14ac:dyDescent="0.2">
      <c r="A2015" t="str">
        <f ca="1">A162</f>
        <v>Другие налоги, относимые на финансовые результаты</v>
      </c>
      <c r="B2015" s="154">
        <f t="shared" si="2063"/>
        <v>1</v>
      </c>
      <c r="C2015" s="273">
        <v>0</v>
      </c>
    </row>
    <row r="2016" spans="1:19" outlineLevel="1" x14ac:dyDescent="0.2">
      <c r="A2016" t="str">
        <f ca="1">Language!A904</f>
        <v>Единый налог на вмененный доход</v>
      </c>
      <c r="B2016" s="154">
        <f t="shared" si="2063"/>
        <v>1</v>
      </c>
      <c r="C2016" s="273">
        <v>0</v>
      </c>
    </row>
    <row r="2017" spans="1:19" s="4" customFormat="1" ht="16" customHeight="1" x14ac:dyDescent="0.2">
      <c r="A2017" t="str">
        <f ca="1">Language!A905</f>
        <v>Упрощенная система налогообложения</v>
      </c>
      <c r="B2017" s="154">
        <f t="shared" si="2063"/>
        <v>1</v>
      </c>
      <c r="C2017" s="273">
        <v>0</v>
      </c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 s="11"/>
    </row>
    <row r="2018" spans="1:19" outlineLevel="1" x14ac:dyDescent="0.2"/>
    <row r="2019" spans="1:19" outlineLevel="1" x14ac:dyDescent="0.2">
      <c r="A2019" t="str">
        <f ca="1">Language!A906</f>
        <v>Ставка налога на доходы физических лиц</v>
      </c>
      <c r="B2019" s="273">
        <v>0.13</v>
      </c>
      <c r="C2019" s="5" t="str">
        <f ca="1">CUR_Main</f>
        <v>руб.</v>
      </c>
      <c r="F2019" s="43">
        <f>F1011*$B2019</f>
        <v>122720</v>
      </c>
      <c r="G2019" s="43">
        <f>G1011*$B2019</f>
        <v>75920</v>
      </c>
      <c r="H2019" s="43">
        <f>H1011*$B2019</f>
        <v>75920</v>
      </c>
      <c r="I2019" s="43">
        <f>I1011*$B2019</f>
        <v>75920</v>
      </c>
      <c r="J2019" s="43">
        <f>J1011*$B2019</f>
        <v>75920</v>
      </c>
      <c r="K2019" s="43">
        <f>K1011*$B2019</f>
        <v>75920</v>
      </c>
      <c r="L2019" s="43">
        <f>L1011*$B2019</f>
        <v>75920</v>
      </c>
      <c r="M2019" s="43">
        <f>M1011*$B2019</f>
        <v>75920</v>
      </c>
      <c r="N2019" s="43">
        <f>N1011*$B2019</f>
        <v>75920</v>
      </c>
      <c r="O2019" s="43">
        <f>O1011*$B2019</f>
        <v>75920</v>
      </c>
      <c r="P2019" s="43">
        <f>P1011*$B2019</f>
        <v>75920</v>
      </c>
      <c r="Q2019" s="43">
        <f>Q1011*$B2019</f>
        <v>75920</v>
      </c>
      <c r="R2019" s="43"/>
      <c r="S2019" s="54">
        <f>SUM(F2019:Q2019)</f>
        <v>957840</v>
      </c>
    </row>
    <row r="2020" spans="1:19" outlineLevel="1" x14ac:dyDescent="0.2">
      <c r="C2020" s="5"/>
      <c r="F2020" s="43"/>
      <c r="G2020" s="43"/>
      <c r="H2020" s="43"/>
      <c r="I2020" s="43"/>
      <c r="J2020" s="43"/>
      <c r="K2020" s="43"/>
      <c r="L2020" s="43"/>
      <c r="M2020" s="43"/>
      <c r="N2020" s="43"/>
      <c r="O2020" s="43"/>
      <c r="P2020" s="43"/>
      <c r="Q2020" s="43"/>
      <c r="R2020" s="43"/>
      <c r="S2020" s="54"/>
    </row>
    <row r="2021" spans="1:19" outlineLevel="1" x14ac:dyDescent="0.2">
      <c r="A2021" t="str">
        <f ca="1">Language!A907</f>
        <v>Налоговые поступления в федеральный бюджет</v>
      </c>
      <c r="C2021" s="5" t="str">
        <f ca="1">CUR_Main</f>
        <v>руб.</v>
      </c>
      <c r="F2021" s="43">
        <f ca="1">F107*$B2009+F108*$B2010+F126*$B2006+(F136+F204+F223)*$B2008+F143*$B2012+F147*$B2014+F157*$B2013+F162*$B2015+F173*$B2007+F201*$B2016+F215*$B2017+F2019*$B2011</f>
        <v>254880</v>
      </c>
      <c r="G2021" s="43">
        <f ca="1">G107*$B2009+G108*$B2010+G126*$B2006+(G136+G204+G223)*$B2008+G143*$B2012+G147*$B2014+G157*$B2013+G162*$B2015+G173*$B2007+G201*$B2016+G215*$B2017+G2019*$B2011</f>
        <v>157680</v>
      </c>
      <c r="H2021" s="43">
        <f ca="1">H107*$B2009+H108*$B2010+H126*$B2006+(H136+H204+H223)*$B2008+H143*$B2012+H147*$B2014+H157*$B2013+H162*$B2015+H173*$B2007+H201*$B2016+H215*$B2017+H2019*$B2011</f>
        <v>165835.20000000001</v>
      </c>
      <c r="I2021" s="43">
        <f ca="1">I107*$B2009+I108*$B2010+I126*$B2006+(I136+I204+I223)*$B2008+I143*$B2012+I147*$B2014+I157*$B2013+I162*$B2015+I173*$B2007+I201*$B2016+I215*$B2017+I2019*$B2011</f>
        <v>198456</v>
      </c>
      <c r="J2021" s="43">
        <f ca="1">J107*$B2009+J108*$B2010+J126*$B2006+(J136+J204+J223)*$B2008+J143*$B2012+J147*$B2014+J157*$B2013+J162*$B2015+J173*$B2007+J201*$B2016+J215*$B2017+J2019*$B2011</f>
        <v>239232</v>
      </c>
      <c r="K2021" s="43">
        <f ca="1">K107*$B2009+K108*$B2010+K126*$B2006+(K136+K204+K223)*$B2008+K143*$B2012+K147*$B2014+K157*$B2013+K162*$B2015+K173*$B2007+K201*$B2016+K215*$B2017+K2019*$B2011</f>
        <v>320784</v>
      </c>
      <c r="L2021" s="43">
        <f ca="1">L107*$B2009+L108*$B2010+L126*$B2006+(L136+L204+L223)*$B2008+L143*$B2012+L147*$B2014+L157*$B2013+L162*$B2015+L173*$B2007+L201*$B2016+L215*$B2017+L2019*$B2011</f>
        <v>402336</v>
      </c>
      <c r="M2021" s="43">
        <f ca="1">M107*$B2009+M108*$B2010+M126*$B2006+(M136+M204+M223)*$B2008+M143*$B2012+M147*$B2014+M157*$B2013+M162*$B2015+M173*$B2007+M201*$B2016+M215*$B2017+M2019*$B2011</f>
        <v>483888</v>
      </c>
      <c r="N2021" s="43">
        <f ca="1">N107*$B2009+N108*$B2010+N126*$B2006+(N136+N204+N223)*$B2008+N143*$B2012+N147*$B2014+N157*$B2013+N162*$B2015+N173*$B2007+N201*$B2016+N215*$B2017+N2019*$B2011</f>
        <v>606216</v>
      </c>
      <c r="O2021" s="43">
        <f ca="1">O107*$B2009+O108*$B2010+O126*$B2006+(O136+O204+O223)*$B2008+O143*$B2012+O147*$B2014+O157*$B2013+O162*$B2015+O173*$B2007+O201*$B2016+O215*$B2017+O2019*$B2011</f>
        <v>769320</v>
      </c>
      <c r="P2021" s="43">
        <f ca="1">P107*$B2009+P108*$B2010+P126*$B2006+(P136+P204+P223)*$B2008+P143*$B2012+P147*$B2014+P157*$B2013+P162*$B2015+P173*$B2007+P201*$B2016+P215*$B2017+P2019*$B2011</f>
        <v>891648</v>
      </c>
      <c r="Q2021" s="43">
        <f ca="1">Q107*$B2009+Q108*$B2010+Q126*$B2006+(Q136+Q204+Q223)*$B2008+Q143*$B2012+Q147*$B2014+Q157*$B2013+Q162*$B2015+Q173*$B2007+Q201*$B2016+Q215*$B2017+Q2019*$B2011</f>
        <v>973200</v>
      </c>
      <c r="R2021" s="43"/>
      <c r="S2021" s="54">
        <f ca="1">SUM(F2021:Q2021)</f>
        <v>5463475.2000000002</v>
      </c>
    </row>
    <row r="2022" spans="1:19" outlineLevel="1" x14ac:dyDescent="0.2">
      <c r="A2022" t="str">
        <f ca="1">Language!A908</f>
        <v>Налоговые поступления в территориальный бюджет</v>
      </c>
      <c r="C2022" s="5" t="str">
        <f ca="1">CUR_Main</f>
        <v>руб.</v>
      </c>
      <c r="F2022" s="43">
        <f ca="1">F107*$C2009+F108*$C2010+F126*$C2006+(F136+F204+F223)*$C2008+F143*$C2012+F147*$C2014+F157*$C2013+F162*$C2015+F173*$C2007+F201*$C2016+F215*$C2017+F2019*$C2011</f>
        <v>0</v>
      </c>
      <c r="G2022" s="43">
        <f ca="1">G107*$C2009+G108*$C2010+G126*$C2006+(G136+G204+G223)*$C2008+G143*$C2012+G147*$C2014+G157*$C2013+G162*$C2015+G173*$C2007+G201*$C2016+G215*$C2017+G2019*$C2011</f>
        <v>0</v>
      </c>
      <c r="H2022" s="43">
        <f ca="1">H107*$C2009+H108*$C2010+H126*$C2006+(H136+H204+H223)*$C2008+H143*$C2012+H147*$C2014+H157*$C2013+H162*$C2015+H173*$C2007+H201*$C2016+H215*$C2017+H2019*$C2011</f>
        <v>0</v>
      </c>
      <c r="I2022" s="43">
        <f ca="1">I107*$C2009+I108*$C2010+I126*$C2006+(I136+I204+I223)*$C2008+I143*$C2012+I147*$C2014+I157*$C2013+I162*$C2015+I173*$C2007+I201*$C2016+I215*$C2017+I2019*$C2011</f>
        <v>0</v>
      </c>
      <c r="J2022" s="43">
        <f ca="1">J107*$C2009+J108*$C2010+J126*$C2006+(J136+J204+J223)*$C2008+J143*$C2012+J147*$C2014+J157*$C2013+J162*$C2015+J173*$C2007+J201*$C2016+J215*$C2017+J2019*$C2011</f>
        <v>0</v>
      </c>
      <c r="K2022" s="43">
        <f ca="1">K107*$C2009+K108*$C2010+K126*$C2006+(K136+K204+K223)*$C2008+K143*$C2012+K147*$C2014+K157*$C2013+K162*$C2015+K173*$C2007+K201*$C2016+K215*$C2017+K2019*$C2011</f>
        <v>0</v>
      </c>
      <c r="L2022" s="43">
        <f ca="1">L107*$C2009+L108*$C2010+L126*$C2006+(L136+L204+L223)*$C2008+L143*$C2012+L147*$C2014+L157*$C2013+L162*$C2015+L173*$C2007+L201*$C2016+L215*$C2017+L2019*$C2011</f>
        <v>0</v>
      </c>
      <c r="M2022" s="43">
        <f ca="1">M107*$C2009+M108*$C2010+M126*$C2006+(M136+M204+M223)*$C2008+M143*$C2012+M147*$C2014+M157*$C2013+M162*$C2015+M173*$C2007+M201*$C2016+M215*$C2017+M2019*$C2011</f>
        <v>0</v>
      </c>
      <c r="N2022" s="43">
        <f ca="1">N107*$C2009+N108*$C2010+N126*$C2006+(N136+N204+N223)*$C2008+N143*$C2012+N147*$C2014+N157*$C2013+N162*$C2015+N173*$C2007+N201*$C2016+N215*$C2017+N2019*$C2011</f>
        <v>0</v>
      </c>
      <c r="O2022" s="43">
        <f ca="1">O107*$C2009+O108*$C2010+O126*$C2006+(O136+O204+O223)*$C2008+O143*$C2012+O147*$C2014+O157*$C2013+O162*$C2015+O173*$C2007+O201*$C2016+O215*$C2017+O2019*$C2011</f>
        <v>0</v>
      </c>
      <c r="P2022" s="43">
        <f ca="1">P107*$C2009+P108*$C2010+P126*$C2006+(P136+P204+P223)*$C2008+P143*$C2012+P147*$C2014+P157*$C2013+P162*$C2015+P173*$C2007+P201*$C2016+P215*$C2017+P2019*$C2011</f>
        <v>0</v>
      </c>
      <c r="Q2022" s="43">
        <f ca="1">Q107*$C2009+Q108*$C2010+Q126*$C2006+(Q136+Q204+Q223)*$C2008+Q143*$C2012+Q147*$C2014+Q157*$C2013+Q162*$C2015+Q173*$C2007+Q201*$C2016+Q215*$C2017+Q2019*$C2011</f>
        <v>0</v>
      </c>
      <c r="R2022" s="43"/>
      <c r="S2022" s="54">
        <f ca="1">SUM(F2022:Q2022)</f>
        <v>0</v>
      </c>
    </row>
    <row r="2023" spans="1:19" outlineLevel="1" x14ac:dyDescent="0.2">
      <c r="C2023" s="5"/>
      <c r="F2023" s="43"/>
      <c r="G2023" s="43"/>
      <c r="H2023" s="43"/>
      <c r="I2023" s="43"/>
      <c r="J2023" s="43"/>
      <c r="K2023" s="43"/>
      <c r="L2023" s="43"/>
      <c r="M2023" s="43"/>
      <c r="N2023" s="43"/>
      <c r="O2023" s="43"/>
      <c r="P2023" s="43"/>
      <c r="Q2023" s="43"/>
      <c r="R2023" s="43"/>
      <c r="S2023" s="54"/>
    </row>
    <row r="2024" spans="1:19" ht="10.5" outlineLevel="1" x14ac:dyDescent="0.25">
      <c r="A2024" s="35" t="str">
        <f ca="1">Language!A909</f>
        <v>Бюджетное финансирование</v>
      </c>
      <c r="C2024" s="5"/>
      <c r="F2024" s="43"/>
      <c r="G2024" s="43"/>
      <c r="H2024" s="43"/>
      <c r="I2024" s="43"/>
      <c r="J2024" s="43"/>
      <c r="K2024" s="43"/>
      <c r="L2024" s="43"/>
      <c r="M2024" s="43"/>
      <c r="N2024" s="43"/>
      <c r="O2024" s="43"/>
      <c r="P2024" s="43"/>
      <c r="Q2024" s="43"/>
      <c r="R2024" s="43"/>
      <c r="S2024" s="54"/>
    </row>
    <row r="2025" spans="1:19" outlineLevel="1" x14ac:dyDescent="0.2">
      <c r="C2025" s="5"/>
      <c r="F2025" s="43"/>
      <c r="G2025" s="43"/>
      <c r="H2025" s="43"/>
      <c r="I2025" s="43"/>
      <c r="J2025" s="43"/>
      <c r="K2025" s="43"/>
      <c r="L2025" s="43"/>
      <c r="M2025" s="43"/>
      <c r="N2025" s="43"/>
      <c r="O2025" s="43"/>
      <c r="P2025" s="43"/>
      <c r="Q2025" s="43"/>
      <c r="R2025" s="43"/>
      <c r="S2025" s="54"/>
    </row>
    <row r="2026" spans="1:19" outlineLevel="1" x14ac:dyDescent="0.2">
      <c r="A2026" s="11" t="str">
        <f ca="1">Language!A910</f>
        <v>Федеральный бюджет</v>
      </c>
      <c r="C2026" s="5"/>
      <c r="F2026" s="43"/>
      <c r="G2026" s="43"/>
      <c r="H2026" s="43"/>
      <c r="I2026" s="43"/>
      <c r="J2026" s="43"/>
      <c r="K2026" s="43"/>
      <c r="L2026" s="43"/>
      <c r="M2026" s="43"/>
      <c r="N2026" s="43"/>
      <c r="O2026" s="43"/>
      <c r="P2026" s="43"/>
      <c r="Q2026" s="43"/>
      <c r="R2026" s="43"/>
      <c r="S2026" s="54"/>
    </row>
    <row r="2027" spans="1:19" outlineLevel="1" x14ac:dyDescent="0.2">
      <c r="A2027" t="str">
        <f ca="1">Language!A911</f>
        <v xml:space="preserve">    целевое финансирование</v>
      </c>
      <c r="C2027" s="5" t="str">
        <f ca="1">CUR_Main</f>
        <v>руб.</v>
      </c>
      <c r="F2027" s="272">
        <v>0</v>
      </c>
      <c r="G2027" s="272">
        <v>0</v>
      </c>
      <c r="H2027" s="272">
        <v>0</v>
      </c>
      <c r="I2027" s="272">
        <v>0</v>
      </c>
      <c r="J2027" s="272">
        <v>0</v>
      </c>
      <c r="K2027" s="272">
        <v>0</v>
      </c>
      <c r="L2027" s="272">
        <v>0</v>
      </c>
      <c r="M2027" s="272">
        <v>0</v>
      </c>
      <c r="N2027" s="272">
        <v>0</v>
      </c>
      <c r="O2027" s="272">
        <v>0</v>
      </c>
      <c r="P2027" s="272">
        <v>0</v>
      </c>
      <c r="Q2027" s="272">
        <v>0</v>
      </c>
      <c r="R2027" s="43"/>
      <c r="S2027" s="54">
        <f>SUM(F2027:Q2027)</f>
        <v>0</v>
      </c>
    </row>
    <row r="2028" spans="1:19" outlineLevel="1" x14ac:dyDescent="0.2">
      <c r="A2028" t="str">
        <f ca="1">Language!A912</f>
        <v xml:space="preserve">    кредиты выданные</v>
      </c>
      <c r="C2028" s="5" t="str">
        <f ca="1">CUR_Main</f>
        <v>руб.</v>
      </c>
      <c r="F2028" s="53">
        <f>SUMIF($D1211:$D1237,"*3/1_00*",F1211:F1237)+SUMIF($D1211:$D1237,"*3/2_00*",F1211:F1237)*F$88</f>
        <v>0</v>
      </c>
      <c r="G2028" s="53">
        <f>SUMIF($D1211:$D1237,"*3/1_00*",G1211:G1237)+SUMIF($D1211:$D1237,"*3/2_00*",G1211:G1237)*G$88</f>
        <v>0</v>
      </c>
      <c r="H2028" s="53">
        <f>SUMIF($D1211:$D1237,"*3/1_00*",H1211:H1237)+SUMIF($D1211:$D1237,"*3/2_00*",H1211:H1237)*H$88</f>
        <v>0</v>
      </c>
      <c r="I2028" s="53">
        <f>SUMIF($D1211:$D1237,"*3/1_00*",I1211:I1237)+SUMIF($D1211:$D1237,"*3/2_00*",I1211:I1237)*I$88</f>
        <v>0</v>
      </c>
      <c r="J2028" s="53">
        <f>SUMIF($D1211:$D1237,"*3/1_00*",J1211:J1237)+SUMIF($D1211:$D1237,"*3/2_00*",J1211:J1237)*J$88</f>
        <v>0</v>
      </c>
      <c r="K2028" s="53">
        <f>SUMIF($D1211:$D1237,"*3/1_00*",K1211:K1237)+SUMIF($D1211:$D1237,"*3/2_00*",K1211:K1237)*K$88</f>
        <v>0</v>
      </c>
      <c r="L2028" s="53">
        <f>SUMIF($D1211:$D1237,"*3/1_00*",L1211:L1237)+SUMIF($D1211:$D1237,"*3/2_00*",L1211:L1237)*L$88</f>
        <v>0</v>
      </c>
      <c r="M2028" s="53">
        <f>SUMIF($D1211:$D1237,"*3/1_00*",M1211:M1237)+SUMIF($D1211:$D1237,"*3/2_00*",M1211:M1237)*M$88</f>
        <v>0</v>
      </c>
      <c r="N2028" s="53">
        <f>SUMIF($D1211:$D1237,"*3/1_00*",N1211:N1237)+SUMIF($D1211:$D1237,"*3/2_00*",N1211:N1237)*N$88</f>
        <v>0</v>
      </c>
      <c r="O2028" s="53">
        <f>SUMIF($D1211:$D1237,"*3/1_00*",O1211:O1237)+SUMIF($D1211:$D1237,"*3/2_00*",O1211:O1237)*O$88</f>
        <v>0</v>
      </c>
      <c r="P2028" s="53">
        <f>SUMIF($D1211:$D1237,"*3/1_00*",P1211:P1237)+SUMIF($D1211:$D1237,"*3/2_00*",P1211:P1237)*P$88</f>
        <v>0</v>
      </c>
      <c r="Q2028" s="53">
        <f>SUMIF($D1211:$D1237,"*3/1_00*",Q1211:Q1237)+SUMIF($D1211:$D1237,"*3/2_00*",Q1211:Q1237)*Q$88</f>
        <v>0</v>
      </c>
      <c r="R2028" s="43"/>
      <c r="S2028" s="54">
        <f>SUM(F2028:Q2028)</f>
        <v>0</v>
      </c>
    </row>
    <row r="2029" spans="1:19" outlineLevel="1" x14ac:dyDescent="0.2">
      <c r="A2029" t="str">
        <f ca="1">Language!A913</f>
        <v xml:space="preserve">    возврат кредитов</v>
      </c>
      <c r="C2029" s="5" t="str">
        <f ca="1">CUR_Main</f>
        <v>руб.</v>
      </c>
      <c r="F2029" s="43">
        <f>SUMIF($D1211:$D1237,"*3/1_01*",F1211:F1237)+SUMIF($D1211:$D1237,"*3/2_01*",F1211:F1237)*F$88</f>
        <v>0</v>
      </c>
      <c r="G2029" s="43">
        <f>SUMIF($D1211:$D1237,"*3/1_01*",G1211:G1237)+SUMIF($D1211:$D1237,"*3/2_01*",G1211:G1237)*G$88</f>
        <v>0</v>
      </c>
      <c r="H2029" s="43">
        <f>SUMIF($D1211:$D1237,"*3/1_01*",H1211:H1237)+SUMIF($D1211:$D1237,"*3/2_01*",H1211:H1237)*H$88</f>
        <v>0</v>
      </c>
      <c r="I2029" s="43">
        <f>SUMIF($D1211:$D1237,"*3/1_01*",I1211:I1237)+SUMIF($D1211:$D1237,"*3/2_01*",I1211:I1237)*I$88</f>
        <v>0</v>
      </c>
      <c r="J2029" s="43">
        <f>SUMIF($D1211:$D1237,"*3/1_01*",J1211:J1237)+SUMIF($D1211:$D1237,"*3/2_01*",J1211:J1237)*J$88</f>
        <v>0</v>
      </c>
      <c r="K2029" s="43">
        <f>SUMIF($D1211:$D1237,"*3/1_01*",K1211:K1237)+SUMIF($D1211:$D1237,"*3/2_01*",K1211:K1237)*K$88</f>
        <v>0</v>
      </c>
      <c r="L2029" s="43">
        <f>SUMIF($D1211:$D1237,"*3/1_01*",L1211:L1237)+SUMIF($D1211:$D1237,"*3/2_01*",L1211:L1237)*L$88</f>
        <v>0</v>
      </c>
      <c r="M2029" s="43">
        <f>SUMIF($D1211:$D1237,"*3/1_01*",M1211:M1237)+SUMIF($D1211:$D1237,"*3/2_01*",M1211:M1237)*M$88</f>
        <v>0</v>
      </c>
      <c r="N2029" s="43">
        <f>SUMIF($D1211:$D1237,"*3/1_01*",N1211:N1237)+SUMIF($D1211:$D1237,"*3/2_01*",N1211:N1237)*N$88</f>
        <v>0</v>
      </c>
      <c r="O2029" s="43">
        <f>SUMIF($D1211:$D1237,"*3/1_01*",O1211:O1237)+SUMIF($D1211:$D1237,"*3/2_01*",O1211:O1237)*O$88</f>
        <v>0</v>
      </c>
      <c r="P2029" s="43">
        <f>SUMIF($D1211:$D1237,"*3/1_01*",P1211:P1237)+SUMIF($D1211:$D1237,"*3/2_01*",P1211:P1237)*P$88</f>
        <v>0</v>
      </c>
      <c r="Q2029" s="43">
        <f>SUMIF($D1211:$D1237,"*3/1_01*",Q1211:Q1237)+SUMIF($D1211:$D1237,"*3/2_01*",Q1211:Q1237)*Q$88</f>
        <v>0</v>
      </c>
      <c r="R2029" s="43"/>
      <c r="S2029" s="54">
        <f>SUM(F2029:Q2029)</f>
        <v>0</v>
      </c>
    </row>
    <row r="2030" spans="1:19" outlineLevel="1" x14ac:dyDescent="0.2">
      <c r="A2030" t="str">
        <f ca="1">Language!A914</f>
        <v xml:space="preserve">    проценты по выданным кредитам</v>
      </c>
      <c r="C2030" s="5" t="str">
        <f ca="1">CUR_Main</f>
        <v>руб.</v>
      </c>
      <c r="F2030" s="43">
        <f>SUMIF($D1211:$D1237,"*3/1_03*",F1211:F1237)+SUMIF($D1211:$D1237,"*3/2_03*",F1211:F1237)*F$88</f>
        <v>0</v>
      </c>
      <c r="G2030" s="43">
        <f>SUMIF($D1211:$D1237,"*3/1_03*",G1211:G1237)+SUMIF($D1211:$D1237,"*3/2_03*",G1211:G1237)*G$88</f>
        <v>0</v>
      </c>
      <c r="H2030" s="43">
        <f>SUMIF($D1211:$D1237,"*3/1_03*",H1211:H1237)+SUMIF($D1211:$D1237,"*3/2_03*",H1211:H1237)*H$88</f>
        <v>0</v>
      </c>
      <c r="I2030" s="43">
        <f>SUMIF($D1211:$D1237,"*3/1_03*",I1211:I1237)+SUMIF($D1211:$D1237,"*3/2_03*",I1211:I1237)*I$88</f>
        <v>0</v>
      </c>
      <c r="J2030" s="43">
        <f>SUMIF($D1211:$D1237,"*3/1_03*",J1211:J1237)+SUMIF($D1211:$D1237,"*3/2_03*",J1211:J1237)*J$88</f>
        <v>0</v>
      </c>
      <c r="K2030" s="43">
        <f>SUMIF($D1211:$D1237,"*3/1_03*",K1211:K1237)+SUMIF($D1211:$D1237,"*3/2_03*",K1211:K1237)*K$88</f>
        <v>0</v>
      </c>
      <c r="L2030" s="43">
        <f>SUMIF($D1211:$D1237,"*3/1_03*",L1211:L1237)+SUMIF($D1211:$D1237,"*3/2_03*",L1211:L1237)*L$88</f>
        <v>0</v>
      </c>
      <c r="M2030" s="43">
        <f>SUMIF($D1211:$D1237,"*3/1_03*",M1211:M1237)+SUMIF($D1211:$D1237,"*3/2_03*",M1211:M1237)*M$88</f>
        <v>0</v>
      </c>
      <c r="N2030" s="43">
        <f>SUMIF($D1211:$D1237,"*3/1_03*",N1211:N1237)+SUMIF($D1211:$D1237,"*3/2_03*",N1211:N1237)*N$88</f>
        <v>0</v>
      </c>
      <c r="O2030" s="43">
        <f>SUMIF($D1211:$D1237,"*3/1_03*",O1211:O1237)+SUMIF($D1211:$D1237,"*3/2_03*",O1211:O1237)*O$88</f>
        <v>0</v>
      </c>
      <c r="P2030" s="43">
        <f>SUMIF($D1211:$D1237,"*3/1_03*",P1211:P1237)+SUMIF($D1211:$D1237,"*3/2_03*",P1211:P1237)*P$88</f>
        <v>0</v>
      </c>
      <c r="Q2030" s="43">
        <f>SUMIF($D1211:$D1237,"*3/1_03*",Q1211:Q1237)+SUMIF($D1211:$D1237,"*3/2_03*",Q1211:Q1237)*Q$88</f>
        <v>0</v>
      </c>
      <c r="R2030" s="43"/>
      <c r="S2030" s="54">
        <f>SUM(F2030:Q2030)</f>
        <v>0</v>
      </c>
    </row>
    <row r="2031" spans="1:19" outlineLevel="1" x14ac:dyDescent="0.2">
      <c r="A2031" s="11" t="str">
        <f ca="1">Language!A915</f>
        <v>Территориальный бюджет</v>
      </c>
      <c r="C2031" s="5"/>
      <c r="F2031" s="43"/>
      <c r="G2031" s="43"/>
      <c r="H2031" s="43"/>
      <c r="I2031" s="43"/>
      <c r="J2031" s="43"/>
      <c r="K2031" s="43"/>
      <c r="L2031" s="43"/>
      <c r="M2031" s="43"/>
      <c r="N2031" s="43"/>
      <c r="O2031" s="43"/>
      <c r="P2031" s="43"/>
      <c r="Q2031" s="43"/>
      <c r="R2031" s="43"/>
      <c r="S2031" s="54"/>
    </row>
    <row r="2032" spans="1:19" outlineLevel="1" x14ac:dyDescent="0.2">
      <c r="A2032" t="str">
        <f ca="1">Language!A911</f>
        <v xml:space="preserve">    целевое финансирование</v>
      </c>
      <c r="C2032" s="5" t="str">
        <f ca="1">CUR_Main</f>
        <v>руб.</v>
      </c>
      <c r="F2032" s="272">
        <v>0</v>
      </c>
      <c r="G2032" s="272">
        <v>0</v>
      </c>
      <c r="H2032" s="272">
        <v>0</v>
      </c>
      <c r="I2032" s="272">
        <v>0</v>
      </c>
      <c r="J2032" s="272">
        <v>0</v>
      </c>
      <c r="K2032" s="272">
        <v>0</v>
      </c>
      <c r="L2032" s="272">
        <v>0</v>
      </c>
      <c r="M2032" s="272">
        <v>0</v>
      </c>
      <c r="N2032" s="272">
        <v>0</v>
      </c>
      <c r="O2032" s="272">
        <v>0</v>
      </c>
      <c r="P2032" s="272">
        <v>0</v>
      </c>
      <c r="Q2032" s="272">
        <v>0</v>
      </c>
      <c r="R2032" s="43"/>
      <c r="S2032" s="54">
        <f>SUM(F2032:Q2032)</f>
        <v>0</v>
      </c>
    </row>
    <row r="2033" spans="1:19" outlineLevel="1" x14ac:dyDescent="0.2">
      <c r="A2033" t="str">
        <f ca="1">Language!A912</f>
        <v xml:space="preserve">    кредиты выданные</v>
      </c>
      <c r="C2033" s="5" t="str">
        <f ca="1">CUR_Main</f>
        <v>руб.</v>
      </c>
      <c r="F2033" s="43">
        <f>SUMIF($D1211:$D1237,"*4/1_00*",F1211:F1237)+SUMIF($D1211:$D1237,"*4/2_00*",F1211:F1237)*F$88</f>
        <v>0</v>
      </c>
      <c r="G2033" s="43">
        <f>SUMIF($D1211:$D1237,"*4/1_00*",G1211:G1237)+SUMIF($D1211:$D1237,"*4/2_00*",G1211:G1237)*G$88</f>
        <v>0</v>
      </c>
      <c r="H2033" s="43">
        <f>SUMIF($D1211:$D1237,"*4/1_00*",H1211:H1237)+SUMIF($D1211:$D1237,"*4/2_00*",H1211:H1237)*H$88</f>
        <v>0</v>
      </c>
      <c r="I2033" s="43">
        <f>SUMIF($D1211:$D1237,"*4/1_00*",I1211:I1237)+SUMIF($D1211:$D1237,"*4/2_00*",I1211:I1237)*I$88</f>
        <v>0</v>
      </c>
      <c r="J2033" s="43">
        <f>SUMIF($D1211:$D1237,"*4/1_00*",J1211:J1237)+SUMIF($D1211:$D1237,"*4/2_00*",J1211:J1237)*J$88</f>
        <v>0</v>
      </c>
      <c r="K2033" s="43">
        <f>SUMIF($D1211:$D1237,"*4/1_00*",K1211:K1237)+SUMIF($D1211:$D1237,"*4/2_00*",K1211:K1237)*K$88</f>
        <v>0</v>
      </c>
      <c r="L2033" s="43">
        <f>SUMIF($D1211:$D1237,"*4/1_00*",L1211:L1237)+SUMIF($D1211:$D1237,"*4/2_00*",L1211:L1237)*L$88</f>
        <v>0</v>
      </c>
      <c r="M2033" s="43">
        <f>SUMIF($D1211:$D1237,"*4/1_00*",M1211:M1237)+SUMIF($D1211:$D1237,"*4/2_00*",M1211:M1237)*M$88</f>
        <v>0</v>
      </c>
      <c r="N2033" s="43">
        <f>SUMIF($D1211:$D1237,"*4/1_00*",N1211:N1237)+SUMIF($D1211:$D1237,"*4/2_00*",N1211:N1237)*N$88</f>
        <v>0</v>
      </c>
      <c r="O2033" s="43">
        <f>SUMIF($D1211:$D1237,"*4/1_00*",O1211:O1237)+SUMIF($D1211:$D1237,"*4/2_00*",O1211:O1237)*O$88</f>
        <v>0</v>
      </c>
      <c r="P2033" s="43">
        <f>SUMIF($D1211:$D1237,"*4/1_00*",P1211:P1237)+SUMIF($D1211:$D1237,"*4/2_00*",P1211:P1237)*P$88</f>
        <v>0</v>
      </c>
      <c r="Q2033" s="43">
        <f>SUMIF($D1211:$D1237,"*4/1_00*",Q1211:Q1237)+SUMIF($D1211:$D1237,"*4/2_00*",Q1211:Q1237)*Q$88</f>
        <v>0</v>
      </c>
      <c r="R2033" s="43"/>
      <c r="S2033" s="54">
        <f>SUM(F2033:Q2033)</f>
        <v>0</v>
      </c>
    </row>
    <row r="2034" spans="1:19" outlineLevel="1" x14ac:dyDescent="0.2">
      <c r="A2034" t="str">
        <f ca="1">Language!A913</f>
        <v xml:space="preserve">    возврат кредитов</v>
      </c>
      <c r="C2034" s="5" t="str">
        <f ca="1">CUR_Main</f>
        <v>руб.</v>
      </c>
      <c r="F2034" s="43">
        <f>SUMIF($D1211:$D1237,"*4/1_01*",F1211:F1237)+SUMIF($D1211:$D1237,"*4/2_01*",F1211:F1237)*F$88</f>
        <v>0</v>
      </c>
      <c r="G2034" s="43">
        <f>SUMIF($D1211:$D1237,"*4/1_01*",G1211:G1237)+SUMIF($D1211:$D1237,"*4/2_01*",G1211:G1237)*G$88</f>
        <v>0</v>
      </c>
      <c r="H2034" s="43">
        <f>SUMIF($D1211:$D1237,"*4/1_01*",H1211:H1237)+SUMIF($D1211:$D1237,"*4/2_01*",H1211:H1237)*H$88</f>
        <v>0</v>
      </c>
      <c r="I2034" s="43">
        <f>SUMIF($D1211:$D1237,"*4/1_01*",I1211:I1237)+SUMIF($D1211:$D1237,"*4/2_01*",I1211:I1237)*I$88</f>
        <v>0</v>
      </c>
      <c r="J2034" s="43">
        <f>SUMIF($D1211:$D1237,"*4/1_01*",J1211:J1237)+SUMIF($D1211:$D1237,"*4/2_01*",J1211:J1237)*J$88</f>
        <v>0</v>
      </c>
      <c r="K2034" s="43">
        <f>SUMIF($D1211:$D1237,"*4/1_01*",K1211:K1237)+SUMIF($D1211:$D1237,"*4/2_01*",K1211:K1237)*K$88</f>
        <v>0</v>
      </c>
      <c r="L2034" s="43">
        <f>SUMIF($D1211:$D1237,"*4/1_01*",L1211:L1237)+SUMIF($D1211:$D1237,"*4/2_01*",L1211:L1237)*L$88</f>
        <v>0</v>
      </c>
      <c r="M2034" s="43">
        <f>SUMIF($D1211:$D1237,"*4/1_01*",M1211:M1237)+SUMIF($D1211:$D1237,"*4/2_01*",M1211:M1237)*M$88</f>
        <v>0</v>
      </c>
      <c r="N2034" s="43">
        <f>SUMIF($D1211:$D1237,"*4/1_01*",N1211:N1237)+SUMIF($D1211:$D1237,"*4/2_01*",N1211:N1237)*N$88</f>
        <v>0</v>
      </c>
      <c r="O2034" s="43">
        <f>SUMIF($D1211:$D1237,"*4/1_01*",O1211:O1237)+SUMIF($D1211:$D1237,"*4/2_01*",O1211:O1237)*O$88</f>
        <v>0</v>
      </c>
      <c r="P2034" s="43">
        <f>SUMIF($D1211:$D1237,"*4/1_01*",P1211:P1237)+SUMIF($D1211:$D1237,"*4/2_01*",P1211:P1237)*P$88</f>
        <v>0</v>
      </c>
      <c r="Q2034" s="43">
        <f>SUMIF($D1211:$D1237,"*4/1_01*",Q1211:Q1237)+SUMIF($D1211:$D1237,"*4/2_01*",Q1211:Q1237)*Q$88</f>
        <v>0</v>
      </c>
      <c r="R2034" s="43"/>
      <c r="S2034" s="54">
        <f>SUM(F2034:Q2034)</f>
        <v>0</v>
      </c>
    </row>
    <row r="2035" spans="1:19" outlineLevel="1" x14ac:dyDescent="0.2">
      <c r="A2035" t="str">
        <f ca="1">Language!A914</f>
        <v xml:space="preserve">    проценты по выданным кредитам</v>
      </c>
      <c r="C2035" s="5" t="str">
        <f ca="1">CUR_Main</f>
        <v>руб.</v>
      </c>
      <c r="F2035" s="43">
        <f>SUMIF($D1211:$D1237,"*4/1_03*",F1211:F1237)+SUMIF($D1211:$D1237,"*4/2_03*",F1211:F1237)*F$88</f>
        <v>0</v>
      </c>
      <c r="G2035" s="43">
        <f>SUMIF($D1211:$D1237,"*4/1_03*",G1211:G1237)+SUMIF($D1211:$D1237,"*4/2_03*",G1211:G1237)*G$88</f>
        <v>0</v>
      </c>
      <c r="H2035" s="43">
        <f>SUMIF($D1211:$D1237,"*4/1_03*",H1211:H1237)+SUMIF($D1211:$D1237,"*4/2_03*",H1211:H1237)*H$88</f>
        <v>0</v>
      </c>
      <c r="I2035" s="43">
        <f>SUMIF($D1211:$D1237,"*4/1_03*",I1211:I1237)+SUMIF($D1211:$D1237,"*4/2_03*",I1211:I1237)*I$88</f>
        <v>0</v>
      </c>
      <c r="J2035" s="43">
        <f>SUMIF($D1211:$D1237,"*4/1_03*",J1211:J1237)+SUMIF($D1211:$D1237,"*4/2_03*",J1211:J1237)*J$88</f>
        <v>0</v>
      </c>
      <c r="K2035" s="43">
        <f>SUMIF($D1211:$D1237,"*4/1_03*",K1211:K1237)+SUMIF($D1211:$D1237,"*4/2_03*",K1211:K1237)*K$88</f>
        <v>0</v>
      </c>
      <c r="L2035" s="43">
        <f>SUMIF($D1211:$D1237,"*4/1_03*",L1211:L1237)+SUMIF($D1211:$D1237,"*4/2_03*",L1211:L1237)*L$88</f>
        <v>0</v>
      </c>
      <c r="M2035" s="43">
        <f>SUMIF($D1211:$D1237,"*4/1_03*",M1211:M1237)+SUMIF($D1211:$D1237,"*4/2_03*",M1211:M1237)*M$88</f>
        <v>0</v>
      </c>
      <c r="N2035" s="43">
        <f>SUMIF($D1211:$D1237,"*4/1_03*",N1211:N1237)+SUMIF($D1211:$D1237,"*4/2_03*",N1211:N1237)*N$88</f>
        <v>0</v>
      </c>
      <c r="O2035" s="43">
        <f>SUMIF($D1211:$D1237,"*4/1_03*",O1211:O1237)+SUMIF($D1211:$D1237,"*4/2_03*",O1211:O1237)*O$88</f>
        <v>0</v>
      </c>
      <c r="P2035" s="43">
        <f>SUMIF($D1211:$D1237,"*4/1_03*",P1211:P1237)+SUMIF($D1211:$D1237,"*4/2_03*",P1211:P1237)*P$88</f>
        <v>0</v>
      </c>
      <c r="Q2035" s="43">
        <f>SUMIF($D1211:$D1237,"*4/1_03*",Q1211:Q1237)+SUMIF($D1211:$D1237,"*4/2_03*",Q1211:Q1237)*Q$88</f>
        <v>0</v>
      </c>
      <c r="R2035" s="43"/>
      <c r="S2035" s="54">
        <f>SUM(F2035:Q2035)</f>
        <v>0</v>
      </c>
    </row>
    <row r="2036" spans="1:19" outlineLevel="1" x14ac:dyDescent="0.2">
      <c r="C2036" s="5"/>
      <c r="F2036" s="43"/>
      <c r="G2036" s="43"/>
      <c r="H2036" s="43"/>
      <c r="I2036" s="43"/>
      <c r="J2036" s="43"/>
      <c r="K2036" s="43"/>
      <c r="L2036" s="43"/>
      <c r="M2036" s="43"/>
      <c r="N2036" s="43"/>
      <c r="O2036" s="43"/>
      <c r="P2036" s="43"/>
      <c r="Q2036" s="43"/>
      <c r="R2036" s="43"/>
      <c r="S2036" s="54"/>
    </row>
    <row r="2037" spans="1:19" ht="10.5" outlineLevel="1" x14ac:dyDescent="0.25">
      <c r="A2037" s="35" t="str">
        <f ca="1">Language!A916</f>
        <v>Доходы бюджетов</v>
      </c>
      <c r="C2037" s="5"/>
      <c r="F2037" s="43"/>
      <c r="G2037" s="43"/>
      <c r="H2037" s="43"/>
      <c r="I2037" s="43"/>
      <c r="J2037" s="43"/>
      <c r="K2037" s="43"/>
      <c r="L2037" s="43"/>
      <c r="M2037" s="43"/>
      <c r="N2037" s="43"/>
      <c r="O2037" s="43"/>
      <c r="P2037" s="43"/>
      <c r="Q2037" s="43"/>
      <c r="R2037" s="43"/>
      <c r="S2037" s="54"/>
    </row>
    <row r="2038" spans="1:19" outlineLevel="1" x14ac:dyDescent="0.2">
      <c r="C2038" s="5"/>
      <c r="F2038" s="43"/>
      <c r="G2038" s="43"/>
      <c r="H2038" s="43"/>
      <c r="I2038" s="43"/>
      <c r="J2038" s="43"/>
      <c r="K2038" s="43"/>
      <c r="L2038" s="43"/>
      <c r="M2038" s="43"/>
      <c r="N2038" s="43"/>
      <c r="O2038" s="43"/>
      <c r="P2038" s="43"/>
      <c r="Q2038" s="43"/>
      <c r="R2038" s="43"/>
      <c r="S2038" s="54"/>
    </row>
    <row r="2039" spans="1:19" outlineLevel="1" x14ac:dyDescent="0.2">
      <c r="A2039" t="str">
        <f ca="1">Language!A917</f>
        <v>Суммарные денежные потоки федерального бюджета</v>
      </c>
      <c r="C2039" s="5" t="str">
        <f ca="1">CUR_Main</f>
        <v>руб.</v>
      </c>
      <c r="F2039" s="53">
        <f t="shared" ref="F2039:M2039" ca="1" si="2064">F2021-F2028+F2029+F2030-F2027</f>
        <v>254880</v>
      </c>
      <c r="G2039" s="53">
        <f t="shared" ca="1" si="2064"/>
        <v>157680</v>
      </c>
      <c r="H2039" s="53">
        <f t="shared" ca="1" si="2064"/>
        <v>165835.20000000001</v>
      </c>
      <c r="I2039" s="53">
        <f t="shared" ca="1" si="2064"/>
        <v>198456</v>
      </c>
      <c r="J2039" s="53">
        <f t="shared" ca="1" si="2064"/>
        <v>239232</v>
      </c>
      <c r="K2039" s="53">
        <f t="shared" ca="1" si="2064"/>
        <v>320784</v>
      </c>
      <c r="L2039" s="53">
        <f t="shared" ca="1" si="2064"/>
        <v>402336</v>
      </c>
      <c r="M2039" s="53">
        <f t="shared" ca="1" si="2064"/>
        <v>483888</v>
      </c>
      <c r="N2039" s="53">
        <f t="shared" ref="N2039" ca="1" si="2065">N2021-N2028+N2029+N2030-N2027</f>
        <v>606216</v>
      </c>
      <c r="O2039" s="53">
        <f t="shared" ref="O2039:Q2039" ca="1" si="2066">O2021-O2028+O2029+O2030-O2027</f>
        <v>769320</v>
      </c>
      <c r="P2039" s="53">
        <f t="shared" ref="P2039:Q2039" ca="1" si="2067">P2021-P2028+P2029+P2030-P2027</f>
        <v>891648</v>
      </c>
      <c r="Q2039" s="53">
        <f t="shared" ca="1" si="2067"/>
        <v>973200</v>
      </c>
      <c r="R2039" s="43"/>
      <c r="S2039" s="54">
        <f ca="1">SUM(F2039:Q2039)</f>
        <v>5463475.2000000002</v>
      </c>
    </row>
    <row r="2040" spans="1:19" outlineLevel="1" x14ac:dyDescent="0.2">
      <c r="A2040" t="str">
        <f ca="1">Language!A918</f>
        <v>Суммарные денежные потоки территориального бюджета</v>
      </c>
      <c r="C2040" s="5" t="str">
        <f ca="1">CUR_Main</f>
        <v>руб.</v>
      </c>
      <c r="F2040" s="53">
        <f t="shared" ref="F2040:M2040" ca="1" si="2068">F2022-F2033+F2034+F2035-F2032</f>
        <v>0</v>
      </c>
      <c r="G2040" s="53">
        <f t="shared" ca="1" si="2068"/>
        <v>0</v>
      </c>
      <c r="H2040" s="53">
        <f t="shared" ca="1" si="2068"/>
        <v>0</v>
      </c>
      <c r="I2040" s="53">
        <f t="shared" ca="1" si="2068"/>
        <v>0</v>
      </c>
      <c r="J2040" s="53">
        <f t="shared" ca="1" si="2068"/>
        <v>0</v>
      </c>
      <c r="K2040" s="53">
        <f t="shared" ca="1" si="2068"/>
        <v>0</v>
      </c>
      <c r="L2040" s="53">
        <f t="shared" ca="1" si="2068"/>
        <v>0</v>
      </c>
      <c r="M2040" s="53">
        <f t="shared" ca="1" si="2068"/>
        <v>0</v>
      </c>
      <c r="N2040" s="53">
        <f t="shared" ref="N2040" ca="1" si="2069">N2022-N2033+N2034+N2035-N2032</f>
        <v>0</v>
      </c>
      <c r="O2040" s="53">
        <f t="shared" ref="O2040:Q2040" ca="1" si="2070">O2022-O2033+O2034+O2035-O2032</f>
        <v>0</v>
      </c>
      <c r="P2040" s="53">
        <f t="shared" ref="P2040:Q2040" ca="1" si="2071">P2022-P2033+P2034+P2035-P2032</f>
        <v>0</v>
      </c>
      <c r="Q2040" s="53">
        <f t="shared" ca="1" si="2071"/>
        <v>0</v>
      </c>
      <c r="R2040" s="43"/>
      <c r="S2040" s="54">
        <f ca="1">SUM(F2040:Q2040)</f>
        <v>0</v>
      </c>
    </row>
    <row r="2041" spans="1:19" outlineLevel="1" x14ac:dyDescent="0.2">
      <c r="C2041" s="5"/>
      <c r="F2041" s="43"/>
      <c r="G2041" s="43"/>
      <c r="H2041" s="43"/>
      <c r="I2041" s="43"/>
      <c r="J2041" s="43"/>
      <c r="K2041" s="43"/>
      <c r="L2041" s="43"/>
      <c r="M2041" s="43"/>
      <c r="N2041" s="43"/>
      <c r="O2041" s="43"/>
      <c r="P2041" s="43"/>
      <c r="Q2041" s="43"/>
      <c r="R2041" s="43"/>
      <c r="S2041" s="54"/>
    </row>
    <row r="2042" spans="1:19" outlineLevel="1" x14ac:dyDescent="0.2">
      <c r="A2042" t="str">
        <f ca="1">Language!A919</f>
        <v>Годовая ставка дисконтирования:</v>
      </c>
      <c r="B2042" s="273">
        <f>SENS_Discount</f>
        <v>0.25</v>
      </c>
      <c r="C2042" s="5" t="s">
        <v>177</v>
      </c>
      <c r="D2042" s="16" t="s">
        <v>176</v>
      </c>
      <c r="F2042" s="135">
        <f>$B$2042</f>
        <v>0.25</v>
      </c>
      <c r="G2042" s="135">
        <f t="shared" ref="G2042:Q2042" si="2072">F2042</f>
        <v>0.25</v>
      </c>
      <c r="H2042" s="135">
        <f t="shared" si="2072"/>
        <v>0.25</v>
      </c>
      <c r="I2042" s="135">
        <f t="shared" si="2072"/>
        <v>0.25</v>
      </c>
      <c r="J2042" s="135">
        <f t="shared" si="2072"/>
        <v>0.25</v>
      </c>
      <c r="K2042" s="135">
        <f t="shared" si="2072"/>
        <v>0.25</v>
      </c>
      <c r="L2042" s="135">
        <f t="shared" si="2072"/>
        <v>0.25</v>
      </c>
      <c r="M2042" s="135">
        <f t="shared" si="2072"/>
        <v>0.25</v>
      </c>
      <c r="N2042" s="135">
        <f t="shared" si="2072"/>
        <v>0.25</v>
      </c>
      <c r="O2042" s="135">
        <f t="shared" si="2072"/>
        <v>0.25</v>
      </c>
      <c r="P2042" s="135">
        <f t="shared" si="2072"/>
        <v>0.25</v>
      </c>
      <c r="Q2042" s="135">
        <f t="shared" si="2072"/>
        <v>0.25</v>
      </c>
    </row>
    <row r="2043" spans="1:19" outlineLevel="1" x14ac:dyDescent="0.2">
      <c r="A2043" t="str">
        <f ca="1">Language!A920</f>
        <v xml:space="preserve">    ставка дисконтирования на расчетный период</v>
      </c>
      <c r="C2043" s="5"/>
      <c r="D2043" s="16" t="s">
        <v>176</v>
      </c>
      <c r="F2043" s="135">
        <f t="shared" ref="F2043:M2043" si="2073">POWER(1+F2042,PRJ_Step/360)-1-IF(CalcMethod=1,F$81,0)</f>
        <v>1.8105030477883588E-2</v>
      </c>
      <c r="G2043" s="135">
        <f t="shared" si="2073"/>
        <v>1.8105030477883588E-2</v>
      </c>
      <c r="H2043" s="135">
        <f t="shared" si="2073"/>
        <v>1.8105030477883588E-2</v>
      </c>
      <c r="I2043" s="135">
        <f t="shared" si="2073"/>
        <v>1.8105030477883588E-2</v>
      </c>
      <c r="J2043" s="135">
        <f t="shared" si="2073"/>
        <v>1.8105030477883588E-2</v>
      </c>
      <c r="K2043" s="135">
        <f t="shared" si="2073"/>
        <v>1.8105030477883588E-2</v>
      </c>
      <c r="L2043" s="135">
        <f t="shared" si="2073"/>
        <v>1.8105030477883588E-2</v>
      </c>
      <c r="M2043" s="135">
        <f t="shared" si="2073"/>
        <v>1.8105030477883588E-2</v>
      </c>
      <c r="N2043" s="135">
        <f t="shared" ref="N2043" si="2074">POWER(1+N2042,PRJ_Step/360)-1-IF(CalcMethod=1,N$81,0)</f>
        <v>1.8105030477883588E-2</v>
      </c>
      <c r="O2043" s="135">
        <f t="shared" ref="O2043" si="2075">POWER(1+O2042,PRJ_Step/360)-1-IF(CalcMethod=1,O$81,0)</f>
        <v>1.8105030477883588E-2</v>
      </c>
      <c r="P2043" s="135">
        <f t="shared" ref="P2043:Q2043" si="2076">POWER(1+P2042,PRJ_Step/360)-1-IF(CalcMethod=1,P$81,0)</f>
        <v>1.8105030477883588E-2</v>
      </c>
      <c r="Q2043" s="135">
        <f t="shared" si="2076"/>
        <v>1.8105030477883588E-2</v>
      </c>
    </row>
    <row r="2044" spans="1:19" outlineLevel="1" x14ac:dyDescent="0.2">
      <c r="A2044" t="str">
        <f ca="1">Language!A$838</f>
        <v xml:space="preserve">    коэффициент дисконта для потока на начало периода</v>
      </c>
      <c r="D2044" s="16" t="s">
        <v>176</v>
      </c>
      <c r="F2044" s="136">
        <v>1</v>
      </c>
      <c r="G2044" s="5">
        <f t="shared" ref="G2044:Q2044" si="2077">F2044*(1+G2043)</f>
        <v>1.0181050304778836</v>
      </c>
      <c r="H2044" s="5">
        <f t="shared" si="2077"/>
        <v>1.0365378530843723</v>
      </c>
      <c r="I2044" s="5">
        <f t="shared" si="2077"/>
        <v>1.0553044025059448</v>
      </c>
      <c r="J2044" s="5">
        <f t="shared" si="2077"/>
        <v>1.0744107208767597</v>
      </c>
      <c r="K2044" s="5">
        <f t="shared" si="2077"/>
        <v>1.0938629597239984</v>
      </c>
      <c r="L2044" s="5">
        <f t="shared" si="2077"/>
        <v>1.1136673819484293</v>
      </c>
      <c r="M2044" s="5">
        <f t="shared" si="2077"/>
        <v>1.1338303638408305</v>
      </c>
      <c r="N2044" s="5">
        <f t="shared" si="2077"/>
        <v>1.1543583971349185</v>
      </c>
      <c r="O2044" s="5">
        <f t="shared" si="2077"/>
        <v>1.1752580910974471</v>
      </c>
      <c r="P2044" s="5">
        <f t="shared" si="2077"/>
        <v>1.1965361746561456</v>
      </c>
      <c r="Q2044" s="5">
        <f t="shared" si="2077"/>
        <v>1.2181994985661853</v>
      </c>
    </row>
    <row r="2045" spans="1:19" outlineLevel="1" x14ac:dyDescent="0.2">
      <c r="F2045" s="43"/>
      <c r="G2045" s="43"/>
      <c r="H2045" s="43"/>
      <c r="I2045" s="43"/>
      <c r="J2045" s="43"/>
      <c r="K2045" s="43"/>
      <c r="L2045" s="43"/>
      <c r="M2045" s="43"/>
      <c r="N2045" s="43"/>
      <c r="O2045" s="43"/>
      <c r="P2045" s="43"/>
      <c r="Q2045" s="43"/>
      <c r="R2045" s="43"/>
      <c r="S2045" s="54"/>
    </row>
    <row r="2046" spans="1:19" outlineLevel="1" x14ac:dyDescent="0.2">
      <c r="A2046" t="str">
        <f ca="1">Language!A922</f>
        <v>Дисконтированные потоки федерального бюджета</v>
      </c>
      <c r="F2046" s="43">
        <f t="shared" ref="F2046:M2046" ca="1" si="2078">F2039/F2044</f>
        <v>254880</v>
      </c>
      <c r="G2046" s="43">
        <f t="shared" ca="1" si="2078"/>
        <v>154875.96591678495</v>
      </c>
      <c r="H2046" s="43">
        <f t="shared" ca="1" si="2078"/>
        <v>159989.52619678361</v>
      </c>
      <c r="I2046" s="43">
        <f t="shared" ca="1" si="2078"/>
        <v>188055.69229953256</v>
      </c>
      <c r="J2046" s="43">
        <f t="shared" ca="1" si="2078"/>
        <v>222663.45202212583</v>
      </c>
      <c r="K2046" s="43">
        <f t="shared" ca="1" si="2078"/>
        <v>293257.94163552229</v>
      </c>
      <c r="L2046" s="43">
        <f t="shared" ca="1" si="2078"/>
        <v>361271.24357013003</v>
      </c>
      <c r="M2046" s="43">
        <f t="shared" ca="1" si="2078"/>
        <v>426772.83607120725</v>
      </c>
      <c r="N2046" s="43">
        <f t="shared" ref="N2046" ca="1" si="2079">N2039/N2044</f>
        <v>525154.06090916751</v>
      </c>
      <c r="O2046" s="43">
        <f t="shared" ref="O2046:Q2046" ca="1" si="2080">O2039/O2044</f>
        <v>654596.64207171276</v>
      </c>
      <c r="P2046" s="43">
        <f t="shared" ref="P2046:Q2046" ca="1" si="2081">P2039/P2044</f>
        <v>745191.00958751806</v>
      </c>
      <c r="Q2046" s="43">
        <f t="shared" ca="1" si="2081"/>
        <v>798883.92758776504</v>
      </c>
      <c r="R2046" s="43"/>
      <c r="S2046" s="54">
        <f ca="1">SUM(F2046:Q2046)</f>
        <v>4785592.2978682499</v>
      </c>
    </row>
    <row r="2047" spans="1:19" outlineLevel="1" x14ac:dyDescent="0.2">
      <c r="A2047" t="str">
        <f ca="1">Language!A923</f>
        <v>Дисконтированные потоки территориального бюджета</v>
      </c>
      <c r="F2047" s="43">
        <f t="shared" ref="F2047:M2047" ca="1" si="2082">F2040/F2044</f>
        <v>0</v>
      </c>
      <c r="G2047" s="43">
        <f t="shared" ca="1" si="2082"/>
        <v>0</v>
      </c>
      <c r="H2047" s="43">
        <f t="shared" ca="1" si="2082"/>
        <v>0</v>
      </c>
      <c r="I2047" s="43">
        <f t="shared" ca="1" si="2082"/>
        <v>0</v>
      </c>
      <c r="J2047" s="43">
        <f t="shared" ca="1" si="2082"/>
        <v>0</v>
      </c>
      <c r="K2047" s="43">
        <f t="shared" ca="1" si="2082"/>
        <v>0</v>
      </c>
      <c r="L2047" s="43">
        <f t="shared" ca="1" si="2082"/>
        <v>0</v>
      </c>
      <c r="M2047" s="43">
        <f t="shared" ca="1" si="2082"/>
        <v>0</v>
      </c>
      <c r="N2047" s="43">
        <f t="shared" ref="N2047" ca="1" si="2083">N2040/N2044</f>
        <v>0</v>
      </c>
      <c r="O2047" s="43">
        <f t="shared" ref="O2047:Q2047" ca="1" si="2084">O2040/O2044</f>
        <v>0</v>
      </c>
      <c r="P2047" s="43">
        <f t="shared" ref="P2047:Q2047" ca="1" si="2085">P2040/P2044</f>
        <v>0</v>
      </c>
      <c r="Q2047" s="43">
        <f t="shared" ca="1" si="2085"/>
        <v>0</v>
      </c>
      <c r="R2047" s="43"/>
      <c r="S2047" s="54">
        <f ca="1">SUM(F2047:Q2047)</f>
        <v>0</v>
      </c>
    </row>
    <row r="2048" spans="1:19" outlineLevel="1" x14ac:dyDescent="0.2">
      <c r="F2048" s="43"/>
      <c r="G2048" s="43"/>
      <c r="H2048" s="43"/>
      <c r="I2048" s="43"/>
      <c r="J2048" s="43"/>
      <c r="K2048" s="43"/>
      <c r="L2048" s="43"/>
      <c r="M2048" s="43"/>
      <c r="N2048" s="43"/>
      <c r="O2048" s="43"/>
      <c r="P2048" s="43"/>
      <c r="Q2048" s="43"/>
      <c r="R2048" s="43"/>
      <c r="S2048" s="54"/>
    </row>
    <row r="2049" spans="1:19" ht="10.5" outlineLevel="1" x14ac:dyDescent="0.25">
      <c r="A2049" s="35" t="str">
        <f ca="1">Language!A924</f>
        <v>NPV федерального бюджета</v>
      </c>
      <c r="B2049" s="151">
        <f ca="1">S2046</f>
        <v>4785592.2978682499</v>
      </c>
      <c r="C2049" s="5" t="str">
        <f ca="1">CUR_Main</f>
        <v>руб.</v>
      </c>
      <c r="F2049" s="43"/>
      <c r="G2049" s="43"/>
      <c r="H2049" s="43"/>
      <c r="I2049" s="43"/>
      <c r="J2049" s="43"/>
      <c r="K2049" s="43"/>
      <c r="L2049" s="43"/>
      <c r="M2049" s="43"/>
      <c r="N2049" s="43"/>
      <c r="O2049" s="43"/>
      <c r="P2049" s="43"/>
      <c r="Q2049" s="43"/>
      <c r="R2049" s="43"/>
      <c r="S2049" s="54"/>
    </row>
    <row r="2050" spans="1:19" ht="10.5" outlineLevel="1" x14ac:dyDescent="0.25">
      <c r="A2050" s="155" t="str">
        <f ca="1">Language!A925</f>
        <v>NPV территориального бюджета</v>
      </c>
      <c r="B2050" s="151">
        <f ca="1">S2047</f>
        <v>0</v>
      </c>
      <c r="C2050" s="5" t="str">
        <f ca="1">CUR_Main</f>
        <v>руб.</v>
      </c>
      <c r="F2050" s="43"/>
      <c r="G2050" s="43"/>
      <c r="H2050" s="43"/>
      <c r="I2050" s="43"/>
      <c r="J2050" s="43"/>
      <c r="K2050" s="43"/>
      <c r="L2050" s="43"/>
      <c r="M2050" s="43"/>
      <c r="N2050" s="43"/>
      <c r="O2050" s="43"/>
      <c r="P2050" s="43"/>
      <c r="Q2050" s="43"/>
      <c r="R2050" s="43"/>
      <c r="S2050" s="54"/>
    </row>
    <row r="2051" spans="1:19" outlineLevel="1" x14ac:dyDescent="0.2">
      <c r="A2051" s="63"/>
      <c r="B2051" s="63"/>
      <c r="C2051" s="63"/>
      <c r="D2051" s="63"/>
      <c r="E2051" s="63"/>
      <c r="F2051" s="121"/>
      <c r="G2051" s="121"/>
      <c r="H2051" s="121"/>
      <c r="I2051" s="121"/>
      <c r="J2051" s="121"/>
      <c r="K2051" s="121"/>
      <c r="L2051" s="121"/>
      <c r="M2051" s="121"/>
      <c r="N2051" s="121"/>
      <c r="O2051" s="121"/>
      <c r="P2051" s="121"/>
      <c r="Q2051" s="121"/>
      <c r="R2051" s="121"/>
      <c r="S2051" s="122"/>
    </row>
    <row r="2052" spans="1:19" outlineLevel="1" x14ac:dyDescent="0.2">
      <c r="A2052" s="19"/>
      <c r="B2052" s="19"/>
      <c r="C2052" s="19"/>
      <c r="D2052" s="19"/>
      <c r="E2052" s="19"/>
      <c r="F2052" s="65"/>
      <c r="G2052" s="65"/>
      <c r="H2052" s="65"/>
      <c r="I2052" s="65"/>
      <c r="J2052" s="65"/>
      <c r="K2052" s="65"/>
      <c r="L2052" s="65"/>
      <c r="M2052" s="65"/>
      <c r="N2052" s="65"/>
      <c r="O2052" s="65"/>
      <c r="P2052" s="65"/>
      <c r="Q2052" s="65"/>
      <c r="R2052" s="65"/>
      <c r="S2052" s="66"/>
    </row>
    <row r="2053" spans="1:19" ht="10.5" outlineLevel="1" thickBot="1" x14ac:dyDescent="0.25">
      <c r="A2053" s="166" t="str">
        <f ca="1">Language!A$926</f>
        <v xml:space="preserve">         ОСНОВНЫЕ ПОКАЗАТЕЛИ ПРОЕКТА</v>
      </c>
      <c r="B2053" s="166"/>
      <c r="C2053" s="166"/>
      <c r="D2053" s="166"/>
      <c r="E2053" s="166"/>
      <c r="F2053" s="178" t="str">
        <f t="shared" ref="F2053:Q2053" si="2086">PeriodTitle</f>
        <v>4/ 2024</v>
      </c>
      <c r="G2053" s="178" t="str">
        <f t="shared" si="2086"/>
        <v>5/ 2024</v>
      </c>
      <c r="H2053" s="178" t="str">
        <f t="shared" si="2086"/>
        <v>6/ 2024</v>
      </c>
      <c r="I2053" s="178" t="str">
        <f t="shared" si="2086"/>
        <v>7/ 2024</v>
      </c>
      <c r="J2053" s="178" t="str">
        <f t="shared" si="2086"/>
        <v>8/ 2024</v>
      </c>
      <c r="K2053" s="178" t="str">
        <f t="shared" si="2086"/>
        <v>9/ 2024</v>
      </c>
      <c r="L2053" s="178" t="str">
        <f t="shared" si="2086"/>
        <v>10/ 2024</v>
      </c>
      <c r="M2053" s="178" t="str">
        <f t="shared" si="2086"/>
        <v>11/ 2024</v>
      </c>
      <c r="N2053" s="178" t="str">
        <f t="shared" si="2086"/>
        <v>12/ 2024</v>
      </c>
      <c r="O2053" s="178" t="str">
        <f t="shared" si="2086"/>
        <v>1/ 2025</v>
      </c>
      <c r="P2053" s="178" t="str">
        <f t="shared" si="2086"/>
        <v>2/ 2025</v>
      </c>
      <c r="Q2053" s="178" t="str">
        <f t="shared" si="2086"/>
        <v>3/ 2025</v>
      </c>
      <c r="R2053" s="166"/>
      <c r="S2053" s="167" t="str">
        <f ca="1">Language!A$371</f>
        <v>ИТОГО</v>
      </c>
    </row>
    <row r="2054" spans="1:19" ht="10.5" outlineLevel="1" thickTop="1" x14ac:dyDescent="0.2"/>
    <row r="2055" spans="1:19" outlineLevel="1" x14ac:dyDescent="0.2">
      <c r="A2055" t="str">
        <f ca="1">Language!A$927</f>
        <v>Выручка от реализации (без НДС)</v>
      </c>
      <c r="C2055" s="5" t="str">
        <f t="shared" ref="C2055:C2074" ca="1" si="2087">CUR_Report</f>
        <v>руб.</v>
      </c>
      <c r="F2055" s="43">
        <f t="shared" ref="F2055:M2055" si="2088">F1301</f>
        <v>0</v>
      </c>
      <c r="G2055" s="43">
        <f t="shared" si="2088"/>
        <v>0</v>
      </c>
      <c r="H2055" s="43">
        <f t="shared" si="2088"/>
        <v>135920</v>
      </c>
      <c r="I2055" s="43">
        <f t="shared" si="2088"/>
        <v>679600</v>
      </c>
      <c r="J2055" s="43">
        <f t="shared" si="2088"/>
        <v>1359200</v>
      </c>
      <c r="K2055" s="43">
        <f t="shared" si="2088"/>
        <v>2718400</v>
      </c>
      <c r="L2055" s="43">
        <f t="shared" si="2088"/>
        <v>4077600</v>
      </c>
      <c r="M2055" s="43">
        <f t="shared" si="2088"/>
        <v>5436800</v>
      </c>
      <c r="N2055" s="43">
        <f t="shared" ref="N2055" si="2089">N1301</f>
        <v>7475600</v>
      </c>
      <c r="O2055" s="43">
        <f t="shared" ref="O2055:Q2055" si="2090">O1301</f>
        <v>10194000</v>
      </c>
      <c r="P2055" s="43">
        <f t="shared" ref="P2055:Q2055" si="2091">P1301</f>
        <v>12232800</v>
      </c>
      <c r="Q2055" s="43">
        <f t="shared" si="2091"/>
        <v>13592000</v>
      </c>
      <c r="S2055" s="54">
        <f t="shared" ref="S2055:S2061" si="2092">SUM(F2055:Q2055)</f>
        <v>57901920</v>
      </c>
    </row>
    <row r="2056" spans="1:19" outlineLevel="1" x14ac:dyDescent="0.2">
      <c r="A2056" t="str">
        <f ca="1">Language!A$928</f>
        <v>Затраты на производство (без НДС)</v>
      </c>
      <c r="C2056" s="5" t="str">
        <f t="shared" ca="1" si="2087"/>
        <v>руб.</v>
      </c>
      <c r="F2056" s="43">
        <f t="shared" ref="F2056:M2056" ca="1" si="2093">F1302+F1311+F1312+F1313+F1316+F1309+F1314</f>
        <v>3007443.6844783714</v>
      </c>
      <c r="G2056" s="43">
        <f t="shared" ca="1" si="2093"/>
        <v>2649952.9535589092</v>
      </c>
      <c r="H2056" s="43">
        <f t="shared" ca="1" si="2093"/>
        <v>2693496.8292993959</v>
      </c>
      <c r="I2056" s="43">
        <f t="shared" ca="1" si="2093"/>
        <v>2727618.3376510656</v>
      </c>
      <c r="J2056" s="43">
        <f t="shared" ca="1" si="2093"/>
        <v>2750718.8539035721</v>
      </c>
      <c r="K2056" s="43">
        <f t="shared" ca="1" si="2093"/>
        <v>2753847.3534527626</v>
      </c>
      <c r="L2056" s="43">
        <f t="shared" ca="1" si="2093"/>
        <v>2736396.4520259122</v>
      </c>
      <c r="M2056" s="43">
        <f t="shared" ca="1" si="2093"/>
        <v>2694422.7095712498</v>
      </c>
      <c r="N2056" s="43">
        <f t="shared" ref="N2056" ca="1" si="2094">N1302+N1311+N1312+N1313+N1316+N1309+N1314</f>
        <v>2618757.9701049039</v>
      </c>
      <c r="O2056" s="43">
        <f t="shared" ref="O2056:Q2056" ca="1" si="2095">O1302+O1311+O1312+O1313+O1316+O1309+O1314</f>
        <v>2556758.15625</v>
      </c>
      <c r="P2056" s="43">
        <f t="shared" ref="P2056:Q2056" ca="1" si="2096">P1302+P1311+P1312+P1313+P1316+P1309+P1314</f>
        <v>2556957.7875000001</v>
      </c>
      <c r="Q2056" s="43">
        <f t="shared" ca="1" si="2096"/>
        <v>2557090.875</v>
      </c>
      <c r="S2056" s="54">
        <f t="shared" ca="1" si="2092"/>
        <v>32303461.962796144</v>
      </c>
    </row>
    <row r="2057" spans="1:19" outlineLevel="1" collapsed="1" x14ac:dyDescent="0.2">
      <c r="A2057" t="str">
        <f ca="1">Language!A$723</f>
        <v>Прибыль до налога, процентов и амортизации (EBITDA)</v>
      </c>
      <c r="C2057" s="5" t="str">
        <f t="shared" ca="1" si="2087"/>
        <v>руб.</v>
      </c>
      <c r="F2057" s="43">
        <f t="shared" ref="F2057:M2057" ca="1" si="2097">F1387</f>
        <v>-2966160</v>
      </c>
      <c r="G2057" s="43">
        <f t="shared" ca="1" si="2097"/>
        <v>-2555759.9999999995</v>
      </c>
      <c r="H2057" s="43">
        <f t="shared" ca="1" si="2097"/>
        <v>-2419853.3087499999</v>
      </c>
      <c r="I2057" s="43">
        <f t="shared" ca="1" si="2097"/>
        <v>-1876226.543749999</v>
      </c>
      <c r="J2057" s="43">
        <f t="shared" ca="1" si="2097"/>
        <v>-1196693.0875000004</v>
      </c>
      <c r="K2057" s="43">
        <f t="shared" ca="1" si="2097"/>
        <v>162373.82500000065</v>
      </c>
      <c r="L2057" s="43">
        <f t="shared" ca="1" si="2097"/>
        <v>1521440.7375</v>
      </c>
      <c r="M2057" s="43">
        <f t="shared" ca="1" si="2097"/>
        <v>2880507.649999999</v>
      </c>
      <c r="N2057" s="43">
        <f t="shared" ref="N2057" ca="1" si="2098">N1387</f>
        <v>4919108.0187500007</v>
      </c>
      <c r="O2057" s="43">
        <f t="shared" ref="O2057:Q2057" ca="1" si="2099">O1387</f>
        <v>7637241.84375</v>
      </c>
      <c r="P2057" s="43">
        <f t="shared" ref="P2057:Q2057" ca="1" si="2100">P1387</f>
        <v>9675842.2125000004</v>
      </c>
      <c r="Q2057" s="43">
        <f t="shared" ca="1" si="2100"/>
        <v>11034909.125</v>
      </c>
      <c r="S2057" s="54">
        <f t="shared" ca="1" si="2092"/>
        <v>26816730.472500004</v>
      </c>
    </row>
    <row r="2058" spans="1:19" hidden="1" outlineLevel="2" x14ac:dyDescent="0.2">
      <c r="A2058" t="str">
        <f ca="1">Language!A$725</f>
        <v>Прибыль до процентов и налога (EBIT)</v>
      </c>
      <c r="C2058" s="5" t="str">
        <f t="shared" ca="1" si="2087"/>
        <v>руб.</v>
      </c>
      <c r="F2058" s="43">
        <f t="shared" ref="F2058:M2058" ca="1" si="2101">F1388</f>
        <v>-2966160</v>
      </c>
      <c r="G2058" s="43">
        <f t="shared" ca="1" si="2101"/>
        <v>-2555759.9999999995</v>
      </c>
      <c r="H2058" s="43">
        <f t="shared" ca="1" si="2101"/>
        <v>-2419853.3087499999</v>
      </c>
      <c r="I2058" s="43">
        <f t="shared" ca="1" si="2101"/>
        <v>-1876226.543749999</v>
      </c>
      <c r="J2058" s="43">
        <f t="shared" ca="1" si="2101"/>
        <v>-1196693.0875000004</v>
      </c>
      <c r="K2058" s="43">
        <f t="shared" ca="1" si="2101"/>
        <v>162373.82500000065</v>
      </c>
      <c r="L2058" s="43">
        <f t="shared" ca="1" si="2101"/>
        <v>1521440.7375</v>
      </c>
      <c r="M2058" s="43">
        <f t="shared" ca="1" si="2101"/>
        <v>2880507.649999999</v>
      </c>
      <c r="N2058" s="43">
        <f t="shared" ref="N2058" ca="1" si="2102">N1388</f>
        <v>4919108.0187500007</v>
      </c>
      <c r="O2058" s="43">
        <f t="shared" ref="O2058:Q2058" ca="1" si="2103">O1388</f>
        <v>7637241.84375</v>
      </c>
      <c r="P2058" s="43">
        <f t="shared" ref="P2058:Q2058" ca="1" si="2104">P1388</f>
        <v>9675842.2125000004</v>
      </c>
      <c r="Q2058" s="43">
        <f t="shared" ca="1" si="2104"/>
        <v>11034909.125</v>
      </c>
      <c r="S2058" s="54">
        <f t="shared" ca="1" si="2092"/>
        <v>26816730.472500004</v>
      </c>
    </row>
    <row r="2059" spans="1:19" hidden="1" outlineLevel="2" x14ac:dyDescent="0.2">
      <c r="A2059" t="str">
        <f ca="1">Language!A$727</f>
        <v>Прибыль до налогообложения</v>
      </c>
      <c r="C2059" s="5" t="str">
        <f t="shared" ca="1" si="2087"/>
        <v>руб.</v>
      </c>
      <c r="F2059" s="43">
        <f t="shared" ref="F2059:M2059" ca="1" si="2105">F1322</f>
        <v>-3007443.6844783714</v>
      </c>
      <c r="G2059" s="43">
        <f t="shared" ca="1" si="2105"/>
        <v>-2649952.9535589088</v>
      </c>
      <c r="H2059" s="43">
        <f t="shared" ca="1" si="2105"/>
        <v>-2557576.8292993959</v>
      </c>
      <c r="I2059" s="43">
        <f t="shared" ca="1" si="2105"/>
        <v>-2048018.3376510644</v>
      </c>
      <c r="J2059" s="43">
        <f t="shared" ca="1" si="2105"/>
        <v>-1391518.8539035725</v>
      </c>
      <c r="K2059" s="43">
        <f t="shared" ca="1" si="2105"/>
        <v>-35447.353452761949</v>
      </c>
      <c r="L2059" s="43">
        <f t="shared" ca="1" si="2105"/>
        <v>1341203.547974088</v>
      </c>
      <c r="M2059" s="43">
        <f t="shared" ca="1" si="2105"/>
        <v>2742377.2904287493</v>
      </c>
      <c r="N2059" s="43">
        <f t="shared" ref="N2059" ca="1" si="2106">N1322</f>
        <v>4856842.029895097</v>
      </c>
      <c r="O2059" s="43">
        <f t="shared" ref="O2059:Q2059" ca="1" si="2107">O1322</f>
        <v>7637241.84375</v>
      </c>
      <c r="P2059" s="43">
        <f t="shared" ref="P2059:Q2059" ca="1" si="2108">P1322</f>
        <v>9675842.2125000004</v>
      </c>
      <c r="Q2059" s="43">
        <f t="shared" ca="1" si="2108"/>
        <v>11034909.125</v>
      </c>
      <c r="S2059" s="54">
        <f t="shared" ca="1" si="2092"/>
        <v>25598458.03720386</v>
      </c>
    </row>
    <row r="2060" spans="1:19" outlineLevel="1" x14ac:dyDescent="0.2">
      <c r="A2060" t="str">
        <f ca="1">Language!A$729</f>
        <v>Чистая прибыль (убыток)</v>
      </c>
      <c r="C2060" s="5" t="str">
        <f t="shared" ca="1" si="2087"/>
        <v>руб.</v>
      </c>
      <c r="F2060" s="43">
        <f t="shared" ref="F2060:M2060" ca="1" si="2109">F1324</f>
        <v>-3007443.6844783714</v>
      </c>
      <c r="G2060" s="43">
        <f t="shared" ca="1" si="2109"/>
        <v>-2649952.9535589088</v>
      </c>
      <c r="H2060" s="43">
        <f t="shared" ca="1" si="2109"/>
        <v>-2565732.0292993961</v>
      </c>
      <c r="I2060" s="43">
        <f t="shared" ca="1" si="2109"/>
        <v>-2088794.3376510644</v>
      </c>
      <c r="J2060" s="43">
        <f t="shared" ca="1" si="2109"/>
        <v>-1473070.8539035725</v>
      </c>
      <c r="K2060" s="43">
        <f t="shared" ca="1" si="2109"/>
        <v>-198551.35345276195</v>
      </c>
      <c r="L2060" s="43">
        <f t="shared" ca="1" si="2109"/>
        <v>1096547.547974088</v>
      </c>
      <c r="M2060" s="43">
        <f t="shared" ca="1" si="2109"/>
        <v>2416169.2904287493</v>
      </c>
      <c r="N2060" s="43">
        <f t="shared" ref="N2060" ca="1" si="2110">N1324</f>
        <v>4408306.029895097</v>
      </c>
      <c r="O2060" s="43">
        <f t="shared" ref="O2060:Q2060" ca="1" si="2111">O1324</f>
        <v>7025601.84375</v>
      </c>
      <c r="P2060" s="43">
        <f t="shared" ref="P2060:Q2060" ca="1" si="2112">P1324</f>
        <v>8941874.2125000004</v>
      </c>
      <c r="Q2060" s="43">
        <f t="shared" ca="1" si="2112"/>
        <v>10219389.125</v>
      </c>
      <c r="S2060" s="54">
        <f t="shared" ca="1" si="2092"/>
        <v>22124342.83720386</v>
      </c>
    </row>
    <row r="2061" spans="1:19" outlineLevel="1" x14ac:dyDescent="0.2">
      <c r="A2061" t="str">
        <f ca="1">Language!A$738</f>
        <v>Нераспределенная прибыль (за период)</v>
      </c>
      <c r="C2061" s="5" t="str">
        <f t="shared" ca="1" si="2087"/>
        <v>руб.</v>
      </c>
      <c r="F2061" s="43">
        <f t="shared" ref="F2061:M2061" ca="1" si="2113">F1391</f>
        <v>-3007443.6844783714</v>
      </c>
      <c r="G2061" s="43">
        <f t="shared" ca="1" si="2113"/>
        <v>-2649952.9535589088</v>
      </c>
      <c r="H2061" s="43">
        <f t="shared" ca="1" si="2113"/>
        <v>-2565732.0292993961</v>
      </c>
      <c r="I2061" s="43">
        <f t="shared" ca="1" si="2113"/>
        <v>-2088794.3376510644</v>
      </c>
      <c r="J2061" s="43">
        <f t="shared" ca="1" si="2113"/>
        <v>-1473070.8539035725</v>
      </c>
      <c r="K2061" s="43">
        <f t="shared" ca="1" si="2113"/>
        <v>-198551.35345276195</v>
      </c>
      <c r="L2061" s="43">
        <f t="shared" ca="1" si="2113"/>
        <v>1096547.547974088</v>
      </c>
      <c r="M2061" s="43">
        <f t="shared" ca="1" si="2113"/>
        <v>2416169.2904287493</v>
      </c>
      <c r="N2061" s="43">
        <f t="shared" ref="N2061" ca="1" si="2114">N1391</f>
        <v>4408306.029895097</v>
      </c>
      <c r="O2061" s="43">
        <f t="shared" ref="O2061:Q2061" ca="1" si="2115">O1391</f>
        <v>7025601.84375</v>
      </c>
      <c r="P2061" s="43">
        <f t="shared" ref="P2061:Q2061" ca="1" si="2116">P1391</f>
        <v>8941874.2125000004</v>
      </c>
      <c r="Q2061" s="43">
        <f t="shared" ca="1" si="2116"/>
        <v>10219389.125</v>
      </c>
      <c r="S2061" s="54">
        <f t="shared" ca="1" si="2092"/>
        <v>22124342.83720386</v>
      </c>
    </row>
    <row r="2062" spans="1:19" outlineLevel="1" x14ac:dyDescent="0.2">
      <c r="A2062" s="63"/>
      <c r="B2062" s="63"/>
      <c r="C2062" s="63"/>
      <c r="D2062" s="63"/>
      <c r="E2062" s="63"/>
      <c r="F2062" s="63"/>
      <c r="G2062" s="63"/>
      <c r="H2062" s="63"/>
      <c r="I2062" s="63"/>
      <c r="J2062" s="63"/>
      <c r="K2062" s="63"/>
      <c r="L2062" s="63"/>
      <c r="M2062" s="63"/>
      <c r="N2062" s="63"/>
      <c r="O2062" s="63"/>
      <c r="P2062" s="63"/>
      <c r="Q2062" s="63"/>
      <c r="R2062" s="63"/>
      <c r="S2062" s="64"/>
    </row>
    <row r="2063" spans="1:19" outlineLevel="1" x14ac:dyDescent="0.2">
      <c r="A2063" s="19" t="str">
        <f ca="1">Language!A$929</f>
        <v>Инвестции во внеоборотные активы</v>
      </c>
      <c r="B2063" s="19"/>
      <c r="C2063" s="26" t="str">
        <f t="shared" ca="1" si="2087"/>
        <v>руб.</v>
      </c>
      <c r="D2063" s="19"/>
      <c r="E2063" s="19"/>
      <c r="F2063" s="65">
        <f t="shared" ref="F2063:M2063" si="2117">F1435+F1438+F1436+F1437+F1439+F1440</f>
        <v>0</v>
      </c>
      <c r="G2063" s="65">
        <f t="shared" si="2117"/>
        <v>0</v>
      </c>
      <c r="H2063" s="65">
        <f t="shared" si="2117"/>
        <v>0</v>
      </c>
      <c r="I2063" s="65">
        <f t="shared" si="2117"/>
        <v>0</v>
      </c>
      <c r="J2063" s="65">
        <f t="shared" si="2117"/>
        <v>0</v>
      </c>
      <c r="K2063" s="65">
        <f t="shared" si="2117"/>
        <v>0</v>
      </c>
      <c r="L2063" s="65">
        <f t="shared" si="2117"/>
        <v>0</v>
      </c>
      <c r="M2063" s="65">
        <f t="shared" si="2117"/>
        <v>0</v>
      </c>
      <c r="N2063" s="65">
        <f t="shared" ref="N2063" si="2118">N1435+N1438+N1436+N1437+N1439+N1440</f>
        <v>0</v>
      </c>
      <c r="O2063" s="65">
        <f t="shared" ref="O2063:Q2063" si="2119">O1435+O1438+O1436+O1437+O1439+O1440</f>
        <v>0</v>
      </c>
      <c r="P2063" s="65">
        <f t="shared" ref="P2063:Q2063" si="2120">P1435+P1438+P1436+P1437+P1439+P1440</f>
        <v>0</v>
      </c>
      <c r="Q2063" s="65">
        <f t="shared" si="2120"/>
        <v>0</v>
      </c>
      <c r="R2063" s="19"/>
      <c r="S2063" s="66">
        <f>SUM(F2063:Q2063)</f>
        <v>0</v>
      </c>
    </row>
    <row r="2064" spans="1:19" outlineLevel="1" x14ac:dyDescent="0.2">
      <c r="A2064" s="19" t="str">
        <f ca="1">Language!A$930</f>
        <v>Инвестиции в оборотный капитал</v>
      </c>
      <c r="B2064" s="19"/>
      <c r="C2064" s="26" t="str">
        <f t="shared" ca="1" si="2087"/>
        <v>руб.</v>
      </c>
      <c r="D2064" s="19"/>
      <c r="E2064" s="19"/>
      <c r="F2064" s="65">
        <f t="shared" ref="F2064:M2064" ca="1" si="2121">F1441</f>
        <v>648376</v>
      </c>
      <c r="G2064" s="65">
        <f t="shared" ca="1" si="2121"/>
        <v>-415440</v>
      </c>
      <c r="H2064" s="65">
        <f t="shared" ca="1" si="2121"/>
        <v>24435.877125000115</v>
      </c>
      <c r="I2064" s="65">
        <f t="shared" ca="1" si="2121"/>
        <v>97743.508499999763</v>
      </c>
      <c r="J2064" s="65">
        <f t="shared" ca="1" si="2121"/>
        <v>122179.385625</v>
      </c>
      <c r="K2064" s="65">
        <f t="shared" ca="1" si="2121"/>
        <v>244358.77125000022</v>
      </c>
      <c r="L2064" s="65">
        <f t="shared" ca="1" si="2121"/>
        <v>244358.77124999976</v>
      </c>
      <c r="M2064" s="65">
        <f t="shared" ca="1" si="2121"/>
        <v>244358.77125000011</v>
      </c>
      <c r="N2064" s="65">
        <f t="shared" ref="N2064" ca="1" si="2122">N1441</f>
        <v>366538.15687499987</v>
      </c>
      <c r="O2064" s="65">
        <f t="shared" ref="O2064:Q2064" ca="1" si="2123">O1441</f>
        <v>488717.54250000021</v>
      </c>
      <c r="P2064" s="65">
        <f t="shared" ref="P2064:Q2064" ca="1" si="2124">P1441</f>
        <v>366538.1568750001</v>
      </c>
      <c r="Q2064" s="65">
        <f t="shared" ca="1" si="2124"/>
        <v>244358.77124999976</v>
      </c>
      <c r="R2064" s="19"/>
      <c r="S2064" s="66">
        <f ca="1">SUM(F2064:Q2064)</f>
        <v>2676523.7124999999</v>
      </c>
    </row>
    <row r="2065" spans="1:19" ht="11.25" customHeight="1" outlineLevel="1" x14ac:dyDescent="0.2">
      <c r="A2065" s="63"/>
      <c r="B2065" s="63"/>
      <c r="C2065" s="63"/>
      <c r="D2065" s="63"/>
      <c r="E2065" s="63"/>
      <c r="F2065" s="63"/>
      <c r="G2065" s="63"/>
      <c r="H2065" s="63"/>
      <c r="I2065" s="63"/>
      <c r="J2065" s="63"/>
      <c r="K2065" s="63"/>
      <c r="L2065" s="63"/>
      <c r="M2065" s="63"/>
      <c r="N2065" s="63"/>
      <c r="O2065" s="63"/>
      <c r="P2065" s="63"/>
      <c r="Q2065" s="63"/>
      <c r="R2065" s="63"/>
      <c r="S2065" s="64"/>
    </row>
    <row r="2066" spans="1:19" outlineLevel="1" x14ac:dyDescent="0.2">
      <c r="A2066" s="19" t="str">
        <f ca="1">Language!A$931</f>
        <v>Собственные средства и целевое финансирование</v>
      </c>
      <c r="B2066" s="19"/>
      <c r="C2066" s="26" t="str">
        <f t="shared" ca="1" si="2087"/>
        <v>руб.</v>
      </c>
      <c r="D2066" s="19"/>
      <c r="E2066" s="19"/>
      <c r="F2066" s="65">
        <f t="shared" ref="F2066:M2066" si="2125">F1446+F1447+F1448</f>
        <v>0</v>
      </c>
      <c r="G2066" s="65">
        <f t="shared" si="2125"/>
        <v>0</v>
      </c>
      <c r="H2066" s="65">
        <f t="shared" si="2125"/>
        <v>0</v>
      </c>
      <c r="I2066" s="65">
        <f t="shared" si="2125"/>
        <v>0</v>
      </c>
      <c r="J2066" s="65">
        <f t="shared" si="2125"/>
        <v>0</v>
      </c>
      <c r="K2066" s="65">
        <f t="shared" si="2125"/>
        <v>0</v>
      </c>
      <c r="L2066" s="65">
        <f t="shared" si="2125"/>
        <v>0</v>
      </c>
      <c r="M2066" s="65">
        <f t="shared" si="2125"/>
        <v>0</v>
      </c>
      <c r="N2066" s="65">
        <f t="shared" ref="N2066" si="2126">N1446+N1447+N1448</f>
        <v>0</v>
      </c>
      <c r="O2066" s="65">
        <f t="shared" ref="O2066:Q2066" si="2127">O1446+O1447+O1448</f>
        <v>0</v>
      </c>
      <c r="P2066" s="65">
        <f t="shared" ref="P2066:Q2066" si="2128">P1446+P1447+P1448</f>
        <v>0</v>
      </c>
      <c r="Q2066" s="65">
        <f t="shared" si="2128"/>
        <v>0</v>
      </c>
      <c r="R2066" s="19"/>
      <c r="S2066" s="66">
        <f>SUM(F2066:Q2066)</f>
        <v>0</v>
      </c>
    </row>
    <row r="2067" spans="1:19" outlineLevel="1" x14ac:dyDescent="0.2"/>
    <row r="2068" spans="1:19" s="4" customFormat="1" ht="16" customHeight="1" x14ac:dyDescent="0.2">
      <c r="A2068" t="str">
        <f ca="1">Language!A$932</f>
        <v>Привлечение кредитов</v>
      </c>
      <c r="B2068"/>
      <c r="C2068" s="5" t="str">
        <f t="shared" ca="1" si="2087"/>
        <v>руб.</v>
      </c>
      <c r="D2068"/>
      <c r="E2068"/>
      <c r="F2068" s="43">
        <f t="shared" ref="F2068:M2068" si="2129">F1449</f>
        <v>2359067.6844783714</v>
      </c>
      <c r="G2068" s="43">
        <f t="shared" si="2129"/>
        <v>2982103.1201237948</v>
      </c>
      <c r="H2068" s="43">
        <f t="shared" si="2129"/>
        <v>2393268.0173260393</v>
      </c>
      <c r="I2068" s="43">
        <f t="shared" si="2129"/>
        <v>1809034.9566888495</v>
      </c>
      <c r="J2068" s="43">
        <f t="shared" si="2129"/>
        <v>1144435.2062421832</v>
      </c>
      <c r="K2068" s="43">
        <f t="shared" si="2129"/>
        <v>0</v>
      </c>
      <c r="L2068" s="43">
        <f t="shared" si="2129"/>
        <v>0</v>
      </c>
      <c r="M2068" s="43">
        <f t="shared" si="2129"/>
        <v>0</v>
      </c>
      <c r="N2068" s="43">
        <f t="shared" ref="N2068" si="2130">N1449</f>
        <v>0</v>
      </c>
      <c r="O2068" s="43">
        <f t="shared" ref="O2068:Q2068" si="2131">O1449</f>
        <v>0</v>
      </c>
      <c r="P2068" s="43">
        <f t="shared" ref="P2068:Q2068" si="2132">P1449</f>
        <v>0</v>
      </c>
      <c r="Q2068" s="43">
        <f t="shared" si="2132"/>
        <v>0</v>
      </c>
      <c r="R2068"/>
      <c r="S2068" s="54">
        <f>SUM(F2068:Q2068)</f>
        <v>10687908.984859239</v>
      </c>
    </row>
    <row r="2069" spans="1:19" outlineLevel="1" x14ac:dyDescent="0.2">
      <c r="A2069" t="str">
        <f ca="1">Language!A$933</f>
        <v>Погашение кредитов</v>
      </c>
      <c r="C2069" s="5" t="str">
        <f t="shared" ca="1" si="2087"/>
        <v>руб.</v>
      </c>
      <c r="F2069" s="43">
        <f t="shared" ref="F2069:M2069" si="2133">F1450</f>
        <v>0</v>
      </c>
      <c r="G2069" s="43">
        <f t="shared" si="2133"/>
        <v>0</v>
      </c>
      <c r="H2069" s="43">
        <f t="shared" si="2133"/>
        <v>0</v>
      </c>
      <c r="I2069" s="43">
        <f t="shared" si="2133"/>
        <v>0</v>
      </c>
      <c r="J2069" s="43">
        <f t="shared" si="2133"/>
        <v>0</v>
      </c>
      <c r="K2069" s="43">
        <f t="shared" si="2133"/>
        <v>-23659.363592692334</v>
      </c>
      <c r="L2069" s="43">
        <f t="shared" si="2133"/>
        <v>-1202620.5457013601</v>
      </c>
      <c r="M2069" s="43">
        <f t="shared" si="2133"/>
        <v>-2406104.568837841</v>
      </c>
      <c r="N2069" s="43">
        <f t="shared" ref="N2069" si="2134">N1450</f>
        <v>-4335106.8980769133</v>
      </c>
      <c r="O2069" s="43">
        <f t="shared" ref="O2069:Q2069" si="2135">O1450</f>
        <v>-3558056.5059945099</v>
      </c>
      <c r="P2069" s="43">
        <f t="shared" ref="P2069:Q2069" si="2136">P1450</f>
        <v>0</v>
      </c>
      <c r="Q2069" s="43">
        <f t="shared" si="2136"/>
        <v>0</v>
      </c>
      <c r="S2069" s="54">
        <f>SUM(F2069:Q2069)</f>
        <v>-11525547.882203316</v>
      </c>
    </row>
    <row r="2070" spans="1:19" outlineLevel="1" x14ac:dyDescent="0.2">
      <c r="A2070" t="str">
        <f ca="1">Language!A$934</f>
        <v>Выплата процентов по кредитам</v>
      </c>
      <c r="C2070" s="5" t="str">
        <f t="shared" ca="1" si="2087"/>
        <v>руб.</v>
      </c>
      <c r="F2070" s="43">
        <f t="shared" ref="F2070:M2070" si="2137">F1429</f>
        <v>0</v>
      </c>
      <c r="G2070" s="43">
        <f t="shared" si="2137"/>
        <v>0</v>
      </c>
      <c r="H2070" s="43">
        <f t="shared" si="2137"/>
        <v>0</v>
      </c>
      <c r="I2070" s="43">
        <f t="shared" si="2137"/>
        <v>0</v>
      </c>
      <c r="J2070" s="43">
        <f t="shared" si="2137"/>
        <v>0</v>
      </c>
      <c r="K2070" s="43">
        <f t="shared" si="2137"/>
        <v>0</v>
      </c>
      <c r="L2070" s="43">
        <f t="shared" si="2137"/>
        <v>-180237.18952591211</v>
      </c>
      <c r="M2070" s="43">
        <f t="shared" si="2137"/>
        <v>-138130.35957124989</v>
      </c>
      <c r="N2070" s="43">
        <f t="shared" ref="N2070" si="2138">N1429</f>
        <v>-62265.988854903924</v>
      </c>
      <c r="O2070" s="43">
        <f t="shared" ref="O2070:Q2070" si="2139">O1429</f>
        <v>0</v>
      </c>
      <c r="P2070" s="43">
        <f t="shared" ref="P2070:Q2070" si="2140">P1429</f>
        <v>0</v>
      </c>
      <c r="Q2070" s="43">
        <f t="shared" si="2140"/>
        <v>0</v>
      </c>
      <c r="S2070" s="54">
        <f>SUM(F2070:Q2070)</f>
        <v>-380633.53795206588</v>
      </c>
    </row>
    <row r="2071" spans="1:19" outlineLevel="1" x14ac:dyDescent="0.2">
      <c r="A2071" s="63"/>
      <c r="B2071" s="63"/>
      <c r="C2071" s="63"/>
      <c r="D2071" s="63"/>
      <c r="E2071" s="63"/>
      <c r="F2071" s="63"/>
      <c r="G2071" s="63"/>
      <c r="H2071" s="63"/>
      <c r="I2071" s="63"/>
      <c r="J2071" s="63"/>
      <c r="K2071" s="63"/>
      <c r="L2071" s="63"/>
      <c r="M2071" s="63"/>
      <c r="N2071" s="63"/>
      <c r="O2071" s="63"/>
      <c r="P2071" s="63"/>
      <c r="Q2071" s="63"/>
      <c r="R2071" s="63"/>
      <c r="S2071" s="64"/>
    </row>
    <row r="2072" spans="1:19" outlineLevel="1" x14ac:dyDescent="0.2">
      <c r="A2072" s="23" t="str">
        <f ca="1">Language!A$760</f>
        <v>Суммарный денежный поток за период</v>
      </c>
      <c r="B2072" s="19"/>
      <c r="C2072" s="5" t="str">
        <f t="shared" ca="1" si="2087"/>
        <v>руб.</v>
      </c>
      <c r="D2072" s="19"/>
      <c r="E2072" s="19"/>
      <c r="F2072" s="65">
        <f t="shared" ref="F2072:M2072" ca="1" si="2141">F1456</f>
        <v>41283.684478371404</v>
      </c>
      <c r="G2072" s="65">
        <f t="shared" ca="1" si="2141"/>
        <v>10903.120123794768</v>
      </c>
      <c r="H2072" s="65">
        <f t="shared" ca="1" si="2141"/>
        <v>-10304.61429896066</v>
      </c>
      <c r="I2072" s="65">
        <f t="shared" ca="1" si="2141"/>
        <v>-10224.078561150702</v>
      </c>
      <c r="J2072" s="65">
        <f t="shared" ca="1" si="2141"/>
        <v>-11630.495632816572</v>
      </c>
      <c r="K2072" s="65">
        <f t="shared" ca="1" si="2141"/>
        <v>219969.23265730808</v>
      </c>
      <c r="L2072" s="65">
        <f t="shared" ca="1" si="2141"/>
        <v>138285.77352272742</v>
      </c>
      <c r="M2072" s="65">
        <f t="shared" ca="1" si="2141"/>
        <v>254423.49284090986</v>
      </c>
      <c r="N2072" s="65">
        <f t="shared" ref="N2072" ca="1" si="2142">N1456</f>
        <v>439737.2886931831</v>
      </c>
      <c r="O2072" s="65">
        <f t="shared" ref="O2072:Q2072" ca="1" si="2143">O1456</f>
        <v>3956262.8802554905</v>
      </c>
      <c r="P2072" s="65">
        <f t="shared" ref="P2072:Q2072" ca="1" si="2144">P1456</f>
        <v>9308412.3693749998</v>
      </c>
      <c r="Q2072" s="65">
        <f t="shared" ca="1" si="2144"/>
        <v>10463747.89625</v>
      </c>
      <c r="R2072" s="19"/>
      <c r="S2072" s="66">
        <f ca="1">SUM(F2072:Q2072)</f>
        <v>24800866.549703859</v>
      </c>
    </row>
    <row r="2073" spans="1:19" outlineLevel="1" x14ac:dyDescent="0.2">
      <c r="A2073" s="23" t="str">
        <f ca="1">Language!A$761</f>
        <v>Денежные средства на начало периода</v>
      </c>
      <c r="B2073" s="19"/>
      <c r="C2073" s="5" t="str">
        <f t="shared" ca="1" si="2087"/>
        <v>руб.</v>
      </c>
      <c r="D2073" s="19"/>
      <c r="E2073" s="19"/>
      <c r="F2073" s="65">
        <f t="shared" ref="F2073:M2073" si="2145">F1457</f>
        <v>0</v>
      </c>
      <c r="G2073" s="65">
        <f t="shared" ca="1" si="2145"/>
        <v>41283.684478371404</v>
      </c>
      <c r="H2073" s="65">
        <f t="shared" ca="1" si="2145"/>
        <v>52186.804602166172</v>
      </c>
      <c r="I2073" s="65">
        <f t="shared" ca="1" si="2145"/>
        <v>41882.190303205512</v>
      </c>
      <c r="J2073" s="65">
        <f t="shared" ca="1" si="2145"/>
        <v>31658.111742054811</v>
      </c>
      <c r="K2073" s="65">
        <f t="shared" ca="1" si="2145"/>
        <v>20027.616109238239</v>
      </c>
      <c r="L2073" s="65">
        <f t="shared" ca="1" si="2145"/>
        <v>239996.84876654632</v>
      </c>
      <c r="M2073" s="65">
        <f t="shared" ca="1" si="2145"/>
        <v>378282.62228927377</v>
      </c>
      <c r="N2073" s="65">
        <f t="shared" ref="N2073" ca="1" si="2146">N1457</f>
        <v>632706.11513018364</v>
      </c>
      <c r="O2073" s="65">
        <f t="shared" ref="O2073:Q2073" ca="1" si="2147">O1457</f>
        <v>1072443.4038233669</v>
      </c>
      <c r="P2073" s="65">
        <f t="shared" ref="P2073:Q2073" ca="1" si="2148">P1457</f>
        <v>5028706.2840788569</v>
      </c>
      <c r="Q2073" s="65">
        <f t="shared" ca="1" si="2148"/>
        <v>14337118.653453857</v>
      </c>
      <c r="R2073" s="19"/>
      <c r="S2073" s="22"/>
    </row>
    <row r="2074" spans="1:19" outlineLevel="1" x14ac:dyDescent="0.2">
      <c r="A2074" s="23" t="str">
        <f ca="1">Language!A$762</f>
        <v>Денежные средства на конец периода</v>
      </c>
      <c r="B2074" s="19"/>
      <c r="C2074" s="5" t="str">
        <f t="shared" ca="1" si="2087"/>
        <v>руб.</v>
      </c>
      <c r="D2074" s="19"/>
      <c r="E2074" s="19"/>
      <c r="F2074" s="65">
        <f t="shared" ref="F2074:M2074" ca="1" si="2149">F1458</f>
        <v>41283.684478371404</v>
      </c>
      <c r="G2074" s="65">
        <f t="shared" ca="1" si="2149"/>
        <v>52186.804602166172</v>
      </c>
      <c r="H2074" s="65">
        <f t="shared" ca="1" si="2149"/>
        <v>41882.190303205512</v>
      </c>
      <c r="I2074" s="65">
        <f t="shared" ca="1" si="2149"/>
        <v>31658.111742054811</v>
      </c>
      <c r="J2074" s="65">
        <f t="shared" ca="1" si="2149"/>
        <v>20027.616109238239</v>
      </c>
      <c r="K2074" s="65">
        <f t="shared" ca="1" si="2149"/>
        <v>239996.84876654632</v>
      </c>
      <c r="L2074" s="65">
        <f t="shared" ca="1" si="2149"/>
        <v>378282.62228927377</v>
      </c>
      <c r="M2074" s="65">
        <f t="shared" ca="1" si="2149"/>
        <v>632706.11513018364</v>
      </c>
      <c r="N2074" s="65">
        <f t="shared" ref="N2074" ca="1" si="2150">N1458</f>
        <v>1072443.4038233669</v>
      </c>
      <c r="O2074" s="65">
        <f t="shared" ref="O2074:Q2074" ca="1" si="2151">O1458</f>
        <v>5028706.2840788569</v>
      </c>
      <c r="P2074" s="65">
        <f t="shared" ref="P2074:Q2074" ca="1" si="2152">P1458</f>
        <v>14337118.653453857</v>
      </c>
      <c r="Q2074" s="65">
        <f t="shared" ca="1" si="2152"/>
        <v>24800866.549703859</v>
      </c>
      <c r="R2074" s="19"/>
      <c r="S2074" s="22"/>
    </row>
    <row r="2075" spans="1:19" outlineLevel="1" x14ac:dyDescent="0.2">
      <c r="A2075" s="63"/>
      <c r="B2075" s="63"/>
      <c r="C2075" s="63"/>
      <c r="D2075" s="63"/>
      <c r="E2075" s="63"/>
      <c r="F2075" s="63"/>
      <c r="G2075" s="63"/>
      <c r="H2075" s="63"/>
      <c r="I2075" s="63"/>
      <c r="J2075" s="63"/>
      <c r="K2075" s="63"/>
      <c r="L2075" s="63"/>
      <c r="M2075" s="63"/>
      <c r="N2075" s="63"/>
      <c r="O2075" s="63"/>
      <c r="P2075" s="63"/>
      <c r="Q2075" s="63"/>
      <c r="R2075" s="63"/>
      <c r="S2075" s="64"/>
    </row>
    <row r="2076" spans="1:19" ht="10.5" outlineLevel="1" x14ac:dyDescent="0.25">
      <c r="A2076" s="62" t="str">
        <f ca="1">Language!A$935</f>
        <v>Эффективность полных инвестиционных затрат</v>
      </c>
      <c r="B2076" s="19"/>
      <c r="C2076" s="19"/>
      <c r="D2076" s="19"/>
      <c r="E2076" s="19"/>
      <c r="F2076" s="19"/>
      <c r="G2076" s="19"/>
      <c r="H2076" s="19"/>
      <c r="I2076" s="19"/>
      <c r="J2076" s="19"/>
      <c r="K2076" s="19"/>
      <c r="L2076" s="19"/>
      <c r="M2076" s="19"/>
      <c r="N2076" s="19"/>
      <c r="O2076" s="19"/>
      <c r="P2076" s="19"/>
      <c r="Q2076" s="19"/>
      <c r="R2076" s="19"/>
      <c r="S2076" s="22"/>
    </row>
    <row r="2077" spans="1:19" outlineLevel="1" x14ac:dyDescent="0.2">
      <c r="A2077" s="24" t="str">
        <f ca="1">Language!A$859</f>
        <v>Чистая приведенная стоимость (NPV)</v>
      </c>
      <c r="B2077" s="138">
        <f ca="1">B1790</f>
        <v>17968169.040777203</v>
      </c>
      <c r="C2077" s="26" t="str">
        <f ca="1">C1790</f>
        <v>руб.</v>
      </c>
      <c r="D2077" s="19"/>
      <c r="E2077" s="19"/>
      <c r="F2077" s="19"/>
      <c r="G2077" s="19"/>
      <c r="H2077" s="19"/>
      <c r="I2077" s="19"/>
      <c r="J2077" s="19"/>
      <c r="K2077" s="19"/>
      <c r="L2077" s="19"/>
      <c r="M2077" s="19"/>
      <c r="N2077" s="19"/>
      <c r="O2077" s="19"/>
      <c r="P2077" s="19"/>
      <c r="Q2077" s="19"/>
      <c r="R2077" s="19"/>
      <c r="S2077" s="22"/>
    </row>
    <row r="2078" spans="1:19" outlineLevel="1" x14ac:dyDescent="0.2">
      <c r="A2078" s="24" t="str">
        <f ca="1">Language!A$860</f>
        <v>Дисконтированный срок окупаемости (PBP)</v>
      </c>
      <c r="B2078" s="157">
        <f ca="1">B1791</f>
        <v>0.77747051172837778</v>
      </c>
      <c r="C2078" s="26" t="str">
        <f ca="1">C1791</f>
        <v>года</v>
      </c>
      <c r="D2078" s="19"/>
      <c r="E2078" s="19"/>
      <c r="F2078" s="19"/>
      <c r="G2078" s="19"/>
      <c r="H2078" s="19"/>
      <c r="I2078" s="19"/>
      <c r="J2078" s="19"/>
      <c r="K2078" s="19"/>
      <c r="L2078" s="19"/>
      <c r="M2078" s="19"/>
      <c r="N2078" s="19"/>
      <c r="O2078" s="19"/>
      <c r="P2078" s="19"/>
      <c r="Q2078" s="19"/>
      <c r="R2078" s="19"/>
      <c r="S2078" s="22"/>
    </row>
    <row r="2079" spans="1:19" outlineLevel="1" x14ac:dyDescent="0.2">
      <c r="A2079" s="23" t="str">
        <f ca="1">Language!A$863</f>
        <v>Внутренняя норма рентабельности (IRR)</v>
      </c>
      <c r="B2079" s="156">
        <f ca="1">B1794</f>
        <v>5.1949015427970213</v>
      </c>
      <c r="C2079" s="71" t="str">
        <f ca="1">C1794</f>
        <v>(реальная - без учета инфляции)</v>
      </c>
    </row>
    <row r="2080" spans="1:19" outlineLevel="1" x14ac:dyDescent="0.2">
      <c r="A2080" s="23" t="str">
        <f ca="1">Language!A$864</f>
        <v>Норма доходности дисконтированных затрат (PI)</v>
      </c>
      <c r="B2080" s="154">
        <f ca="1">B1796</f>
        <v>2.7352313879415515</v>
      </c>
      <c r="C2080" s="5" t="s">
        <v>177</v>
      </c>
    </row>
    <row r="2081" spans="1:19" outlineLevel="1" x14ac:dyDescent="0.2"/>
    <row r="2082" spans="1:19" ht="10.5" outlineLevel="1" x14ac:dyDescent="0.25">
      <c r="A2082" s="35" t="str">
        <f ca="1">Language!A$936</f>
        <v>Эффективность для собственного капитала</v>
      </c>
    </row>
    <row r="2083" spans="1:19" outlineLevel="1" x14ac:dyDescent="0.2">
      <c r="A2083" s="24" t="str">
        <f ca="1">Language!A$859</f>
        <v>Чистая приведенная стоимость (NPV)</v>
      </c>
      <c r="B2083" s="131">
        <f ca="1">B1863</f>
        <v>18000512.66909967</v>
      </c>
      <c r="C2083" s="5" t="str">
        <f ca="1">C1863</f>
        <v>руб.</v>
      </c>
    </row>
    <row r="2084" spans="1:19" outlineLevel="1" x14ac:dyDescent="0.2">
      <c r="A2084" s="24" t="str">
        <f ca="1">Language!A$860</f>
        <v>Дисконтированный срок окупаемости (PBP)</v>
      </c>
      <c r="B2084" s="136" t="str">
        <f ca="1">B1864</f>
        <v>Нет</v>
      </c>
      <c r="C2084" s="5" t="str">
        <f ca="1">C1864</f>
        <v>лет</v>
      </c>
    </row>
    <row r="2085" spans="1:19" outlineLevel="1" x14ac:dyDescent="0.2">
      <c r="A2085" s="23" t="str">
        <f ca="1">Language!A$863</f>
        <v>Внутренняя норма рентабельности (IRR)</v>
      </c>
      <c r="B2085" s="156" t="str">
        <f ca="1">B1867</f>
        <v>Нет</v>
      </c>
      <c r="C2085" s="71" t="str">
        <f ca="1">C1867</f>
        <v>(реальная - без учета инфляции)</v>
      </c>
    </row>
    <row r="2086" spans="1:19" outlineLevel="1" x14ac:dyDescent="0.2">
      <c r="A2086" s="23" t="str">
        <f ca="1">Language!A$864</f>
        <v>Норма доходности дисконтированных затрат (PI)</v>
      </c>
      <c r="B2086" s="154">
        <f ca="1">B1869</f>
        <v>592.05954905257136</v>
      </c>
      <c r="C2086" s="5" t="str">
        <f ca="1">C1869</f>
        <v>разы</v>
      </c>
    </row>
    <row r="2087" spans="1:19" outlineLevel="1" x14ac:dyDescent="0.2"/>
    <row r="2088" spans="1:19" ht="10.5" outlineLevel="1" x14ac:dyDescent="0.25">
      <c r="A2088" s="35" t="str">
        <f ca="1">Language!A$937</f>
        <v>Эффективность для банка</v>
      </c>
    </row>
    <row r="2089" spans="1:19" outlineLevel="1" x14ac:dyDescent="0.2">
      <c r="A2089" s="24" t="str">
        <f ca="1">Language!A$860</f>
        <v>Дисконтированный срок окупаемости (PBP)</v>
      </c>
      <c r="B2089" s="136">
        <f ca="1">B1935</f>
        <v>0.77747051172837778</v>
      </c>
      <c r="C2089" s="5" t="str">
        <f ca="1">C1935</f>
        <v>года</v>
      </c>
    </row>
    <row r="2090" spans="1:19" outlineLevel="1" x14ac:dyDescent="0.2">
      <c r="A2090" s="23" t="str">
        <f ca="1">Language!A$863</f>
        <v>Внутренняя норма рентабельности (IRR)</v>
      </c>
      <c r="B2090" s="156">
        <f ca="1">B1938</f>
        <v>5.9241601325997308</v>
      </c>
      <c r="C2090" s="71" t="str">
        <f ca="1">C1938</f>
        <v>(реальная - без учета инфляции)</v>
      </c>
    </row>
    <row r="2091" spans="1:19" outlineLevel="1" x14ac:dyDescent="0.2">
      <c r="A2091" s="63"/>
      <c r="B2091" s="63"/>
      <c r="C2091" s="63"/>
      <c r="D2091" s="63"/>
      <c r="E2091" s="63"/>
      <c r="F2091" s="63"/>
      <c r="G2091" s="63"/>
      <c r="H2091" s="63"/>
      <c r="I2091" s="63"/>
      <c r="J2091" s="63"/>
      <c r="K2091" s="63"/>
      <c r="L2091" s="63"/>
      <c r="M2091" s="63"/>
      <c r="N2091" s="63"/>
      <c r="O2091" s="63"/>
      <c r="P2091" s="63"/>
      <c r="Q2091" s="63"/>
      <c r="R2091" s="63"/>
      <c r="S2091" s="64"/>
    </row>
    <row r="2092" spans="1:19" outlineLevel="1" x14ac:dyDescent="0.2"/>
    <row r="2093" spans="1:19" ht="10.5" outlineLevel="1" thickBot="1" x14ac:dyDescent="0.25">
      <c r="A2093" s="166" t="str">
        <f ca="1">Language!A938</f>
        <v xml:space="preserve">         АНАЛИЗ ЧУВСТВИТЕЛЬНОСТИ</v>
      </c>
      <c r="B2093" s="166"/>
      <c r="C2093" s="166"/>
      <c r="D2093" s="166"/>
      <c r="E2093" s="166"/>
      <c r="F2093" s="178"/>
      <c r="G2093" s="178"/>
      <c r="H2093" s="178"/>
      <c r="I2093" s="178"/>
      <c r="J2093" s="178"/>
      <c r="K2093" s="178"/>
      <c r="L2093" s="178"/>
      <c r="M2093" s="178"/>
      <c r="N2093" s="178"/>
      <c r="O2093" s="178"/>
      <c r="P2093" s="178"/>
      <c r="Q2093" s="178"/>
      <c r="R2093" s="166"/>
      <c r="S2093" s="167"/>
    </row>
    <row r="2094" spans="1:19" ht="10.5" outlineLevel="1" thickTop="1" x14ac:dyDescent="0.2"/>
    <row r="2095" spans="1:19" outlineLevel="1" x14ac:dyDescent="0.2">
      <c r="A2095" s="226" t="str">
        <f ca="1">Language!A979</f>
        <v>Изменяемый параметр</v>
      </c>
      <c r="B2095" s="226"/>
      <c r="C2095" s="226"/>
    </row>
    <row r="2096" spans="1:19" outlineLevel="1" x14ac:dyDescent="0.2">
      <c r="A2096" s="48"/>
      <c r="B2096" s="48"/>
      <c r="C2096" s="48"/>
    </row>
    <row r="2097" spans="1:19" ht="10.5" outlineLevel="1" x14ac:dyDescent="0.25">
      <c r="A2097" s="237" t="str">
        <f ca="1">OFFSET(A2144,SENS_Source,)</f>
        <v>Цена продажи</v>
      </c>
      <c r="C2097" s="19"/>
      <c r="E2097">
        <v>2</v>
      </c>
    </row>
    <row r="2098" spans="1:19" outlineLevel="1" x14ac:dyDescent="0.2">
      <c r="A2098" s="235"/>
      <c r="C2098" s="19"/>
      <c r="S2098"/>
    </row>
    <row r="2099" spans="1:19" outlineLevel="1" x14ac:dyDescent="0.2">
      <c r="A2099" s="226" t="str">
        <f ca="1">Language!A980</f>
        <v>В интервале</v>
      </c>
      <c r="B2099" s="226"/>
      <c r="C2099" s="226"/>
      <c r="S2099"/>
    </row>
    <row r="2100" spans="1:19" outlineLevel="1" x14ac:dyDescent="0.2">
      <c r="A2100" s="228" t="str">
        <f ca="1">Language!A981</f>
        <v xml:space="preserve">от: </v>
      </c>
      <c r="B2100" s="273">
        <v>0.3</v>
      </c>
      <c r="C2100" t="str">
        <f ca="1">IF(ISERROR(FIND("%",OFFSET(C2144,SENS_Source,0))),Language!A1000,"")</f>
        <v>от планового значения</v>
      </c>
      <c r="S2100"/>
    </row>
    <row r="2101" spans="1:19" outlineLevel="1" x14ac:dyDescent="0.2">
      <c r="A2101" s="228" t="str">
        <f ca="1">Language!A982</f>
        <v xml:space="preserve">с шагом: </v>
      </c>
      <c r="B2101" s="273">
        <v>0.1</v>
      </c>
      <c r="S2101"/>
    </row>
    <row r="2102" spans="1:19" outlineLevel="1" x14ac:dyDescent="0.2">
      <c r="A2102" s="236"/>
      <c r="B2102" s="135"/>
      <c r="C2102" s="48"/>
      <c r="S2102"/>
    </row>
    <row r="2103" spans="1:19" outlineLevel="1" x14ac:dyDescent="0.2">
      <c r="A2103" s="226" t="str">
        <f ca="1">Language!A983</f>
        <v>Итоговый показатель</v>
      </c>
      <c r="B2103" s="232"/>
      <c r="C2103" s="233"/>
      <c r="S2103"/>
    </row>
    <row r="2104" spans="1:19" outlineLevel="1" x14ac:dyDescent="0.2">
      <c r="S2104"/>
    </row>
    <row r="2105" spans="1:19" ht="10.5" outlineLevel="1" x14ac:dyDescent="0.25">
      <c r="A2105" s="237" t="str">
        <f ca="1">OFFSET(A2151,SENS_Result,0)</f>
        <v>NPV для полных инвестиционных затрат</v>
      </c>
      <c r="E2105">
        <v>1</v>
      </c>
      <c r="S2105"/>
    </row>
    <row r="2106" spans="1:19" outlineLevel="1" x14ac:dyDescent="0.2">
      <c r="C2106" s="231"/>
      <c r="S2106"/>
    </row>
    <row r="2107" spans="1:19" outlineLevel="1" x14ac:dyDescent="0.2">
      <c r="A2107" s="226" t="str">
        <f ca="1">Language!A984</f>
        <v>Таблица рассчитанных значений</v>
      </c>
      <c r="B2107" s="229" t="str">
        <f ca="1">Language!A985</f>
        <v>Значение</v>
      </c>
      <c r="C2107" s="234" t="str">
        <f ca="1">Language!A986</f>
        <v>Результат</v>
      </c>
      <c r="S2107"/>
    </row>
    <row r="2108" spans="1:19" s="4" customFormat="1" ht="16" customHeight="1" x14ac:dyDescent="0.2">
      <c r="A2108" s="48"/>
      <c r="B2108" s="230">
        <f>SENS_From</f>
        <v>0.3</v>
      </c>
      <c r="C2108" s="238">
        <v>6332064.184453004</v>
      </c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</row>
    <row r="2109" spans="1:19" outlineLevel="1" x14ac:dyDescent="0.2">
      <c r="A2109" s="48"/>
      <c r="B2109" s="230">
        <f t="shared" ref="B2109:B2114" si="2153">B2108+SENS_Step</f>
        <v>0.4</v>
      </c>
      <c r="C2109" s="238">
        <v>10998524.466748621</v>
      </c>
      <c r="S2109"/>
    </row>
    <row r="2110" spans="1:19" outlineLevel="1" x14ac:dyDescent="0.2">
      <c r="A2110" s="48"/>
      <c r="B2110" s="230">
        <f t="shared" si="2153"/>
        <v>0.5</v>
      </c>
      <c r="C2110" s="238">
        <v>15664984.74904424</v>
      </c>
      <c r="S2110"/>
    </row>
    <row r="2111" spans="1:19" outlineLevel="1" x14ac:dyDescent="0.2">
      <c r="A2111" s="48"/>
      <c r="B2111" s="230">
        <f t="shared" si="2153"/>
        <v>0.6</v>
      </c>
      <c r="C2111" s="238">
        <v>20331445.031339854</v>
      </c>
      <c r="S2111"/>
    </row>
    <row r="2112" spans="1:19" outlineLevel="1" x14ac:dyDescent="0.2">
      <c r="A2112" s="48"/>
      <c r="B2112" s="230">
        <f t="shared" si="2153"/>
        <v>0.7</v>
      </c>
      <c r="C2112" s="238">
        <v>24997905.313635472</v>
      </c>
      <c r="S2112"/>
    </row>
    <row r="2113" spans="1:19" outlineLevel="1" x14ac:dyDescent="0.2">
      <c r="A2113" s="48"/>
      <c r="B2113" s="230">
        <f t="shared" si="2153"/>
        <v>0.79999999999999993</v>
      </c>
      <c r="C2113" s="238">
        <v>29664365.59593109</v>
      </c>
      <c r="S2113"/>
    </row>
    <row r="2114" spans="1:19" outlineLevel="1" x14ac:dyDescent="0.2">
      <c r="A2114" s="173"/>
      <c r="B2114" s="241">
        <f t="shared" si="2153"/>
        <v>0.89999999999999991</v>
      </c>
      <c r="C2114" s="242">
        <v>34330825.878226705</v>
      </c>
      <c r="S2114"/>
    </row>
    <row r="2115" spans="1:19" outlineLevel="1" x14ac:dyDescent="0.2">
      <c r="S2115"/>
    </row>
    <row r="2116" spans="1:19" outlineLevel="1" x14ac:dyDescent="0.2">
      <c r="A2116" s="227" t="str">
        <f ca="1">Language!A$987</f>
        <v>График: Анализ чувствительности</v>
      </c>
      <c r="S2116"/>
    </row>
    <row r="2117" spans="1:19" outlineLevel="1" x14ac:dyDescent="0.2">
      <c r="S2117"/>
    </row>
    <row r="2118" spans="1:19" outlineLevel="1" x14ac:dyDescent="0.2">
      <c r="S2118"/>
    </row>
    <row r="2119" spans="1:19" outlineLevel="1" x14ac:dyDescent="0.2">
      <c r="S2119"/>
    </row>
    <row r="2120" spans="1:19" outlineLevel="1" x14ac:dyDescent="0.2">
      <c r="S2120"/>
    </row>
    <row r="2121" spans="1:19" outlineLevel="1" x14ac:dyDescent="0.2">
      <c r="S2121"/>
    </row>
    <row r="2122" spans="1:19" outlineLevel="1" x14ac:dyDescent="0.2">
      <c r="S2122"/>
    </row>
    <row r="2123" spans="1:19" outlineLevel="1" x14ac:dyDescent="0.2">
      <c r="S2123"/>
    </row>
    <row r="2124" spans="1:19" outlineLevel="1" x14ac:dyDescent="0.2">
      <c r="S2124"/>
    </row>
    <row r="2125" spans="1:19" outlineLevel="1" x14ac:dyDescent="0.2">
      <c r="S2125"/>
    </row>
    <row r="2126" spans="1:19" outlineLevel="1" x14ac:dyDescent="0.2">
      <c r="S2126"/>
    </row>
    <row r="2127" spans="1:19" outlineLevel="1" x14ac:dyDescent="0.2">
      <c r="S2127"/>
    </row>
    <row r="2128" spans="1:19" outlineLevel="1" x14ac:dyDescent="0.2">
      <c r="S2128"/>
    </row>
    <row r="2129" spans="1:19" outlineLevel="1" x14ac:dyDescent="0.2">
      <c r="S2129"/>
    </row>
    <row r="2130" spans="1:19" outlineLevel="1" x14ac:dyDescent="0.2">
      <c r="S2130"/>
    </row>
    <row r="2131" spans="1:19" outlineLevel="1" x14ac:dyDescent="0.2">
      <c r="S2131"/>
    </row>
    <row r="2132" spans="1:19" outlineLevel="2" x14ac:dyDescent="0.2">
      <c r="S2132"/>
    </row>
    <row r="2133" spans="1:19" outlineLevel="2" x14ac:dyDescent="0.2">
      <c r="S2133"/>
    </row>
    <row r="2134" spans="1:19" outlineLevel="2" x14ac:dyDescent="0.2">
      <c r="S2134"/>
    </row>
    <row r="2135" spans="1:19" outlineLevel="2" x14ac:dyDescent="0.2">
      <c r="S2135"/>
    </row>
    <row r="2136" spans="1:19" outlineLevel="2" x14ac:dyDescent="0.2">
      <c r="S2136"/>
    </row>
    <row r="2137" spans="1:19" outlineLevel="2" x14ac:dyDescent="0.2">
      <c r="S2137"/>
    </row>
    <row r="2138" spans="1:19" outlineLevel="2" x14ac:dyDescent="0.2">
      <c r="S2138"/>
    </row>
    <row r="2139" spans="1:19" outlineLevel="2" x14ac:dyDescent="0.2">
      <c r="S2139"/>
    </row>
    <row r="2140" spans="1:19" outlineLevel="2" x14ac:dyDescent="0.2">
      <c r="S2140"/>
    </row>
    <row r="2141" spans="1:19" outlineLevel="2" x14ac:dyDescent="0.2">
      <c r="S2141"/>
    </row>
    <row r="2142" spans="1:19" outlineLevel="2" x14ac:dyDescent="0.2">
      <c r="A2142" s="226" t="str">
        <f ca="1">Language!A988</f>
        <v>Параметры анализа чувствительности</v>
      </c>
      <c r="B2142" s="226"/>
      <c r="C2142" s="226"/>
      <c r="S2142"/>
    </row>
    <row r="2143" spans="1:19" outlineLevel="2" x14ac:dyDescent="0.2">
      <c r="S2143"/>
    </row>
    <row r="2144" spans="1:19" ht="10.5" outlineLevel="2" x14ac:dyDescent="0.25">
      <c r="A2144" s="239" t="str">
        <f ca="1">Language!A979</f>
        <v>Изменяемый параметр</v>
      </c>
      <c r="B2144" s="240" t="str">
        <f ca="1">Language!A999</f>
        <v>Область</v>
      </c>
      <c r="C2144" s="240" t="s">
        <v>2556</v>
      </c>
      <c r="D2144" s="308" t="s">
        <v>309</v>
      </c>
      <c r="S2144"/>
    </row>
    <row r="2145" spans="1:19" outlineLevel="2" x14ac:dyDescent="0.2">
      <c r="A2145" t="str">
        <f ca="1">Language!A989</f>
        <v>Объем реализации (в единицах продукции)</v>
      </c>
      <c r="B2145" s="71" t="s">
        <v>2558</v>
      </c>
      <c r="C2145" s="5"/>
      <c r="S2145"/>
    </row>
    <row r="2146" spans="1:19" outlineLevel="2" x14ac:dyDescent="0.2">
      <c r="A2146" t="str">
        <f ca="1">Language!A990</f>
        <v>Цена продажи</v>
      </c>
      <c r="B2146" s="71" t="s">
        <v>2559</v>
      </c>
      <c r="C2146" s="5"/>
      <c r="S2146"/>
    </row>
    <row r="2147" spans="1:19" outlineLevel="2" x14ac:dyDescent="0.2">
      <c r="A2147" t="str">
        <f ca="1">Language!A991</f>
        <v>Общая величина инвестиций</v>
      </c>
      <c r="B2147" s="71" t="s">
        <v>2560</v>
      </c>
      <c r="C2147" s="5"/>
      <c r="S2147"/>
    </row>
    <row r="2148" spans="1:19" outlineLevel="2" x14ac:dyDescent="0.2">
      <c r="A2148" t="str">
        <f ca="1">Language!A992</f>
        <v>Ставка дисконтирования</v>
      </c>
      <c r="B2148" s="71" t="s">
        <v>2561</v>
      </c>
      <c r="C2148" s="5" t="s">
        <v>177</v>
      </c>
      <c r="S2148"/>
    </row>
    <row r="2149" spans="1:19" outlineLevel="2" x14ac:dyDescent="0.2">
      <c r="A2149" s="227" t="str">
        <f ca="1">Language!A993</f>
        <v>&lt;конец списка изменяемых параметров&gt;</v>
      </c>
      <c r="S2149"/>
    </row>
    <row r="2150" spans="1:19" outlineLevel="2" x14ac:dyDescent="0.2">
      <c r="S2150"/>
    </row>
    <row r="2151" spans="1:19" ht="10.5" outlineLevel="2" x14ac:dyDescent="0.25">
      <c r="A2151" s="239" t="str">
        <f ca="1">Language!A983</f>
        <v>Итоговый показатель</v>
      </c>
      <c r="B2151" s="240" t="str">
        <f ca="1">Language!A999</f>
        <v>Область</v>
      </c>
      <c r="C2151" s="240" t="s">
        <v>2556</v>
      </c>
      <c r="S2151"/>
    </row>
    <row r="2152" spans="1:19" outlineLevel="2" x14ac:dyDescent="0.2">
      <c r="A2152" t="str">
        <f ca="1">Language!A994</f>
        <v>NPV для полных инвестиционных затрат</v>
      </c>
      <c r="B2152" s="71" t="s">
        <v>29</v>
      </c>
      <c r="C2152" s="5"/>
      <c r="S2152"/>
    </row>
    <row r="2153" spans="1:19" outlineLevel="2" x14ac:dyDescent="0.2">
      <c r="A2153" t="str">
        <f ca="1">Language!A995</f>
        <v>NPV для собственного капитала</v>
      </c>
      <c r="B2153" s="71" t="s">
        <v>30</v>
      </c>
      <c r="C2153" s="5"/>
      <c r="S2153"/>
    </row>
    <row r="2154" spans="1:19" outlineLevel="2" x14ac:dyDescent="0.2">
      <c r="A2154" t="str">
        <f ca="1">Language!A996</f>
        <v>NPV для банка</v>
      </c>
      <c r="B2154" s="71" t="s">
        <v>31</v>
      </c>
      <c r="C2154" s="5"/>
      <c r="S2154"/>
    </row>
    <row r="2155" spans="1:19" outlineLevel="1" x14ac:dyDescent="0.2">
      <c r="A2155" t="str">
        <f ca="1">Language!A997</f>
        <v>Суммарная чистая прибыль</v>
      </c>
      <c r="B2155" s="71" t="s">
        <v>2562</v>
      </c>
      <c r="C2155" s="5"/>
      <c r="S2155"/>
    </row>
    <row r="2156" spans="1:19" outlineLevel="1" x14ac:dyDescent="0.2">
      <c r="A2156" s="227" t="str">
        <f ca="1">Language!A998</f>
        <v>&lt;конец списка анализируемых результатов&gt;</v>
      </c>
      <c r="S2156"/>
    </row>
    <row r="2157" spans="1:19" outlineLevel="1" collapsed="1" x14ac:dyDescent="0.2">
      <c r="S2157"/>
    </row>
    <row r="2158" spans="1:19" hidden="1" outlineLevel="2" x14ac:dyDescent="0.2"/>
    <row r="2159" spans="1:19" hidden="1" outlineLevel="2" x14ac:dyDescent="0.2"/>
    <row r="2160" spans="1:19" hidden="1" outlineLevel="2" x14ac:dyDescent="0.2"/>
    <row r="2161" hidden="1" outlineLevel="2" x14ac:dyDescent="0.2"/>
    <row r="2162" hidden="1" outlineLevel="2" x14ac:dyDescent="0.2"/>
    <row r="2163" hidden="1" outlineLevel="2" x14ac:dyDescent="0.2"/>
    <row r="2164" hidden="1" outlineLevel="2" x14ac:dyDescent="0.2"/>
    <row r="2165" hidden="1" outlineLevel="2" x14ac:dyDescent="0.2"/>
    <row r="2166" hidden="1" outlineLevel="2" x14ac:dyDescent="0.2"/>
    <row r="2167" hidden="1" outlineLevel="2" x14ac:dyDescent="0.2"/>
    <row r="2168" hidden="1" outlineLevel="2" x14ac:dyDescent="0.2"/>
    <row r="2169" hidden="1" outlineLevel="2" x14ac:dyDescent="0.2"/>
    <row r="2170" hidden="1" outlineLevel="2" x14ac:dyDescent="0.2"/>
    <row r="2171" hidden="1" outlineLevel="2" x14ac:dyDescent="0.2"/>
    <row r="2172" outlineLevel="1" x14ac:dyDescent="0.2"/>
  </sheetData>
  <phoneticPr fontId="11" type="noConversion"/>
  <conditionalFormatting sqref="F72 F1603:G1655 F1241:G1265">
    <cfRule type="cellIs" dxfId="43" priority="396" stopIfTrue="1" operator="notEqual">
      <formula>0</formula>
    </cfRule>
  </conditionalFormatting>
  <conditionalFormatting sqref="B1131 B1143">
    <cfRule type="cellIs" dxfId="42" priority="397" stopIfTrue="1" operator="notBetween">
      <formula>0</formula>
      <formula>1</formula>
    </cfRule>
  </conditionalFormatting>
  <conditionalFormatting sqref="H1603:H1655 H1241:H1265">
    <cfRule type="cellIs" dxfId="41" priority="380" stopIfTrue="1" operator="notEqual">
      <formula>0</formula>
    </cfRule>
  </conditionalFormatting>
  <conditionalFormatting sqref="I1603:I1655 I1241:I1265">
    <cfRule type="cellIs" dxfId="40" priority="376" stopIfTrue="1" operator="notEqual">
      <formula>0</formula>
    </cfRule>
  </conditionalFormatting>
  <conditionalFormatting sqref="J1603:J1655 J1241:J1265">
    <cfRule type="cellIs" dxfId="39" priority="372" stopIfTrue="1" operator="notEqual">
      <formula>0</formula>
    </cfRule>
  </conditionalFormatting>
  <conditionalFormatting sqref="K1603:K1655 K1241:K1265">
    <cfRule type="cellIs" dxfId="38" priority="368" stopIfTrue="1" operator="notEqual">
      <formula>0</formula>
    </cfRule>
  </conditionalFormatting>
  <conditionalFormatting sqref="L1603:L1655 L1241:L1265">
    <cfRule type="cellIs" dxfId="37" priority="364" stopIfTrue="1" operator="notEqual">
      <formula>0</formula>
    </cfRule>
  </conditionalFormatting>
  <conditionalFormatting sqref="M1603:M1655 M1241:M1265">
    <cfRule type="cellIs" dxfId="36" priority="360" stopIfTrue="1" operator="notEqual">
      <formula>0</formula>
    </cfRule>
  </conditionalFormatting>
  <conditionalFormatting sqref="N1603:N1655 N1241:N1265">
    <cfRule type="cellIs" dxfId="35" priority="6" stopIfTrue="1" operator="notEqual">
      <formula>0</formula>
    </cfRule>
  </conditionalFormatting>
  <conditionalFormatting sqref="O1603:O1655 O1241:O1265">
    <cfRule type="cellIs" dxfId="34" priority="4" stopIfTrue="1" operator="notEqual">
      <formula>0</formula>
    </cfRule>
  </conditionalFormatting>
  <conditionalFormatting sqref="P1603:P1655 P1241:P1265">
    <cfRule type="cellIs" dxfId="33" priority="2" stopIfTrue="1" operator="notEqual">
      <formula>0</formula>
    </cfRule>
  </conditionalFormatting>
  <conditionalFormatting sqref="Q1603:Q1655 Q1241:Q1265">
    <cfRule type="cellIs" dxfId="29" priority="1" stopIfTrue="1" operator="notEqual">
      <formula>0</formula>
    </cfRule>
  </conditionalFormatting>
  <dataValidations disablePrompts="1" count="13">
    <dataValidation type="list" allowBlank="1" showInputMessage="1" showErrorMessage="1" errorTitle="Внимание!" error="Значение ячейки может содержать:_x000a_1 - Основная валюта_x000a_2 - Иностранная валюта" prompt="1 - Основная валюта_x000a_2 - Иностранная валюта" sqref="B1978 B1080 B1037 B1054 B1065 B856 B1004 B980 B961 B947 B696 B561 B501 B285 B300 B323 B349 B372 B389 B1191:B1192 B1188:B1189 B1182:B1186 B1214 B1379 B1836 B1381 B1763 B1907 B37 B589 B724 B916 B730 B568 B703 B871 B575 B710 B886 B582 B717 B901 B952 B966 B971 B985 B990 B995 B1069 B1041" xr:uid="{00000000-0002-0000-0100-000000000000}">
      <formula1>"1,2"</formula1>
    </dataValidation>
    <dataValidation type="list" allowBlank="1" showInputMessage="1" showErrorMessage="1" errorTitle="Внимание!" error="Значение ячейки может содержать:_x000a_1 - Да, учитывать_x000a_2 - Нет, не учитывать" prompt="1 - Да, у脀߳_x0000__x0000_Թ_x0000__x000d__x0001__x0000__x0000_ÿ_x0000_￲_xffff__x0000__x0000_, не учитывать" sqref="B1834:B1835 B1761:B1762" xr:uid="{00000000-0002-0000-0100-000001000000}">
      <formula1>"1,2"</formula1>
    </dataValidation>
    <dataValidation type="decimal" allowBlank="1" showInputMessage="1" showErrorMessage="1" sqref="B1382 B1057 B907:B909 B1380 B862:B864 B930:B932 B1072 B734:B735 B922:B924 B728:B729 B700:B701 B877:B879 B707:B708 B892:B894 B714:B715 B721:B722 B1084 B1068 B1040 B1044" xr:uid="{00000000-0002-0000-0100-000002000000}">
      <formula1>0</formula1>
      <formula2>1</formula2>
    </dataValidation>
    <dataValidation type="list" allowBlank="1" showInputMessage="1" showErrorMessage="1" errorTitle="Внимание!" error="Значение ячейки может содержать:_x000a_1 - Кредит на пополнение оборотного капитала_x000a_2 - Инвестиционный кредит_x000a_3 - Кредит федерального бюджета_x000a_4 - Кредит территориального бюджета" prompt="1 - Кредит на пополнение оборотного капитала_x000a_2 - Инвестиционный кредит_x000a_3 - Государственный инвестиционный кредит (федеральный бюджет)_x000a_4 - Государственный инвестиционный кредит (территориальный бюджет)" sqref="B1213" xr:uid="{00000000-0002-0000-0100-000003000000}">
      <formula1>"1,2,3,4"</formula1>
    </dataValidation>
    <dataValidation type="list" allowBlank="1" showInputMessage="1" showErrorMessage="1" errorTitle="Внимание!" error="Значение ячейки может содержать:_x000a_1 - Создавать резерв_x000a_2 - Не создавать резерв" prompt="1 - Создавать_x000a_2 - Не создавать" sqref="B1166" xr:uid="{00000000-0002-0000-0100-000004000000}">
      <formula1>"1,2"</formula1>
    </dataValidation>
    <dataValidation type="list" allowBlank="1" showInputMessage="1" showErrorMessage="1" errorTitle="Внимание!" error="Значение ячейки может содержать:_x000a_1 - С выкупом (учет на балансе лизингодателя)_x000a_2 - С выкупом (учет на балансе лизингополучателя)_x000a_3 - Без выкупа (учет на балансе лизингодателя)_x000a_4 - Без выкупа (учет на балансе лизингополучателя" prompt="1 - С выкупом (учет на балансе лизингодателя)_x000a_2 - С выкупом (учет на балансе лизингополучателя)_x000a_3 - Без выкупа (учет на балансе лизингодателя)_x000a_4 - Без выкупа (учет на балансе лизингополучателя)" sqref="B502" xr:uid="{00000000-0002-0000-0100-000005000000}">
      <formula1>"1,2,3,4"</formula1>
    </dataValidation>
    <dataValidation type="list" allowBlank="1" showInputMessage="1" showErrorMessage="1" errorTitle="Внимание!" error="Значение ячейки может содержать:_x000a_1 - По мере оплаты актива_x000a_2 - После постановки актива на баланс" prompt="1 - По мере оплаты_x000a_2 - После постановки на баланс" sqref="B355 B306 B332" xr:uid="{00000000-0002-0000-0100-000006000000}">
      <formula1>"1,2"</formula1>
    </dataValidation>
    <dataValidation type="list" allowBlank="1" showInputMessage="1" showErrorMessage="1" errorTitle="Внимание!" error="Значение ячейки может содержать:_x000a_1 - Да, импорт_x000a_2 - Нет" prompt="1 - Да, импорт_x000a_2 - Нет" sqref="B326" xr:uid="{00000000-0002-0000-0100-000007000000}">
      <formula1>"1,2"</formula1>
    </dataValidation>
    <dataValidation type="decimal" operator="lessThanOrEqual" allowBlank="1" showInputMessage="1" showErrorMessage="1" error="Внимание! Период оборота не может быть больше длительности шага планирования" sqref="B225 B166:B167 B161 B154:B155 B150 B146 B107:B108 B112 B142 B139 B196 B206 B214 B172" xr:uid="{00000000-0002-0000-0100-000008000000}">
      <formula1>$D$12</formula1>
    </dataValidation>
    <dataValidation type="list" allowBlank="1" showInputMessage="1" showErrorMessage="1" errorTitle="Внимание!" error="Значение ячейки может содержать:_x000a_1 - Доходы_x000a_2 - Доходы, уменьшенные на величину расходов" prompt="1 -  Доходы_x000a_2 - Доходы, уменьшенные на величину расходов" sqref="B212" xr:uid="{00000000-0002-0000-0100-000009000000}">
      <formula1>"1,2,3"</formula1>
    </dataValidation>
    <dataValidation type="list" allowBlank="1" showInputMessage="1" showErrorMessage="1" errorTitle="Внимание!" error="Значение ячейки может содержать:_x000a_1 - Зачет в счет будущих платежей_x000a_2 - Прямое возмещение из бюджета" prompt="1 - Зачет при будущих расчетах_x000a_2 - Прямое возмещение из бюджета" sqref="B113" xr:uid="{00000000-0002-0000-0100-00000A000000}">
      <formula1>"1,2"</formula1>
    </dataValidation>
    <dataValidation type="list" allowBlank="1" showInputMessage="1" showErrorMessage="1" errorTitle="Внимание!" error="Значение ячейки может содержать:_x000a_1 - Постоянные цены_x000a_2 - Текущие цены" prompt="1 - Постоянные цены (без учета инфляции)_x000a_2 - Текущие цены (с учетом инфляции)" sqref="B77" xr:uid="{00000000-0002-0000-0100-00000B000000}">
      <formula1>"1,2"</formula1>
    </dataValidation>
    <dataValidation type="list" allowBlank="1" showInputMessage="1" showErrorMessage="1" errorTitle="Внимание!" error="Значение ячейки может содержать:_x000a_1 - Налог на прибыль (общий налоговый режим)_x000a_2 - Единый налог на вмененный доход (специальный налоговый режим)_x000a_3 - Упрощенная система налогообложения (специальный налоговый режим)" prompt="1 -  Налог на прибыль (общий налоговый режим)_x000a_2 - Единый налог на вмененный доход (специальный налоговый режим)_x000a_3 - Упрощенная система налогообложения (специальный налоговый режим)" sqref="B104" xr:uid="{00000000-0002-0000-0100-00000C000000}">
      <formula1>"1,2,3"</formula1>
    </dataValidation>
  </dataValidations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Run_ProjectSetup">
                <anchor moveWithCells="1" sizeWithCells="1">
                  <from>
                    <xdr:col>0</xdr:col>
                    <xdr:colOff>19050</xdr:colOff>
                    <xdr:row>15</xdr:row>
                    <xdr:rowOff>133350</xdr:rowOff>
                  </from>
                  <to>
                    <xdr:col>1</xdr:col>
                    <xdr:colOff>12700</xdr:colOff>
                    <xdr:row>17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Run_ProjectView">
                <anchor moveWithCells="1" sizeWithCells="1">
                  <from>
                    <xdr:col>0</xdr:col>
                    <xdr:colOff>19050</xdr:colOff>
                    <xdr:row>23</xdr:row>
                    <xdr:rowOff>0</xdr:rowOff>
                  </from>
                  <to>
                    <xdr:col>1</xdr:col>
                    <xdr:colOff>12700</xdr:colOff>
                    <xdr:row>24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6" name="PRJ_BTN_8">
              <controlPr defaultSize="0" print="0" autoFill="0" autoPict="0" macro="[0]!Run_AddDel_Leasing">
                <anchor moveWithCells="1">
                  <from>
                    <xdr:col>1</xdr:col>
                    <xdr:colOff>12700</xdr:colOff>
                    <xdr:row>497</xdr:row>
                    <xdr:rowOff>12700</xdr:rowOff>
                  </from>
                  <to>
                    <xdr:col>2</xdr:col>
                    <xdr:colOff>622300</xdr:colOff>
                    <xdr:row>498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7" name="PRJ_BTN_3">
              <controlPr defaultSize="0" print="0" autoFill="0" autoPict="0" macro="[0]!Run_AddDel_Products">
                <anchor moveWithCells="1">
                  <from>
                    <xdr:col>1</xdr:col>
                    <xdr:colOff>12700</xdr:colOff>
                    <xdr:row>537</xdr:row>
                    <xdr:rowOff>12700</xdr:rowOff>
                  </from>
                  <to>
                    <xdr:col>2</xdr:col>
                    <xdr:colOff>622300</xdr:colOff>
                    <xdr:row>538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8" name="Button 43">
              <controlPr defaultSize="0" print="0" autoFill="0" autoPict="0" macro="[0]!Run_AddDel_Materials">
                <anchor moveWithCells="1">
                  <from>
                    <xdr:col>1</xdr:col>
                    <xdr:colOff>12700</xdr:colOff>
                    <xdr:row>676</xdr:row>
                    <xdr:rowOff>0</xdr:rowOff>
                  </from>
                  <to>
                    <xdr:col>2</xdr:col>
                    <xdr:colOff>622300</xdr:colOff>
                    <xdr:row>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9" name="Button 46">
              <controlPr defaultSize="0" print="0" autoFill="0" autoPict="0">
                <anchor moveWithCells="1">
                  <from>
                    <xdr:col>1</xdr:col>
                    <xdr:colOff>12700</xdr:colOff>
                    <xdr:row>852</xdr:row>
                    <xdr:rowOff>0</xdr:rowOff>
                  </from>
                  <to>
                    <xdr:col>2</xdr:col>
                    <xdr:colOff>622300</xdr:colOff>
                    <xdr:row>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10" name="Button 47">
              <controlPr defaultSize="0" print="0" autoFill="0" autoPict="0" macro="[0]!Run_AddDel_Personnel">
                <anchor moveWithCells="1">
                  <from>
                    <xdr:col>1</xdr:col>
                    <xdr:colOff>12700</xdr:colOff>
                    <xdr:row>942</xdr:row>
                    <xdr:rowOff>0</xdr:rowOff>
                  </from>
                  <to>
                    <xdr:col>2</xdr:col>
                    <xdr:colOff>622300</xdr:colOff>
                    <xdr:row>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11" name="Button 52">
              <controlPr defaultSize="0" print="0" autoFill="0" autoPict="0" macro="[0]!Run_AddDel_Expenses">
                <anchor moveWithCells="1">
                  <from>
                    <xdr:col>1</xdr:col>
                    <xdr:colOff>12700</xdr:colOff>
                    <xdr:row>1027</xdr:row>
                    <xdr:rowOff>0</xdr:rowOff>
                  </from>
                  <to>
                    <xdr:col>2</xdr:col>
                    <xdr:colOff>622300</xdr:colOff>
                    <xdr:row>1028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12" name="Button 56">
              <controlPr defaultSize="0" print="0" autoFill="0" autoPict="0" macro="[0]!Run_AddDel_OtherCosts">
                <anchor moveWithCells="1">
                  <from>
                    <xdr:col>1</xdr:col>
                    <xdr:colOff>12700</xdr:colOff>
                    <xdr:row>852</xdr:row>
                    <xdr:rowOff>0</xdr:rowOff>
                  </from>
                  <to>
                    <xdr:col>2</xdr:col>
                    <xdr:colOff>622300</xdr:colOff>
                    <xdr:row>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13" name="Button 62">
              <controlPr defaultSize="0" print="0" autoFill="0" autoPict="0" macro="[0]!Run_AddDel_Taxes">
                <anchor moveWithCells="1">
                  <from>
                    <xdr:col>1</xdr:col>
                    <xdr:colOff>12700</xdr:colOff>
                    <xdr:row>101</xdr:row>
                    <xdr:rowOff>12700</xdr:rowOff>
                  </from>
                  <to>
                    <xdr:col>2</xdr:col>
                    <xdr:colOff>622300</xdr:colOff>
                    <xdr:row>102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4" name="Button 76">
              <controlPr defaultSize="0" print="0" autoFill="0" autoPict="0" macro="[0]!Run_AddDel_Loans">
                <anchor moveWithCells="1">
                  <from>
                    <xdr:col>1</xdr:col>
                    <xdr:colOff>19050</xdr:colOff>
                    <xdr:row>1200</xdr:row>
                    <xdr:rowOff>0</xdr:rowOff>
                  </from>
                  <to>
                    <xdr:col>2</xdr:col>
                    <xdr:colOff>628650</xdr:colOff>
                    <xdr:row>1201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15" name="Button 77">
              <controlPr defaultSize="0" print="0" autoFill="0" autoPict="0" macro="[0]!Run_AutoLoan">
                <anchor moveWithCells="1" sizeWithCells="1">
                  <from>
                    <xdr:col>0</xdr:col>
                    <xdr:colOff>0</xdr:colOff>
                    <xdr:row>1216</xdr:row>
                    <xdr:rowOff>0</xdr:rowOff>
                  </from>
                  <to>
                    <xdr:col>0</xdr:col>
                    <xdr:colOff>2952750</xdr:colOff>
                    <xdr:row>1217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6" name="Button 149">
              <controlPr defaultSize="0" print="0" autoFill="0" autoPict="0" macro="[0]!Run_AddDel_Assets">
                <anchor moveWithCells="1">
                  <from>
                    <xdr:col>1</xdr:col>
                    <xdr:colOff>12700</xdr:colOff>
                    <xdr:row>280</xdr:row>
                    <xdr:rowOff>0</xdr:rowOff>
                  </from>
                  <to>
                    <xdr:col>2</xdr:col>
                    <xdr:colOff>622300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7" name="Button 165">
              <controlPr defaultSize="0" print="0" autoFill="0" autoPict="0" macro="[0]!Run_Navigator">
                <anchor moveWithCells="1" sizeWithCells="1">
                  <from>
                    <xdr:col>0</xdr:col>
                    <xdr:colOff>19050</xdr:colOff>
                    <xdr:row>3</xdr:row>
                    <xdr:rowOff>12700</xdr:rowOff>
                  </from>
                  <to>
                    <xdr:col>0</xdr:col>
                    <xdr:colOff>222250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18" name="Button 166">
              <controlPr defaultSize="0" print="0" autoFill="0" autoPict="0" macro="[0]!Run_Navigator">
                <anchor moveWithCells="1" sizeWithCells="1">
                  <from>
                    <xdr:col>0</xdr:col>
                    <xdr:colOff>19050</xdr:colOff>
                    <xdr:row>34</xdr:row>
                    <xdr:rowOff>12700</xdr:rowOff>
                  </from>
                  <to>
                    <xdr:col>0</xdr:col>
                    <xdr:colOff>222250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19" name="Button 167">
              <controlPr defaultSize="0" print="0" autoFill="0" autoPict="0" macro="[0]!Run_Navigator">
                <anchor moveWithCells="1" sizeWithCells="1">
                  <from>
                    <xdr:col>0</xdr:col>
                    <xdr:colOff>19050</xdr:colOff>
                    <xdr:row>74</xdr:row>
                    <xdr:rowOff>12700</xdr:rowOff>
                  </from>
                  <to>
                    <xdr:col>0</xdr:col>
                    <xdr:colOff>222250</xdr:colOff>
                    <xdr:row>74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20" name="Button 168">
              <controlPr defaultSize="0" print="0" autoFill="0" autoPict="0" macro="[0]!Run_Navigator">
                <anchor moveWithCells="1" sizeWithCells="1">
                  <from>
                    <xdr:col>0</xdr:col>
                    <xdr:colOff>19050</xdr:colOff>
                    <xdr:row>101</xdr:row>
                    <xdr:rowOff>12700</xdr:rowOff>
                  </from>
                  <to>
                    <xdr:col>0</xdr:col>
                    <xdr:colOff>222250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21" name="Button 178">
              <controlPr defaultSize="0" print="0" autoFill="0" autoPict="0" macro="[0]!Run_Navigator">
                <anchor moveWithCells="1" sizeWithCells="1">
                  <from>
                    <xdr:col>0</xdr:col>
                    <xdr:colOff>19050</xdr:colOff>
                    <xdr:row>230</xdr:row>
                    <xdr:rowOff>12700</xdr:rowOff>
                  </from>
                  <to>
                    <xdr:col>0</xdr:col>
                    <xdr:colOff>222250</xdr:colOff>
                    <xdr:row>230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22" name="Button 179">
              <controlPr defaultSize="0" print="0" autoFill="0" autoPict="0" macro="[0]!Run_Navigator">
                <anchor moveWithCells="1" sizeWithCells="1">
                  <from>
                    <xdr:col>0</xdr:col>
                    <xdr:colOff>19050</xdr:colOff>
                    <xdr:row>280</xdr:row>
                    <xdr:rowOff>12700</xdr:rowOff>
                  </from>
                  <to>
                    <xdr:col>0</xdr:col>
                    <xdr:colOff>222250</xdr:colOff>
                    <xdr:row>280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23" name="Button 180">
              <controlPr defaultSize="0" print="0" autoFill="0" autoPict="0" macro="[0]!Run_Navigator">
                <anchor moveWithCells="1" sizeWithCells="1">
                  <from>
                    <xdr:col>0</xdr:col>
                    <xdr:colOff>19050</xdr:colOff>
                    <xdr:row>497</xdr:row>
                    <xdr:rowOff>12700</xdr:rowOff>
                  </from>
                  <to>
                    <xdr:col>0</xdr:col>
                    <xdr:colOff>222250</xdr:colOff>
                    <xdr:row>497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24" name="Button 181">
              <controlPr defaultSize="0" print="0" autoFill="0" autoPict="0" macro="[0]!Run_Navigator">
                <anchor moveWithCells="1" sizeWithCells="1">
                  <from>
                    <xdr:col>0</xdr:col>
                    <xdr:colOff>19050</xdr:colOff>
                    <xdr:row>537</xdr:row>
                    <xdr:rowOff>12700</xdr:rowOff>
                  </from>
                  <to>
                    <xdr:col>0</xdr:col>
                    <xdr:colOff>222250</xdr:colOff>
                    <xdr:row>537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25" name="Button 182">
              <controlPr defaultSize="0" print="0" autoFill="0" autoPict="0" macro="[0]!Run_Navigator">
                <anchor moveWithCells="1" sizeWithCells="1">
                  <from>
                    <xdr:col>0</xdr:col>
                    <xdr:colOff>19050</xdr:colOff>
                    <xdr:row>548</xdr:row>
                    <xdr:rowOff>12700</xdr:rowOff>
                  </from>
                  <to>
                    <xdr:col>0</xdr:col>
                    <xdr:colOff>222250</xdr:colOff>
                    <xdr:row>548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26" name="Button 183">
              <controlPr defaultSize="0" print="0" autoFill="0" autoPict="0" macro="[0]!Run_Navigator">
                <anchor moveWithCells="1" sizeWithCells="1">
                  <from>
                    <xdr:col>0</xdr:col>
                    <xdr:colOff>19050</xdr:colOff>
                    <xdr:row>558</xdr:row>
                    <xdr:rowOff>12700</xdr:rowOff>
                  </from>
                  <to>
                    <xdr:col>0</xdr:col>
                    <xdr:colOff>222250</xdr:colOff>
                    <xdr:row>558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27" name="Button 184">
              <controlPr defaultSize="0" print="0" autoFill="0" autoPict="0" macro="[0]!Run_Navigator">
                <anchor moveWithCells="1" sizeWithCells="1">
                  <from>
                    <xdr:col>0</xdr:col>
                    <xdr:colOff>19050</xdr:colOff>
                    <xdr:row>598</xdr:row>
                    <xdr:rowOff>12700</xdr:rowOff>
                  </from>
                  <to>
                    <xdr:col>0</xdr:col>
                    <xdr:colOff>222250</xdr:colOff>
                    <xdr:row>598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28" name="Button 185">
              <controlPr defaultSize="0" print="0" autoFill="0" autoPict="0" macro="[0]!Run_Navigator">
                <anchor moveWithCells="1" sizeWithCells="1">
                  <from>
                    <xdr:col>0</xdr:col>
                    <xdr:colOff>19050</xdr:colOff>
                    <xdr:row>651</xdr:row>
                    <xdr:rowOff>12700</xdr:rowOff>
                  </from>
                  <to>
                    <xdr:col>0</xdr:col>
                    <xdr:colOff>222250</xdr:colOff>
                    <xdr:row>651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29" name="Button 186">
              <controlPr defaultSize="0" print="0" autoFill="0" autoPict="0" macro="[0]!Run_Navigator">
                <anchor moveWithCells="1" sizeWithCells="1">
                  <from>
                    <xdr:col>0</xdr:col>
                    <xdr:colOff>19050</xdr:colOff>
                    <xdr:row>676</xdr:row>
                    <xdr:rowOff>0</xdr:rowOff>
                  </from>
                  <to>
                    <xdr:col>0</xdr:col>
                    <xdr:colOff>222250</xdr:colOff>
                    <xdr:row>676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30" name="Button 187">
              <controlPr defaultSize="0" print="0" autoFill="0" autoPict="0" macro="[0]!Run_Navigator">
                <anchor moveWithCells="1" sizeWithCells="1">
                  <from>
                    <xdr:col>0</xdr:col>
                    <xdr:colOff>19050</xdr:colOff>
                    <xdr:row>692</xdr:row>
                    <xdr:rowOff>12700</xdr:rowOff>
                  </from>
                  <to>
                    <xdr:col>0</xdr:col>
                    <xdr:colOff>222250</xdr:colOff>
                    <xdr:row>692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31" name="Button 188">
              <controlPr defaultSize="0" print="0" autoFill="0" autoPict="0" macro="[0]!Run_Navigator">
                <anchor moveWithCells="1" sizeWithCells="1">
                  <from>
                    <xdr:col>0</xdr:col>
                    <xdr:colOff>19050</xdr:colOff>
                    <xdr:row>738</xdr:row>
                    <xdr:rowOff>12700</xdr:rowOff>
                  </from>
                  <to>
                    <xdr:col>0</xdr:col>
                    <xdr:colOff>222250</xdr:colOff>
                    <xdr:row>738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32" name="Button 189">
              <controlPr defaultSize="0" print="0" autoFill="0" autoPict="0" macro="[0]!Run_Navigator">
                <anchor moveWithCells="1" sizeWithCells="1">
                  <from>
                    <xdr:col>0</xdr:col>
                    <xdr:colOff>19050</xdr:colOff>
                    <xdr:row>852</xdr:row>
                    <xdr:rowOff>12700</xdr:rowOff>
                  </from>
                  <to>
                    <xdr:col>0</xdr:col>
                    <xdr:colOff>222250</xdr:colOff>
                    <xdr:row>852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33" name="Button 190">
              <controlPr defaultSize="0" print="0" autoFill="0" autoPict="0" macro="[0]!Run_Navigator">
                <anchor moveWithCells="1" sizeWithCells="1">
                  <from>
                    <xdr:col>0</xdr:col>
                    <xdr:colOff>19050</xdr:colOff>
                    <xdr:row>942</xdr:row>
                    <xdr:rowOff>12700</xdr:rowOff>
                  </from>
                  <to>
                    <xdr:col>0</xdr:col>
                    <xdr:colOff>222250</xdr:colOff>
                    <xdr:row>942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34" name="Button 191">
              <controlPr defaultSize="0" print="0" autoFill="0" autoPict="0" macro="[0]!Run_Navigator">
                <anchor moveWithCells="1" sizeWithCells="1">
                  <from>
                    <xdr:col>0</xdr:col>
                    <xdr:colOff>19050</xdr:colOff>
                    <xdr:row>1027</xdr:row>
                    <xdr:rowOff>12700</xdr:rowOff>
                  </from>
                  <to>
                    <xdr:col>0</xdr:col>
                    <xdr:colOff>222250</xdr:colOff>
                    <xdr:row>1027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35" name="Button 192">
              <controlPr defaultSize="0" print="0" autoFill="0" autoPict="0" macro="[0]!Run_Navigator">
                <anchor moveWithCells="1" sizeWithCells="1">
                  <from>
                    <xdr:col>0</xdr:col>
                    <xdr:colOff>19050</xdr:colOff>
                    <xdr:row>1112</xdr:row>
                    <xdr:rowOff>12700</xdr:rowOff>
                  </from>
                  <to>
                    <xdr:col>0</xdr:col>
                    <xdr:colOff>222250</xdr:colOff>
                    <xdr:row>1112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36" name="Button 193">
              <controlPr defaultSize="0" print="0" autoFill="0" autoPict="0" macro="[0]!Run_Navigator">
                <anchor moveWithCells="1" sizeWithCells="1">
                  <from>
                    <xdr:col>0</xdr:col>
                    <xdr:colOff>19050</xdr:colOff>
                    <xdr:row>1177</xdr:row>
                    <xdr:rowOff>12700</xdr:rowOff>
                  </from>
                  <to>
                    <xdr:col>0</xdr:col>
                    <xdr:colOff>222250</xdr:colOff>
                    <xdr:row>1177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37" name="Button 195">
              <controlPr defaultSize="0" print="0" autoFill="0" autoPict="0" macro="[0]!Run_Navigator">
                <anchor moveWithCells="1" sizeWithCells="1">
                  <from>
                    <xdr:col>0</xdr:col>
                    <xdr:colOff>19050</xdr:colOff>
                    <xdr:row>1200</xdr:row>
                    <xdr:rowOff>12700</xdr:rowOff>
                  </from>
                  <to>
                    <xdr:col>0</xdr:col>
                    <xdr:colOff>222250</xdr:colOff>
                    <xdr:row>1200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38" name="Button 197">
              <controlPr defaultSize="0" print="0" autoFill="0" autoPict="0" macro="[0]!Run_Navigator">
                <anchor moveWithCells="1" sizeWithCells="1">
                  <from>
                    <xdr:col>0</xdr:col>
                    <xdr:colOff>19050</xdr:colOff>
                    <xdr:row>1298</xdr:row>
                    <xdr:rowOff>12700</xdr:rowOff>
                  </from>
                  <to>
                    <xdr:col>0</xdr:col>
                    <xdr:colOff>222250</xdr:colOff>
                    <xdr:row>1298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39" name="Button 198">
              <controlPr defaultSize="0" print="0" autoFill="0" autoPict="0" macro="[0]!Run_Navigator">
                <anchor moveWithCells="1" sizeWithCells="1">
                  <from>
                    <xdr:col>0</xdr:col>
                    <xdr:colOff>19050</xdr:colOff>
                    <xdr:row>1420</xdr:row>
                    <xdr:rowOff>12700</xdr:rowOff>
                  </from>
                  <to>
                    <xdr:col>0</xdr:col>
                    <xdr:colOff>222250</xdr:colOff>
                    <xdr:row>1420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40" name="Button 199">
              <controlPr defaultSize="0" print="0" autoFill="0" autoPict="0" macro="[0]!Run_Navigator">
                <anchor moveWithCells="1" sizeWithCells="1">
                  <from>
                    <xdr:col>0</xdr:col>
                    <xdr:colOff>19050</xdr:colOff>
                    <xdr:row>1560</xdr:row>
                    <xdr:rowOff>12700</xdr:rowOff>
                  </from>
                  <to>
                    <xdr:col>0</xdr:col>
                    <xdr:colOff>222250</xdr:colOff>
                    <xdr:row>1560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41" name="Button 200">
              <controlPr defaultSize="0" print="0" autoFill="0" autoPict="0" macro="[0]!Run_Navigator">
                <anchor moveWithCells="1" sizeWithCells="1">
                  <from>
                    <xdr:col>0</xdr:col>
                    <xdr:colOff>19050</xdr:colOff>
                    <xdr:row>1655</xdr:row>
                    <xdr:rowOff>12700</xdr:rowOff>
                  </from>
                  <to>
                    <xdr:col>0</xdr:col>
                    <xdr:colOff>222250</xdr:colOff>
                    <xdr:row>1655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42" name="Button 201">
              <controlPr defaultSize="0" print="0" autoFill="0" autoPict="0" macro="[0]!Run_Navigator">
                <anchor moveWithCells="1" sizeWithCells="1">
                  <from>
                    <xdr:col>0</xdr:col>
                    <xdr:colOff>19050</xdr:colOff>
                    <xdr:row>1758</xdr:row>
                    <xdr:rowOff>12700</xdr:rowOff>
                  </from>
                  <to>
                    <xdr:col>0</xdr:col>
                    <xdr:colOff>222250</xdr:colOff>
                    <xdr:row>1758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43" name="Button 202">
              <controlPr defaultSize="0" print="0" autoFill="0" autoPict="0" macro="[0]!Run_Navigator">
                <anchor moveWithCells="1" sizeWithCells="1">
                  <from>
                    <xdr:col>0</xdr:col>
                    <xdr:colOff>19050</xdr:colOff>
                    <xdr:row>1831</xdr:row>
                    <xdr:rowOff>12700</xdr:rowOff>
                  </from>
                  <to>
                    <xdr:col>0</xdr:col>
                    <xdr:colOff>222250</xdr:colOff>
                    <xdr:row>1831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44" name="Button 203">
              <controlPr defaultSize="0" print="0" autoFill="0" autoPict="0" macro="[0]!Run_Navigator">
                <anchor moveWithCells="1" sizeWithCells="1">
                  <from>
                    <xdr:col>0</xdr:col>
                    <xdr:colOff>19050</xdr:colOff>
                    <xdr:row>1904</xdr:row>
                    <xdr:rowOff>12700</xdr:rowOff>
                  </from>
                  <to>
                    <xdr:col>0</xdr:col>
                    <xdr:colOff>222250</xdr:colOff>
                    <xdr:row>1904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45" name="Button 204">
              <controlPr defaultSize="0" print="0" autoFill="0" autoPict="0" macro="[0]!Run_Navigator">
                <anchor moveWithCells="1" sizeWithCells="1">
                  <from>
                    <xdr:col>0</xdr:col>
                    <xdr:colOff>19050</xdr:colOff>
                    <xdr:row>1975</xdr:row>
                    <xdr:rowOff>12700</xdr:rowOff>
                  </from>
                  <to>
                    <xdr:col>0</xdr:col>
                    <xdr:colOff>222250</xdr:colOff>
                    <xdr:row>1975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46" name="Button 205">
              <controlPr defaultSize="0" print="0" autoFill="0" autoPict="0" macro="[0]!Run_Navigator">
                <anchor moveWithCells="1" sizeWithCells="1">
                  <from>
                    <xdr:col>0</xdr:col>
                    <xdr:colOff>19050</xdr:colOff>
                    <xdr:row>2001</xdr:row>
                    <xdr:rowOff>12700</xdr:rowOff>
                  </from>
                  <to>
                    <xdr:col>0</xdr:col>
                    <xdr:colOff>222250</xdr:colOff>
                    <xdr:row>2001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47" name="Button 207">
              <controlPr defaultSize="0" print="0" autoFill="0" autoPict="0" macro="[0]!Run_Navigator">
                <anchor moveWithCells="1" sizeWithCells="1">
                  <from>
                    <xdr:col>0</xdr:col>
                    <xdr:colOff>19050</xdr:colOff>
                    <xdr:row>2092</xdr:row>
                    <xdr:rowOff>12700</xdr:rowOff>
                  </from>
                  <to>
                    <xdr:col>0</xdr:col>
                    <xdr:colOff>222250</xdr:colOff>
                    <xdr:row>2092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48" name="Button 211">
              <controlPr defaultSize="0" print="0" autoFill="0" autoPict="0" macro="[0]!Run_Navigator">
                <anchor moveWithCells="1" sizeWithCells="1">
                  <from>
                    <xdr:col>0</xdr:col>
                    <xdr:colOff>19050</xdr:colOff>
                    <xdr:row>1376</xdr:row>
                    <xdr:rowOff>12700</xdr:rowOff>
                  </from>
                  <to>
                    <xdr:col>0</xdr:col>
                    <xdr:colOff>222250</xdr:colOff>
                    <xdr:row>1376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4338" r:id="rId49" name="Button 2130">
              <controlPr defaultSize="0" print="0" autoFill="0" autoPict="0" macro="[0]!Run_Setup_SensAnal">
                <anchor moveWithCells="1">
                  <from>
                    <xdr:col>1</xdr:col>
                    <xdr:colOff>12700</xdr:colOff>
                    <xdr:row>2092</xdr:row>
                    <xdr:rowOff>0</xdr:rowOff>
                  </from>
                  <to>
                    <xdr:col>2</xdr:col>
                    <xdr:colOff>622300</xdr:colOff>
                    <xdr:row>2093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4469" r:id="rId50" name="Button 2261">
              <controlPr defaultSize="0" print="0" autoFill="0" autoPict="0" macro="[0]!Run_SensAnal">
                <anchor moveWithCells="1" sizeWithCells="1">
                  <from>
                    <xdr:col>0</xdr:col>
                    <xdr:colOff>19050</xdr:colOff>
                    <xdr:row>2107</xdr:row>
                    <xdr:rowOff>19050</xdr:rowOff>
                  </from>
                  <to>
                    <xdr:col>0</xdr:col>
                    <xdr:colOff>2952750</xdr:colOff>
                    <xdr:row>2108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51" name="Button 196">
              <controlPr defaultSize="0" print="0" autoFill="0" autoPict="0" macro="[0]!Run_Navigator">
                <anchor moveWithCells="1" sizeWithCells="1">
                  <from>
                    <xdr:col>0</xdr:col>
                    <xdr:colOff>19050</xdr:colOff>
                    <xdr:row>1266</xdr:row>
                    <xdr:rowOff>12700</xdr:rowOff>
                  </from>
                  <to>
                    <xdr:col>0</xdr:col>
                    <xdr:colOff>222250</xdr:colOff>
                    <xdr:row>1266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52" name="Button 206">
              <controlPr defaultSize="0" print="0" autoFill="0" autoPict="0" macro="[0]!Run_Navigator">
                <anchor moveWithCells="1" sizeWithCells="1">
                  <from>
                    <xdr:col>0</xdr:col>
                    <xdr:colOff>19050</xdr:colOff>
                    <xdr:row>2052</xdr:row>
                    <xdr:rowOff>12700</xdr:rowOff>
                  </from>
                  <to>
                    <xdr:col>0</xdr:col>
                    <xdr:colOff>222250</xdr:colOff>
                    <xdr:row>2052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outlinePr summaryBelow="0"/>
  </sheetPr>
  <dimension ref="A1:X957"/>
  <sheetViews>
    <sheetView workbookViewId="0">
      <selection activeCell="F510" sqref="F510"/>
    </sheetView>
  </sheetViews>
  <sheetFormatPr defaultRowHeight="10" outlineLevelRow="2" x14ac:dyDescent="0.2"/>
  <cols>
    <col min="1" max="1" width="51.77734375" customWidth="1"/>
    <col min="2" max="3" width="12.77734375" customWidth="1"/>
    <col min="4" max="4" width="5.109375" hidden="1" customWidth="1"/>
    <col min="5" max="5" width="4.77734375" hidden="1" customWidth="1"/>
    <col min="6" max="17" width="11.77734375" customWidth="1"/>
    <col min="18" max="18" width="1.77734375" customWidth="1"/>
    <col min="19" max="19" width="12.77734375" style="181" customWidth="1"/>
  </cols>
  <sheetData>
    <row r="1" spans="1:19" ht="13" x14ac:dyDescent="0.3">
      <c r="A1" s="224" t="str">
        <f ca="1">Language!A3&amp;IF(IS_SUMM,Language!A4,"")&amp;AI_Version&amp;" "&amp;IF(IS_ESTATE,Language!A5,"")&amp;IF(IS_DEMO,Language!A6,"")&amp;IF(IS_TRIAL,Language!A7,"")</f>
        <v xml:space="preserve">АЛЬТ-Инвест™ Сумм 6.04 </v>
      </c>
      <c r="S1" s="11"/>
    </row>
    <row r="2" spans="1:19" s="2" customFormat="1" ht="15.5" x14ac:dyDescent="0.35">
      <c r="A2" s="3" t="str">
        <f ca="1">Language!A939</f>
        <v>Портфель проектов компании</v>
      </c>
      <c r="S2" s="37"/>
    </row>
    <row r="4" spans="1:19" s="4" customFormat="1" ht="16" customHeight="1" thickBot="1" x14ac:dyDescent="0.25">
      <c r="A4" s="166" t="str">
        <f ca="1">Language!A940</f>
        <v xml:space="preserve">         СОСТАВ ПОРТФЕЛЯ</v>
      </c>
      <c r="B4" s="166"/>
      <c r="C4" s="166"/>
      <c r="D4" s="166"/>
      <c r="E4" s="166"/>
      <c r="F4" s="166"/>
      <c r="G4" s="166"/>
      <c r="H4" s="166"/>
      <c r="I4" s="166"/>
      <c r="J4" s="166"/>
      <c r="K4" s="166"/>
      <c r="L4" s="166"/>
      <c r="M4" s="166"/>
      <c r="N4" s="166"/>
      <c r="O4" s="166"/>
      <c r="P4" s="166"/>
      <c r="Q4" s="166"/>
      <c r="R4" s="167"/>
      <c r="S4" s="200"/>
    </row>
    <row r="5" spans="1:19" ht="10.5" outlineLevel="1" thickTop="1" x14ac:dyDescent="0.2"/>
    <row r="6" spans="1:19" outlineLevel="1" x14ac:dyDescent="0.2">
      <c r="A6" t="str">
        <f ca="1">Language!A941</f>
        <v>Название компании:</v>
      </c>
    </row>
    <row r="7" spans="1:19" outlineLevel="1" x14ac:dyDescent="0.2">
      <c r="A7" s="253" t="str">
        <f ca="1">Language!A942</f>
        <v>Компания без названия</v>
      </c>
      <c r="B7" s="253"/>
      <c r="C7" s="253"/>
    </row>
    <row r="8" spans="1:19" outlineLevel="1" x14ac:dyDescent="0.2">
      <c r="A8" s="48"/>
      <c r="B8" s="48"/>
      <c r="C8" s="48"/>
    </row>
    <row r="9" spans="1:19" ht="16" customHeight="1" outlineLevel="1" x14ac:dyDescent="0.2">
      <c r="A9" s="48"/>
      <c r="B9" s="48"/>
      <c r="C9" s="48"/>
    </row>
    <row r="10" spans="1:19" outlineLevel="1" x14ac:dyDescent="0.2">
      <c r="A10" s="48"/>
      <c r="B10" s="48"/>
      <c r="C10" s="48"/>
    </row>
    <row r="11" spans="1:19" ht="21" customHeight="1" outlineLevel="1" x14ac:dyDescent="0.25">
      <c r="A11" s="168" t="str">
        <f ca="1">Language!A943</f>
        <v>Список проектов</v>
      </c>
      <c r="B11" s="410" t="str">
        <f ca="1">Language!A944</f>
        <v>Учитывать?</v>
      </c>
      <c r="C11" s="410"/>
      <c r="D11" s="182">
        <v>1</v>
      </c>
      <c r="E11" s="182">
        <v>0</v>
      </c>
      <c r="F11" s="313" t="str">
        <f ca="1">Language!A945</f>
        <v>Источник</v>
      </c>
      <c r="G11" s="168"/>
      <c r="H11" s="168"/>
      <c r="I11" s="168"/>
      <c r="J11" s="168"/>
      <c r="K11" s="168"/>
      <c r="L11" s="168"/>
      <c r="M11" s="168"/>
      <c r="N11" s="168"/>
      <c r="O11" s="168"/>
      <c r="P11" s="168"/>
      <c r="Q11" s="168"/>
      <c r="R11" s="169"/>
      <c r="S11" s="201"/>
    </row>
    <row r="12" spans="1:19" outlineLevel="1" x14ac:dyDescent="0.2">
      <c r="A12" s="170" t="str">
        <f>Проект!PRJ_Name</f>
        <v>Наименование проекта</v>
      </c>
      <c r="B12" s="255">
        <v>1</v>
      </c>
      <c r="C12" s="197" t="str">
        <f ca="1">IF(B12=1,Language!A$1002,IF(B12=0,Language!A$1003,Language!A$1004))</f>
        <v>Учитывать</v>
      </c>
      <c r="D12" s="48"/>
      <c r="E12" s="48"/>
      <c r="F12" s="171" t="str">
        <f>ThisShtName(Проект!PRJ_Name)</f>
        <v>Проект</v>
      </c>
      <c r="G12" s="197"/>
      <c r="H12" s="197"/>
      <c r="I12" s="197"/>
      <c r="J12" s="197"/>
      <c r="K12" s="197"/>
      <c r="L12" s="197"/>
      <c r="M12" s="197"/>
      <c r="N12" s="197"/>
      <c r="O12" s="197"/>
      <c r="P12" s="197"/>
      <c r="Q12" s="197"/>
      <c r="R12" s="45"/>
      <c r="S12" s="171"/>
    </row>
    <row r="13" spans="1:19" outlineLevel="1" x14ac:dyDescent="0.2">
      <c r="A13" s="48"/>
      <c r="B13" s="48"/>
      <c r="C13" s="48"/>
      <c r="D13" s="48"/>
      <c r="E13" s="48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171"/>
    </row>
    <row r="14" spans="1:19" outlineLevel="1" x14ac:dyDescent="0.2">
      <c r="A14" s="314" t="str">
        <f ca="1">Language!A1015</f>
        <v>Не обнулять баланс проекта после его окончания</v>
      </c>
      <c r="B14" s="255">
        <v>1</v>
      </c>
      <c r="C14" s="198" t="str">
        <f ca="1">IF(B14=1, Language!A1016, Language!A1017)</f>
        <v>Да, не обнулять</v>
      </c>
      <c r="D14" s="48">
        <f ca="1">IF(MIN(OFFSET(PORT_PrjPeriods,1,2):OFFSET(PORT_PrjPeriods,1+PORT_IntPrjCount+PORT_ExtPrjCount,2))&lt;PRJ_Len,1,0)</f>
        <v>0</v>
      </c>
      <c r="E14" s="48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171"/>
    </row>
    <row r="15" spans="1:19" outlineLevel="1" x14ac:dyDescent="0.2">
      <c r="A15" s="48"/>
      <c r="B15" s="48"/>
      <c r="C15" s="48"/>
      <c r="D15" s="48"/>
      <c r="E15" s="48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171"/>
    </row>
    <row r="16" spans="1:19" outlineLevel="1" x14ac:dyDescent="0.2">
      <c r="A16" s="172" t="str">
        <f ca="1">Language!A946</f>
        <v>Последнее обновление проектов из внешних книг:</v>
      </c>
      <c r="B16" s="411">
        <v>39763.604166666664</v>
      </c>
      <c r="C16" s="412"/>
      <c r="D16" s="48"/>
      <c r="E16" s="48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171"/>
    </row>
    <row r="17" spans="1:19" ht="16" customHeight="1" outlineLevel="1" x14ac:dyDescent="0.2">
      <c r="A17" s="48"/>
      <c r="B17" s="48"/>
      <c r="C17" s="48"/>
      <c r="D17" s="48"/>
      <c r="E17" s="48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171"/>
    </row>
    <row r="18" spans="1:19" outlineLevel="1" x14ac:dyDescent="0.2">
      <c r="A18" s="173"/>
      <c r="B18" s="173"/>
      <c r="C18" s="173"/>
      <c r="D18" s="173"/>
      <c r="E18" s="173"/>
      <c r="F18" s="173"/>
      <c r="G18" s="173"/>
      <c r="H18" s="173"/>
      <c r="I18" s="173"/>
      <c r="J18" s="173"/>
      <c r="K18" s="173"/>
      <c r="L18" s="173"/>
      <c r="M18" s="173"/>
      <c r="N18" s="173"/>
      <c r="O18" s="173"/>
      <c r="P18" s="173"/>
      <c r="Q18" s="173"/>
      <c r="R18" s="45"/>
      <c r="S18" s="171"/>
    </row>
    <row r="19" spans="1:19" outlineLevel="1" x14ac:dyDescent="0.2"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171"/>
    </row>
    <row r="20" spans="1:19" s="4" customFormat="1" ht="16" customHeight="1" outlineLevel="1" x14ac:dyDescent="0.2">
      <c r="A20" s="168" t="str">
        <f ca="1">Language!A947</f>
        <v>Параметры бюджета портфеля проектов</v>
      </c>
      <c r="B20" s="14"/>
      <c r="C20" s="191"/>
      <c r="F20" s="174"/>
      <c r="S20" s="202"/>
    </row>
    <row r="21" spans="1:19" ht="10.5" outlineLevel="1" x14ac:dyDescent="0.25">
      <c r="A21" s="183"/>
      <c r="B21" s="184"/>
      <c r="C21" s="176"/>
      <c r="F21" s="19"/>
    </row>
    <row r="22" spans="1:19" outlineLevel="1" x14ac:dyDescent="0.2">
      <c r="A22" s="184" t="str">
        <f ca="1">Language!A948</f>
        <v>Дата начала первого периода</v>
      </c>
      <c r="B22" s="185">
        <f>DATE(PRJ_StartYear,PRJ_StartMon,1)</f>
        <v>43922</v>
      </c>
      <c r="C22" s="176"/>
      <c r="F22" s="19"/>
    </row>
    <row r="23" spans="1:19" outlineLevel="1" x14ac:dyDescent="0.2">
      <c r="A23" s="184" t="str">
        <f ca="1">Language!A949</f>
        <v>Длительность</v>
      </c>
      <c r="B23" s="186" t="str">
        <f ca="1">PRJ_Len &amp; " " &amp; OFFSET(Language!A30,PRJ_StepType-1,0)</f>
        <v>12 мес.</v>
      </c>
      <c r="C23" s="176"/>
      <c r="D23" s="5">
        <v>12</v>
      </c>
      <c r="E23" s="5" t="str">
        <f ca="1">OFFSET(Language!A30,PRJ_StepType-1,0)</f>
        <v>мес.</v>
      </c>
      <c r="F23" s="19"/>
    </row>
    <row r="24" spans="1:19" outlineLevel="1" x14ac:dyDescent="0.2">
      <c r="A24" s="184" t="str">
        <f ca="1">Language!A950</f>
        <v>Шаг планирования</v>
      </c>
      <c r="B24" s="187" t="str">
        <f ca="1">OFFSET(Language!A34,PRJ_StepType-1,0)</f>
        <v>месяц</v>
      </c>
      <c r="C24" s="176"/>
      <c r="D24" s="5">
        <v>1</v>
      </c>
      <c r="E24" s="5">
        <f>CHOOSE(PRJ_StepType,30,90,180,360)</f>
        <v>30</v>
      </c>
      <c r="F24" s="19"/>
    </row>
    <row r="25" spans="1:19" outlineLevel="1" x14ac:dyDescent="0.2">
      <c r="A25" s="184" t="str">
        <f ca="1">Language!A951</f>
        <v>Валюта для отображения результатов</v>
      </c>
      <c r="B25" s="187" t="str">
        <f ca="1">OFFSET(Language!A39,CUR_I_Report,0)</f>
        <v>руб.</v>
      </c>
      <c r="C25" s="176"/>
      <c r="D25" s="5">
        <v>0</v>
      </c>
      <c r="E25" s="5"/>
      <c r="F25" s="19"/>
    </row>
    <row r="26" spans="1:19" outlineLevel="1" x14ac:dyDescent="0.2">
      <c r="A26" s="184"/>
      <c r="B26" s="184"/>
      <c r="C26" s="176"/>
      <c r="F26" s="19"/>
    </row>
    <row r="27" spans="1:19" ht="10.5" outlineLevel="1" x14ac:dyDescent="0.25">
      <c r="A27" s="183" t="str">
        <f ca="1">Language!A952</f>
        <v>Периоды осуществления проектов</v>
      </c>
      <c r="B27" s="187" t="str">
        <f ca="1">Language!A953</f>
        <v>с периода</v>
      </c>
      <c r="C27" s="192" t="str">
        <f ca="1">Language!A954</f>
        <v>по период</v>
      </c>
      <c r="F27" s="19"/>
    </row>
    <row r="28" spans="1:19" outlineLevel="1" x14ac:dyDescent="0.2">
      <c r="A28" s="189" t="str">
        <f>A12</f>
        <v>Наименование проекта</v>
      </c>
      <c r="B28" s="186">
        <v>1</v>
      </c>
      <c r="C28" s="193">
        <v>12</v>
      </c>
      <c r="F28" s="19"/>
    </row>
    <row r="29" spans="1:19" outlineLevel="1" collapsed="1" x14ac:dyDescent="0.2">
      <c r="A29" s="190"/>
      <c r="B29" s="190"/>
      <c r="C29" s="194"/>
      <c r="F29" s="19"/>
    </row>
    <row r="30" spans="1:19" hidden="1" outlineLevel="2" x14ac:dyDescent="0.2"/>
    <row r="31" spans="1:19" hidden="1" outlineLevel="2" x14ac:dyDescent="0.2">
      <c r="A31" t="str">
        <f ca="1">Language!A955</f>
        <v>Год начала бюджета</v>
      </c>
      <c r="D31" s="16" t="s">
        <v>2154</v>
      </c>
      <c r="F31" s="5">
        <v>2020</v>
      </c>
    </row>
    <row r="32" spans="1:19" hidden="1" outlineLevel="2" x14ac:dyDescent="0.2">
      <c r="A32" t="str">
        <f ca="1">Language!A956</f>
        <v>Месяц начала бюджета</v>
      </c>
      <c r="D32" s="16" t="s">
        <v>2154</v>
      </c>
      <c r="F32" s="5">
        <v>4</v>
      </c>
    </row>
    <row r="33" spans="1:19" hidden="1" outlineLevel="2" x14ac:dyDescent="0.2">
      <c r="A33" t="str">
        <f ca="1">Language!A957</f>
        <v>Номера периодов</v>
      </c>
      <c r="D33" s="16" t="s">
        <v>2154</v>
      </c>
      <c r="F33" s="5">
        <v>1</v>
      </c>
      <c r="G33" s="5">
        <f t="shared" ref="G33:Q33" si="0">F33+1</f>
        <v>2</v>
      </c>
      <c r="H33" s="5">
        <f t="shared" si="0"/>
        <v>3</v>
      </c>
      <c r="I33" s="5">
        <f t="shared" si="0"/>
        <v>4</v>
      </c>
      <c r="J33" s="5">
        <f t="shared" si="0"/>
        <v>5</v>
      </c>
      <c r="K33" s="5">
        <f t="shared" si="0"/>
        <v>6</v>
      </c>
      <c r="L33" s="5">
        <f t="shared" si="0"/>
        <v>7</v>
      </c>
      <c r="M33" s="5">
        <f t="shared" si="0"/>
        <v>8</v>
      </c>
      <c r="N33" s="5">
        <f t="shared" si="0"/>
        <v>9</v>
      </c>
      <c r="O33" s="5">
        <f t="shared" si="0"/>
        <v>10</v>
      </c>
      <c r="P33" s="5">
        <f t="shared" si="0"/>
        <v>11</v>
      </c>
      <c r="Q33" s="5">
        <f t="shared" si="0"/>
        <v>12</v>
      </c>
    </row>
    <row r="34" spans="1:19" hidden="1" outlineLevel="2" x14ac:dyDescent="0.2">
      <c r="A34" t="str">
        <f ca="1">Language!A958</f>
        <v>Наименования периодов без учета дат</v>
      </c>
      <c r="D34" s="16" t="s">
        <v>2154</v>
      </c>
      <c r="F34" s="5" t="str">
        <f ca="1">TEXT(F33,"#") &amp; " " &amp; OFFSET(Language!$A68,PRJ_StepType-1,0)</f>
        <v>1 мес.</v>
      </c>
      <c r="G34" s="5" t="str">
        <f ca="1">TEXT(G33,"#") &amp; " " &amp; OFFSET(Language!$A68,PRJ_StepType-1,0)</f>
        <v>2 мес.</v>
      </c>
      <c r="H34" s="5" t="str">
        <f ca="1">TEXT(H33,"#") &amp; " " &amp; OFFSET(Language!$A68,PRJ_StepType-1,0)</f>
        <v>3 мес.</v>
      </c>
      <c r="I34" s="5" t="str">
        <f ca="1">TEXT(I33,"#") &amp; " " &amp; OFFSET(Language!$A68,PRJ_StepType-1,0)</f>
        <v>4 мес.</v>
      </c>
      <c r="J34" s="5" t="str">
        <f ca="1">TEXT(J33,"#") &amp; " " &amp; OFFSET(Language!$A68,PRJ_StepType-1,0)</f>
        <v>5 мес.</v>
      </c>
      <c r="K34" s="5" t="str">
        <f ca="1">TEXT(K33,"#") &amp; " " &amp; OFFSET(Language!$A68,PRJ_StepType-1,0)</f>
        <v>6 мес.</v>
      </c>
      <c r="L34" s="5" t="str">
        <f ca="1">TEXT(L33,"#") &amp; " " &amp; OFFSET(Language!$A68,PRJ_StepType-1,0)</f>
        <v>7 мес.</v>
      </c>
      <c r="M34" s="5" t="str">
        <f ca="1">TEXT(M33,"#") &amp; " " &amp; OFFSET(Language!$A68,PRJ_StepType-1,0)</f>
        <v>8 мес.</v>
      </c>
      <c r="N34" s="5" t="str">
        <f ca="1">TEXT(N33,"#") &amp; " " &amp; OFFSET(Language!$A68,PRJ_StepType-1,0)</f>
        <v>9 мес.</v>
      </c>
      <c r="O34" s="5" t="str">
        <f ca="1">TEXT(O33,"#") &amp; " " &amp; OFFSET(Language!$A68,PRJ_StepType-1,0)</f>
        <v>10 мес.</v>
      </c>
      <c r="P34" s="5" t="str">
        <f ca="1">TEXT(P33,"#") &amp; " " &amp; OFFSET(Language!$A68,PRJ_StepType-1,0)</f>
        <v>11 мес.</v>
      </c>
      <c r="Q34" s="5" t="str">
        <f ca="1">TEXT(Q33,"#") &amp; " " &amp; OFFSET(Language!$A68,PRJ_StepType-1,0)</f>
        <v>12 мес.</v>
      </c>
    </row>
    <row r="35" spans="1:19" hidden="1" outlineLevel="2" x14ac:dyDescent="0.2">
      <c r="A35" t="str">
        <f ca="1">Language!A959</f>
        <v>Дата начала периода</v>
      </c>
      <c r="D35" s="16" t="s">
        <v>2154</v>
      </c>
      <c r="F35" s="6">
        <f>DATE(PRJ_StartYear,PRJ_StartMon,1)</f>
        <v>43922</v>
      </c>
      <c r="G35" s="6">
        <f t="shared" ref="G35:Q35" si="1">DATE(YEAR(F35),MONTH(F35)+PRJ_Step/30,1)</f>
        <v>43952</v>
      </c>
      <c r="H35" s="6">
        <f t="shared" si="1"/>
        <v>43983</v>
      </c>
      <c r="I35" s="6">
        <f t="shared" si="1"/>
        <v>44013</v>
      </c>
      <c r="J35" s="6">
        <f t="shared" si="1"/>
        <v>44044</v>
      </c>
      <c r="K35" s="6">
        <f t="shared" si="1"/>
        <v>44075</v>
      </c>
      <c r="L35" s="6">
        <f t="shared" si="1"/>
        <v>44105</v>
      </c>
      <c r="M35" s="6">
        <f t="shared" si="1"/>
        <v>44136</v>
      </c>
      <c r="N35" s="6">
        <f t="shared" si="1"/>
        <v>44166</v>
      </c>
      <c r="O35" s="6">
        <f t="shared" si="1"/>
        <v>44197</v>
      </c>
      <c r="P35" s="6">
        <f t="shared" si="1"/>
        <v>44228</v>
      </c>
      <c r="Q35" s="6">
        <f t="shared" si="1"/>
        <v>44256</v>
      </c>
    </row>
    <row r="36" spans="1:19" hidden="1" outlineLevel="2" x14ac:dyDescent="0.2">
      <c r="A36" t="str">
        <f ca="1">Language!A960</f>
        <v>Наименования периодов с учетом дат</v>
      </c>
      <c r="D36" s="16" t="s">
        <v>2154</v>
      </c>
      <c r="F36" s="5" t="str">
        <f>CHOOSE(PRJ_StepType,MONTH(F35) &amp; "/",ROUNDUP(MONTH(F35)/3,0) &amp; " " &amp; Language!$A69,ROUNDUP(MONTH(F35)/6,0) &amp; "/","") &amp; " " &amp; YEAR(F35)</f>
        <v>4/ 2020</v>
      </c>
      <c r="G36" s="5" t="str">
        <f>CHOOSE(PRJ_StepType,MONTH(G35) &amp; "/",ROUNDUP(MONTH(G35)/3,0) &amp; " " &amp; Language!$A69,ROUNDUP(MONTH(G35)/6,0) &amp; "/","") &amp; " " &amp; YEAR(G35)</f>
        <v>5/ 2020</v>
      </c>
      <c r="H36" s="5" t="str">
        <f>CHOOSE(PRJ_StepType,MONTH(H35) &amp; "/",ROUNDUP(MONTH(H35)/3,0) &amp; " " &amp; Language!$A69,ROUNDUP(MONTH(H35)/6,0) &amp; "/","") &amp; " " &amp; YEAR(H35)</f>
        <v>6/ 2020</v>
      </c>
      <c r="I36" s="5" t="str">
        <f>CHOOSE(PRJ_StepType,MONTH(I35) &amp; "/",ROUNDUP(MONTH(I35)/3,0) &amp; " " &amp; Language!$A69,ROUNDUP(MONTH(I35)/6,0) &amp; "/","") &amp; " " &amp; YEAR(I35)</f>
        <v>7/ 2020</v>
      </c>
      <c r="J36" s="5" t="str">
        <f>CHOOSE(PRJ_StepType,MONTH(J35) &amp; "/",ROUNDUP(MONTH(J35)/3,0) &amp; " " &amp; Language!$A69,ROUNDUP(MONTH(J35)/6,0) &amp; "/","") &amp; " " &amp; YEAR(J35)</f>
        <v>8/ 2020</v>
      </c>
      <c r="K36" s="5" t="str">
        <f>CHOOSE(PRJ_StepType,MONTH(K35) &amp; "/",ROUNDUP(MONTH(K35)/3,0) &amp; " " &amp; Language!$A69,ROUNDUP(MONTH(K35)/6,0) &amp; "/","") &amp; " " &amp; YEAR(K35)</f>
        <v>9/ 2020</v>
      </c>
      <c r="L36" s="5" t="str">
        <f>CHOOSE(PRJ_StepType,MONTH(L35) &amp; "/",ROUNDUP(MONTH(L35)/3,0) &amp; " " &amp; Language!$A69,ROUNDUP(MONTH(L35)/6,0) &amp; "/","") &amp; " " &amp; YEAR(L35)</f>
        <v>10/ 2020</v>
      </c>
      <c r="M36" s="5" t="str">
        <f>CHOOSE(PRJ_StepType,MONTH(M35) &amp; "/",ROUNDUP(MONTH(M35)/3,0) &amp; " " &amp; Language!$A69,ROUNDUP(MONTH(M35)/6,0) &amp; "/","") &amp; " " &amp; YEAR(M35)</f>
        <v>11/ 2020</v>
      </c>
      <c r="N36" s="5" t="str">
        <f>CHOOSE(PRJ_StepType,MONTH(N35) &amp; "/",ROUNDUP(MONTH(N35)/3,0) &amp; " " &amp; Language!$A69,ROUNDUP(MONTH(N35)/6,0) &amp; "/","") &amp; " " &amp; YEAR(N35)</f>
        <v>12/ 2020</v>
      </c>
      <c r="O36" s="5" t="str">
        <f>CHOOSE(PRJ_StepType,MONTH(O35) &amp; "/",ROUNDUP(MONTH(O35)/3,0) &amp; " " &amp; Language!$A69,ROUNDUP(MONTH(O35)/6,0) &amp; "/","") &amp; " " &amp; YEAR(O35)</f>
        <v>1/ 2021</v>
      </c>
      <c r="P36" s="5" t="str">
        <f>CHOOSE(PRJ_StepType,MONTH(P35) &amp; "/",ROUNDUP(MONTH(P35)/3,0) &amp; " " &amp; Language!$A69,ROUNDUP(MONTH(P35)/6,0) &amp; "/","") &amp; " " &amp; YEAR(P35)</f>
        <v>2/ 2021</v>
      </c>
      <c r="Q36" s="5" t="str">
        <f>CHOOSE(PRJ_StepType,MONTH(Q35) &amp; "/",ROUNDUP(MONTH(Q35)/3,0) &amp; " " &amp; Language!$A69,ROUNDUP(MONTH(Q35)/6,0) &amp; "/","") &amp; " " &amp; YEAR(Q35)</f>
        <v>3/ 2021</v>
      </c>
    </row>
    <row r="37" spans="1:19" outlineLevel="1" x14ac:dyDescent="0.2"/>
    <row r="38" spans="1:19" outlineLevel="1" x14ac:dyDescent="0.2"/>
    <row r="39" spans="1:19" s="4" customFormat="1" ht="16" customHeight="1" thickBot="1" x14ac:dyDescent="0.25">
      <c r="A39" s="166" t="str">
        <f ca="1">Language!A961</f>
        <v xml:space="preserve">         ПЕРЕСЧЕТ НАЛОГА НА ПРИБЫЛЬ</v>
      </c>
      <c r="B39" s="166"/>
      <c r="C39" s="166"/>
      <c r="D39" s="166"/>
      <c r="E39" s="166"/>
      <c r="F39" s="178" t="str">
        <f>IF(Проект!ShowRealDates,F36,F34)</f>
        <v>4/ 2020</v>
      </c>
      <c r="G39" s="178" t="str">
        <f>IF(Проект!ShowRealDates,G36,G34)</f>
        <v>5/ 2020</v>
      </c>
      <c r="H39" s="178" t="str">
        <f>IF(Проект!ShowRealDates,H36,H34)</f>
        <v>6/ 2020</v>
      </c>
      <c r="I39" s="178" t="str">
        <f>IF(Проект!ShowRealDates,I36,I34)</f>
        <v>7/ 2020</v>
      </c>
      <c r="J39" s="178" t="str">
        <f>IF(Проект!ShowRealDates,J36,J34)</f>
        <v>8/ 2020</v>
      </c>
      <c r="K39" s="178" t="str">
        <f>IF(Проект!ShowRealDates,K36,K34)</f>
        <v>9/ 2020</v>
      </c>
      <c r="L39" s="178" t="str">
        <f>IF(Проект!ShowRealDates,L36,L34)</f>
        <v>10/ 2020</v>
      </c>
      <c r="M39" s="178" t="str">
        <f>IF(Проект!ShowRealDates,M36,M34)</f>
        <v>11/ 2020</v>
      </c>
      <c r="N39" s="178" t="str">
        <f>IF(Проект!ShowRealDates,N36,N34)</f>
        <v>12/ 2020</v>
      </c>
      <c r="O39" s="178" t="str">
        <f>IF(Проект!ShowRealDates,O36,O34)</f>
        <v>1/ 2021</v>
      </c>
      <c r="P39" s="178" t="str">
        <f>IF(Проект!ShowRealDates,P36,P34)</f>
        <v>2/ 2021</v>
      </c>
      <c r="Q39" s="178" t="str">
        <f>IF(Проект!ShowRealDates,Q36,Q34)</f>
        <v>3/ 2021</v>
      </c>
      <c r="R39" s="167"/>
      <c r="S39" s="195" t="str">
        <f ca="1">Language!A$371</f>
        <v>ИТОГО</v>
      </c>
    </row>
    <row r="40" spans="1:19" ht="10.5" outlineLevel="1" thickTop="1" x14ac:dyDescent="0.2"/>
    <row r="41" spans="1:19" outlineLevel="1" x14ac:dyDescent="0.2">
      <c r="A41" t="str">
        <f ca="1">Language!A966</f>
        <v>Налог на прибыль по консолидированной отчетности</v>
      </c>
      <c r="B41" s="255">
        <v>1</v>
      </c>
      <c r="C41" s="198" t="str">
        <f ca="1">CHOOSE(B41,Language!A$962,Language!A$963)</f>
        <v>Пересчитать налог</v>
      </c>
    </row>
    <row r="42" spans="1:19" outlineLevel="1" x14ac:dyDescent="0.2">
      <c r="A42" t="str">
        <f ca="1">Language!A967</f>
        <v>Ставка налога на прибыль</v>
      </c>
      <c r="B42" s="273">
        <f>Проект!ProfitTax</f>
        <v>0</v>
      </c>
      <c r="C42" s="198"/>
    </row>
    <row r="43" spans="1:19" outlineLevel="1" x14ac:dyDescent="0.2"/>
    <row r="44" spans="1:19" ht="10.5" outlineLevel="1" collapsed="1" x14ac:dyDescent="0.25">
      <c r="A44" s="179" t="str">
        <f ca="1">Language!A186</f>
        <v>Начисленный налог на прибыль</v>
      </c>
      <c r="C44" s="26" t="str">
        <f t="shared" ref="C44:C59" ca="1" si="2">CUR_Report</f>
        <v>руб.</v>
      </c>
      <c r="D44" s="205" t="s">
        <v>2210</v>
      </c>
      <c r="E44">
        <v>8</v>
      </c>
      <c r="F44" s="58">
        <f ca="1">IF($B41=2,SUMPRODUCT($B12:OFFSET($B13,-1,0),F45:OFFSET(F46,-1,0)),F58*$B42)</f>
        <v>0</v>
      </c>
      <c r="G44" s="58">
        <f ca="1">IF($B41=2,SUMPRODUCT($B12:OFFSET($B13,-1,0),G45:OFFSET(G46,-1,0)),G58*$B42)</f>
        <v>0</v>
      </c>
      <c r="H44" s="58">
        <f ca="1">IF($B41=2,SUMPRODUCT($B12:OFFSET($B13,-1,0),H45:OFFSET(H46,-1,0)),H58*$B42)</f>
        <v>0</v>
      </c>
      <c r="I44" s="58">
        <f ca="1">IF($B41=2,SUMPRODUCT($B12:OFFSET($B13,-1,0),I45:OFFSET(I46,-1,0)),I58*$B42)</f>
        <v>0</v>
      </c>
      <c r="J44" s="58">
        <f ca="1">IF($B41=2,SUMPRODUCT($B12:OFFSET($B13,-1,0),J45:OFFSET(J46,-1,0)),J58*$B42)</f>
        <v>0</v>
      </c>
      <c r="K44" s="58">
        <f ca="1">IF($B41=2,SUMPRODUCT($B12:OFFSET($B13,-1,0),K45:OFFSET(K46,-1,0)),K58*$B42)</f>
        <v>0</v>
      </c>
      <c r="L44" s="58">
        <f ca="1">IF($B41=2,SUMPRODUCT($B12:OFFSET($B13,-1,0),L45:OFFSET(L46,-1,0)),L58*$B42)</f>
        <v>0</v>
      </c>
      <c r="M44" s="58">
        <f ca="1">IF($B41=2,SUMPRODUCT($B12:OFFSET($B13,-1,0),M45:OFFSET(M46,-1,0)),M58*$B42)</f>
        <v>0</v>
      </c>
      <c r="N44" s="58">
        <f ca="1">IF($B41=2,SUMPRODUCT($B12:OFFSET($B13,-1,0),N45:OFFSET(N46,-1,0)),N58*$B42)</f>
        <v>0</v>
      </c>
      <c r="O44" s="58">
        <f ca="1">IF($B41=2,SUMPRODUCT($B12:OFFSET($B13,-1,0),O45:OFFSET(O46,-1,0)),O58*$B42)</f>
        <v>0</v>
      </c>
      <c r="P44" s="58">
        <f ca="1">IF($B41=2,SUMPRODUCT($B12:OFFSET($B13,-1,0),P45:OFFSET(P46,-1,0)),P58*$B42)</f>
        <v>0</v>
      </c>
      <c r="Q44" s="58">
        <f ca="1">IF($B41=2,SUMPRODUCT($B12:OFFSET($B13,-1,0),Q45:OFFSET(Q46,-1,0)),Q58*$B42)</f>
        <v>0</v>
      </c>
      <c r="R44" s="35"/>
      <c r="S44" s="57">
        <f t="shared" ref="S44:S51" ca="1" si="3">SUM(F44:Q44)</f>
        <v>0</v>
      </c>
    </row>
    <row r="45" spans="1:19" s="11" customFormat="1" hidden="1" outlineLevel="2" x14ac:dyDescent="0.2">
      <c r="A45" s="11" t="str">
        <f>"        " &amp; A12</f>
        <v xml:space="preserve">        Наименование проекта</v>
      </c>
      <c r="C45" s="199" t="str">
        <f t="shared" ca="1" si="2"/>
        <v>руб.</v>
      </c>
      <c r="D45" s="11" t="str">
        <f>"[" &amp; F12 &amp; "];int_sum"</f>
        <v>[Проект];int_sum</v>
      </c>
      <c r="F45" s="54">
        <f ca="1">IF(OR(F$33&lt;$B28,F$33&gt;$C28),0,OFFSET(Проект!F$174,0,1-$B28))</f>
        <v>0</v>
      </c>
      <c r="G45" s="54">
        <f ca="1">IF(OR(G$33&lt;$B28,G$33&gt;$C28),0,OFFSET(Проект!G$174,0,1-$B28))</f>
        <v>0</v>
      </c>
      <c r="H45" s="54">
        <f ca="1">IF(OR(H$33&lt;$B28,H$33&gt;$C28),0,OFFSET(Проект!H$174,0,1-$B28))</f>
        <v>0</v>
      </c>
      <c r="I45" s="54">
        <f ca="1">IF(OR(I$33&lt;$B28,I$33&gt;$C28),0,OFFSET(Проект!I$174,0,1-$B28))</f>
        <v>0</v>
      </c>
      <c r="J45" s="54">
        <f ca="1">IF(OR(J$33&lt;$B28,J$33&gt;$C28),0,OFFSET(Проект!J$174,0,1-$B28))</f>
        <v>0</v>
      </c>
      <c r="K45" s="54">
        <f ca="1">IF(OR(K$33&lt;$B28,K$33&gt;$C28),0,OFFSET(Проект!K$174,0,1-$B28))</f>
        <v>0</v>
      </c>
      <c r="L45" s="54">
        <f ca="1">IF(OR(L$33&lt;$B28,L$33&gt;$C28),0,OFFSET(Проект!L$174,0,1-$B28))</f>
        <v>0</v>
      </c>
      <c r="M45" s="54">
        <f ca="1">IF(OR(M$33&lt;$B28,M$33&gt;$C28),0,OFFSET(Проект!M$174,0,1-$B28))</f>
        <v>0</v>
      </c>
      <c r="N45" s="54">
        <f ca="1">IF(OR(N$33&lt;$B28,N$33&gt;$C28),0,OFFSET(Проект!N$174,0,1-$B28))</f>
        <v>0</v>
      </c>
      <c r="O45" s="54">
        <f ca="1">IF(OR(O$33&lt;$B28,O$33&gt;$C28),0,OFFSET(Проект!O$174,0,1-$B28))</f>
        <v>0</v>
      </c>
      <c r="P45" s="54">
        <f ca="1">IF(OR(P$33&lt;$B28,P$33&gt;$C28),0,OFFSET(Проект!P$174,0,1-$B28))</f>
        <v>0</v>
      </c>
      <c r="Q45" s="54">
        <f ca="1">IF(OR(Q$33&lt;$B28,Q$33&gt;$C28),0,OFFSET(Проект!Q$174,0,1-$B28))</f>
        <v>0</v>
      </c>
      <c r="S45" s="203">
        <f t="shared" ca="1" si="3"/>
        <v>0</v>
      </c>
    </row>
    <row r="46" spans="1:19" outlineLevel="1" collapsed="1" x14ac:dyDescent="0.2">
      <c r="A46" s="180" t="str">
        <f ca="1">Language!A188</f>
        <v xml:space="preserve">    прибыль до налогообложения</v>
      </c>
      <c r="C46" s="26" t="str">
        <f t="shared" ca="1" si="2"/>
        <v>руб.</v>
      </c>
      <c r="D46" s="205" t="s">
        <v>2210</v>
      </c>
      <c r="F46" s="43">
        <f ca="1">SUMPRODUCT($B12:OFFSET($B13,-1,0),F47:OFFSET(F48,-1,0))</f>
        <v>-3007443.6844783714</v>
      </c>
      <c r="G46" s="43">
        <f ca="1">SUMPRODUCT($B12:OFFSET($B13,-1,0),G47:OFFSET(G48,-1,0))</f>
        <v>-2649952.9535589088</v>
      </c>
      <c r="H46" s="43">
        <f ca="1">SUMPRODUCT($B12:OFFSET($B13,-1,0),H47:OFFSET(H48,-1,0))</f>
        <v>-2557576.8292993959</v>
      </c>
      <c r="I46" s="43">
        <f ca="1">SUMPRODUCT($B12:OFFSET($B13,-1,0),I47:OFFSET(I48,-1,0))</f>
        <v>-2048018.3376510644</v>
      </c>
      <c r="J46" s="43">
        <f ca="1">SUMPRODUCT($B12:OFFSET($B13,-1,0),J47:OFFSET(J48,-1,0))</f>
        <v>-1391518.8539035725</v>
      </c>
      <c r="K46" s="43">
        <f ca="1">SUMPRODUCT($B12:OFFSET($B13,-1,0),K47:OFFSET(K48,-1,0))</f>
        <v>-35447.353452761949</v>
      </c>
      <c r="L46" s="43">
        <f ca="1">SUMPRODUCT($B12:OFFSET($B13,-1,0),L47:OFFSET(L48,-1,0))</f>
        <v>1341203.547974088</v>
      </c>
      <c r="M46" s="43">
        <f ca="1">SUMPRODUCT($B12:OFFSET($B13,-1,0),M47:OFFSET(M48,-1,0))</f>
        <v>2742377.2904287493</v>
      </c>
      <c r="N46" s="43">
        <f ca="1">SUMPRODUCT($B12:OFFSET($B13,-1,0),N47:OFFSET(N48,-1,0))</f>
        <v>4856842.029895097</v>
      </c>
      <c r="O46" s="43">
        <f ca="1">SUMPRODUCT($B12:OFFSET($B13,-1,0),O47:OFFSET(O48,-1,0))</f>
        <v>7637241.84375</v>
      </c>
      <c r="P46" s="43">
        <f ca="1">SUMPRODUCT($B12:OFFSET($B13,-1,0),P47:OFFSET(P48,-1,0))</f>
        <v>9675842.2125000004</v>
      </c>
      <c r="Q46" s="43">
        <f ca="1">SUMPRODUCT($B12:OFFSET($B13,-1,0),Q47:OFFSET(Q48,-1,0))</f>
        <v>11034909.125</v>
      </c>
      <c r="S46" s="203">
        <f t="shared" ca="1" si="3"/>
        <v>25598458.03720386</v>
      </c>
    </row>
    <row r="47" spans="1:19" s="11" customFormat="1" hidden="1" outlineLevel="2" x14ac:dyDescent="0.2">
      <c r="A47" s="11" t="str">
        <f>"        " &amp; A12</f>
        <v xml:space="preserve">        Наименование проекта</v>
      </c>
      <c r="C47" s="199" t="str">
        <f t="shared" ca="1" si="2"/>
        <v>руб.</v>
      </c>
      <c r="D47" s="11" t="str">
        <f>"[" &amp; F12 &amp; "];int_sum"</f>
        <v>[Проект];int_sum</v>
      </c>
      <c r="F47" s="54">
        <f ca="1">IF(OR(F$33&lt;$B28,F$33&gt;$C28),0,OFFSET(Проект!F$176,0,1-$B28))</f>
        <v>-3007443.6844783714</v>
      </c>
      <c r="G47" s="54">
        <f ca="1">IF(OR(G$33&lt;$B28,G$33&gt;$C28),0,OFFSET(Проект!G$176,0,1-$B28))</f>
        <v>-2649952.9535589088</v>
      </c>
      <c r="H47" s="54">
        <f ca="1">IF(OR(H$33&lt;$B28,H$33&gt;$C28),0,OFFSET(Проект!H$176,0,1-$B28))</f>
        <v>-2557576.8292993959</v>
      </c>
      <c r="I47" s="54">
        <f ca="1">IF(OR(I$33&lt;$B28,I$33&gt;$C28),0,OFFSET(Проект!I$176,0,1-$B28))</f>
        <v>-2048018.3376510644</v>
      </c>
      <c r="J47" s="54">
        <f ca="1">IF(OR(J$33&lt;$B28,J$33&gt;$C28),0,OFFSET(Проект!J$176,0,1-$B28))</f>
        <v>-1391518.8539035725</v>
      </c>
      <c r="K47" s="54">
        <f ca="1">IF(OR(K$33&lt;$B28,K$33&gt;$C28),0,OFFSET(Проект!K$176,0,1-$B28))</f>
        <v>-35447.353452761949</v>
      </c>
      <c r="L47" s="54">
        <f ca="1">IF(OR(L$33&lt;$B28,L$33&gt;$C28),0,OFFSET(Проект!L$176,0,1-$B28))</f>
        <v>1341203.547974088</v>
      </c>
      <c r="M47" s="54">
        <f ca="1">IF(OR(M$33&lt;$B28,M$33&gt;$C28),0,OFFSET(Проект!M$176,0,1-$B28))</f>
        <v>2742377.2904287493</v>
      </c>
      <c r="N47" s="54">
        <f ca="1">IF(OR(N$33&lt;$B28,N$33&gt;$C28),0,OFFSET(Проект!N$176,0,1-$B28))</f>
        <v>4856842.029895097</v>
      </c>
      <c r="O47" s="54">
        <f ca="1">IF(OR(O$33&lt;$B28,O$33&gt;$C28),0,OFFSET(Проект!O$176,0,1-$B28))</f>
        <v>7637241.84375</v>
      </c>
      <c r="P47" s="54">
        <f ca="1">IF(OR(P$33&lt;$B28,P$33&gt;$C28),0,OFFSET(Проект!P$176,0,1-$B28))</f>
        <v>9675842.2125000004</v>
      </c>
      <c r="Q47" s="54">
        <f ca="1">IF(OR(Q$33&lt;$B28,Q$33&gt;$C28),0,OFFSET(Проект!Q$176,0,1-$B28))</f>
        <v>11034909.125</v>
      </c>
      <c r="S47" s="203">
        <f t="shared" ca="1" si="3"/>
        <v>25598458.03720386</v>
      </c>
    </row>
    <row r="48" spans="1:19" outlineLevel="1" collapsed="1" x14ac:dyDescent="0.2">
      <c r="A48" s="180" t="str">
        <f ca="1">Language!A189</f>
        <v xml:space="preserve">    проценты по кредиту, выплачиваемые из прибыли</v>
      </c>
      <c r="C48" s="26" t="str">
        <f t="shared" ca="1" si="2"/>
        <v>руб.</v>
      </c>
      <c r="D48" s="205" t="s">
        <v>2210</v>
      </c>
      <c r="F48" s="43">
        <f ca="1">SUMPRODUCT($B12:OFFSET($B13,-1,0),F49:OFFSET(F50,-1,0))</f>
        <v>0</v>
      </c>
      <c r="G48" s="43">
        <f ca="1">SUMPRODUCT($B12:OFFSET($B13,-1,0),G49:OFFSET(G50,-1,0))</f>
        <v>0</v>
      </c>
      <c r="H48" s="43">
        <f ca="1">SUMPRODUCT($B12:OFFSET($B13,-1,0),H49:OFFSET(H50,-1,0))</f>
        <v>0</v>
      </c>
      <c r="I48" s="43">
        <f ca="1">SUMPRODUCT($B12:OFFSET($B13,-1,0),I49:OFFSET(I50,-1,0))</f>
        <v>0</v>
      </c>
      <c r="J48" s="43">
        <f ca="1">SUMPRODUCT($B12:OFFSET($B13,-1,0),J49:OFFSET(J50,-1,0))</f>
        <v>0</v>
      </c>
      <c r="K48" s="43">
        <f ca="1">SUMPRODUCT($B12:OFFSET($B13,-1,0),K49:OFFSET(K50,-1,0))</f>
        <v>0</v>
      </c>
      <c r="L48" s="43">
        <f ca="1">SUMPRODUCT($B12:OFFSET($B13,-1,0),L49:OFFSET(L50,-1,0))</f>
        <v>29181.259256576224</v>
      </c>
      <c r="M48" s="43">
        <f ca="1">SUMPRODUCT($B12:OFFSET($B13,-1,0),M49:OFFSET(M50,-1,0))</f>
        <v>22363.962978202348</v>
      </c>
      <c r="N48" s="43">
        <f ca="1">SUMPRODUCT($B12:OFFSET($B13,-1,0),N49:OFFSET(N50,-1,0))</f>
        <v>10081.160100317769</v>
      </c>
      <c r="O48" s="43">
        <f ca="1">SUMPRODUCT($B12:OFFSET($B13,-1,0),O49:OFFSET(O50,-1,0))</f>
        <v>0</v>
      </c>
      <c r="P48" s="43">
        <f ca="1">SUMPRODUCT($B12:OFFSET($B13,-1,0),P49:OFFSET(P50,-1,0))</f>
        <v>0</v>
      </c>
      <c r="Q48" s="43">
        <f ca="1">SUMPRODUCT($B12:OFFSET($B13,-1,0),Q49:OFFSET(Q50,-1,0))</f>
        <v>0</v>
      </c>
      <c r="S48" s="203">
        <f t="shared" ca="1" si="3"/>
        <v>61626.382335096343</v>
      </c>
    </row>
    <row r="49" spans="1:19" s="11" customFormat="1" hidden="1" outlineLevel="2" x14ac:dyDescent="0.2">
      <c r="A49" s="11" t="str">
        <f>"        " &amp; A12</f>
        <v xml:space="preserve">        Наименование проекта</v>
      </c>
      <c r="C49" s="199" t="str">
        <f t="shared" ca="1" si="2"/>
        <v>руб.</v>
      </c>
      <c r="D49" s="11" t="str">
        <f>"[" &amp; F12 &amp; "];int_sum"</f>
        <v>[Проект];int_sum</v>
      </c>
      <c r="F49" s="54">
        <f ca="1">IF(OR(F$33&lt;$B28,F$33&gt;$C28),0,OFFSET(Проект!F$178,0,1-$B28))</f>
        <v>0</v>
      </c>
      <c r="G49" s="54">
        <f ca="1">IF(OR(G$33&lt;$B28,G$33&gt;$C28),0,OFFSET(Проект!G$178,0,1-$B28))</f>
        <v>0</v>
      </c>
      <c r="H49" s="54">
        <f ca="1">IF(OR(H$33&lt;$B28,H$33&gt;$C28),0,OFFSET(Проект!H$178,0,1-$B28))</f>
        <v>0</v>
      </c>
      <c r="I49" s="54">
        <f ca="1">IF(OR(I$33&lt;$B28,I$33&gt;$C28),0,OFFSET(Проект!I$178,0,1-$B28))</f>
        <v>0</v>
      </c>
      <c r="J49" s="54">
        <f ca="1">IF(OR(J$33&lt;$B28,J$33&gt;$C28),0,OFFSET(Проект!J$178,0,1-$B28))</f>
        <v>0</v>
      </c>
      <c r="K49" s="54">
        <f ca="1">IF(OR(K$33&lt;$B28,K$33&gt;$C28),0,OFFSET(Проект!K$178,0,1-$B28))</f>
        <v>0</v>
      </c>
      <c r="L49" s="54">
        <f ca="1">IF(OR(L$33&lt;$B28,L$33&gt;$C28),0,OFFSET(Проект!L$178,0,1-$B28))</f>
        <v>29181.259256576224</v>
      </c>
      <c r="M49" s="54">
        <f ca="1">IF(OR(M$33&lt;$B28,M$33&gt;$C28),0,OFFSET(Проект!M$178,0,1-$B28))</f>
        <v>22363.962978202348</v>
      </c>
      <c r="N49" s="54">
        <f ca="1">IF(OR(N$33&lt;$B28,N$33&gt;$C28),0,OFFSET(Проект!N$178,0,1-$B28))</f>
        <v>10081.160100317769</v>
      </c>
      <c r="O49" s="54">
        <f ca="1">IF(OR(O$33&lt;$B28,O$33&gt;$C28),0,OFFSET(Проект!O$178,0,1-$B28))</f>
        <v>0</v>
      </c>
      <c r="P49" s="54">
        <f ca="1">IF(OR(P$33&lt;$B28,P$33&gt;$C28),0,OFFSET(Проект!P$178,0,1-$B28))</f>
        <v>0</v>
      </c>
      <c r="Q49" s="54">
        <f ca="1">IF(OR(Q$33&lt;$B28,Q$33&gt;$C28),0,OFFSET(Проект!Q$178,0,1-$B28))</f>
        <v>0</v>
      </c>
      <c r="S49" s="203">
        <f t="shared" ca="1" si="3"/>
        <v>61626.382335096343</v>
      </c>
    </row>
    <row r="50" spans="1:19" outlineLevel="1" collapsed="1" x14ac:dyDescent="0.2">
      <c r="A50" s="180" t="str">
        <f ca="1">Language!A190</f>
        <v xml:space="preserve">    льготы по налогу на прибыль</v>
      </c>
      <c r="C50" s="26" t="str">
        <f t="shared" ca="1" si="2"/>
        <v>руб.</v>
      </c>
      <c r="D50" s="205" t="s">
        <v>2210</v>
      </c>
      <c r="F50" s="43">
        <f ca="1">SUMPRODUCT($B12:OFFSET($B13,-1,0),F51:OFFSET(F52,-1,0))</f>
        <v>0</v>
      </c>
      <c r="G50" s="43">
        <f ca="1">SUMPRODUCT($B12:OFFSET($B13,-1,0),G51:OFFSET(G52,-1,0))</f>
        <v>0</v>
      </c>
      <c r="H50" s="43">
        <f ca="1">SUMPRODUCT($B12:OFFSET($B13,-1,0),H51:OFFSET(H52,-1,0))</f>
        <v>0</v>
      </c>
      <c r="I50" s="43">
        <f ca="1">SUMPRODUCT($B12:OFFSET($B13,-1,0),I51:OFFSET(I52,-1,0))</f>
        <v>0</v>
      </c>
      <c r="J50" s="43">
        <f ca="1">SUMPRODUCT($B12:OFFSET($B13,-1,0),J51:OFFSET(J52,-1,0))</f>
        <v>0</v>
      </c>
      <c r="K50" s="43">
        <f ca="1">SUMPRODUCT($B12:OFFSET($B13,-1,0),K51:OFFSET(K52,-1,0))</f>
        <v>0</v>
      </c>
      <c r="L50" s="43">
        <f ca="1">SUMPRODUCT($B12:OFFSET($B13,-1,0),L51:OFFSET(L52,-1,0))</f>
        <v>0</v>
      </c>
      <c r="M50" s="43">
        <f ca="1">SUMPRODUCT($B12:OFFSET($B13,-1,0),M51:OFFSET(M52,-1,0))</f>
        <v>0</v>
      </c>
      <c r="N50" s="43">
        <f ca="1">SUMPRODUCT($B12:OFFSET($B13,-1,0),N51:OFFSET(N52,-1,0))</f>
        <v>0</v>
      </c>
      <c r="O50" s="43">
        <f ca="1">SUMPRODUCT($B12:OFFSET($B13,-1,0),O51:OFFSET(O52,-1,0))</f>
        <v>0</v>
      </c>
      <c r="P50" s="43">
        <f ca="1">SUMPRODUCT($B12:OFFSET($B13,-1,0),P51:OFFSET(P52,-1,0))</f>
        <v>0</v>
      </c>
      <c r="Q50" s="43">
        <f ca="1">SUMPRODUCT($B12:OFFSET($B13,-1,0),Q51:OFFSET(Q52,-1,0))</f>
        <v>0</v>
      </c>
      <c r="S50" s="203">
        <f t="shared" ca="1" si="3"/>
        <v>0</v>
      </c>
    </row>
    <row r="51" spans="1:19" s="11" customFormat="1" hidden="1" outlineLevel="2" x14ac:dyDescent="0.2">
      <c r="A51" s="11" t="str">
        <f>"        " &amp; A12</f>
        <v xml:space="preserve">        Наименование проекта</v>
      </c>
      <c r="C51" s="199" t="str">
        <f t="shared" ca="1" si="2"/>
        <v>руб.</v>
      </c>
      <c r="D51" s="11" t="str">
        <f>"[" &amp; F12 &amp; "];int_sum"</f>
        <v>[Проект];int_sum</v>
      </c>
      <c r="F51" s="54">
        <f ca="1">IF(OR(F$33&lt;$B28,F$33&gt;$C28),0,OFFSET(Проект!F$180,0,1-$B28))</f>
        <v>0</v>
      </c>
      <c r="G51" s="54">
        <f ca="1">IF(OR(G$33&lt;$B28,G$33&gt;$C28),0,OFFSET(Проект!G$180,0,1-$B28))</f>
        <v>0</v>
      </c>
      <c r="H51" s="54">
        <f ca="1">IF(OR(H$33&lt;$B28,H$33&gt;$C28),0,OFFSET(Проект!H$180,0,1-$B28))</f>
        <v>0</v>
      </c>
      <c r="I51" s="54">
        <f ca="1">IF(OR(I$33&lt;$B28,I$33&gt;$C28),0,OFFSET(Проект!I$180,0,1-$B28))</f>
        <v>0</v>
      </c>
      <c r="J51" s="54">
        <f ca="1">IF(OR(J$33&lt;$B28,J$33&gt;$C28),0,OFFSET(Проект!J$180,0,1-$B28))</f>
        <v>0</v>
      </c>
      <c r="K51" s="54">
        <f ca="1">IF(OR(K$33&lt;$B28,K$33&gt;$C28),0,OFFSET(Проект!K$180,0,1-$B28))</f>
        <v>0</v>
      </c>
      <c r="L51" s="54">
        <f ca="1">IF(OR(L$33&lt;$B28,L$33&gt;$C28),0,OFFSET(Проект!L$180,0,1-$B28))</f>
        <v>0</v>
      </c>
      <c r="M51" s="54">
        <f ca="1">IF(OR(M$33&lt;$B28,M$33&gt;$C28),0,OFFSET(Проект!M$180,0,1-$B28))</f>
        <v>0</v>
      </c>
      <c r="N51" s="54">
        <f ca="1">IF(OR(N$33&lt;$B28,N$33&gt;$C28),0,OFFSET(Проект!N$180,0,1-$B28))</f>
        <v>0</v>
      </c>
      <c r="O51" s="54">
        <f ca="1">IF(OR(O$33&lt;$B28,O$33&gt;$C28),0,OFFSET(Проект!O$180,0,1-$B28))</f>
        <v>0</v>
      </c>
      <c r="P51" s="54">
        <f ca="1">IF(OR(P$33&lt;$B28,P$33&gt;$C28),0,OFFSET(Проект!P$180,0,1-$B28))</f>
        <v>0</v>
      </c>
      <c r="Q51" s="54">
        <f ca="1">IF(OR(Q$33&lt;$B28,Q$33&gt;$C28),0,OFFSET(Проект!Q$180,0,1-$B28))</f>
        <v>0</v>
      </c>
      <c r="S51" s="203">
        <f t="shared" ca="1" si="3"/>
        <v>0</v>
      </c>
    </row>
    <row r="52" spans="1:19" outlineLevel="1" collapsed="1" x14ac:dyDescent="0.2">
      <c r="A52" s="180" t="str">
        <f ca="1">Language!A191</f>
        <v xml:space="preserve">    накопленная прибыль/убытки текущего года</v>
      </c>
      <c r="C52" s="26" t="str">
        <f t="shared" ca="1" si="2"/>
        <v>руб.</v>
      </c>
      <c r="D52" s="205" t="s">
        <v>2211</v>
      </c>
      <c r="F52" s="43">
        <f ca="1">SUMPRODUCT($B12:OFFSET($B13,-1,0),F53:OFFSET(F54,-1,0))</f>
        <v>-3007443.6844783714</v>
      </c>
      <c r="G52" s="43">
        <f ca="1">SUMPRODUCT($B12:OFFSET($B13,-1,0),G53:OFFSET(G54,-1,0))</f>
        <v>-5657396.6380372802</v>
      </c>
      <c r="H52" s="43">
        <f ca="1">SUMPRODUCT($B12:OFFSET($B13,-1,0),H53:OFFSET(H54,-1,0))</f>
        <v>-8214973.4673366761</v>
      </c>
      <c r="I52" s="43">
        <f ca="1">SUMPRODUCT($B12:OFFSET($B13,-1,0),I53:OFFSET(I54,-1,0))</f>
        <v>-10262991.80498774</v>
      </c>
      <c r="J52" s="43">
        <f ca="1">SUMPRODUCT($B12:OFFSET($B13,-1,0),J53:OFFSET(J54,-1,0))</f>
        <v>-11654510.658891313</v>
      </c>
      <c r="K52" s="43">
        <f ca="1">SUMPRODUCT($B12:OFFSET($B13,-1,0),K53:OFFSET(K54,-1,0))</f>
        <v>-11689958.012344075</v>
      </c>
      <c r="L52" s="43">
        <f ca="1">SUMPRODUCT($B12:OFFSET($B13,-1,0),L53:OFFSET(L54,-1,0))</f>
        <v>-10319573.205113411</v>
      </c>
      <c r="M52" s="43">
        <f ca="1">SUMPRODUCT($B12:OFFSET($B13,-1,0),M53:OFFSET(M54,-1,0))</f>
        <v>-7554831.9517064597</v>
      </c>
      <c r="N52" s="43">
        <f ca="1">SUMPRODUCT($B12:OFFSET($B13,-1,0),N53:OFFSET(N54,-1,0))</f>
        <v>-2687908.7617110452</v>
      </c>
      <c r="O52" s="43">
        <f ca="1">SUMPRODUCT($B12:OFFSET($B13,-1,0),O53:OFFSET(O54,-1,0))</f>
        <v>7637241.84375</v>
      </c>
      <c r="P52" s="43">
        <f ca="1">SUMPRODUCT($B12:OFFSET($B13,-1,0),P53:OFFSET(P54,-1,0))</f>
        <v>17313084.056249999</v>
      </c>
      <c r="Q52" s="43">
        <f ca="1">SUMPRODUCT($B12:OFFSET($B13,-1,0),Q53:OFFSET(Q54,-1,0))</f>
        <v>28347993.181249999</v>
      </c>
    </row>
    <row r="53" spans="1:19" s="11" customFormat="1" hidden="1" outlineLevel="2" x14ac:dyDescent="0.2">
      <c r="A53" s="11" t="str">
        <f>"        " &amp; A12</f>
        <v xml:space="preserve">        Наименование проекта</v>
      </c>
      <c r="C53" s="199" t="str">
        <f t="shared" ca="1" si="2"/>
        <v>руб.</v>
      </c>
      <c r="D53" s="11" t="str">
        <f>"[" &amp; F12 &amp; "];int_end"</f>
        <v>[Проект];int_end</v>
      </c>
      <c r="F53" s="54">
        <f ca="1">IF(OR(F$33&lt;$B28,F$33&gt;$C28),0,OFFSET(Проект!F$182,0,1-$B28))</f>
        <v>-3007443.6844783714</v>
      </c>
      <c r="G53" s="54">
        <f ca="1">IF(OR(G$33&lt;$B28,G$33&gt;$C28),0,OFFSET(Проект!G$182,0,1-$B28))</f>
        <v>-5657396.6380372802</v>
      </c>
      <c r="H53" s="54">
        <f ca="1">IF(OR(H$33&lt;$B28,H$33&gt;$C28),0,OFFSET(Проект!H$182,0,1-$B28))</f>
        <v>-8214973.4673366761</v>
      </c>
      <c r="I53" s="54">
        <f ca="1">IF(OR(I$33&lt;$B28,I$33&gt;$C28),0,OFFSET(Проект!I$182,0,1-$B28))</f>
        <v>-10262991.80498774</v>
      </c>
      <c r="J53" s="54">
        <f ca="1">IF(OR(J$33&lt;$B28,J$33&gt;$C28),0,OFFSET(Проект!J$182,0,1-$B28))</f>
        <v>-11654510.658891313</v>
      </c>
      <c r="K53" s="54">
        <f ca="1">IF(OR(K$33&lt;$B28,K$33&gt;$C28),0,OFFSET(Проект!K$182,0,1-$B28))</f>
        <v>-11689958.012344075</v>
      </c>
      <c r="L53" s="54">
        <f ca="1">IF(OR(L$33&lt;$B28,L$33&gt;$C28),0,OFFSET(Проект!L$182,0,1-$B28))</f>
        <v>-10319573.205113411</v>
      </c>
      <c r="M53" s="54">
        <f ca="1">IF(OR(M$33&lt;$B28,M$33&gt;$C28),0,OFFSET(Проект!M$182,0,1-$B28))</f>
        <v>-7554831.9517064597</v>
      </c>
      <c r="N53" s="54">
        <f ca="1">IF(OR(N$33&lt;$B28,N$33&gt;$C28),0,OFFSET(Проект!N$182,0,1-$B28))</f>
        <v>-2687908.7617110452</v>
      </c>
      <c r="O53" s="54">
        <f ca="1">IF(OR(O$33&lt;$B28,O$33&gt;$C28),0,OFFSET(Проект!O$182,0,1-$B28))</f>
        <v>7637241.84375</v>
      </c>
      <c r="P53" s="54">
        <f ca="1">IF(OR(P$33&lt;$B28,P$33&gt;$C28),0,OFFSET(Проект!P$182,0,1-$B28))</f>
        <v>17313084.056249999</v>
      </c>
      <c r="Q53" s="54">
        <f ca="1">IF(OR(Q$33&lt;$B28,Q$33&gt;$C28),0,OFFSET(Проект!Q$182,0,1-$B28))</f>
        <v>28347993.181249999</v>
      </c>
      <c r="S53" s="181"/>
    </row>
    <row r="54" spans="1:19" outlineLevel="1" collapsed="1" x14ac:dyDescent="0.2">
      <c r="A54" s="180" t="str">
        <f ca="1">Language!A192</f>
        <v xml:space="preserve">    убытки предыдущих периодов</v>
      </c>
      <c r="C54" s="26" t="str">
        <f t="shared" ca="1" si="2"/>
        <v>руб.</v>
      </c>
      <c r="D54" s="205" t="s">
        <v>2211</v>
      </c>
      <c r="F54" s="53">
        <f ca="1">IF($B41=2,SUMPRODUCT($B12:OFFSET($B13,-1,0),F55:OFFSET(F56,-1,0)),MIN(E46,0)+E54-E56)</f>
        <v>0</v>
      </c>
      <c r="G54" s="53">
        <f ca="1">IF($B41=2,SUMPRODUCT($B12:OFFSET($B13,-1,0),G55:OFFSET(G56,-1,0)),MIN(F46,0)+F54-F56)</f>
        <v>-3007443.6844783714</v>
      </c>
      <c r="H54" s="53">
        <f ca="1">IF($B41=2,SUMPRODUCT($B12:OFFSET($B13,-1,0),H55:OFFSET(H56,-1,0)),MIN(G46,0)+G54-G56)</f>
        <v>-5657396.6380372802</v>
      </c>
      <c r="I54" s="53">
        <f ca="1">IF($B41=2,SUMPRODUCT($B12:OFFSET($B13,-1,0),I55:OFFSET(I56,-1,0)),MIN(H46,0)+H54-H56)</f>
        <v>-8214973.4673366761</v>
      </c>
      <c r="J54" s="53">
        <f ca="1">IF($B41=2,SUMPRODUCT($B12:OFFSET($B13,-1,0),J55:OFFSET(J56,-1,0)),MIN(I46,0)+I54-I56)</f>
        <v>-10262991.80498774</v>
      </c>
      <c r="K54" s="53">
        <f ca="1">IF($B41=2,SUMPRODUCT($B12:OFFSET($B13,-1,0),K55:OFFSET(K56,-1,0)),MIN(J46,0)+J54-J56)</f>
        <v>-11654510.658891313</v>
      </c>
      <c r="L54" s="53">
        <f ca="1">IF($B41=2,SUMPRODUCT($B12:OFFSET($B13,-1,0),L55:OFFSET(L56,-1,0)),MIN(K46,0)+K54-K56)</f>
        <v>-11689958.012344075</v>
      </c>
      <c r="M54" s="53">
        <f ca="1">IF($B41=2,SUMPRODUCT($B12:OFFSET($B13,-1,0),M55:OFFSET(M56,-1,0)),MIN(L46,0)+L54-L56)</f>
        <v>-11689958.012344075</v>
      </c>
      <c r="N54" s="53">
        <f ca="1">IF($B41=2,SUMPRODUCT($B12:OFFSET($B13,-1,0),N55:OFFSET(N56,-1,0)),MIN(M46,0)+M54-M56)</f>
        <v>-11689958.012344075</v>
      </c>
      <c r="O54" s="53">
        <f ca="1">IF($B41=2,SUMPRODUCT($B12:OFFSET($B13,-1,0),O55:OFFSET(O56,-1,0)),MIN(N46,0)+N54-N56)</f>
        <v>-11689958.012344075</v>
      </c>
      <c r="P54" s="53">
        <f ca="1">IF($B41=2,SUMPRODUCT($B12:OFFSET($B13,-1,0),P55:OFFSET(P56,-1,0)),MIN(O46,0)+O54-O56)</f>
        <v>-4052716.1685940754</v>
      </c>
      <c r="Q54" s="53">
        <f ca="1">IF($B41=2,SUMPRODUCT($B12:OFFSET($B13,-1,0),Q55:OFFSET(Q56,-1,0)),MIN(P46,0)+P54-P56)</f>
        <v>0</v>
      </c>
    </row>
    <row r="55" spans="1:19" s="11" customFormat="1" hidden="1" outlineLevel="2" x14ac:dyDescent="0.2">
      <c r="A55" s="11" t="str">
        <f>"        " &amp; A12</f>
        <v xml:space="preserve">        Наименование проекта</v>
      </c>
      <c r="C55" s="199" t="str">
        <f t="shared" ca="1" si="2"/>
        <v>руб.</v>
      </c>
      <c r="D55" s="11" t="str">
        <f>"[" &amp; F12 &amp; "];int_end"</f>
        <v>[Проект];int_end</v>
      </c>
      <c r="F55" s="54">
        <f ca="1">IF(OR(F$33&lt;$B28,F$33&gt;$C28),0,OFFSET(Проект!F$184,0,1-$B28))</f>
        <v>0</v>
      </c>
      <c r="G55" s="54">
        <f ca="1">IF(OR(G$33&lt;$B28,G$33&gt;$C28),0,OFFSET(Проект!G$184,0,1-$B28))</f>
        <v>-3007443.6844783714</v>
      </c>
      <c r="H55" s="54">
        <f ca="1">IF(OR(H$33&lt;$B28,H$33&gt;$C28),0,OFFSET(Проект!H$184,0,1-$B28))</f>
        <v>-5657396.6380372802</v>
      </c>
      <c r="I55" s="54">
        <f ca="1">IF(OR(I$33&lt;$B28,I$33&gt;$C28),0,OFFSET(Проект!I$184,0,1-$B28))</f>
        <v>-8214973.4673366761</v>
      </c>
      <c r="J55" s="54">
        <f ca="1">IF(OR(J$33&lt;$B28,J$33&gt;$C28),0,OFFSET(Проект!J$184,0,1-$B28))</f>
        <v>-10262991.80498774</v>
      </c>
      <c r="K55" s="54">
        <f ca="1">IF(OR(K$33&lt;$B28,K$33&gt;$C28),0,OFFSET(Проект!K$184,0,1-$B28))</f>
        <v>-11654510.658891313</v>
      </c>
      <c r="L55" s="54">
        <f ca="1">IF(OR(L$33&lt;$B28,L$33&gt;$C28),0,OFFSET(Проект!L$184,0,1-$B28))</f>
        <v>-11689958.012344075</v>
      </c>
      <c r="M55" s="54">
        <f ca="1">IF(OR(M$33&lt;$B28,M$33&gt;$C28),0,OFFSET(Проект!M$184,0,1-$B28))</f>
        <v>-11689958.012344075</v>
      </c>
      <c r="N55" s="54">
        <f ca="1">IF(OR(N$33&lt;$B28,N$33&gt;$C28),0,OFFSET(Проект!N$184,0,1-$B28))</f>
        <v>-11689958.012344075</v>
      </c>
      <c r="O55" s="54">
        <f ca="1">IF(OR(O$33&lt;$B28,O$33&gt;$C28),0,OFFSET(Проект!O$184,0,1-$B28))</f>
        <v>-11689958.012344075</v>
      </c>
      <c r="P55" s="54">
        <f ca="1">IF(OR(P$33&lt;$B28,P$33&gt;$C28),0,OFFSET(Проект!P$184,0,1-$B28))</f>
        <v>-4052716.1685940754</v>
      </c>
      <c r="Q55" s="54">
        <f ca="1">IF(OR(Q$33&lt;$B28,Q$33&gt;$C28),0,OFFSET(Проект!Q$184,0,1-$B28))</f>
        <v>0</v>
      </c>
      <c r="S55" s="181"/>
    </row>
    <row r="56" spans="1:19" outlineLevel="1" collapsed="1" x14ac:dyDescent="0.2">
      <c r="A56" s="180" t="str">
        <f ca="1">Language!A193</f>
        <v xml:space="preserve">    списано убытков предыдущих лет</v>
      </c>
      <c r="C56" s="26" t="str">
        <f t="shared" ca="1" si="2"/>
        <v>руб.</v>
      </c>
      <c r="D56" s="205" t="s">
        <v>2210</v>
      </c>
      <c r="F56" s="53">
        <f ca="1">IF($B41=2,SUMPRODUCT($B12:OFFSET($B13,-1,0),F57:OFFSET(F58,-1,0)),-IF(MIN(F46+F48-F50,F52)&gt;0,MIN(-F54,F46+F48-F50),0))</f>
        <v>0</v>
      </c>
      <c r="G56" s="53">
        <f ca="1">IF($B41=2,SUMPRODUCT($B12:OFFSET($B13,-1,0),G57:OFFSET(G58,-1,0)),-IF(MIN(G46+G48-G50,G52)&gt;0,MIN(-G54,G46+G48-G50),0))</f>
        <v>0</v>
      </c>
      <c r="H56" s="53">
        <f ca="1">IF($B41=2,SUMPRODUCT($B12:OFFSET($B13,-1,0),H57:OFFSET(H58,-1,0)),-IF(MIN(H46+H48-H50,H52)&gt;0,MIN(-H54,H46+H48-H50),0))</f>
        <v>0</v>
      </c>
      <c r="I56" s="53">
        <f ca="1">IF($B41=2,SUMPRODUCT($B12:OFFSET($B13,-1,0),I57:OFFSET(I58,-1,0)),-IF(MIN(I46+I48-I50,I52)&gt;0,MIN(-I54,I46+I48-I50),0))</f>
        <v>0</v>
      </c>
      <c r="J56" s="53">
        <f ca="1">IF($B41=2,SUMPRODUCT($B12:OFFSET($B13,-1,0),J57:OFFSET(J58,-1,0)),-IF(MIN(J46+J48-J50,J52)&gt;0,MIN(-J54,J46+J48-J50),0))</f>
        <v>0</v>
      </c>
      <c r="K56" s="53">
        <f ca="1">IF($B41=2,SUMPRODUCT($B12:OFFSET($B13,-1,0),K57:OFFSET(K58,-1,0)),-IF(MIN(K46+K48-K50,K52)&gt;0,MIN(-K54,K46+K48-K50),0))</f>
        <v>0</v>
      </c>
      <c r="L56" s="53">
        <f ca="1">IF($B41=2,SUMPRODUCT($B12:OFFSET($B13,-1,0),L57:OFFSET(L58,-1,0)),-IF(MIN(L46+L48-L50,L52)&gt;0,MIN(-L54,L46+L48-L50),0))</f>
        <v>0</v>
      </c>
      <c r="M56" s="53">
        <f ca="1">IF($B41=2,SUMPRODUCT($B12:OFFSET($B13,-1,0),M57:OFFSET(M58,-1,0)),-IF(MIN(M46+M48-M50,M52)&gt;0,MIN(-M54,M46+M48-M50),0))</f>
        <v>0</v>
      </c>
      <c r="N56" s="53">
        <f ca="1">IF($B41=2,SUMPRODUCT($B12:OFFSET($B13,-1,0),N57:OFFSET(N58,-1,0)),-IF(MIN(N46+N48-N50,N52)&gt;0,MIN(-N54,N46+N48-N50),0))</f>
        <v>0</v>
      </c>
      <c r="O56" s="53">
        <f ca="1">IF($B41=2,SUMPRODUCT($B12:OFFSET($B13,-1,0),O57:OFFSET(O58,-1,0)),-IF(MIN(O46+O48-O50,O52)&gt;0,MIN(-O54,O46+O48-O50),0))</f>
        <v>-7637241.84375</v>
      </c>
      <c r="P56" s="53">
        <f ca="1">IF($B41=2,SUMPRODUCT($B12:OFFSET($B13,-1,0),P57:OFFSET(P58,-1,0)),-IF(MIN(P46+P48-P50,P52)&gt;0,MIN(-P54,P46+P48-P50),0))</f>
        <v>-4052716.1685940754</v>
      </c>
      <c r="Q56" s="53">
        <f ca="1">IF($B41=2,SUMPRODUCT($B12:OFFSET($B13,-1,0),Q57:OFFSET(Q58,-1,0)),-IF(MIN(Q46+Q48-Q50,Q52)&gt;0,MIN(-Q54,Q46+Q48-Q50),0))</f>
        <v>0</v>
      </c>
    </row>
    <row r="57" spans="1:19" s="11" customFormat="1" hidden="1" outlineLevel="2" x14ac:dyDescent="0.2">
      <c r="A57" s="11" t="str">
        <f>"        " &amp; A12</f>
        <v xml:space="preserve">        Наименование проекта</v>
      </c>
      <c r="C57" s="199" t="str">
        <f t="shared" ca="1" si="2"/>
        <v>руб.</v>
      </c>
      <c r="D57" s="11" t="str">
        <f>"[" &amp; F12 &amp; "];int_sum"</f>
        <v>[Проект];int_sum</v>
      </c>
      <c r="F57" s="54">
        <f ca="1">IF(OR(F$33&lt;$B28,F$33&gt;$C28),0,OFFSET(Проект!F$186,0,1-$B28))</f>
        <v>0</v>
      </c>
      <c r="G57" s="54">
        <f ca="1">IF(OR(G$33&lt;$B28,G$33&gt;$C28),0,OFFSET(Проект!G$186,0,1-$B28))</f>
        <v>0</v>
      </c>
      <c r="H57" s="54">
        <f ca="1">IF(OR(H$33&lt;$B28,H$33&gt;$C28),0,OFFSET(Проект!H$186,0,1-$B28))</f>
        <v>0</v>
      </c>
      <c r="I57" s="54">
        <f ca="1">IF(OR(I$33&lt;$B28,I$33&gt;$C28),0,OFFSET(Проект!I$186,0,1-$B28))</f>
        <v>0</v>
      </c>
      <c r="J57" s="54">
        <f ca="1">IF(OR(J$33&lt;$B28,J$33&gt;$C28),0,OFFSET(Проект!J$186,0,1-$B28))</f>
        <v>0</v>
      </c>
      <c r="K57" s="54">
        <f ca="1">IF(OR(K$33&lt;$B28,K$33&gt;$C28),0,OFFSET(Проект!K$186,0,1-$B28))</f>
        <v>0</v>
      </c>
      <c r="L57" s="54">
        <f ca="1">IF(OR(L$33&lt;$B28,L$33&gt;$C28),0,OFFSET(Проект!L$186,0,1-$B28))</f>
        <v>0</v>
      </c>
      <c r="M57" s="54">
        <f ca="1">IF(OR(M$33&lt;$B28,M$33&gt;$C28),0,OFFSET(Проект!M$186,0,1-$B28))</f>
        <v>0</v>
      </c>
      <c r="N57" s="54">
        <f ca="1">IF(OR(N$33&lt;$B28,N$33&gt;$C28),0,OFFSET(Проект!N$186,0,1-$B28))</f>
        <v>0</v>
      </c>
      <c r="O57" s="54">
        <f ca="1">IF(OR(O$33&lt;$B28,O$33&gt;$C28),0,OFFSET(Проект!O$186,0,1-$B28))</f>
        <v>-7637241.84375</v>
      </c>
      <c r="P57" s="54">
        <f ca="1">IF(OR(P$33&lt;$B28,P$33&gt;$C28),0,OFFSET(Проект!P$186,0,1-$B28))</f>
        <v>-4052716.1685940754</v>
      </c>
      <c r="Q57" s="54">
        <f ca="1">IF(OR(Q$33&lt;$B28,Q$33&gt;$C28),0,OFFSET(Проект!Q$186,0,1-$B28))</f>
        <v>0</v>
      </c>
      <c r="S57" s="181"/>
    </row>
    <row r="58" spans="1:19" outlineLevel="1" collapsed="1" x14ac:dyDescent="0.2">
      <c r="A58" s="180" t="str">
        <f ca="1">Language!A194</f>
        <v xml:space="preserve">    прибыль, на которую начисляется налог</v>
      </c>
      <c r="C58" s="26" t="str">
        <f t="shared" ca="1" si="2"/>
        <v>руб.</v>
      </c>
      <c r="D58" s="205" t="s">
        <v>2210</v>
      </c>
      <c r="F58" s="53">
        <f ca="1">IF($B41=2,SUMPRODUCT($B12:OFFSET($B13,-1,0),F59:OFFSET(F60,-1,0)),MAX(IF(F52&gt;0,F46+F48-F50+F56,0),0))</f>
        <v>0</v>
      </c>
      <c r="G58" s="53">
        <f ca="1">IF($B41=2,SUMPRODUCT($B12:OFFSET($B13,-1,0),G59:OFFSET(G60,-1,0)),MAX(IF(G52&gt;0,G46+G48-G50+G56,0),0))</f>
        <v>0</v>
      </c>
      <c r="H58" s="53">
        <f ca="1">IF($B41=2,SUMPRODUCT($B12:OFFSET($B13,-1,0),H59:OFFSET(H60,-1,0)),MAX(IF(H52&gt;0,H46+H48-H50+H56,0),0))</f>
        <v>0</v>
      </c>
      <c r="I58" s="53">
        <f ca="1">IF($B41=2,SUMPRODUCT($B12:OFFSET($B13,-1,0),I59:OFFSET(I60,-1,0)),MAX(IF(I52&gt;0,I46+I48-I50+I56,0),0))</f>
        <v>0</v>
      </c>
      <c r="J58" s="53">
        <f ca="1">IF($B41=2,SUMPRODUCT($B12:OFFSET($B13,-1,0),J59:OFFSET(J60,-1,0)),MAX(IF(J52&gt;0,J46+J48-J50+J56,0),0))</f>
        <v>0</v>
      </c>
      <c r="K58" s="53">
        <f ca="1">IF($B41=2,SUMPRODUCT($B12:OFFSET($B13,-1,0),K59:OFFSET(K60,-1,0)),MAX(IF(K52&gt;0,K46+K48-K50+K56,0),0))</f>
        <v>0</v>
      </c>
      <c r="L58" s="53">
        <f ca="1">IF($B41=2,SUMPRODUCT($B12:OFFSET($B13,-1,0),L59:OFFSET(L60,-1,0)),MAX(IF(L52&gt;0,L46+L48-L50+L56,0),0))</f>
        <v>0</v>
      </c>
      <c r="M58" s="53">
        <f ca="1">IF($B41=2,SUMPRODUCT($B12:OFFSET($B13,-1,0),M59:OFFSET(M60,-1,0)),MAX(IF(M52&gt;0,M46+M48-M50+M56,0),0))</f>
        <v>0</v>
      </c>
      <c r="N58" s="53">
        <f ca="1">IF($B41=2,SUMPRODUCT($B12:OFFSET($B13,-1,0),N59:OFFSET(N60,-1,0)),MAX(IF(N52&gt;0,N46+N48-N50+N56,0),0))</f>
        <v>0</v>
      </c>
      <c r="O58" s="53">
        <f ca="1">IF($B41=2,SUMPRODUCT($B12:OFFSET($B13,-1,0),O59:OFFSET(O60,-1,0)),MAX(IF(O52&gt;0,O46+O48-O50+O56,0),0))</f>
        <v>0</v>
      </c>
      <c r="P58" s="53">
        <f ca="1">IF($B41=2,SUMPRODUCT($B12:OFFSET($B13,-1,0),P59:OFFSET(P60,-1,0)),MAX(IF(P52&gt;0,P46+P48-P50+P56,0),0))</f>
        <v>5623126.043905925</v>
      </c>
      <c r="Q58" s="53">
        <f ca="1">IF($B41=2,SUMPRODUCT($B12:OFFSET($B13,-1,0),Q59:OFFSET(Q60,-1,0)),MAX(IF(Q52&gt;0,Q46+Q48-Q50+Q56,0),0))</f>
        <v>11034909.125</v>
      </c>
    </row>
    <row r="59" spans="1:19" s="11" customFormat="1" hidden="1" outlineLevel="2" x14ac:dyDescent="0.2">
      <c r="A59" s="11" t="str">
        <f>"        " &amp; A12</f>
        <v xml:space="preserve">        Наименование проекта</v>
      </c>
      <c r="C59" s="199" t="str">
        <f t="shared" ca="1" si="2"/>
        <v>руб.</v>
      </c>
      <c r="D59" s="11" t="str">
        <f>"[" &amp; F12 &amp; "];int_sum"</f>
        <v>[Проект];int_sum</v>
      </c>
      <c r="F59" s="54">
        <f ca="1">IF(OR(F$33&lt;$B28,F$33&gt;$C28),0,OFFSET(Проект!F$188,0,1-$B28))</f>
        <v>0</v>
      </c>
      <c r="G59" s="54">
        <f ca="1">IF(OR(G$33&lt;$B28,G$33&gt;$C28),0,OFFSET(Проект!G$188,0,1-$B28))</f>
        <v>0</v>
      </c>
      <c r="H59" s="54">
        <f ca="1">IF(OR(H$33&lt;$B28,H$33&gt;$C28),0,OFFSET(Проект!H$188,0,1-$B28))</f>
        <v>0</v>
      </c>
      <c r="I59" s="54">
        <f ca="1">IF(OR(I$33&lt;$B28,I$33&gt;$C28),0,OFFSET(Проект!I$188,0,1-$B28))</f>
        <v>0</v>
      </c>
      <c r="J59" s="54">
        <f ca="1">IF(OR(J$33&lt;$B28,J$33&gt;$C28),0,OFFSET(Проект!J$188,0,1-$B28))</f>
        <v>0</v>
      </c>
      <c r="K59" s="54">
        <f ca="1">IF(OR(K$33&lt;$B28,K$33&gt;$C28),0,OFFSET(Проект!K$188,0,1-$B28))</f>
        <v>0</v>
      </c>
      <c r="L59" s="54">
        <f ca="1">IF(OR(L$33&lt;$B28,L$33&gt;$C28),0,OFFSET(Проект!L$188,0,1-$B28))</f>
        <v>0</v>
      </c>
      <c r="M59" s="54">
        <f ca="1">IF(OR(M$33&lt;$B28,M$33&gt;$C28),0,OFFSET(Проект!M$188,0,1-$B28))</f>
        <v>0</v>
      </c>
      <c r="N59" s="54">
        <f ca="1">IF(OR(N$33&lt;$B28,N$33&gt;$C28),0,OFFSET(Проект!N$188,0,1-$B28))</f>
        <v>0</v>
      </c>
      <c r="O59" s="54">
        <f ca="1">IF(OR(O$33&lt;$B28,O$33&gt;$C28),0,OFFSET(Проект!O$188,0,1-$B28))</f>
        <v>0</v>
      </c>
      <c r="P59" s="54">
        <f ca="1">IF(OR(P$33&lt;$B28,P$33&gt;$C28),0,OFFSET(Проект!P$188,0,1-$B28))</f>
        <v>5623126.043905925</v>
      </c>
      <c r="Q59" s="54">
        <f ca="1">IF(OR(Q$33&lt;$B28,Q$33&gt;$C28),0,OFFSET(Проект!Q$188,0,1-$B28))</f>
        <v>11034909.125</v>
      </c>
      <c r="S59" s="181"/>
    </row>
    <row r="60" spans="1:19" outlineLevel="1" x14ac:dyDescent="0.2">
      <c r="A60" s="181"/>
    </row>
    <row r="61" spans="1:19" ht="10.5" outlineLevel="1" collapsed="1" x14ac:dyDescent="0.25">
      <c r="A61" s="35" t="str">
        <f ca="1">Language!A1001</f>
        <v>Начисленные налоги специальных режимов обложения</v>
      </c>
      <c r="C61" s="115" t="str">
        <f ca="1">CUR_Report</f>
        <v>руб.</v>
      </c>
      <c r="D61" s="205" t="s">
        <v>2210</v>
      </c>
      <c r="F61" s="58">
        <f ca="1">SUMPRODUCT($B12:OFFSET($B13,-1,0),F62:OFFSET(F63,-1,0))</f>
        <v>0</v>
      </c>
      <c r="G61" s="58">
        <f ca="1">SUMPRODUCT($B12:OFFSET($B13,-1,0),G62:OFFSET(G63,-1,0))</f>
        <v>0</v>
      </c>
      <c r="H61" s="58">
        <f ca="1">SUMPRODUCT($B12:OFFSET($B13,-1,0),H62:OFFSET(H63,-1,0))</f>
        <v>8155.2</v>
      </c>
      <c r="I61" s="58">
        <f ca="1">SUMPRODUCT($B12:OFFSET($B13,-1,0),I62:OFFSET(I63,-1,0))</f>
        <v>40776</v>
      </c>
      <c r="J61" s="58">
        <f ca="1">SUMPRODUCT($B12:OFFSET($B13,-1,0),J62:OFFSET(J63,-1,0))</f>
        <v>81552</v>
      </c>
      <c r="K61" s="58">
        <f ca="1">SUMPRODUCT($B12:OFFSET($B13,-1,0),K62:OFFSET(K63,-1,0))</f>
        <v>163104</v>
      </c>
      <c r="L61" s="58">
        <f ca="1">SUMPRODUCT($B12:OFFSET($B13,-1,0),L62:OFFSET(L63,-1,0))</f>
        <v>244656</v>
      </c>
      <c r="M61" s="58">
        <f ca="1">SUMPRODUCT($B12:OFFSET($B13,-1,0),M62:OFFSET(M63,-1,0))</f>
        <v>326208</v>
      </c>
      <c r="N61" s="58">
        <f ca="1">SUMPRODUCT($B12:OFFSET($B13,-1,0),N62:OFFSET(N63,-1,0))</f>
        <v>448536</v>
      </c>
      <c r="O61" s="58">
        <f ca="1">SUMPRODUCT($B12:OFFSET($B13,-1,0),O62:OFFSET(O63,-1,0))</f>
        <v>611640</v>
      </c>
      <c r="P61" s="58">
        <f ca="1">SUMPRODUCT($B12:OFFSET($B13,-1,0),P62:OFFSET(P63,-1,0))</f>
        <v>733968</v>
      </c>
      <c r="Q61" s="58">
        <f ca="1">SUMPRODUCT($B12:OFFSET($B13,-1,0),Q62:OFFSET(Q63,-1,0))</f>
        <v>815520</v>
      </c>
      <c r="S61" s="57">
        <f ca="1">SUM(F61:Q61)</f>
        <v>3474115.2</v>
      </c>
    </row>
    <row r="62" spans="1:19" s="11" customFormat="1" hidden="1" outlineLevel="2" x14ac:dyDescent="0.2">
      <c r="A62" s="11" t="str">
        <f>"        " &amp; A12</f>
        <v xml:space="preserve">        Наименование проекта</v>
      </c>
      <c r="C62" s="199" t="str">
        <f ca="1">CUR_Report</f>
        <v>руб.</v>
      </c>
      <c r="D62" s="11" t="str">
        <f>"[" &amp; F12 &amp; "];int_sum"</f>
        <v>[Проект];int_sum</v>
      </c>
      <c r="F62" s="54">
        <f ca="1">IF(OR(F$33&lt;$B28,F$33&gt;$C28),0,OFFSET(Проект!F$202,0,1-$B28)+OFFSET(Проект!F$216,0,1-$B28))</f>
        <v>0</v>
      </c>
      <c r="G62" s="54">
        <f ca="1">IF(OR(G$33&lt;$B28,G$33&gt;$C28),0,OFFSET(Проект!G$202,0,1-$B28)+OFFSET(Проект!G$216,0,1-$B28))</f>
        <v>0</v>
      </c>
      <c r="H62" s="54">
        <f ca="1">IF(OR(H$33&lt;$B28,H$33&gt;$C28),0,OFFSET(Проект!H$202,0,1-$B28)+OFFSET(Проект!H$216,0,1-$B28))</f>
        <v>8155.2</v>
      </c>
      <c r="I62" s="54">
        <f ca="1">IF(OR(I$33&lt;$B28,I$33&gt;$C28),0,OFFSET(Проект!I$202,0,1-$B28)+OFFSET(Проект!I$216,0,1-$B28))</f>
        <v>40776</v>
      </c>
      <c r="J62" s="54">
        <f ca="1">IF(OR(J$33&lt;$B28,J$33&gt;$C28),0,OFFSET(Проект!J$202,0,1-$B28)+OFFSET(Проект!J$216,0,1-$B28))</f>
        <v>81552</v>
      </c>
      <c r="K62" s="54">
        <f ca="1">IF(OR(K$33&lt;$B28,K$33&gt;$C28),0,OFFSET(Проект!K$202,0,1-$B28)+OFFSET(Проект!K$216,0,1-$B28))</f>
        <v>163104</v>
      </c>
      <c r="L62" s="54">
        <f ca="1">IF(OR(L$33&lt;$B28,L$33&gt;$C28),0,OFFSET(Проект!L$202,0,1-$B28)+OFFSET(Проект!L$216,0,1-$B28))</f>
        <v>244656</v>
      </c>
      <c r="M62" s="54">
        <f ca="1">IF(OR(M$33&lt;$B28,M$33&gt;$C28),0,OFFSET(Проект!M$202,0,1-$B28)+OFFSET(Проект!M$216,0,1-$B28))</f>
        <v>326208</v>
      </c>
      <c r="N62" s="54">
        <f ca="1">IF(OR(N$33&lt;$B28,N$33&gt;$C28),0,OFFSET(Проект!N$202,0,1-$B28)+OFFSET(Проект!N$216,0,1-$B28))</f>
        <v>448536</v>
      </c>
      <c r="O62" s="54">
        <f ca="1">IF(OR(O$33&lt;$B28,O$33&gt;$C28),0,OFFSET(Проект!O$202,0,1-$B28)+OFFSET(Проект!O$216,0,1-$B28))</f>
        <v>611640</v>
      </c>
      <c r="P62" s="54">
        <f ca="1">IF(OR(P$33&lt;$B28,P$33&gt;$C28),0,OFFSET(Проект!P$202,0,1-$B28)+OFFSET(Проект!P$216,0,1-$B28))</f>
        <v>733968</v>
      </c>
      <c r="Q62" s="54">
        <f ca="1">IF(OR(Q$33&lt;$B28,Q$33&gt;$C28),0,OFFSET(Проект!Q$202,0,1-$B28)+OFFSET(Проект!Q$216,0,1-$B28))</f>
        <v>815520</v>
      </c>
      <c r="S62" s="203">
        <f ca="1">SUM(F62:Q62)</f>
        <v>3474115.2</v>
      </c>
    </row>
    <row r="63" spans="1:19" outlineLevel="1" x14ac:dyDescent="0.2">
      <c r="A63" s="181"/>
    </row>
    <row r="64" spans="1:19" outlineLevel="1" x14ac:dyDescent="0.2">
      <c r="A64" s="63"/>
      <c r="B64" s="63"/>
      <c r="C64" s="63"/>
      <c r="D64" s="63"/>
      <c r="E64" s="63"/>
      <c r="F64" s="63"/>
      <c r="G64" s="63"/>
      <c r="H64" s="63"/>
      <c r="I64" s="63"/>
      <c r="J64" s="63"/>
      <c r="K64" s="63"/>
      <c r="L64" s="63"/>
      <c r="M64" s="63"/>
      <c r="N64" s="63"/>
      <c r="O64" s="63"/>
      <c r="P64" s="63"/>
      <c r="Q64" s="63"/>
      <c r="R64" s="63"/>
      <c r="S64" s="204"/>
    </row>
    <row r="65" spans="1:19" outlineLevel="1" x14ac:dyDescent="0.2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206"/>
    </row>
    <row r="66" spans="1:19" s="4" customFormat="1" ht="16" customHeight="1" thickBot="1" x14ac:dyDescent="0.25">
      <c r="A66" s="166" t="str">
        <f ca="1">Language!A$968</f>
        <v xml:space="preserve">         СВОДНЫЙ ОТЧЕТ ОБ ИНВЕСТИЦИЯХ В ПРОЕКТ</v>
      </c>
      <c r="B66" s="166"/>
      <c r="C66" s="166"/>
      <c r="D66" s="166"/>
      <c r="E66" s="166"/>
      <c r="F66" s="178" t="str">
        <f>IF(Проект!ShowRealDates,F36,F34)</f>
        <v>4/ 2020</v>
      </c>
      <c r="G66" s="178" t="str">
        <f>IF(Проект!ShowRealDates,G36,G34)</f>
        <v>5/ 2020</v>
      </c>
      <c r="H66" s="178" t="str">
        <f>IF(Проект!ShowRealDates,H36,H34)</f>
        <v>6/ 2020</v>
      </c>
      <c r="I66" s="178" t="str">
        <f>IF(Проект!ShowRealDates,I36,I34)</f>
        <v>7/ 2020</v>
      </c>
      <c r="J66" s="178" t="str">
        <f>IF(Проект!ShowRealDates,J36,J34)</f>
        <v>8/ 2020</v>
      </c>
      <c r="K66" s="178" t="str">
        <f>IF(Проект!ShowRealDates,K36,K34)</f>
        <v>9/ 2020</v>
      </c>
      <c r="L66" s="178" t="str">
        <f>IF(Проект!ShowRealDates,L36,L34)</f>
        <v>10/ 2020</v>
      </c>
      <c r="M66" s="178" t="str">
        <f>IF(Проект!ShowRealDates,M36,M34)</f>
        <v>11/ 2020</v>
      </c>
      <c r="N66" s="178" t="str">
        <f>IF(Проект!ShowRealDates,N36,N34)</f>
        <v>12/ 2020</v>
      </c>
      <c r="O66" s="178" t="str">
        <f>IF(Проект!ShowRealDates,O36,O34)</f>
        <v>1/ 2021</v>
      </c>
      <c r="P66" s="178" t="str">
        <f>IF(Проект!ShowRealDates,P36,P34)</f>
        <v>2/ 2021</v>
      </c>
      <c r="Q66" s="178" t="str">
        <f>IF(Проект!ShowRealDates,Q36,Q34)</f>
        <v>3/ 2021</v>
      </c>
      <c r="R66" s="166"/>
      <c r="S66" s="195" t="str">
        <f ca="1">Language!A$371</f>
        <v>ИТОГО</v>
      </c>
    </row>
    <row r="67" spans="1:19" ht="10.5" outlineLevel="1" thickTop="1" x14ac:dyDescent="0.2">
      <c r="S67" s="11"/>
    </row>
    <row r="68" spans="1:19" ht="10.5" outlineLevel="1" collapsed="1" x14ac:dyDescent="0.25">
      <c r="A68" s="35" t="str">
        <f ca="1">Language!A$687</f>
        <v>Потребность в инвестициях</v>
      </c>
      <c r="C68" s="26" t="str">
        <f ca="1">CUR_Report</f>
        <v>руб.</v>
      </c>
      <c r="D68" s="205" t="s">
        <v>2210</v>
      </c>
      <c r="F68" s="58">
        <f ca="1">SUMPRODUCT($B12:OFFSET($B13,-1,0),F69:OFFSET(F70,-1,0))</f>
        <v>-648376</v>
      </c>
      <c r="G68" s="58">
        <f ca="1">SUMPRODUCT($B12:OFFSET($B13,-1,0),G69:OFFSET(G70,-1,0))</f>
        <v>415440</v>
      </c>
      <c r="H68" s="58">
        <f ca="1">SUMPRODUCT($B12:OFFSET($B13,-1,0),H69:OFFSET(H70,-1,0))</f>
        <v>-24435.877125000115</v>
      </c>
      <c r="I68" s="58">
        <f ca="1">SUMPRODUCT($B12:OFFSET($B13,-1,0),I69:OFFSET(I70,-1,0))</f>
        <v>-97743.508499999763</v>
      </c>
      <c r="J68" s="58">
        <f ca="1">SUMPRODUCT($B12:OFFSET($B13,-1,0),J69:OFFSET(J70,-1,0))</f>
        <v>-122179.385625</v>
      </c>
      <c r="K68" s="58">
        <f ca="1">SUMPRODUCT($B12:OFFSET($B13,-1,0),K69:OFFSET(K70,-1,0))</f>
        <v>-244358.77125000022</v>
      </c>
      <c r="L68" s="58">
        <f ca="1">SUMPRODUCT($B12:OFFSET($B13,-1,0),L69:OFFSET(L70,-1,0))</f>
        <v>-244358.77124999976</v>
      </c>
      <c r="M68" s="58">
        <f ca="1">SUMPRODUCT($B12:OFFSET($B13,-1,0),M69:OFFSET(M70,-1,0))</f>
        <v>-244358.77125000011</v>
      </c>
      <c r="N68" s="58">
        <f ca="1">SUMPRODUCT($B12:OFFSET($B13,-1,0),N69:OFFSET(N70,-1,0))</f>
        <v>-366538.15687499987</v>
      </c>
      <c r="O68" s="58">
        <f ca="1">SUMPRODUCT($B12:OFFSET($B13,-1,0),O69:OFFSET(O70,-1,0))</f>
        <v>-488717.54250000021</v>
      </c>
      <c r="P68" s="58">
        <f ca="1">SUMPRODUCT($B12:OFFSET($B13,-1,0),P69:OFFSET(P70,-1,0))</f>
        <v>-366538.1568750001</v>
      </c>
      <c r="Q68" s="58">
        <f ca="1">SUMPRODUCT($B12:OFFSET($B13,-1,0),Q69:OFFSET(Q70,-1,0))</f>
        <v>-244358.77124999976</v>
      </c>
      <c r="S68" s="57">
        <f ca="1">SUM(F68:Q68)</f>
        <v>-2676523.7124999999</v>
      </c>
    </row>
    <row r="69" spans="1:19" s="11" customFormat="1" hidden="1" outlineLevel="2" x14ac:dyDescent="0.2">
      <c r="A69" s="11" t="str">
        <f>"        " &amp; A12</f>
        <v xml:space="preserve">        Наименование проекта</v>
      </c>
      <c r="C69" s="199" t="str">
        <f ca="1">CUR_Report</f>
        <v>руб.</v>
      </c>
      <c r="D69" s="11" t="str">
        <f>"[" &amp; F12 &amp; "];int_sum"</f>
        <v>[Проект];int_sum</v>
      </c>
      <c r="F69" s="54">
        <f ca="1">IF(OR(F$33&lt;$B28,F$33&gt;$C28),0,OFFSET(Проект!F$1269,0,1-$B28))</f>
        <v>-648376</v>
      </c>
      <c r="G69" s="54">
        <f ca="1">IF(OR(G$33&lt;$B28,G$33&gt;$C28),0,OFFSET(Проект!G$1269,0,1-$B28))</f>
        <v>415440</v>
      </c>
      <c r="H69" s="54">
        <f ca="1">IF(OR(H$33&lt;$B28,H$33&gt;$C28),0,OFFSET(Проект!H$1269,0,1-$B28))</f>
        <v>-24435.877125000115</v>
      </c>
      <c r="I69" s="54">
        <f ca="1">IF(OR(I$33&lt;$B28,I$33&gt;$C28),0,OFFSET(Проект!I$1269,0,1-$B28))</f>
        <v>-97743.508499999763</v>
      </c>
      <c r="J69" s="54">
        <f ca="1">IF(OR(J$33&lt;$B28,J$33&gt;$C28),0,OFFSET(Проект!J$1269,0,1-$B28))</f>
        <v>-122179.385625</v>
      </c>
      <c r="K69" s="54">
        <f ca="1">IF(OR(K$33&lt;$B28,K$33&gt;$C28),0,OFFSET(Проект!K$1269,0,1-$B28))</f>
        <v>-244358.77125000022</v>
      </c>
      <c r="L69" s="54">
        <f ca="1">IF(OR(L$33&lt;$B28,L$33&gt;$C28),0,OFFSET(Проект!L$1269,0,1-$B28))</f>
        <v>-244358.77124999976</v>
      </c>
      <c r="M69" s="54">
        <f ca="1">IF(OR(M$33&lt;$B28,M$33&gt;$C28),0,OFFSET(Проект!M$1269,0,1-$B28))</f>
        <v>-244358.77125000011</v>
      </c>
      <c r="N69" s="54">
        <f ca="1">IF(OR(N$33&lt;$B28,N$33&gt;$C28),0,OFFSET(Проект!N$1269,0,1-$B28))</f>
        <v>-366538.15687499987</v>
      </c>
      <c r="O69" s="54">
        <f ca="1">IF(OR(O$33&lt;$B28,O$33&gt;$C28),0,OFFSET(Проект!O$1269,0,1-$B28))</f>
        <v>-488717.54250000021</v>
      </c>
      <c r="P69" s="54">
        <f ca="1">IF(OR(P$33&lt;$B28,P$33&gt;$C28),0,OFFSET(Проект!P$1269,0,1-$B28))</f>
        <v>-366538.1568750001</v>
      </c>
      <c r="Q69" s="54">
        <f ca="1">IF(OR(Q$33&lt;$B28,Q$33&gt;$C28),0,OFFSET(Проект!Q$1269,0,1-$B28))</f>
        <v>-244358.77124999976</v>
      </c>
      <c r="S69" s="54">
        <f ca="1">SUM(F69:Q69)</f>
        <v>-2676523.7124999999</v>
      </c>
    </row>
    <row r="70" spans="1:19" outlineLevel="1" x14ac:dyDescent="0.2">
      <c r="S70" s="11"/>
    </row>
    <row r="71" spans="1:19" outlineLevel="1" collapsed="1" x14ac:dyDescent="0.2">
      <c r="A71" t="str">
        <f ca="1">Language!A$691</f>
        <v>Инвестиции в здания и сооружения</v>
      </c>
      <c r="C71" s="26" t="str">
        <f t="shared" ref="C71:C84" ca="1" si="4">CUR_Report</f>
        <v>руб.</v>
      </c>
      <c r="D71" s="205" t="s">
        <v>2210</v>
      </c>
      <c r="F71" s="43">
        <f ca="1">SUMPRODUCT($B12:OFFSET($B13,-1,0),F72:OFFSET(F73,-1,0))</f>
        <v>0</v>
      </c>
      <c r="G71" s="43">
        <f ca="1">SUMPRODUCT($B12:OFFSET($B13,-1,0),G72:OFFSET(G73,-1,0))</f>
        <v>0</v>
      </c>
      <c r="H71" s="43">
        <f ca="1">SUMPRODUCT($B12:OFFSET($B13,-1,0),H72:OFFSET(H73,-1,0))</f>
        <v>0</v>
      </c>
      <c r="I71" s="43">
        <f ca="1">SUMPRODUCT($B12:OFFSET($B13,-1,0),I72:OFFSET(I73,-1,0))</f>
        <v>0</v>
      </c>
      <c r="J71" s="43">
        <f ca="1">SUMPRODUCT($B12:OFFSET($B13,-1,0),J72:OFFSET(J73,-1,0))</f>
        <v>0</v>
      </c>
      <c r="K71" s="43">
        <f ca="1">SUMPRODUCT($B12:OFFSET($B13,-1,0),K72:OFFSET(K73,-1,0))</f>
        <v>0</v>
      </c>
      <c r="L71" s="43">
        <f ca="1">SUMPRODUCT($B12:OFFSET($B13,-1,0),L72:OFFSET(L73,-1,0))</f>
        <v>0</v>
      </c>
      <c r="M71" s="43">
        <f ca="1">SUMPRODUCT($B12:OFFSET($B13,-1,0),M72:OFFSET(M73,-1,0))</f>
        <v>0</v>
      </c>
      <c r="N71" s="43">
        <f ca="1">SUMPRODUCT($B12:OFFSET($B13,-1,0),N72:OFFSET(N73,-1,0))</f>
        <v>0</v>
      </c>
      <c r="O71" s="43">
        <f ca="1">SUMPRODUCT($B12:OFFSET($B13,-1,0),O72:OFFSET(O73,-1,0))</f>
        <v>0</v>
      </c>
      <c r="P71" s="43">
        <f ca="1">SUMPRODUCT($B12:OFFSET($B13,-1,0),P72:OFFSET(P73,-1,0))</f>
        <v>0</v>
      </c>
      <c r="Q71" s="43">
        <f ca="1">SUMPRODUCT($B12:OFFSET($B13,-1,0),Q72:OFFSET(Q73,-1,0))</f>
        <v>0</v>
      </c>
      <c r="S71" s="54">
        <f t="shared" ref="S71:S84" ca="1" si="5">SUM(F71:Q71)</f>
        <v>0</v>
      </c>
    </row>
    <row r="72" spans="1:19" s="11" customFormat="1" hidden="1" outlineLevel="2" x14ac:dyDescent="0.2">
      <c r="A72" s="11" t="str">
        <f>"        " &amp; A12</f>
        <v xml:space="preserve">        Наименование проекта</v>
      </c>
      <c r="C72" s="199" t="str">
        <f t="shared" ca="1" si="4"/>
        <v>руб.</v>
      </c>
      <c r="D72" s="11" t="str">
        <f>"[" &amp; F12 &amp; "];int_sum"</f>
        <v>[Проект];int_sum</v>
      </c>
      <c r="F72" s="54">
        <f ca="1">IF(OR(F$33&lt;$B28,F$33&gt;$C28),0,OFFSET(Проект!F$1271,0,1-$B28))</f>
        <v>0</v>
      </c>
      <c r="G72" s="54">
        <f ca="1">IF(OR(G$33&lt;$B28,G$33&gt;$C28),0,OFFSET(Проект!G$1271,0,1-$B28))</f>
        <v>0</v>
      </c>
      <c r="H72" s="54">
        <f ca="1">IF(OR(H$33&lt;$B28,H$33&gt;$C28),0,OFFSET(Проект!H$1271,0,1-$B28))</f>
        <v>0</v>
      </c>
      <c r="I72" s="54">
        <f ca="1">IF(OR(I$33&lt;$B28,I$33&gt;$C28),0,OFFSET(Проект!I$1271,0,1-$B28))</f>
        <v>0</v>
      </c>
      <c r="J72" s="54">
        <f ca="1">IF(OR(J$33&lt;$B28,J$33&gt;$C28),0,OFFSET(Проект!J$1271,0,1-$B28))</f>
        <v>0</v>
      </c>
      <c r="K72" s="54">
        <f ca="1">IF(OR(K$33&lt;$B28,K$33&gt;$C28),0,OFFSET(Проект!K$1271,0,1-$B28))</f>
        <v>0</v>
      </c>
      <c r="L72" s="54">
        <f ca="1">IF(OR(L$33&lt;$B28,L$33&gt;$C28),0,OFFSET(Проект!L$1271,0,1-$B28))</f>
        <v>0</v>
      </c>
      <c r="M72" s="54">
        <f ca="1">IF(OR(M$33&lt;$B28,M$33&gt;$C28),0,OFFSET(Проект!M$1271,0,1-$B28))</f>
        <v>0</v>
      </c>
      <c r="N72" s="54">
        <f ca="1">IF(OR(N$33&lt;$B28,N$33&gt;$C28),0,OFFSET(Проект!N$1271,0,1-$B28))</f>
        <v>0</v>
      </c>
      <c r="O72" s="54">
        <f ca="1">IF(OR(O$33&lt;$B28,O$33&gt;$C28),0,OFFSET(Проект!O$1271,0,1-$B28))</f>
        <v>0</v>
      </c>
      <c r="P72" s="54">
        <f ca="1">IF(OR(P$33&lt;$B28,P$33&gt;$C28),0,OFFSET(Проект!P$1271,0,1-$B28))</f>
        <v>0</v>
      </c>
      <c r="Q72" s="54">
        <f ca="1">IF(OR(Q$33&lt;$B28,Q$33&gt;$C28),0,OFFSET(Проект!Q$1271,0,1-$B28))</f>
        <v>0</v>
      </c>
      <c r="S72" s="54">
        <f t="shared" ca="1" si="5"/>
        <v>0</v>
      </c>
    </row>
    <row r="73" spans="1:19" ht="12" customHeight="1" outlineLevel="1" collapsed="1" x14ac:dyDescent="0.2">
      <c r="A73" t="str">
        <f ca="1">Language!A$688</f>
        <v>Инвестиции в земельные участки</v>
      </c>
      <c r="C73" s="26" t="str">
        <f t="shared" ca="1" si="4"/>
        <v>руб.</v>
      </c>
      <c r="D73" s="205" t="s">
        <v>2210</v>
      </c>
      <c r="F73" s="43">
        <f ca="1">SUMPRODUCT($B12:OFFSET($B13,-1,0),F74:OFFSET(F75,-1,0))</f>
        <v>0</v>
      </c>
      <c r="G73" s="43">
        <f ca="1">SUMPRODUCT($B12:OFFSET($B13,-1,0),G74:OFFSET(G75,-1,0))</f>
        <v>0</v>
      </c>
      <c r="H73" s="43">
        <f ca="1">SUMPRODUCT($B12:OFFSET($B13,-1,0),H74:OFFSET(H75,-1,0))</f>
        <v>0</v>
      </c>
      <c r="I73" s="43">
        <f ca="1">SUMPRODUCT($B12:OFFSET($B13,-1,0),I74:OFFSET(I75,-1,0))</f>
        <v>0</v>
      </c>
      <c r="J73" s="43">
        <f ca="1">SUMPRODUCT($B12:OFFSET($B13,-1,0),J74:OFFSET(J75,-1,0))</f>
        <v>0</v>
      </c>
      <c r="K73" s="43">
        <f ca="1">SUMPRODUCT($B12:OFFSET($B13,-1,0),K74:OFFSET(K75,-1,0))</f>
        <v>0</v>
      </c>
      <c r="L73" s="43">
        <f ca="1">SUMPRODUCT($B12:OFFSET($B13,-1,0),L74:OFFSET(L75,-1,0))</f>
        <v>0</v>
      </c>
      <c r="M73" s="43">
        <f ca="1">SUMPRODUCT($B12:OFFSET($B13,-1,0),M74:OFFSET(M75,-1,0))</f>
        <v>0</v>
      </c>
      <c r="N73" s="43">
        <f ca="1">SUMPRODUCT($B12:OFFSET($B13,-1,0),N74:OFFSET(N75,-1,0))</f>
        <v>0</v>
      </c>
      <c r="O73" s="43">
        <f ca="1">SUMPRODUCT($B12:OFFSET($B13,-1,0),O74:OFFSET(O75,-1,0))</f>
        <v>0</v>
      </c>
      <c r="P73" s="43">
        <f ca="1">SUMPRODUCT($B12:OFFSET($B13,-1,0),P74:OFFSET(P75,-1,0))</f>
        <v>0</v>
      </c>
      <c r="Q73" s="43">
        <f ca="1">SUMPRODUCT($B12:OFFSET($B13,-1,0),Q74:OFFSET(Q75,-1,0))</f>
        <v>0</v>
      </c>
      <c r="S73" s="54">
        <f t="shared" ca="1" si="5"/>
        <v>0</v>
      </c>
    </row>
    <row r="74" spans="1:19" s="11" customFormat="1" ht="12" hidden="1" customHeight="1" outlineLevel="2" x14ac:dyDescent="0.2">
      <c r="A74" s="11" t="str">
        <f>"        " &amp; A12</f>
        <v xml:space="preserve">        Наименование проекта</v>
      </c>
      <c r="C74" s="199" t="str">
        <f t="shared" ca="1" si="4"/>
        <v>руб.</v>
      </c>
      <c r="D74" s="11" t="str">
        <f>"[" &amp; F12 &amp; "];int_sum"</f>
        <v>[Проект];int_sum</v>
      </c>
      <c r="F74" s="54">
        <f ca="1">IF(OR(F$33&lt;$B28,F$33&gt;$C28),0,OFFSET(Проект!F$1272,0,1-$B28))</f>
        <v>0</v>
      </c>
      <c r="G74" s="54">
        <f ca="1">IF(OR(G$33&lt;$B28,G$33&gt;$C28),0,OFFSET(Проект!G$1272,0,1-$B28))</f>
        <v>0</v>
      </c>
      <c r="H74" s="54">
        <f ca="1">IF(OR(H$33&lt;$B28,H$33&gt;$C28),0,OFFSET(Проект!H$1272,0,1-$B28))</f>
        <v>0</v>
      </c>
      <c r="I74" s="54">
        <f ca="1">IF(OR(I$33&lt;$B28,I$33&gt;$C28),0,OFFSET(Проект!I$1272,0,1-$B28))</f>
        <v>0</v>
      </c>
      <c r="J74" s="54">
        <f ca="1">IF(OR(J$33&lt;$B28,J$33&gt;$C28),0,OFFSET(Проект!J$1272,0,1-$B28))</f>
        <v>0</v>
      </c>
      <c r="K74" s="54">
        <f ca="1">IF(OR(K$33&lt;$B28,K$33&gt;$C28),0,OFFSET(Проект!K$1272,0,1-$B28))</f>
        <v>0</v>
      </c>
      <c r="L74" s="54">
        <f ca="1">IF(OR(L$33&lt;$B28,L$33&gt;$C28),0,OFFSET(Проект!L$1272,0,1-$B28))</f>
        <v>0</v>
      </c>
      <c r="M74" s="54">
        <f ca="1">IF(OR(M$33&lt;$B28,M$33&gt;$C28),0,OFFSET(Проект!M$1272,0,1-$B28))</f>
        <v>0</v>
      </c>
      <c r="N74" s="54">
        <f ca="1">IF(OR(N$33&lt;$B28,N$33&gt;$C28),0,OFFSET(Проект!N$1272,0,1-$B28))</f>
        <v>0</v>
      </c>
      <c r="O74" s="54">
        <f ca="1">IF(OR(O$33&lt;$B28,O$33&gt;$C28),0,OFFSET(Проект!O$1272,0,1-$B28))</f>
        <v>0</v>
      </c>
      <c r="P74" s="54">
        <f ca="1">IF(OR(P$33&lt;$B28,P$33&gt;$C28),0,OFFSET(Проект!P$1272,0,1-$B28))</f>
        <v>0</v>
      </c>
      <c r="Q74" s="54">
        <f ca="1">IF(OR(Q$33&lt;$B28,Q$33&gt;$C28),0,OFFSET(Проект!Q$1272,0,1-$B28))</f>
        <v>0</v>
      </c>
      <c r="S74" s="54">
        <f t="shared" ca="1" si="5"/>
        <v>0</v>
      </c>
    </row>
    <row r="75" spans="1:19" ht="12" customHeight="1" outlineLevel="1" collapsed="1" x14ac:dyDescent="0.2">
      <c r="A75" t="str">
        <f ca="1">Language!A$689</f>
        <v>Инвестиции в нематериальные активы</v>
      </c>
      <c r="C75" s="26" t="str">
        <f t="shared" ca="1" si="4"/>
        <v>руб.</v>
      </c>
      <c r="D75" s="205" t="s">
        <v>2210</v>
      </c>
      <c r="F75" s="43">
        <f ca="1">SUMPRODUCT($B12:OFFSET($B13,-1,0),F76:OFFSET(F77,-1,0))</f>
        <v>0</v>
      </c>
      <c r="G75" s="43">
        <f ca="1">SUMPRODUCT($B12:OFFSET($B13,-1,0),G76:OFFSET(G77,-1,0))</f>
        <v>0</v>
      </c>
      <c r="H75" s="43">
        <f ca="1">SUMPRODUCT($B12:OFFSET($B13,-1,0),H76:OFFSET(H77,-1,0))</f>
        <v>0</v>
      </c>
      <c r="I75" s="43">
        <f ca="1">SUMPRODUCT($B12:OFFSET($B13,-1,0),I76:OFFSET(I77,-1,0))</f>
        <v>0</v>
      </c>
      <c r="J75" s="43">
        <f ca="1">SUMPRODUCT($B12:OFFSET($B13,-1,0),J76:OFFSET(J77,-1,0))</f>
        <v>0</v>
      </c>
      <c r="K75" s="43">
        <f ca="1">SUMPRODUCT($B12:OFFSET($B13,-1,0),K76:OFFSET(K77,-1,0))</f>
        <v>0</v>
      </c>
      <c r="L75" s="43">
        <f ca="1">SUMPRODUCT($B12:OFFSET($B13,-1,0),L76:OFFSET(L77,-1,0))</f>
        <v>0</v>
      </c>
      <c r="M75" s="43">
        <f ca="1">SUMPRODUCT($B12:OFFSET($B13,-1,0),M76:OFFSET(M77,-1,0))</f>
        <v>0</v>
      </c>
      <c r="N75" s="43">
        <f ca="1">SUMPRODUCT($B12:OFFSET($B13,-1,0),N76:OFFSET(N77,-1,0))</f>
        <v>0</v>
      </c>
      <c r="O75" s="43">
        <f ca="1">SUMPRODUCT($B12:OFFSET($B13,-1,0),O76:OFFSET(O77,-1,0))</f>
        <v>0</v>
      </c>
      <c r="P75" s="43">
        <f ca="1">SUMPRODUCT($B12:OFFSET($B13,-1,0),P76:OFFSET(P77,-1,0))</f>
        <v>0</v>
      </c>
      <c r="Q75" s="43">
        <f ca="1">SUMPRODUCT($B12:OFFSET($B13,-1,0),Q76:OFFSET(Q77,-1,0))</f>
        <v>0</v>
      </c>
      <c r="S75" s="54">
        <f t="shared" ca="1" si="5"/>
        <v>0</v>
      </c>
    </row>
    <row r="76" spans="1:19" s="11" customFormat="1" ht="12" hidden="1" customHeight="1" outlineLevel="2" x14ac:dyDescent="0.2">
      <c r="A76" s="11" t="str">
        <f>"        " &amp; A12</f>
        <v xml:space="preserve">        Наименование проекта</v>
      </c>
      <c r="C76" s="199" t="str">
        <f t="shared" ca="1" si="4"/>
        <v>руб.</v>
      </c>
      <c r="D76" s="11" t="str">
        <f>"[" &amp; F12 &amp; "];int_sum"</f>
        <v>[Проект];int_sum</v>
      </c>
      <c r="F76" s="54">
        <f ca="1">IF(OR(F$33&lt;$B28,F$33&gt;$C28),0,OFFSET(Проект!F$1273,0,1-$B28))</f>
        <v>0</v>
      </c>
      <c r="G76" s="54">
        <f ca="1">IF(OR(G$33&lt;$B28,G$33&gt;$C28),0,OFFSET(Проект!G$1273,0,1-$B28))</f>
        <v>0</v>
      </c>
      <c r="H76" s="54">
        <f ca="1">IF(OR(H$33&lt;$B28,H$33&gt;$C28),0,OFFSET(Проект!H$1273,0,1-$B28))</f>
        <v>0</v>
      </c>
      <c r="I76" s="54">
        <f ca="1">IF(OR(I$33&lt;$B28,I$33&gt;$C28),0,OFFSET(Проект!I$1273,0,1-$B28))</f>
        <v>0</v>
      </c>
      <c r="J76" s="54">
        <f ca="1">IF(OR(J$33&lt;$B28,J$33&gt;$C28),0,OFFSET(Проект!J$1273,0,1-$B28))</f>
        <v>0</v>
      </c>
      <c r="K76" s="54">
        <f ca="1">IF(OR(K$33&lt;$B28,K$33&gt;$C28),0,OFFSET(Проект!K$1273,0,1-$B28))</f>
        <v>0</v>
      </c>
      <c r="L76" s="54">
        <f ca="1">IF(OR(L$33&lt;$B28,L$33&gt;$C28),0,OFFSET(Проект!L$1273,0,1-$B28))</f>
        <v>0</v>
      </c>
      <c r="M76" s="54">
        <f ca="1">IF(OR(M$33&lt;$B28,M$33&gt;$C28),0,OFFSET(Проект!M$1273,0,1-$B28))</f>
        <v>0</v>
      </c>
      <c r="N76" s="54">
        <f ca="1">IF(OR(N$33&lt;$B28,N$33&gt;$C28),0,OFFSET(Проект!N$1273,0,1-$B28))</f>
        <v>0</v>
      </c>
      <c r="O76" s="54">
        <f ca="1">IF(OR(O$33&lt;$B28,O$33&gt;$C28),0,OFFSET(Проект!O$1273,0,1-$B28))</f>
        <v>0</v>
      </c>
      <c r="P76" s="54">
        <f ca="1">IF(OR(P$33&lt;$B28,P$33&gt;$C28),0,OFFSET(Проект!P$1273,0,1-$B28))</f>
        <v>0</v>
      </c>
      <c r="Q76" s="54">
        <f ca="1">IF(OR(Q$33&lt;$B28,Q$33&gt;$C28),0,OFFSET(Проект!Q$1273,0,1-$B28))</f>
        <v>0</v>
      </c>
      <c r="S76" s="54">
        <f t="shared" ca="1" si="5"/>
        <v>0</v>
      </c>
    </row>
    <row r="77" spans="1:19" outlineLevel="1" collapsed="1" x14ac:dyDescent="0.2">
      <c r="A77" t="str">
        <f ca="1">Language!A$690</f>
        <v>Инвестиции в финансовые активы</v>
      </c>
      <c r="C77" s="26" t="str">
        <f t="shared" ca="1" si="4"/>
        <v>руб.</v>
      </c>
      <c r="D77" s="205" t="s">
        <v>2210</v>
      </c>
      <c r="F77" s="43">
        <f ca="1">SUMPRODUCT($B12:OFFSET($B13,-1,0),F78:OFFSET(F79,-1,0))</f>
        <v>0</v>
      </c>
      <c r="G77" s="43">
        <f ca="1">SUMPRODUCT($B12:OFFSET($B13,-1,0),G78:OFFSET(G79,-1,0))</f>
        <v>0</v>
      </c>
      <c r="H77" s="43">
        <f ca="1">SUMPRODUCT($B12:OFFSET($B13,-1,0),H78:OFFSET(H79,-1,0))</f>
        <v>0</v>
      </c>
      <c r="I77" s="43">
        <f ca="1">SUMPRODUCT($B12:OFFSET($B13,-1,0),I78:OFFSET(I79,-1,0))</f>
        <v>0</v>
      </c>
      <c r="J77" s="43">
        <f ca="1">SUMPRODUCT($B12:OFFSET($B13,-1,0),J78:OFFSET(J79,-1,0))</f>
        <v>0</v>
      </c>
      <c r="K77" s="43">
        <f ca="1">SUMPRODUCT($B12:OFFSET($B13,-1,0),K78:OFFSET(K79,-1,0))</f>
        <v>0</v>
      </c>
      <c r="L77" s="43">
        <f ca="1">SUMPRODUCT($B12:OFFSET($B13,-1,0),L78:OFFSET(L79,-1,0))</f>
        <v>0</v>
      </c>
      <c r="M77" s="43">
        <f ca="1">SUMPRODUCT($B12:OFFSET($B13,-1,0),M78:OFFSET(M79,-1,0))</f>
        <v>0</v>
      </c>
      <c r="N77" s="43">
        <f ca="1">SUMPRODUCT($B12:OFFSET($B13,-1,0),N78:OFFSET(N79,-1,0))</f>
        <v>0</v>
      </c>
      <c r="O77" s="43">
        <f ca="1">SUMPRODUCT($B12:OFFSET($B13,-1,0),O78:OFFSET(O79,-1,0))</f>
        <v>0</v>
      </c>
      <c r="P77" s="43">
        <f ca="1">SUMPRODUCT($B12:OFFSET($B13,-1,0),P78:OFFSET(P79,-1,0))</f>
        <v>0</v>
      </c>
      <c r="Q77" s="43">
        <f ca="1">SUMPRODUCT($B12:OFFSET($B13,-1,0),Q78:OFFSET(Q79,-1,0))</f>
        <v>0</v>
      </c>
      <c r="S77" s="54">
        <f t="shared" ca="1" si="5"/>
        <v>0</v>
      </c>
    </row>
    <row r="78" spans="1:19" s="11" customFormat="1" hidden="1" outlineLevel="2" x14ac:dyDescent="0.2">
      <c r="A78" s="11" t="str">
        <f>"        " &amp; A12</f>
        <v xml:space="preserve">        Наименование проекта</v>
      </c>
      <c r="C78" s="199" t="str">
        <f t="shared" ca="1" si="4"/>
        <v>руб.</v>
      </c>
      <c r="D78" s="11" t="str">
        <f>"[" &amp; F12 &amp; "];int_sum"</f>
        <v>[Проект];int_sum</v>
      </c>
      <c r="F78" s="54">
        <f ca="1">IF(OR(F$33&lt;$B28,F$33&gt;$C28),0,OFFSET(Проект!F$1274,0,1-$B28))</f>
        <v>0</v>
      </c>
      <c r="G78" s="54">
        <f ca="1">IF(OR(G$33&lt;$B28,G$33&gt;$C28),0,OFFSET(Проект!G$1274,0,1-$B28))</f>
        <v>0</v>
      </c>
      <c r="H78" s="54">
        <f ca="1">IF(OR(H$33&lt;$B28,H$33&gt;$C28),0,OFFSET(Проект!H$1274,0,1-$B28))</f>
        <v>0</v>
      </c>
      <c r="I78" s="54">
        <f ca="1">IF(OR(I$33&lt;$B28,I$33&gt;$C28),0,OFFSET(Проект!I$1274,0,1-$B28))</f>
        <v>0</v>
      </c>
      <c r="J78" s="54">
        <f ca="1">IF(OR(J$33&lt;$B28,J$33&gt;$C28),0,OFFSET(Проект!J$1274,0,1-$B28))</f>
        <v>0</v>
      </c>
      <c r="K78" s="54">
        <f ca="1">IF(OR(K$33&lt;$B28,K$33&gt;$C28),0,OFFSET(Проект!K$1274,0,1-$B28))</f>
        <v>0</v>
      </c>
      <c r="L78" s="54">
        <f ca="1">IF(OR(L$33&lt;$B28,L$33&gt;$C28),0,OFFSET(Проект!L$1274,0,1-$B28))</f>
        <v>0</v>
      </c>
      <c r="M78" s="54">
        <f ca="1">IF(OR(M$33&lt;$B28,M$33&gt;$C28),0,OFFSET(Проект!M$1274,0,1-$B28))</f>
        <v>0</v>
      </c>
      <c r="N78" s="54">
        <f ca="1">IF(OR(N$33&lt;$B28,N$33&gt;$C28),0,OFFSET(Проект!N$1274,0,1-$B28))</f>
        <v>0</v>
      </c>
      <c r="O78" s="54">
        <f ca="1">IF(OR(O$33&lt;$B28,O$33&gt;$C28),0,OFFSET(Проект!O$1274,0,1-$B28))</f>
        <v>0</v>
      </c>
      <c r="P78" s="54">
        <f ca="1">IF(OR(P$33&lt;$B28,P$33&gt;$C28),0,OFFSET(Проект!P$1274,0,1-$B28))</f>
        <v>0</v>
      </c>
      <c r="Q78" s="54">
        <f ca="1">IF(OR(Q$33&lt;$B28,Q$33&gt;$C28),0,OFFSET(Проект!Q$1274,0,1-$B28))</f>
        <v>0</v>
      </c>
      <c r="S78" s="54">
        <f t="shared" ca="1" si="5"/>
        <v>0</v>
      </c>
    </row>
    <row r="79" spans="1:19" outlineLevel="1" collapsed="1" x14ac:dyDescent="0.2">
      <c r="A79" t="str">
        <f ca="1">Language!A$692</f>
        <v>Инвестиции в оборудование и прочие активы</v>
      </c>
      <c r="C79" s="26" t="str">
        <f t="shared" ca="1" si="4"/>
        <v>руб.</v>
      </c>
      <c r="D79" s="205" t="s">
        <v>2210</v>
      </c>
      <c r="F79" s="43">
        <f ca="1">SUMPRODUCT($B12:OFFSET($B13,-1,0),F80:OFFSET(F81,-1,0))</f>
        <v>0</v>
      </c>
      <c r="G79" s="43">
        <f ca="1">SUMPRODUCT($B12:OFFSET($B13,-1,0),G80:OFFSET(G81,-1,0))</f>
        <v>0</v>
      </c>
      <c r="H79" s="43">
        <f ca="1">SUMPRODUCT($B12:OFFSET($B13,-1,0),H80:OFFSET(H81,-1,0))</f>
        <v>0</v>
      </c>
      <c r="I79" s="43">
        <f ca="1">SUMPRODUCT($B12:OFFSET($B13,-1,0),I80:OFFSET(I81,-1,0))</f>
        <v>0</v>
      </c>
      <c r="J79" s="43">
        <f ca="1">SUMPRODUCT($B12:OFFSET($B13,-1,0),J80:OFFSET(J81,-1,0))</f>
        <v>0</v>
      </c>
      <c r="K79" s="43">
        <f ca="1">SUMPRODUCT($B12:OFFSET($B13,-1,0),K80:OFFSET(K81,-1,0))</f>
        <v>0</v>
      </c>
      <c r="L79" s="43">
        <f ca="1">SUMPRODUCT($B12:OFFSET($B13,-1,0),L80:OFFSET(L81,-1,0))</f>
        <v>0</v>
      </c>
      <c r="M79" s="43">
        <f ca="1">SUMPRODUCT($B12:OFFSET($B13,-1,0),M80:OFFSET(M81,-1,0))</f>
        <v>0</v>
      </c>
      <c r="N79" s="43">
        <f ca="1">SUMPRODUCT($B12:OFFSET($B13,-1,0),N80:OFFSET(N81,-1,0))</f>
        <v>0</v>
      </c>
      <c r="O79" s="43">
        <f ca="1">SUMPRODUCT($B12:OFFSET($B13,-1,0),O80:OFFSET(O81,-1,0))</f>
        <v>0</v>
      </c>
      <c r="P79" s="43">
        <f ca="1">SUMPRODUCT($B12:OFFSET($B13,-1,0),P80:OFFSET(P81,-1,0))</f>
        <v>0</v>
      </c>
      <c r="Q79" s="43">
        <f ca="1">SUMPRODUCT($B12:OFFSET($B13,-1,0),Q80:OFFSET(Q81,-1,0))</f>
        <v>0</v>
      </c>
      <c r="S79" s="54">
        <f t="shared" ca="1" si="5"/>
        <v>0</v>
      </c>
    </row>
    <row r="80" spans="1:19" s="11" customFormat="1" hidden="1" outlineLevel="2" x14ac:dyDescent="0.2">
      <c r="A80" s="11" t="str">
        <f>"        " &amp; A12</f>
        <v xml:space="preserve">        Наименование проекта</v>
      </c>
      <c r="C80" s="199" t="str">
        <f t="shared" ca="1" si="4"/>
        <v>руб.</v>
      </c>
      <c r="D80" s="11" t="str">
        <f>"[" &amp; F12 &amp; "];int_sum"</f>
        <v>[Проект];int_sum</v>
      </c>
      <c r="F80" s="54">
        <f ca="1">IF(OR(F$33&lt;$B28,F$33&gt;$C28),0,OFFSET(Проект!F$1275,0,1-$B28))</f>
        <v>0</v>
      </c>
      <c r="G80" s="54">
        <f ca="1">IF(OR(G$33&lt;$B28,G$33&gt;$C28),0,OFFSET(Проект!G$1275,0,1-$B28))</f>
        <v>0</v>
      </c>
      <c r="H80" s="54">
        <f ca="1">IF(OR(H$33&lt;$B28,H$33&gt;$C28),0,OFFSET(Проект!H$1275,0,1-$B28))</f>
        <v>0</v>
      </c>
      <c r="I80" s="54">
        <f ca="1">IF(OR(I$33&lt;$B28,I$33&gt;$C28),0,OFFSET(Проект!I$1275,0,1-$B28))</f>
        <v>0</v>
      </c>
      <c r="J80" s="54">
        <f ca="1">IF(OR(J$33&lt;$B28,J$33&gt;$C28),0,OFFSET(Проект!J$1275,0,1-$B28))</f>
        <v>0</v>
      </c>
      <c r="K80" s="54">
        <f ca="1">IF(OR(K$33&lt;$B28,K$33&gt;$C28),0,OFFSET(Проект!K$1275,0,1-$B28))</f>
        <v>0</v>
      </c>
      <c r="L80" s="54">
        <f ca="1">IF(OR(L$33&lt;$B28,L$33&gt;$C28),0,OFFSET(Проект!L$1275,0,1-$B28))</f>
        <v>0</v>
      </c>
      <c r="M80" s="54">
        <f ca="1">IF(OR(M$33&lt;$B28,M$33&gt;$C28),0,OFFSET(Проект!M$1275,0,1-$B28))</f>
        <v>0</v>
      </c>
      <c r="N80" s="54">
        <f ca="1">IF(OR(N$33&lt;$B28,N$33&gt;$C28),0,OFFSET(Проект!N$1275,0,1-$B28))</f>
        <v>0</v>
      </c>
      <c r="O80" s="54">
        <f ca="1">IF(OR(O$33&lt;$B28,O$33&gt;$C28),0,OFFSET(Проект!O$1275,0,1-$B28))</f>
        <v>0</v>
      </c>
      <c r="P80" s="54">
        <f ca="1">IF(OR(P$33&lt;$B28,P$33&gt;$C28),0,OFFSET(Проект!P$1275,0,1-$B28))</f>
        <v>0</v>
      </c>
      <c r="Q80" s="54">
        <f ca="1">IF(OR(Q$33&lt;$B28,Q$33&gt;$C28),0,OFFSET(Проект!Q$1275,0,1-$B28))</f>
        <v>0</v>
      </c>
      <c r="S80" s="54">
        <f t="shared" ca="1" si="5"/>
        <v>0</v>
      </c>
    </row>
    <row r="81" spans="1:19" outlineLevel="1" collapsed="1" x14ac:dyDescent="0.2">
      <c r="A81" t="str">
        <f ca="1">Language!A$694</f>
        <v>Оплата расходов будущих периодов</v>
      </c>
      <c r="C81" s="26" t="str">
        <f t="shared" ca="1" si="4"/>
        <v>руб.</v>
      </c>
      <c r="D81" s="205" t="s">
        <v>2210</v>
      </c>
      <c r="F81" s="43">
        <f ca="1">SUMPRODUCT($B12:OFFSET($B13,-1,0),F82:OFFSET(F83,-1,0))</f>
        <v>0</v>
      </c>
      <c r="G81" s="43">
        <f ca="1">SUMPRODUCT($B12:OFFSET($B13,-1,0),G82:OFFSET(G83,-1,0))</f>
        <v>0</v>
      </c>
      <c r="H81" s="43">
        <f ca="1">SUMPRODUCT($B12:OFFSET($B13,-1,0),H82:OFFSET(H83,-1,0))</f>
        <v>0</v>
      </c>
      <c r="I81" s="43">
        <f ca="1">SUMPRODUCT($B12:OFFSET($B13,-1,0),I82:OFFSET(I83,-1,0))</f>
        <v>0</v>
      </c>
      <c r="J81" s="43">
        <f ca="1">SUMPRODUCT($B12:OFFSET($B13,-1,0),J82:OFFSET(J83,-1,0))</f>
        <v>0</v>
      </c>
      <c r="K81" s="43">
        <f ca="1">SUMPRODUCT($B12:OFFSET($B13,-1,0),K82:OFFSET(K83,-1,0))</f>
        <v>0</v>
      </c>
      <c r="L81" s="43">
        <f ca="1">SUMPRODUCT($B12:OFFSET($B13,-1,0),L82:OFFSET(L83,-1,0))</f>
        <v>0</v>
      </c>
      <c r="M81" s="43">
        <f ca="1">SUMPRODUCT($B12:OFFSET($B13,-1,0),M82:OFFSET(M83,-1,0))</f>
        <v>0</v>
      </c>
      <c r="N81" s="43">
        <f ca="1">SUMPRODUCT($B12:OFFSET($B13,-1,0),N82:OFFSET(N83,-1,0))</f>
        <v>0</v>
      </c>
      <c r="O81" s="43">
        <f ca="1">SUMPRODUCT($B12:OFFSET($B13,-1,0),O82:OFFSET(O83,-1,0))</f>
        <v>0</v>
      </c>
      <c r="P81" s="43">
        <f ca="1">SUMPRODUCT($B12:OFFSET($B13,-1,0),P82:OFFSET(P83,-1,0))</f>
        <v>0</v>
      </c>
      <c r="Q81" s="43">
        <f ca="1">SUMPRODUCT($B12:OFFSET($B13,-1,0),Q82:OFFSET(Q83,-1,0))</f>
        <v>0</v>
      </c>
      <c r="S81" s="54">
        <f t="shared" ca="1" si="5"/>
        <v>0</v>
      </c>
    </row>
    <row r="82" spans="1:19" s="11" customFormat="1" hidden="1" outlineLevel="2" x14ac:dyDescent="0.2">
      <c r="A82" s="11" t="str">
        <f>"        " &amp; A12</f>
        <v xml:space="preserve">        Наименование проекта</v>
      </c>
      <c r="C82" s="199" t="str">
        <f t="shared" ca="1" si="4"/>
        <v>руб.</v>
      </c>
      <c r="D82" s="11" t="str">
        <f>"[" &amp; F12 &amp; "];int_sum"</f>
        <v>[Проект];int_sum</v>
      </c>
      <c r="F82" s="54">
        <f ca="1">IF(OR(F$33&lt;$B28,F$33&gt;$C28),0,OFFSET(Проект!F$1276,0,1-$B28))</f>
        <v>0</v>
      </c>
      <c r="G82" s="54">
        <f ca="1">IF(OR(G$33&lt;$B28,G$33&gt;$C28),0,OFFSET(Проект!G$1276,0,1-$B28))</f>
        <v>0</v>
      </c>
      <c r="H82" s="54">
        <f ca="1">IF(OR(H$33&lt;$B28,H$33&gt;$C28),0,OFFSET(Проект!H$1276,0,1-$B28))</f>
        <v>0</v>
      </c>
      <c r="I82" s="54">
        <f ca="1">IF(OR(I$33&lt;$B28,I$33&gt;$C28),0,OFFSET(Проект!I$1276,0,1-$B28))</f>
        <v>0</v>
      </c>
      <c r="J82" s="54">
        <f ca="1">IF(OR(J$33&lt;$B28,J$33&gt;$C28),0,OFFSET(Проект!J$1276,0,1-$B28))</f>
        <v>0</v>
      </c>
      <c r="K82" s="54">
        <f ca="1">IF(OR(K$33&lt;$B28,K$33&gt;$C28),0,OFFSET(Проект!K$1276,0,1-$B28))</f>
        <v>0</v>
      </c>
      <c r="L82" s="54">
        <f ca="1">IF(OR(L$33&lt;$B28,L$33&gt;$C28),0,OFFSET(Проект!L$1276,0,1-$B28))</f>
        <v>0</v>
      </c>
      <c r="M82" s="54">
        <f ca="1">IF(OR(M$33&lt;$B28,M$33&gt;$C28),0,OFFSET(Проект!M$1276,0,1-$B28))</f>
        <v>0</v>
      </c>
      <c r="N82" s="54">
        <f ca="1">IF(OR(N$33&lt;$B28,N$33&gt;$C28),0,OFFSET(Проект!N$1276,0,1-$B28))</f>
        <v>0</v>
      </c>
      <c r="O82" s="54">
        <f ca="1">IF(OR(O$33&lt;$B28,O$33&gt;$C28),0,OFFSET(Проект!O$1276,0,1-$B28))</f>
        <v>0</v>
      </c>
      <c r="P82" s="54">
        <f ca="1">IF(OR(P$33&lt;$B28,P$33&gt;$C28),0,OFFSET(Проект!P$1276,0,1-$B28))</f>
        <v>0</v>
      </c>
      <c r="Q82" s="54">
        <f ca="1">IF(OR(Q$33&lt;$B28,Q$33&gt;$C28),0,OFFSET(Проект!Q$1276,0,1-$B28))</f>
        <v>0</v>
      </c>
      <c r="S82" s="54">
        <f t="shared" ca="1" si="5"/>
        <v>0</v>
      </c>
    </row>
    <row r="83" spans="1:19" outlineLevel="1" collapsed="1" x14ac:dyDescent="0.2">
      <c r="A83" t="str">
        <f ca="1">Language!A$695</f>
        <v>Прирост чистого оборотного капитала</v>
      </c>
      <c r="C83" s="26" t="str">
        <f t="shared" ca="1" si="4"/>
        <v>руб.</v>
      </c>
      <c r="D83" s="205" t="s">
        <v>2210</v>
      </c>
      <c r="F83" s="43">
        <f ca="1">SUMPRODUCT($B12:OFFSET($B13,-1,0),F84:OFFSET(F85,-1,0))</f>
        <v>-648376</v>
      </c>
      <c r="G83" s="43">
        <f ca="1">SUMPRODUCT($B12:OFFSET($B13,-1,0),G84:OFFSET(G85,-1,0))</f>
        <v>415440</v>
      </c>
      <c r="H83" s="43">
        <f ca="1">SUMPRODUCT($B12:OFFSET($B13,-1,0),H84:OFFSET(H85,-1,0))</f>
        <v>-24435.877125000115</v>
      </c>
      <c r="I83" s="43">
        <f ca="1">SUMPRODUCT($B12:OFFSET($B13,-1,0),I84:OFFSET(I85,-1,0))</f>
        <v>-97743.508499999763</v>
      </c>
      <c r="J83" s="43">
        <f ca="1">SUMPRODUCT($B12:OFFSET($B13,-1,0),J84:OFFSET(J85,-1,0))</f>
        <v>-122179.385625</v>
      </c>
      <c r="K83" s="43">
        <f ca="1">SUMPRODUCT($B12:OFFSET($B13,-1,0),K84:OFFSET(K85,-1,0))</f>
        <v>-244358.77125000022</v>
      </c>
      <c r="L83" s="43">
        <f ca="1">SUMPRODUCT($B12:OFFSET($B13,-1,0),L84:OFFSET(L85,-1,0))</f>
        <v>-244358.77124999976</v>
      </c>
      <c r="M83" s="43">
        <f ca="1">SUMPRODUCT($B12:OFFSET($B13,-1,0),M84:OFFSET(M85,-1,0))</f>
        <v>-244358.77125000011</v>
      </c>
      <c r="N83" s="43">
        <f ca="1">SUMPRODUCT($B12:OFFSET($B13,-1,0),N84:OFFSET(N85,-1,0))</f>
        <v>-366538.15687499987</v>
      </c>
      <c r="O83" s="43">
        <f ca="1">SUMPRODUCT($B12:OFFSET($B13,-1,0),O84:OFFSET(O85,-1,0))</f>
        <v>-488717.54250000021</v>
      </c>
      <c r="P83" s="43">
        <f ca="1">SUMPRODUCT($B12:OFFSET($B13,-1,0),P84:OFFSET(P85,-1,0))</f>
        <v>-366538.1568750001</v>
      </c>
      <c r="Q83" s="43">
        <f ca="1">SUMPRODUCT($B12:OFFSET($B13,-1,0),Q84:OFFSET(Q85,-1,0))</f>
        <v>-244358.77124999976</v>
      </c>
      <c r="S83" s="54">
        <f t="shared" ca="1" si="5"/>
        <v>-2676523.7124999999</v>
      </c>
    </row>
    <row r="84" spans="1:19" s="11" customFormat="1" hidden="1" outlineLevel="2" x14ac:dyDescent="0.2">
      <c r="A84" s="11" t="str">
        <f>"        " &amp; A12</f>
        <v xml:space="preserve">        Наименование проекта</v>
      </c>
      <c r="C84" s="199" t="str">
        <f t="shared" ca="1" si="4"/>
        <v>руб.</v>
      </c>
      <c r="D84" s="11" t="str">
        <f>"[" &amp; F12 &amp; "];int_sum"</f>
        <v>[Проект];int_sum</v>
      </c>
      <c r="F84" s="54">
        <f ca="1">IF(OR(F$33&lt;$B28,F$33&gt;$C28),0,OFFSET(Проект!F$1277,0,1-$B28))</f>
        <v>-648376</v>
      </c>
      <c r="G84" s="54">
        <f ca="1">IF(OR(G$33&lt;$B28,G$33&gt;$C28),0,OFFSET(Проект!G$1277,0,1-$B28))</f>
        <v>415440</v>
      </c>
      <c r="H84" s="54">
        <f ca="1">IF(OR(H$33&lt;$B28,H$33&gt;$C28),0,OFFSET(Проект!H$1277,0,1-$B28))</f>
        <v>-24435.877125000115</v>
      </c>
      <c r="I84" s="54">
        <f ca="1">IF(OR(I$33&lt;$B28,I$33&gt;$C28),0,OFFSET(Проект!I$1277,0,1-$B28))</f>
        <v>-97743.508499999763</v>
      </c>
      <c r="J84" s="54">
        <f ca="1">IF(OR(J$33&lt;$B28,J$33&gt;$C28),0,OFFSET(Проект!J$1277,0,1-$B28))</f>
        <v>-122179.385625</v>
      </c>
      <c r="K84" s="54">
        <f ca="1">IF(OR(K$33&lt;$B28,K$33&gt;$C28),0,OFFSET(Проект!K$1277,0,1-$B28))</f>
        <v>-244358.77125000022</v>
      </c>
      <c r="L84" s="54">
        <f ca="1">IF(OR(L$33&lt;$B28,L$33&gt;$C28),0,OFFSET(Проект!L$1277,0,1-$B28))</f>
        <v>-244358.77124999976</v>
      </c>
      <c r="M84" s="54">
        <f ca="1">IF(OR(M$33&lt;$B28,M$33&gt;$C28),0,OFFSET(Проект!M$1277,0,1-$B28))</f>
        <v>-244358.77125000011</v>
      </c>
      <c r="N84" s="54">
        <f ca="1">IF(OR(N$33&lt;$B28,N$33&gt;$C28),0,OFFSET(Проект!N$1277,0,1-$B28))</f>
        <v>-366538.15687499987</v>
      </c>
      <c r="O84" s="54">
        <f ca="1">IF(OR(O$33&lt;$B28,O$33&gt;$C28),0,OFFSET(Проект!O$1277,0,1-$B28))</f>
        <v>-488717.54250000021</v>
      </c>
      <c r="P84" s="54">
        <f ca="1">IF(OR(P$33&lt;$B28,P$33&gt;$C28),0,OFFSET(Проект!P$1277,0,1-$B28))</f>
        <v>-366538.1568750001</v>
      </c>
      <c r="Q84" s="54">
        <f ca="1">IF(OR(Q$33&lt;$B28,Q$33&gt;$C28),0,OFFSET(Проект!Q$1277,0,1-$B28))</f>
        <v>-244358.77124999976</v>
      </c>
      <c r="S84" s="54">
        <f t="shared" ca="1" si="5"/>
        <v>-2676523.7124999999</v>
      </c>
    </row>
    <row r="85" spans="1:19" outlineLevel="1" x14ac:dyDescent="0.2">
      <c r="S85" s="11"/>
    </row>
    <row r="86" spans="1:19" ht="10.5" outlineLevel="1" collapsed="1" x14ac:dyDescent="0.25">
      <c r="A86" s="35" t="str">
        <f ca="1">Language!A$696</f>
        <v>Привлечение финансирования</v>
      </c>
      <c r="C86" s="26" t="str">
        <f ca="1">CUR_Report</f>
        <v>руб.</v>
      </c>
      <c r="D86" s="205" t="s">
        <v>2210</v>
      </c>
      <c r="F86" s="58">
        <f ca="1">SUMPRODUCT($B12:OFFSET($B13,-1,0),F87:OFFSET(F88,-1,0))</f>
        <v>2359067.6844783714</v>
      </c>
      <c r="G86" s="58">
        <f ca="1">SUMPRODUCT($B12:OFFSET($B13,-1,0),G87:OFFSET(G88,-1,0))</f>
        <v>2982103.1201237948</v>
      </c>
      <c r="H86" s="58">
        <f ca="1">SUMPRODUCT($B12:OFFSET($B13,-1,0),H87:OFFSET(H88,-1,0))</f>
        <v>2393268.0173260393</v>
      </c>
      <c r="I86" s="58">
        <f ca="1">SUMPRODUCT($B12:OFFSET($B13,-1,0),I87:OFFSET(I88,-1,0))</f>
        <v>1809034.9566888495</v>
      </c>
      <c r="J86" s="58">
        <f ca="1">SUMPRODUCT($B12:OFFSET($B13,-1,0),J87:OFFSET(J88,-1,0))</f>
        <v>1144435.2062421832</v>
      </c>
      <c r="K86" s="58">
        <f ca="1">SUMPRODUCT($B12:OFFSET($B13,-1,0),K87:OFFSET(K88,-1,0))</f>
        <v>0</v>
      </c>
      <c r="L86" s="58">
        <f ca="1">SUMPRODUCT($B12:OFFSET($B13,-1,0),L87:OFFSET(L88,-1,0))</f>
        <v>0</v>
      </c>
      <c r="M86" s="58">
        <f ca="1">SUMPRODUCT($B12:OFFSET($B13,-1,0),M87:OFFSET(M88,-1,0))</f>
        <v>0</v>
      </c>
      <c r="N86" s="58">
        <f ca="1">SUMPRODUCT($B12:OFFSET($B13,-1,0),N87:OFFSET(N88,-1,0))</f>
        <v>0</v>
      </c>
      <c r="O86" s="58">
        <f ca="1">SUMPRODUCT($B12:OFFSET($B13,-1,0),O87:OFFSET(O88,-1,0))</f>
        <v>0</v>
      </c>
      <c r="P86" s="58">
        <f ca="1">SUMPRODUCT($B12:OFFSET($B13,-1,0),P87:OFFSET(P88,-1,0))</f>
        <v>0</v>
      </c>
      <c r="Q86" s="58">
        <f ca="1">SUMPRODUCT($B12:OFFSET($B13,-1,0),Q87:OFFSET(Q88,-1,0))</f>
        <v>0</v>
      </c>
      <c r="S86" s="57">
        <f ca="1">SUM(F86:Q86)</f>
        <v>10687908.984859239</v>
      </c>
    </row>
    <row r="87" spans="1:19" s="11" customFormat="1" hidden="1" outlineLevel="2" x14ac:dyDescent="0.2">
      <c r="A87" s="11" t="str">
        <f>"        " &amp; A12</f>
        <v xml:space="preserve">        Наименование проекта</v>
      </c>
      <c r="C87" s="199" t="str">
        <f ca="1">CUR_Report</f>
        <v>руб.</v>
      </c>
      <c r="D87" s="11" t="str">
        <f>"[" &amp; F12 &amp; "];int_sum"</f>
        <v>[Проект];int_sum</v>
      </c>
      <c r="F87" s="54">
        <f ca="1">IF(OR(F$33&lt;$B28,F$33&gt;$C28),0,OFFSET(Проект!F$1279,0,1-$B28))</f>
        <v>2359067.6844783714</v>
      </c>
      <c r="G87" s="54">
        <f ca="1">IF(OR(G$33&lt;$B28,G$33&gt;$C28),0,OFFSET(Проект!G$1279,0,1-$B28))</f>
        <v>2982103.1201237948</v>
      </c>
      <c r="H87" s="54">
        <f ca="1">IF(OR(H$33&lt;$B28,H$33&gt;$C28),0,OFFSET(Проект!H$1279,0,1-$B28))</f>
        <v>2393268.0173260393</v>
      </c>
      <c r="I87" s="54">
        <f ca="1">IF(OR(I$33&lt;$B28,I$33&gt;$C28),0,OFFSET(Проект!I$1279,0,1-$B28))</f>
        <v>1809034.9566888495</v>
      </c>
      <c r="J87" s="54">
        <f ca="1">IF(OR(J$33&lt;$B28,J$33&gt;$C28),0,OFFSET(Проект!J$1279,0,1-$B28))</f>
        <v>1144435.2062421832</v>
      </c>
      <c r="K87" s="54">
        <f ca="1">IF(OR(K$33&lt;$B28,K$33&gt;$C28),0,OFFSET(Проект!K$1279,0,1-$B28))</f>
        <v>0</v>
      </c>
      <c r="L87" s="54">
        <f ca="1">IF(OR(L$33&lt;$B28,L$33&gt;$C28),0,OFFSET(Проект!L$1279,0,1-$B28))</f>
        <v>0</v>
      </c>
      <c r="M87" s="54">
        <f ca="1">IF(OR(M$33&lt;$B28,M$33&gt;$C28),0,OFFSET(Проект!M$1279,0,1-$B28))</f>
        <v>0</v>
      </c>
      <c r="N87" s="54">
        <f ca="1">IF(OR(N$33&lt;$B28,N$33&gt;$C28),0,OFFSET(Проект!N$1279,0,1-$B28))</f>
        <v>0</v>
      </c>
      <c r="O87" s="54">
        <f ca="1">IF(OR(O$33&lt;$B28,O$33&gt;$C28),0,OFFSET(Проект!O$1279,0,1-$B28))</f>
        <v>0</v>
      </c>
      <c r="P87" s="54">
        <f ca="1">IF(OR(P$33&lt;$B28,P$33&gt;$C28),0,OFFSET(Проект!P$1279,0,1-$B28))</f>
        <v>0</v>
      </c>
      <c r="Q87" s="54">
        <f ca="1">IF(OR(Q$33&lt;$B28,Q$33&gt;$C28),0,OFFSET(Проект!Q$1279,0,1-$B28))</f>
        <v>0</v>
      </c>
      <c r="S87" s="54">
        <f ca="1">SUM(F87:Q87)</f>
        <v>10687908.984859239</v>
      </c>
    </row>
    <row r="88" spans="1:19" outlineLevel="1" x14ac:dyDescent="0.2">
      <c r="S88" s="11"/>
    </row>
    <row r="89" spans="1:19" outlineLevel="1" collapsed="1" x14ac:dyDescent="0.2">
      <c r="A89" t="str">
        <f ca="1">Language!A$641</f>
        <v>Средства собственников</v>
      </c>
      <c r="C89" s="26" t="str">
        <f t="shared" ref="C89:C98" ca="1" si="6">CUR_Report</f>
        <v>руб.</v>
      </c>
      <c r="D89" s="205" t="s">
        <v>2210</v>
      </c>
      <c r="F89" s="43">
        <f ca="1">SUMPRODUCT($B12:OFFSET($B13,-1,0),F90:OFFSET(F91,-1,0))</f>
        <v>0</v>
      </c>
      <c r="G89" s="43">
        <f ca="1">SUMPRODUCT($B12:OFFSET($B13,-1,0),G90:OFFSET(G91,-1,0))</f>
        <v>0</v>
      </c>
      <c r="H89" s="43">
        <f ca="1">SUMPRODUCT($B12:OFFSET($B13,-1,0),H90:OFFSET(H91,-1,0))</f>
        <v>0</v>
      </c>
      <c r="I89" s="43">
        <f ca="1">SUMPRODUCT($B12:OFFSET($B13,-1,0),I90:OFFSET(I91,-1,0))</f>
        <v>0</v>
      </c>
      <c r="J89" s="43">
        <f ca="1">SUMPRODUCT($B12:OFFSET($B13,-1,0),J90:OFFSET(J91,-1,0))</f>
        <v>0</v>
      </c>
      <c r="K89" s="43">
        <f ca="1">SUMPRODUCT($B12:OFFSET($B13,-1,0),K90:OFFSET(K91,-1,0))</f>
        <v>0</v>
      </c>
      <c r="L89" s="43">
        <f ca="1">SUMPRODUCT($B12:OFFSET($B13,-1,0),L90:OFFSET(L91,-1,0))</f>
        <v>0</v>
      </c>
      <c r="M89" s="43">
        <f ca="1">SUMPRODUCT($B12:OFFSET($B13,-1,0),M90:OFFSET(M91,-1,0))</f>
        <v>0</v>
      </c>
      <c r="N89" s="43">
        <f ca="1">SUMPRODUCT($B12:OFFSET($B13,-1,0),N90:OFFSET(N91,-1,0))</f>
        <v>0</v>
      </c>
      <c r="O89" s="43">
        <f ca="1">SUMPRODUCT($B12:OFFSET($B13,-1,0),O90:OFFSET(O91,-1,0))</f>
        <v>0</v>
      </c>
      <c r="P89" s="43">
        <f ca="1">SUMPRODUCT($B12:OFFSET($B13,-1,0),P90:OFFSET(P91,-1,0))</f>
        <v>0</v>
      </c>
      <c r="Q89" s="43">
        <f ca="1">SUMPRODUCT($B12:OFFSET($B13,-1,0),Q90:OFFSET(Q91,-1,0))</f>
        <v>0</v>
      </c>
      <c r="S89" s="54">
        <f t="shared" ref="S89:S98" ca="1" si="7">SUM(F89:Q89)</f>
        <v>0</v>
      </c>
    </row>
    <row r="90" spans="1:19" s="11" customFormat="1" hidden="1" outlineLevel="2" x14ac:dyDescent="0.2">
      <c r="A90" s="11" t="str">
        <f>"        " &amp; A12</f>
        <v xml:space="preserve">        Наименование проекта</v>
      </c>
      <c r="C90" s="199" t="str">
        <f t="shared" ca="1" si="6"/>
        <v>руб.</v>
      </c>
      <c r="D90" s="11" t="str">
        <f>"[" &amp; F12 &amp; "];int_sum"</f>
        <v>[Проект];int_sum</v>
      </c>
      <c r="F90" s="54">
        <f ca="1">IF(OR(F$33&lt;$B28,F$33&gt;$C28),0,OFFSET(Проект!F$1281,0,1-$B28))</f>
        <v>0</v>
      </c>
      <c r="G90" s="54">
        <f ca="1">IF(OR(G$33&lt;$B28,G$33&gt;$C28),0,OFFSET(Проект!G$1281,0,1-$B28))</f>
        <v>0</v>
      </c>
      <c r="H90" s="54">
        <f ca="1">IF(OR(H$33&lt;$B28,H$33&gt;$C28),0,OFFSET(Проект!H$1281,0,1-$B28))</f>
        <v>0</v>
      </c>
      <c r="I90" s="54">
        <f ca="1">IF(OR(I$33&lt;$B28,I$33&gt;$C28),0,OFFSET(Проект!I$1281,0,1-$B28))</f>
        <v>0</v>
      </c>
      <c r="J90" s="54">
        <f ca="1">IF(OR(J$33&lt;$B28,J$33&gt;$C28),0,OFFSET(Проект!J$1281,0,1-$B28))</f>
        <v>0</v>
      </c>
      <c r="K90" s="54">
        <f ca="1">IF(OR(K$33&lt;$B28,K$33&gt;$C28),0,OFFSET(Проект!K$1281,0,1-$B28))</f>
        <v>0</v>
      </c>
      <c r="L90" s="54">
        <f ca="1">IF(OR(L$33&lt;$B28,L$33&gt;$C28),0,OFFSET(Проект!L$1281,0,1-$B28))</f>
        <v>0</v>
      </c>
      <c r="M90" s="54">
        <f ca="1">IF(OR(M$33&lt;$B28,M$33&gt;$C28),0,OFFSET(Проект!M$1281,0,1-$B28))</f>
        <v>0</v>
      </c>
      <c r="N90" s="54">
        <f ca="1">IF(OR(N$33&lt;$B28,N$33&gt;$C28),0,OFFSET(Проект!N$1281,0,1-$B28))</f>
        <v>0</v>
      </c>
      <c r="O90" s="54">
        <f ca="1">IF(OR(O$33&lt;$B28,O$33&gt;$C28),0,OFFSET(Проект!O$1281,0,1-$B28))</f>
        <v>0</v>
      </c>
      <c r="P90" s="54">
        <f ca="1">IF(OR(P$33&lt;$B28,P$33&gt;$C28),0,OFFSET(Проект!P$1281,0,1-$B28))</f>
        <v>0</v>
      </c>
      <c r="Q90" s="54">
        <f ca="1">IF(OR(Q$33&lt;$B28,Q$33&gt;$C28),0,OFFSET(Проект!Q$1281,0,1-$B28))</f>
        <v>0</v>
      </c>
      <c r="S90" s="54">
        <f t="shared" ca="1" si="7"/>
        <v>0</v>
      </c>
    </row>
    <row r="91" spans="1:19" outlineLevel="1" collapsed="1" x14ac:dyDescent="0.2">
      <c r="A91" t="str">
        <f ca="1">Language!A$647</f>
        <v>Средства от текущей деятельности</v>
      </c>
      <c r="C91" s="26" t="str">
        <f t="shared" ca="1" si="6"/>
        <v>руб.</v>
      </c>
      <c r="D91" s="205" t="s">
        <v>2210</v>
      </c>
      <c r="F91" s="43">
        <f ca="1">SUMPRODUCT($B12:OFFSET($B13,-1,0),F92:OFFSET(F93,-1,0))</f>
        <v>0</v>
      </c>
      <c r="G91" s="43">
        <f ca="1">SUMPRODUCT($B12:OFFSET($B13,-1,0),G92:OFFSET(G93,-1,0))</f>
        <v>0</v>
      </c>
      <c r="H91" s="43">
        <f ca="1">SUMPRODUCT($B12:OFFSET($B13,-1,0),H92:OFFSET(H93,-1,0))</f>
        <v>0</v>
      </c>
      <c r="I91" s="43">
        <f ca="1">SUMPRODUCT($B12:OFFSET($B13,-1,0),I92:OFFSET(I93,-1,0))</f>
        <v>0</v>
      </c>
      <c r="J91" s="43">
        <f ca="1">SUMPRODUCT($B12:OFFSET($B13,-1,0),J92:OFFSET(J93,-1,0))</f>
        <v>0</v>
      </c>
      <c r="K91" s="43">
        <f ca="1">SUMPRODUCT($B12:OFFSET($B13,-1,0),K92:OFFSET(K93,-1,0))</f>
        <v>0</v>
      </c>
      <c r="L91" s="43">
        <f ca="1">SUMPRODUCT($B12:OFFSET($B13,-1,0),L92:OFFSET(L93,-1,0))</f>
        <v>0</v>
      </c>
      <c r="M91" s="43">
        <f ca="1">SUMPRODUCT($B12:OFFSET($B13,-1,0),M92:OFFSET(M93,-1,0))</f>
        <v>0</v>
      </c>
      <c r="N91" s="43">
        <f ca="1">SUMPRODUCT($B12:OFFSET($B13,-1,0),N92:OFFSET(N93,-1,0))</f>
        <v>0</v>
      </c>
      <c r="O91" s="43">
        <f ca="1">SUMPRODUCT($B12:OFFSET($B13,-1,0),O92:OFFSET(O93,-1,0))</f>
        <v>0</v>
      </c>
      <c r="P91" s="43">
        <f ca="1">SUMPRODUCT($B12:OFFSET($B13,-1,0),P92:OFFSET(P93,-1,0))</f>
        <v>0</v>
      </c>
      <c r="Q91" s="43">
        <f ca="1">SUMPRODUCT($B12:OFFSET($B13,-1,0),Q92:OFFSET(Q93,-1,0))</f>
        <v>0</v>
      </c>
      <c r="S91" s="54">
        <f t="shared" ca="1" si="7"/>
        <v>0</v>
      </c>
    </row>
    <row r="92" spans="1:19" s="11" customFormat="1" hidden="1" outlineLevel="2" x14ac:dyDescent="0.2">
      <c r="A92" s="11" t="str">
        <f>"        " &amp; A12</f>
        <v xml:space="preserve">        Наименование проекта</v>
      </c>
      <c r="C92" s="199" t="str">
        <f t="shared" ca="1" si="6"/>
        <v>руб.</v>
      </c>
      <c r="D92" s="11" t="str">
        <f>"[" &amp; F12 &amp; "];int_sum"</f>
        <v>[Проект];int_sum</v>
      </c>
      <c r="F92" s="54">
        <f ca="1">IF(OR(F$33&lt;$B28,F$33&gt;$C28),0,OFFSET(Проект!F$1282,0,1-$B28))</f>
        <v>0</v>
      </c>
      <c r="G92" s="54">
        <f ca="1">IF(OR(G$33&lt;$B28,G$33&gt;$C28),0,OFFSET(Проект!G$1282,0,1-$B28))</f>
        <v>0</v>
      </c>
      <c r="H92" s="54">
        <f ca="1">IF(OR(H$33&lt;$B28,H$33&gt;$C28),0,OFFSET(Проект!H$1282,0,1-$B28))</f>
        <v>0</v>
      </c>
      <c r="I92" s="54">
        <f ca="1">IF(OR(I$33&lt;$B28,I$33&gt;$C28),0,OFFSET(Проект!I$1282,0,1-$B28))</f>
        <v>0</v>
      </c>
      <c r="J92" s="54">
        <f ca="1">IF(OR(J$33&lt;$B28,J$33&gt;$C28),0,OFFSET(Проект!J$1282,0,1-$B28))</f>
        <v>0</v>
      </c>
      <c r="K92" s="54">
        <f ca="1">IF(OR(K$33&lt;$B28,K$33&gt;$C28),0,OFFSET(Проект!K$1282,0,1-$B28))</f>
        <v>0</v>
      </c>
      <c r="L92" s="54">
        <f ca="1">IF(OR(L$33&lt;$B28,L$33&gt;$C28),0,OFFSET(Проект!L$1282,0,1-$B28))</f>
        <v>0</v>
      </c>
      <c r="M92" s="54">
        <f ca="1">IF(OR(M$33&lt;$B28,M$33&gt;$C28),0,OFFSET(Проект!M$1282,0,1-$B28))</f>
        <v>0</v>
      </c>
      <c r="N92" s="54">
        <f ca="1">IF(OR(N$33&lt;$B28,N$33&gt;$C28),0,OFFSET(Проект!N$1282,0,1-$B28))</f>
        <v>0</v>
      </c>
      <c r="O92" s="54">
        <f ca="1">IF(OR(O$33&lt;$B28,O$33&gt;$C28),0,OFFSET(Проект!O$1282,0,1-$B28))</f>
        <v>0</v>
      </c>
      <c r="P92" s="54">
        <f ca="1">IF(OR(P$33&lt;$B28,P$33&gt;$C28),0,OFFSET(Проект!P$1282,0,1-$B28))</f>
        <v>0</v>
      </c>
      <c r="Q92" s="54">
        <f ca="1">IF(OR(Q$33&lt;$B28,Q$33&gt;$C28),0,OFFSET(Проект!Q$1282,0,1-$B28))</f>
        <v>0</v>
      </c>
      <c r="S92" s="54">
        <f t="shared" ca="1" si="7"/>
        <v>0</v>
      </c>
    </row>
    <row r="93" spans="1:19" outlineLevel="1" collapsed="1" x14ac:dyDescent="0.2">
      <c r="A93" t="str">
        <f ca="1">Language!A$649</f>
        <v>Целевое финансирование</v>
      </c>
      <c r="C93" s="26" t="str">
        <f t="shared" ca="1" si="6"/>
        <v>руб.</v>
      </c>
      <c r="D93" s="205" t="s">
        <v>2210</v>
      </c>
      <c r="F93" s="43">
        <f ca="1">SUMPRODUCT($B12:OFFSET($B13,-1,0),F94:OFFSET(F95,-1,0))</f>
        <v>0</v>
      </c>
      <c r="G93" s="43">
        <f ca="1">SUMPRODUCT($B12:OFFSET($B13,-1,0),G94:OFFSET(G95,-1,0))</f>
        <v>0</v>
      </c>
      <c r="H93" s="43">
        <f ca="1">SUMPRODUCT($B12:OFFSET($B13,-1,0),H94:OFFSET(H95,-1,0))</f>
        <v>0</v>
      </c>
      <c r="I93" s="43">
        <f ca="1">SUMPRODUCT($B12:OFFSET($B13,-1,0),I94:OFFSET(I95,-1,0))</f>
        <v>0</v>
      </c>
      <c r="J93" s="43">
        <f ca="1">SUMPRODUCT($B12:OFFSET($B13,-1,0),J94:OFFSET(J95,-1,0))</f>
        <v>0</v>
      </c>
      <c r="K93" s="43">
        <f ca="1">SUMPRODUCT($B12:OFFSET($B13,-1,0),K94:OFFSET(K95,-1,0))</f>
        <v>0</v>
      </c>
      <c r="L93" s="43">
        <f ca="1">SUMPRODUCT($B12:OFFSET($B13,-1,0),L94:OFFSET(L95,-1,0))</f>
        <v>0</v>
      </c>
      <c r="M93" s="43">
        <f ca="1">SUMPRODUCT($B12:OFFSET($B13,-1,0),M94:OFFSET(M95,-1,0))</f>
        <v>0</v>
      </c>
      <c r="N93" s="43">
        <f ca="1">SUMPRODUCT($B12:OFFSET($B13,-1,0),N94:OFFSET(N95,-1,0))</f>
        <v>0</v>
      </c>
      <c r="O93" s="43">
        <f ca="1">SUMPRODUCT($B12:OFFSET($B13,-1,0),O94:OFFSET(O95,-1,0))</f>
        <v>0</v>
      </c>
      <c r="P93" s="43">
        <f ca="1">SUMPRODUCT($B12:OFFSET($B13,-1,0),P94:OFFSET(P95,-1,0))</f>
        <v>0</v>
      </c>
      <c r="Q93" s="43">
        <f ca="1">SUMPRODUCT($B12:OFFSET($B13,-1,0),Q94:OFFSET(Q95,-1,0))</f>
        <v>0</v>
      </c>
      <c r="S93" s="54">
        <f t="shared" ca="1" si="7"/>
        <v>0</v>
      </c>
    </row>
    <row r="94" spans="1:19" s="11" customFormat="1" hidden="1" outlineLevel="2" x14ac:dyDescent="0.2">
      <c r="A94" s="11" t="str">
        <f>"        " &amp; A12</f>
        <v xml:space="preserve">        Наименование проекта</v>
      </c>
      <c r="C94" s="199" t="str">
        <f t="shared" ca="1" si="6"/>
        <v>руб.</v>
      </c>
      <c r="D94" s="11" t="str">
        <f>"[" &amp; F12 &amp; "];int_sum"</f>
        <v>[Проект];int_sum</v>
      </c>
      <c r="F94" s="54">
        <f ca="1">IF(OR(F$33&lt;$B28,F$33&gt;$C28),0,OFFSET(Проект!F$1283,0,1-$B28))</f>
        <v>0</v>
      </c>
      <c r="G94" s="54">
        <f ca="1">IF(OR(G$33&lt;$B28,G$33&gt;$C28),0,OFFSET(Проект!G$1283,0,1-$B28))</f>
        <v>0</v>
      </c>
      <c r="H94" s="54">
        <f ca="1">IF(OR(H$33&lt;$B28,H$33&gt;$C28),0,OFFSET(Проект!H$1283,0,1-$B28))</f>
        <v>0</v>
      </c>
      <c r="I94" s="54">
        <f ca="1">IF(OR(I$33&lt;$B28,I$33&gt;$C28),0,OFFSET(Проект!I$1283,0,1-$B28))</f>
        <v>0</v>
      </c>
      <c r="J94" s="54">
        <f ca="1">IF(OR(J$33&lt;$B28,J$33&gt;$C28),0,OFFSET(Проект!J$1283,0,1-$B28))</f>
        <v>0</v>
      </c>
      <c r="K94" s="54">
        <f ca="1">IF(OR(K$33&lt;$B28,K$33&gt;$C28),0,OFFSET(Проект!K$1283,0,1-$B28))</f>
        <v>0</v>
      </c>
      <c r="L94" s="54">
        <f ca="1">IF(OR(L$33&lt;$B28,L$33&gt;$C28),0,OFFSET(Проект!L$1283,0,1-$B28))</f>
        <v>0</v>
      </c>
      <c r="M94" s="54">
        <f ca="1">IF(OR(M$33&lt;$B28,M$33&gt;$C28),0,OFFSET(Проект!M$1283,0,1-$B28))</f>
        <v>0</v>
      </c>
      <c r="N94" s="54">
        <f ca="1">IF(OR(N$33&lt;$B28,N$33&gt;$C28),0,OFFSET(Проект!N$1283,0,1-$B28))</f>
        <v>0</v>
      </c>
      <c r="O94" s="54">
        <f ca="1">IF(OR(O$33&lt;$B28,O$33&gt;$C28),0,OFFSET(Проект!O$1283,0,1-$B28))</f>
        <v>0</v>
      </c>
      <c r="P94" s="54">
        <f ca="1">IF(OR(P$33&lt;$B28,P$33&gt;$C28),0,OFFSET(Проект!P$1283,0,1-$B28))</f>
        <v>0</v>
      </c>
      <c r="Q94" s="54">
        <f ca="1">IF(OR(Q$33&lt;$B28,Q$33&gt;$C28),0,OFFSET(Проект!Q$1283,0,1-$B28))</f>
        <v>0</v>
      </c>
      <c r="S94" s="54">
        <f t="shared" ca="1" si="7"/>
        <v>0</v>
      </c>
    </row>
    <row r="95" spans="1:19" outlineLevel="1" collapsed="1" x14ac:dyDescent="0.2">
      <c r="A95" t="str">
        <f ca="1">Language!A$650</f>
        <v>Средства от инвесторов строительства</v>
      </c>
      <c r="C95" s="26" t="str">
        <f t="shared" ca="1" si="6"/>
        <v>руб.</v>
      </c>
      <c r="D95" s="205" t="s">
        <v>2210</v>
      </c>
      <c r="F95" s="43">
        <f ca="1">SUMPRODUCT($B12:OFFSET($B13,-1,0),F96:OFFSET(F97,-1,0))</f>
        <v>0</v>
      </c>
      <c r="G95" s="43">
        <f ca="1">SUMPRODUCT($B12:OFFSET($B13,-1,0),G96:OFFSET(G97,-1,0))</f>
        <v>0</v>
      </c>
      <c r="H95" s="43">
        <f ca="1">SUMPRODUCT($B12:OFFSET($B13,-1,0),H96:OFFSET(H97,-1,0))</f>
        <v>0</v>
      </c>
      <c r="I95" s="43">
        <f ca="1">SUMPRODUCT($B12:OFFSET($B13,-1,0),I96:OFFSET(I97,-1,0))</f>
        <v>0</v>
      </c>
      <c r="J95" s="43">
        <f ca="1">SUMPRODUCT($B12:OFFSET($B13,-1,0),J96:OFFSET(J97,-1,0))</f>
        <v>0</v>
      </c>
      <c r="K95" s="43">
        <f ca="1">SUMPRODUCT($B12:OFFSET($B13,-1,0),K96:OFFSET(K97,-1,0))</f>
        <v>0</v>
      </c>
      <c r="L95" s="43">
        <f ca="1">SUMPRODUCT($B12:OFFSET($B13,-1,0),L96:OFFSET(L97,-1,0))</f>
        <v>0</v>
      </c>
      <c r="M95" s="43">
        <f ca="1">SUMPRODUCT($B12:OFFSET($B13,-1,0),M96:OFFSET(M97,-1,0))</f>
        <v>0</v>
      </c>
      <c r="N95" s="43">
        <f ca="1">SUMPRODUCT($B12:OFFSET($B13,-1,0),N96:OFFSET(N97,-1,0))</f>
        <v>0</v>
      </c>
      <c r="O95" s="43">
        <f ca="1">SUMPRODUCT($B12:OFFSET($B13,-1,0),O96:OFFSET(O97,-1,0))</f>
        <v>0</v>
      </c>
      <c r="P95" s="43">
        <f ca="1">SUMPRODUCT($B12:OFFSET($B13,-1,0),P96:OFFSET(P97,-1,0))</f>
        <v>0</v>
      </c>
      <c r="Q95" s="43">
        <f ca="1">SUMPRODUCT($B12:OFFSET($B13,-1,0),Q96:OFFSET(Q97,-1,0))</f>
        <v>0</v>
      </c>
      <c r="S95" s="54">
        <f t="shared" ca="1" si="7"/>
        <v>0</v>
      </c>
    </row>
    <row r="96" spans="1:19" s="11" customFormat="1" hidden="1" outlineLevel="2" x14ac:dyDescent="0.2">
      <c r="A96" s="11" t="str">
        <f>"        " &amp; A12</f>
        <v xml:space="preserve">        Наименование проекта</v>
      </c>
      <c r="C96" s="199" t="str">
        <f t="shared" ca="1" si="6"/>
        <v>руб.</v>
      </c>
      <c r="D96" s="11" t="str">
        <f>"[" &amp; F12 &amp; "];int_sum"</f>
        <v>[Проект];int_sum</v>
      </c>
      <c r="F96" s="54">
        <f ca="1">IF(OR(F$33&lt;$B28,F$33&gt;$C28),0,OFFSET(Проект!F$1284,0,1-$B28))</f>
        <v>0</v>
      </c>
      <c r="G96" s="54">
        <f ca="1">IF(OR(G$33&lt;$B28,G$33&gt;$C28),0,OFFSET(Проект!G$1284,0,1-$B28))</f>
        <v>0</v>
      </c>
      <c r="H96" s="54">
        <f ca="1">IF(OR(H$33&lt;$B28,H$33&gt;$C28),0,OFFSET(Проект!H$1284,0,1-$B28))</f>
        <v>0</v>
      </c>
      <c r="I96" s="54">
        <f ca="1">IF(OR(I$33&lt;$B28,I$33&gt;$C28),0,OFFSET(Проект!I$1284,0,1-$B28))</f>
        <v>0</v>
      </c>
      <c r="J96" s="54">
        <f ca="1">IF(OR(J$33&lt;$B28,J$33&gt;$C28),0,OFFSET(Проект!J$1284,0,1-$B28))</f>
        <v>0</v>
      </c>
      <c r="K96" s="54">
        <f ca="1">IF(OR(K$33&lt;$B28,K$33&gt;$C28),0,OFFSET(Проект!K$1284,0,1-$B28))</f>
        <v>0</v>
      </c>
      <c r="L96" s="54">
        <f ca="1">IF(OR(L$33&lt;$B28,L$33&gt;$C28),0,OFFSET(Проект!L$1284,0,1-$B28))</f>
        <v>0</v>
      </c>
      <c r="M96" s="54">
        <f ca="1">IF(OR(M$33&lt;$B28,M$33&gt;$C28),0,OFFSET(Проект!M$1284,0,1-$B28))</f>
        <v>0</v>
      </c>
      <c r="N96" s="54">
        <f ca="1">IF(OR(N$33&lt;$B28,N$33&gt;$C28),0,OFFSET(Проект!N$1284,0,1-$B28))</f>
        <v>0</v>
      </c>
      <c r="O96" s="54">
        <f ca="1">IF(OR(O$33&lt;$B28,O$33&gt;$C28),0,OFFSET(Проект!O$1284,0,1-$B28))</f>
        <v>0</v>
      </c>
      <c r="P96" s="54">
        <f ca="1">IF(OR(P$33&lt;$B28,P$33&gt;$C28),0,OFFSET(Проект!P$1284,0,1-$B28))</f>
        <v>0</v>
      </c>
      <c r="Q96" s="54">
        <f ca="1">IF(OR(Q$33&lt;$B28,Q$33&gt;$C28),0,OFFSET(Проект!Q$1284,0,1-$B28))</f>
        <v>0</v>
      </c>
      <c r="S96" s="54">
        <f t="shared" ca="1" si="7"/>
        <v>0</v>
      </c>
    </row>
    <row r="97" spans="1:19" outlineLevel="1" collapsed="1" x14ac:dyDescent="0.2">
      <c r="A97" t="str">
        <f ca="1">Language!A$659</f>
        <v>Поступление денег от кредита</v>
      </c>
      <c r="C97" s="26" t="str">
        <f t="shared" ca="1" si="6"/>
        <v>руб.</v>
      </c>
      <c r="D97" s="205" t="s">
        <v>2210</v>
      </c>
      <c r="F97" s="43">
        <f ca="1">SUMPRODUCT($B12:OFFSET($B13,-1,0),F98:OFFSET(F99,-1,0))</f>
        <v>2359067.6844783714</v>
      </c>
      <c r="G97" s="43">
        <f ca="1">SUMPRODUCT($B12:OFFSET($B13,-1,0),G98:OFFSET(G99,-1,0))</f>
        <v>2982103.1201237948</v>
      </c>
      <c r="H97" s="43">
        <f ca="1">SUMPRODUCT($B12:OFFSET($B13,-1,0),H98:OFFSET(H99,-1,0))</f>
        <v>2393268.0173260393</v>
      </c>
      <c r="I97" s="43">
        <f ca="1">SUMPRODUCT($B12:OFFSET($B13,-1,0),I98:OFFSET(I99,-1,0))</f>
        <v>1809034.9566888495</v>
      </c>
      <c r="J97" s="43">
        <f ca="1">SUMPRODUCT($B12:OFFSET($B13,-1,0),J98:OFFSET(J99,-1,0))</f>
        <v>1144435.2062421832</v>
      </c>
      <c r="K97" s="43">
        <f ca="1">SUMPRODUCT($B12:OFFSET($B13,-1,0),K98:OFFSET(K99,-1,0))</f>
        <v>0</v>
      </c>
      <c r="L97" s="43">
        <f ca="1">SUMPRODUCT($B12:OFFSET($B13,-1,0),L98:OFFSET(L99,-1,0))</f>
        <v>0</v>
      </c>
      <c r="M97" s="43">
        <f ca="1">SUMPRODUCT($B12:OFFSET($B13,-1,0),M98:OFFSET(M99,-1,0))</f>
        <v>0</v>
      </c>
      <c r="N97" s="43">
        <f ca="1">SUMPRODUCT($B12:OFFSET($B13,-1,0),N98:OFFSET(N99,-1,0))</f>
        <v>0</v>
      </c>
      <c r="O97" s="43">
        <f ca="1">SUMPRODUCT($B12:OFFSET($B13,-1,0),O98:OFFSET(O99,-1,0))</f>
        <v>0</v>
      </c>
      <c r="P97" s="43">
        <f ca="1">SUMPRODUCT($B12:OFFSET($B13,-1,0),P98:OFFSET(P99,-1,0))</f>
        <v>0</v>
      </c>
      <c r="Q97" s="43">
        <f ca="1">SUMPRODUCT($B12:OFFSET($B13,-1,0),Q98:OFFSET(Q99,-1,0))</f>
        <v>0</v>
      </c>
      <c r="S97" s="54">
        <f t="shared" ca="1" si="7"/>
        <v>10687908.984859239</v>
      </c>
    </row>
    <row r="98" spans="1:19" s="11" customFormat="1" hidden="1" outlineLevel="2" x14ac:dyDescent="0.2">
      <c r="A98" s="11" t="str">
        <f>"        " &amp; A12</f>
        <v xml:space="preserve">        Наименование проекта</v>
      </c>
      <c r="C98" s="199" t="str">
        <f t="shared" ca="1" si="6"/>
        <v>руб.</v>
      </c>
      <c r="D98" s="11" t="str">
        <f>"[" &amp; F12 &amp; "];int_sum"</f>
        <v>[Проект];int_sum</v>
      </c>
      <c r="F98" s="54">
        <f ca="1">IF(OR(F$33&lt;$B28,F$33&gt;$C28),0,OFFSET(Проект!F$1285,0,1-$B28))</f>
        <v>2359067.6844783714</v>
      </c>
      <c r="G98" s="54">
        <f ca="1">IF(OR(G$33&lt;$B28,G$33&gt;$C28),0,OFFSET(Проект!G$1285,0,1-$B28))</f>
        <v>2982103.1201237948</v>
      </c>
      <c r="H98" s="54">
        <f ca="1">IF(OR(H$33&lt;$B28,H$33&gt;$C28),0,OFFSET(Проект!H$1285,0,1-$B28))</f>
        <v>2393268.0173260393</v>
      </c>
      <c r="I98" s="54">
        <f ca="1">IF(OR(I$33&lt;$B28,I$33&gt;$C28),0,OFFSET(Проект!I$1285,0,1-$B28))</f>
        <v>1809034.9566888495</v>
      </c>
      <c r="J98" s="54">
        <f ca="1">IF(OR(J$33&lt;$B28,J$33&gt;$C28),0,OFFSET(Проект!J$1285,0,1-$B28))</f>
        <v>1144435.2062421832</v>
      </c>
      <c r="K98" s="54">
        <f ca="1">IF(OR(K$33&lt;$B28,K$33&gt;$C28),0,OFFSET(Проект!K$1285,0,1-$B28))</f>
        <v>0</v>
      </c>
      <c r="L98" s="54">
        <f ca="1">IF(OR(L$33&lt;$B28,L$33&gt;$C28),0,OFFSET(Проект!L$1285,0,1-$B28))</f>
        <v>0</v>
      </c>
      <c r="M98" s="54">
        <f ca="1">IF(OR(M$33&lt;$B28,M$33&gt;$C28),0,OFFSET(Проект!M$1285,0,1-$B28))</f>
        <v>0</v>
      </c>
      <c r="N98" s="54">
        <f ca="1">IF(OR(N$33&lt;$B28,N$33&gt;$C28),0,OFFSET(Проект!N$1285,0,1-$B28))</f>
        <v>0</v>
      </c>
      <c r="O98" s="54">
        <f ca="1">IF(OR(O$33&lt;$B28,O$33&gt;$C28),0,OFFSET(Проект!O$1285,0,1-$B28))</f>
        <v>0</v>
      </c>
      <c r="P98" s="54">
        <f ca="1">IF(OR(P$33&lt;$B28,P$33&gt;$C28),0,OFFSET(Проект!P$1285,0,1-$B28))</f>
        <v>0</v>
      </c>
      <c r="Q98" s="54">
        <f ca="1">IF(OR(Q$33&lt;$B28,Q$33&gt;$C28),0,OFFSET(Проект!Q$1285,0,1-$B28))</f>
        <v>0</v>
      </c>
      <c r="S98" s="54">
        <f t="shared" ca="1" si="7"/>
        <v>10687908.984859239</v>
      </c>
    </row>
    <row r="99" spans="1:19" outlineLevel="1" x14ac:dyDescent="0.2">
      <c r="S99" s="11"/>
    </row>
    <row r="100" spans="1:19" ht="10.5" outlineLevel="1" collapsed="1" x14ac:dyDescent="0.25">
      <c r="A100" s="35" t="str">
        <f ca="1">Language!A$697</f>
        <v>Возврат финансирования</v>
      </c>
      <c r="C100" s="26" t="str">
        <f ca="1">CUR_Report</f>
        <v>руб.</v>
      </c>
      <c r="D100" s="205" t="s">
        <v>2210</v>
      </c>
      <c r="F100" s="58">
        <f ca="1">SUMPRODUCT($B12:OFFSET($B13,-1,0),F101:OFFSET(F102,-1,0))</f>
        <v>0</v>
      </c>
      <c r="G100" s="58">
        <f ca="1">SUMPRODUCT($B12:OFFSET($B13,-1,0),G101:OFFSET(G102,-1,0))</f>
        <v>0</v>
      </c>
      <c r="H100" s="58">
        <f ca="1">SUMPRODUCT($B12:OFFSET($B13,-1,0),H101:OFFSET(H102,-1,0))</f>
        <v>0</v>
      </c>
      <c r="I100" s="58">
        <f ca="1">SUMPRODUCT($B12:OFFSET($B13,-1,0),I101:OFFSET(I102,-1,0))</f>
        <v>0</v>
      </c>
      <c r="J100" s="58">
        <f ca="1">SUMPRODUCT($B12:OFFSET($B13,-1,0),J101:OFFSET(J102,-1,0))</f>
        <v>0</v>
      </c>
      <c r="K100" s="58">
        <f ca="1">SUMPRODUCT($B12:OFFSET($B13,-1,0),K101:OFFSET(K102,-1,0))</f>
        <v>23659.363592692334</v>
      </c>
      <c r="L100" s="58">
        <f ca="1">SUMPRODUCT($B12:OFFSET($B13,-1,0),L101:OFFSET(L102,-1,0))</f>
        <v>1382857.7352272721</v>
      </c>
      <c r="M100" s="58">
        <f ca="1">SUMPRODUCT($B12:OFFSET($B13,-1,0),M101:OFFSET(M102,-1,0))</f>
        <v>2544234.9284090907</v>
      </c>
      <c r="N100" s="58">
        <f ca="1">SUMPRODUCT($B12:OFFSET($B13,-1,0),N101:OFFSET(N102,-1,0))</f>
        <v>4397372.886931817</v>
      </c>
      <c r="O100" s="58">
        <f ca="1">SUMPRODUCT($B12:OFFSET($B13,-1,0),O101:OFFSET(O102,-1,0))</f>
        <v>3558056.5059945099</v>
      </c>
      <c r="P100" s="58">
        <f ca="1">SUMPRODUCT($B12:OFFSET($B13,-1,0),P101:OFFSET(P102,-1,0))</f>
        <v>0</v>
      </c>
      <c r="Q100" s="58">
        <f ca="1">SUMPRODUCT($B12:OFFSET($B13,-1,0),Q101:OFFSET(Q102,-1,0))</f>
        <v>0</v>
      </c>
      <c r="S100" s="57">
        <f ca="1">SUM(F100:Q100)</f>
        <v>11906181.420155382</v>
      </c>
    </row>
    <row r="101" spans="1:19" s="11" customFormat="1" hidden="1" outlineLevel="2" x14ac:dyDescent="0.2">
      <c r="A101" s="11" t="str">
        <f>"        " &amp; A12</f>
        <v xml:space="preserve">        Наименование проекта</v>
      </c>
      <c r="C101" s="199" t="str">
        <f ca="1">CUR_Report</f>
        <v>руб.</v>
      </c>
      <c r="D101" s="11" t="str">
        <f>"[" &amp; F12 &amp; "];int_sum"</f>
        <v>[Проект];int_sum</v>
      </c>
      <c r="F101" s="54">
        <f ca="1">IF(OR(F$33&lt;$B28,F$33&gt;$C28),0,OFFSET(Проект!F$1287,0,1-$B28))</f>
        <v>0</v>
      </c>
      <c r="G101" s="54">
        <f ca="1">IF(OR(G$33&lt;$B28,G$33&gt;$C28),0,OFFSET(Проект!G$1287,0,1-$B28))</f>
        <v>0</v>
      </c>
      <c r="H101" s="54">
        <f ca="1">IF(OR(H$33&lt;$B28,H$33&gt;$C28),0,OFFSET(Проект!H$1287,0,1-$B28))</f>
        <v>0</v>
      </c>
      <c r="I101" s="54">
        <f ca="1">IF(OR(I$33&lt;$B28,I$33&gt;$C28),0,OFFSET(Проект!I$1287,0,1-$B28))</f>
        <v>0</v>
      </c>
      <c r="J101" s="54">
        <f ca="1">IF(OR(J$33&lt;$B28,J$33&gt;$C28),0,OFFSET(Проект!J$1287,0,1-$B28))</f>
        <v>0</v>
      </c>
      <c r="K101" s="54">
        <f ca="1">IF(OR(K$33&lt;$B28,K$33&gt;$C28),0,OFFSET(Проект!K$1287,0,1-$B28))</f>
        <v>23659.363592692334</v>
      </c>
      <c r="L101" s="54">
        <f ca="1">IF(OR(L$33&lt;$B28,L$33&gt;$C28),0,OFFSET(Проект!L$1287,0,1-$B28))</f>
        <v>1382857.7352272721</v>
      </c>
      <c r="M101" s="54">
        <f ca="1">IF(OR(M$33&lt;$B28,M$33&gt;$C28),0,OFFSET(Проект!M$1287,0,1-$B28))</f>
        <v>2544234.9284090907</v>
      </c>
      <c r="N101" s="54">
        <f ca="1">IF(OR(N$33&lt;$B28,N$33&gt;$C28),0,OFFSET(Проект!N$1287,0,1-$B28))</f>
        <v>4397372.886931817</v>
      </c>
      <c r="O101" s="54">
        <f ca="1">IF(OR(O$33&lt;$B28,O$33&gt;$C28),0,OFFSET(Проект!O$1287,0,1-$B28))</f>
        <v>3558056.5059945099</v>
      </c>
      <c r="P101" s="54">
        <f ca="1">IF(OR(P$33&lt;$B28,P$33&gt;$C28),0,OFFSET(Проект!P$1287,0,1-$B28))</f>
        <v>0</v>
      </c>
      <c r="Q101" s="54">
        <f ca="1">IF(OR(Q$33&lt;$B28,Q$33&gt;$C28),0,OFFSET(Проект!Q$1287,0,1-$B28))</f>
        <v>0</v>
      </c>
      <c r="S101" s="54">
        <f ca="1">SUM(F101:Q101)</f>
        <v>11906181.420155382</v>
      </c>
    </row>
    <row r="102" spans="1:19" outlineLevel="1" x14ac:dyDescent="0.2">
      <c r="S102" s="11"/>
    </row>
    <row r="103" spans="1:19" outlineLevel="1" collapsed="1" x14ac:dyDescent="0.2">
      <c r="A103" t="str">
        <f ca="1">Language!A$662</f>
        <v>Выплаченные проценты</v>
      </c>
      <c r="C103" s="26" t="str">
        <f t="shared" ref="C103:C110" ca="1" si="8">CUR_Report</f>
        <v>руб.</v>
      </c>
      <c r="D103" s="205" t="s">
        <v>2210</v>
      </c>
      <c r="F103" s="43">
        <f ca="1">SUMPRODUCT($B12:OFFSET($B13,-1,0),F104:OFFSET(F105,-1,0))</f>
        <v>0</v>
      </c>
      <c r="G103" s="43">
        <f ca="1">SUMPRODUCT($B12:OFFSET($B13,-1,0),G104:OFFSET(G105,-1,0))</f>
        <v>0</v>
      </c>
      <c r="H103" s="43">
        <f ca="1">SUMPRODUCT($B12:OFFSET($B13,-1,0),H104:OFFSET(H105,-1,0))</f>
        <v>0</v>
      </c>
      <c r="I103" s="43">
        <f ca="1">SUMPRODUCT($B12:OFFSET($B13,-1,0),I104:OFFSET(I105,-1,0))</f>
        <v>0</v>
      </c>
      <c r="J103" s="43">
        <f ca="1">SUMPRODUCT($B12:OFFSET($B13,-1,0),J104:OFFSET(J105,-1,0))</f>
        <v>0</v>
      </c>
      <c r="K103" s="43">
        <f ca="1">SUMPRODUCT($B12:OFFSET($B13,-1,0),K104:OFFSET(K105,-1,0))</f>
        <v>0</v>
      </c>
      <c r="L103" s="43">
        <f ca="1">SUMPRODUCT($B12:OFFSET($B13,-1,0),L104:OFFSET(L105,-1,0))</f>
        <v>180237.18952591211</v>
      </c>
      <c r="M103" s="43">
        <f ca="1">SUMPRODUCT($B12:OFFSET($B13,-1,0),M104:OFFSET(M105,-1,0))</f>
        <v>138130.35957124989</v>
      </c>
      <c r="N103" s="43">
        <f ca="1">SUMPRODUCT($B12:OFFSET($B13,-1,0),N104:OFFSET(N105,-1,0))</f>
        <v>62265.988854903924</v>
      </c>
      <c r="O103" s="43">
        <f ca="1">SUMPRODUCT($B12:OFFSET($B13,-1,0),O104:OFFSET(O105,-1,0))</f>
        <v>0</v>
      </c>
      <c r="P103" s="43">
        <f ca="1">SUMPRODUCT($B12:OFFSET($B13,-1,0),P104:OFFSET(P105,-1,0))</f>
        <v>0</v>
      </c>
      <c r="Q103" s="43">
        <f ca="1">SUMPRODUCT($B12:OFFSET($B13,-1,0),Q104:OFFSET(Q105,-1,0))</f>
        <v>0</v>
      </c>
      <c r="S103" s="54">
        <f t="shared" ref="S103:S110" ca="1" si="9">SUM(F103:Q103)</f>
        <v>380633.53795206588</v>
      </c>
    </row>
    <row r="104" spans="1:19" s="11" customFormat="1" hidden="1" outlineLevel="2" x14ac:dyDescent="0.2">
      <c r="A104" s="11" t="str">
        <f>"        " &amp; A12</f>
        <v xml:space="preserve">        Наименование проекта</v>
      </c>
      <c r="C104" s="199" t="str">
        <f t="shared" ca="1" si="8"/>
        <v>руб.</v>
      </c>
      <c r="D104" s="11" t="str">
        <f>"[" &amp; F12 &amp; "];int_sum"</f>
        <v>[Проект];int_sum</v>
      </c>
      <c r="F104" s="54">
        <f ca="1">IF(OR(F$33&lt;$B28,F$33&gt;$C28),0,OFFSET(Проект!F$1289,0,1-$B28))</f>
        <v>0</v>
      </c>
      <c r="G104" s="54">
        <f ca="1">IF(OR(G$33&lt;$B28,G$33&gt;$C28),0,OFFSET(Проект!G$1289,0,1-$B28))</f>
        <v>0</v>
      </c>
      <c r="H104" s="54">
        <f ca="1">IF(OR(H$33&lt;$B28,H$33&gt;$C28),0,OFFSET(Проект!H$1289,0,1-$B28))</f>
        <v>0</v>
      </c>
      <c r="I104" s="54">
        <f ca="1">IF(OR(I$33&lt;$B28,I$33&gt;$C28),0,OFFSET(Проект!I$1289,0,1-$B28))</f>
        <v>0</v>
      </c>
      <c r="J104" s="54">
        <f ca="1">IF(OR(J$33&lt;$B28,J$33&gt;$C28),0,OFFSET(Проект!J$1289,0,1-$B28))</f>
        <v>0</v>
      </c>
      <c r="K104" s="54">
        <f ca="1">IF(OR(K$33&lt;$B28,K$33&gt;$C28),0,OFFSET(Проект!K$1289,0,1-$B28))</f>
        <v>0</v>
      </c>
      <c r="L104" s="54">
        <f ca="1">IF(OR(L$33&lt;$B28,L$33&gt;$C28),0,OFFSET(Проект!L$1289,0,1-$B28))</f>
        <v>180237.18952591211</v>
      </c>
      <c r="M104" s="54">
        <f ca="1">IF(OR(M$33&lt;$B28,M$33&gt;$C28),0,OFFSET(Проект!M$1289,0,1-$B28))</f>
        <v>138130.35957124989</v>
      </c>
      <c r="N104" s="54">
        <f ca="1">IF(OR(N$33&lt;$B28,N$33&gt;$C28),0,OFFSET(Проект!N$1289,0,1-$B28))</f>
        <v>62265.988854903924</v>
      </c>
      <c r="O104" s="54">
        <f ca="1">IF(OR(O$33&lt;$B28,O$33&gt;$C28),0,OFFSET(Проект!O$1289,0,1-$B28))</f>
        <v>0</v>
      </c>
      <c r="P104" s="54">
        <f ca="1">IF(OR(P$33&lt;$B28,P$33&gt;$C28),0,OFFSET(Проект!P$1289,0,1-$B28))</f>
        <v>0</v>
      </c>
      <c r="Q104" s="54">
        <f ca="1">IF(OR(Q$33&lt;$B28,Q$33&gt;$C28),0,OFFSET(Проект!Q$1289,0,1-$B28))</f>
        <v>0</v>
      </c>
      <c r="S104" s="54">
        <f t="shared" ca="1" si="9"/>
        <v>380633.53795206588</v>
      </c>
    </row>
    <row r="105" spans="1:19" outlineLevel="1" collapsed="1" x14ac:dyDescent="0.2">
      <c r="A105" t="str">
        <f ca="1">Language!A$698</f>
        <v>Дивиденды</v>
      </c>
      <c r="C105" s="26" t="str">
        <f t="shared" ca="1" si="8"/>
        <v>руб.</v>
      </c>
      <c r="D105" s="205" t="s">
        <v>2210</v>
      </c>
      <c r="F105" s="43">
        <f ca="1">SUMPRODUCT($B12:OFFSET($B13,-1,0),F106:OFFSET(F107,-1,0))</f>
        <v>0</v>
      </c>
      <c r="G105" s="43">
        <f ca="1">SUMPRODUCT($B12:OFFSET($B13,-1,0),G106:OFFSET(G107,-1,0))</f>
        <v>0</v>
      </c>
      <c r="H105" s="43">
        <f ca="1">SUMPRODUCT($B12:OFFSET($B13,-1,0),H106:OFFSET(H107,-1,0))</f>
        <v>0</v>
      </c>
      <c r="I105" s="43">
        <f ca="1">SUMPRODUCT($B12:OFFSET($B13,-1,0),I106:OFFSET(I107,-1,0))</f>
        <v>0</v>
      </c>
      <c r="J105" s="43">
        <f ca="1">SUMPRODUCT($B12:OFFSET($B13,-1,0),J106:OFFSET(J107,-1,0))</f>
        <v>0</v>
      </c>
      <c r="K105" s="43">
        <f ca="1">SUMPRODUCT($B12:OFFSET($B13,-1,0),K106:OFFSET(K107,-1,0))</f>
        <v>0</v>
      </c>
      <c r="L105" s="43">
        <f ca="1">SUMPRODUCT($B12:OFFSET($B13,-1,0),L106:OFFSET(L107,-1,0))</f>
        <v>0</v>
      </c>
      <c r="M105" s="43">
        <f ca="1">SUMPRODUCT($B12:OFFSET($B13,-1,0),M106:OFFSET(M107,-1,0))</f>
        <v>0</v>
      </c>
      <c r="N105" s="43">
        <f ca="1">SUMPRODUCT($B12:OFFSET($B13,-1,0),N106:OFFSET(N107,-1,0))</f>
        <v>0</v>
      </c>
      <c r="O105" s="43">
        <f ca="1">SUMPRODUCT($B12:OFFSET($B13,-1,0),O106:OFFSET(O107,-1,0))</f>
        <v>0</v>
      </c>
      <c r="P105" s="43">
        <f ca="1">SUMPRODUCT($B12:OFFSET($B13,-1,0),P106:OFFSET(P107,-1,0))</f>
        <v>0</v>
      </c>
      <c r="Q105" s="43">
        <f ca="1">SUMPRODUCT($B12:OFFSET($B13,-1,0),Q106:OFFSET(Q107,-1,0))</f>
        <v>0</v>
      </c>
      <c r="S105" s="54">
        <f t="shared" ca="1" si="9"/>
        <v>0</v>
      </c>
    </row>
    <row r="106" spans="1:19" s="11" customFormat="1" hidden="1" outlineLevel="2" x14ac:dyDescent="0.2">
      <c r="A106" s="11" t="str">
        <f>"        " &amp; A12</f>
        <v xml:space="preserve">        Наименование проекта</v>
      </c>
      <c r="C106" s="199" t="str">
        <f t="shared" ca="1" si="8"/>
        <v>руб.</v>
      </c>
      <c r="D106" s="11" t="str">
        <f>"[" &amp; F12 &amp; "];int_sum"</f>
        <v>[Проект];int_sum</v>
      </c>
      <c r="F106" s="54">
        <f ca="1">IF(OR(F$33&lt;$B28,F$33&gt;$C28),0,OFFSET(Проект!F$1290,0,1-$B28))</f>
        <v>0</v>
      </c>
      <c r="G106" s="54">
        <f ca="1">IF(OR(G$33&lt;$B28,G$33&gt;$C28),0,OFFSET(Проект!G$1290,0,1-$B28))</f>
        <v>0</v>
      </c>
      <c r="H106" s="54">
        <f ca="1">IF(OR(H$33&lt;$B28,H$33&gt;$C28),0,OFFSET(Проект!H$1290,0,1-$B28))</f>
        <v>0</v>
      </c>
      <c r="I106" s="54">
        <f ca="1">IF(OR(I$33&lt;$B28,I$33&gt;$C28),0,OFFSET(Проект!I$1290,0,1-$B28))</f>
        <v>0</v>
      </c>
      <c r="J106" s="54">
        <f ca="1">IF(OR(J$33&lt;$B28,J$33&gt;$C28),0,OFFSET(Проект!J$1290,0,1-$B28))</f>
        <v>0</v>
      </c>
      <c r="K106" s="54">
        <f ca="1">IF(OR(K$33&lt;$B28,K$33&gt;$C28),0,OFFSET(Проект!K$1290,0,1-$B28))</f>
        <v>0</v>
      </c>
      <c r="L106" s="54">
        <f ca="1">IF(OR(L$33&lt;$B28,L$33&gt;$C28),0,OFFSET(Проект!L$1290,0,1-$B28))</f>
        <v>0</v>
      </c>
      <c r="M106" s="54">
        <f ca="1">IF(OR(M$33&lt;$B28,M$33&gt;$C28),0,OFFSET(Проект!M$1290,0,1-$B28))</f>
        <v>0</v>
      </c>
      <c r="N106" s="54">
        <f ca="1">IF(OR(N$33&lt;$B28,N$33&gt;$C28),0,OFFSET(Проект!N$1290,0,1-$B28))</f>
        <v>0</v>
      </c>
      <c r="O106" s="54">
        <f ca="1">IF(OR(O$33&lt;$B28,O$33&gt;$C28),0,OFFSET(Проект!O$1290,0,1-$B28))</f>
        <v>0</v>
      </c>
      <c r="P106" s="54">
        <f ca="1">IF(OR(P$33&lt;$B28,P$33&gt;$C28),0,OFFSET(Проект!P$1290,0,1-$B28))</f>
        <v>0</v>
      </c>
      <c r="Q106" s="54">
        <f ca="1">IF(OR(Q$33&lt;$B28,Q$33&gt;$C28),0,OFFSET(Проект!Q$1290,0,1-$B28))</f>
        <v>0</v>
      </c>
      <c r="S106" s="54">
        <f t="shared" ca="1" si="9"/>
        <v>0</v>
      </c>
    </row>
    <row r="107" spans="1:19" outlineLevel="1" collapsed="1" x14ac:dyDescent="0.2">
      <c r="A107" s="48" t="str">
        <f ca="1">Language!A$699</f>
        <v>Лизинговые платежи</v>
      </c>
      <c r="C107" s="26" t="str">
        <f t="shared" ca="1" si="8"/>
        <v>руб.</v>
      </c>
      <c r="D107" s="205" t="s">
        <v>2210</v>
      </c>
      <c r="F107" s="43">
        <f ca="1">SUMPRODUCT($B12:OFFSET($B13,-1,0),F108:OFFSET(F109,-1,0))</f>
        <v>0</v>
      </c>
      <c r="G107" s="43">
        <f ca="1">SUMPRODUCT($B12:OFFSET($B13,-1,0),G108:OFFSET(G109,-1,0))</f>
        <v>0</v>
      </c>
      <c r="H107" s="43">
        <f ca="1">SUMPRODUCT($B12:OFFSET($B13,-1,0),H108:OFFSET(H109,-1,0))</f>
        <v>0</v>
      </c>
      <c r="I107" s="43">
        <f ca="1">SUMPRODUCT($B12:OFFSET($B13,-1,0),I108:OFFSET(I109,-1,0))</f>
        <v>0</v>
      </c>
      <c r="J107" s="43">
        <f ca="1">SUMPRODUCT($B12:OFFSET($B13,-1,0),J108:OFFSET(J109,-1,0))</f>
        <v>0</v>
      </c>
      <c r="K107" s="43">
        <f ca="1">SUMPRODUCT($B12:OFFSET($B13,-1,0),K108:OFFSET(K109,-1,0))</f>
        <v>0</v>
      </c>
      <c r="L107" s="43">
        <f ca="1">SUMPRODUCT($B12:OFFSET($B13,-1,0),L108:OFFSET(L109,-1,0))</f>
        <v>0</v>
      </c>
      <c r="M107" s="43">
        <f ca="1">SUMPRODUCT($B12:OFFSET($B13,-1,0),M108:OFFSET(M109,-1,0))</f>
        <v>0</v>
      </c>
      <c r="N107" s="43">
        <f ca="1">SUMPRODUCT($B12:OFFSET($B13,-1,0),N108:OFFSET(N109,-1,0))</f>
        <v>0</v>
      </c>
      <c r="O107" s="43">
        <f ca="1">SUMPRODUCT($B12:OFFSET($B13,-1,0),O108:OFFSET(O109,-1,0))</f>
        <v>0</v>
      </c>
      <c r="P107" s="43">
        <f ca="1">SUMPRODUCT($B12:OFFSET($B13,-1,0),P108:OFFSET(P109,-1,0))</f>
        <v>0</v>
      </c>
      <c r="Q107" s="43">
        <f ca="1">SUMPRODUCT($B12:OFFSET($B13,-1,0),Q108:OFFSET(Q109,-1,0))</f>
        <v>0</v>
      </c>
      <c r="S107" s="54">
        <f t="shared" ca="1" si="9"/>
        <v>0</v>
      </c>
    </row>
    <row r="108" spans="1:19" s="11" customFormat="1" hidden="1" outlineLevel="2" x14ac:dyDescent="0.2">
      <c r="A108" s="41" t="str">
        <f>"        " &amp; A12</f>
        <v xml:space="preserve">        Наименование проекта</v>
      </c>
      <c r="C108" s="199" t="str">
        <f t="shared" ca="1" si="8"/>
        <v>руб.</v>
      </c>
      <c r="D108" s="11" t="str">
        <f>"[" &amp; F12 &amp; "];int_sum"</f>
        <v>[Проект];int_sum</v>
      </c>
      <c r="F108" s="54">
        <f ca="1">IF(OR(F$33&lt;$B28,F$33&gt;$C28),0,OFFSET(Проект!F$1291,0,1-$B28))</f>
        <v>0</v>
      </c>
      <c r="G108" s="54">
        <f ca="1">IF(OR(G$33&lt;$B28,G$33&gt;$C28),0,OFFSET(Проект!G$1291,0,1-$B28))</f>
        <v>0</v>
      </c>
      <c r="H108" s="54">
        <f ca="1">IF(OR(H$33&lt;$B28,H$33&gt;$C28),0,OFFSET(Проект!H$1291,0,1-$B28))</f>
        <v>0</v>
      </c>
      <c r="I108" s="54">
        <f ca="1">IF(OR(I$33&lt;$B28,I$33&gt;$C28),0,OFFSET(Проект!I$1291,0,1-$B28))</f>
        <v>0</v>
      </c>
      <c r="J108" s="54">
        <f ca="1">IF(OR(J$33&lt;$B28,J$33&gt;$C28),0,OFFSET(Проект!J$1291,0,1-$B28))</f>
        <v>0</v>
      </c>
      <c r="K108" s="54">
        <f ca="1">IF(OR(K$33&lt;$B28,K$33&gt;$C28),0,OFFSET(Проект!K$1291,0,1-$B28))</f>
        <v>0</v>
      </c>
      <c r="L108" s="54">
        <f ca="1">IF(OR(L$33&lt;$B28,L$33&gt;$C28),0,OFFSET(Проект!L$1291,0,1-$B28))</f>
        <v>0</v>
      </c>
      <c r="M108" s="54">
        <f ca="1">IF(OR(M$33&lt;$B28,M$33&gt;$C28),0,OFFSET(Проект!M$1291,0,1-$B28))</f>
        <v>0</v>
      </c>
      <c r="N108" s="54">
        <f ca="1">IF(OR(N$33&lt;$B28,N$33&gt;$C28),0,OFFSET(Проект!N$1291,0,1-$B28))</f>
        <v>0</v>
      </c>
      <c r="O108" s="54">
        <f ca="1">IF(OR(O$33&lt;$B28,O$33&gt;$C28),0,OFFSET(Проект!O$1291,0,1-$B28))</f>
        <v>0</v>
      </c>
      <c r="P108" s="54">
        <f ca="1">IF(OR(P$33&lt;$B28,P$33&gt;$C28),0,OFFSET(Проект!P$1291,0,1-$B28))</f>
        <v>0</v>
      </c>
      <c r="Q108" s="54">
        <f ca="1">IF(OR(Q$33&lt;$B28,Q$33&gt;$C28),0,OFFSET(Проект!Q$1291,0,1-$B28))</f>
        <v>0</v>
      </c>
      <c r="S108" s="54">
        <f t="shared" ca="1" si="9"/>
        <v>0</v>
      </c>
    </row>
    <row r="109" spans="1:19" outlineLevel="1" collapsed="1" x14ac:dyDescent="0.2">
      <c r="A109" s="48" t="str">
        <f ca="1">Language!A$700</f>
        <v>Возврат кредитов</v>
      </c>
      <c r="C109" s="26" t="str">
        <f t="shared" ca="1" si="8"/>
        <v>руб.</v>
      </c>
      <c r="D109" s="205" t="s">
        <v>2210</v>
      </c>
      <c r="F109" s="43">
        <f ca="1">SUMPRODUCT($B12:OFFSET($B13,-1,0),F110:OFFSET(F111,-1,0))</f>
        <v>0</v>
      </c>
      <c r="G109" s="43">
        <f ca="1">SUMPRODUCT($B12:OFFSET($B13,-1,0),G110:OFFSET(G111,-1,0))</f>
        <v>0</v>
      </c>
      <c r="H109" s="43">
        <f ca="1">SUMPRODUCT($B12:OFFSET($B13,-1,0),H110:OFFSET(H111,-1,0))</f>
        <v>0</v>
      </c>
      <c r="I109" s="43">
        <f ca="1">SUMPRODUCT($B12:OFFSET($B13,-1,0),I110:OFFSET(I111,-1,0))</f>
        <v>0</v>
      </c>
      <c r="J109" s="43">
        <f ca="1">SUMPRODUCT($B12:OFFSET($B13,-1,0),J110:OFFSET(J111,-1,0))</f>
        <v>0</v>
      </c>
      <c r="K109" s="43">
        <f ca="1">SUMPRODUCT($B12:OFFSET($B13,-1,0),K110:OFFSET(K111,-1,0))</f>
        <v>23659.363592692334</v>
      </c>
      <c r="L109" s="43">
        <f ca="1">SUMPRODUCT($B12:OFFSET($B13,-1,0),L110:OFFSET(L111,-1,0))</f>
        <v>1202620.5457013601</v>
      </c>
      <c r="M109" s="43">
        <f ca="1">SUMPRODUCT($B12:OFFSET($B13,-1,0),M110:OFFSET(M111,-1,0))</f>
        <v>2406104.568837841</v>
      </c>
      <c r="N109" s="43">
        <f ca="1">SUMPRODUCT($B12:OFFSET($B13,-1,0),N110:OFFSET(N111,-1,0))</f>
        <v>4335106.8980769133</v>
      </c>
      <c r="O109" s="43">
        <f ca="1">SUMPRODUCT($B12:OFFSET($B13,-1,0),O110:OFFSET(O111,-1,0))</f>
        <v>3558056.5059945099</v>
      </c>
      <c r="P109" s="43">
        <f ca="1">SUMPRODUCT($B12:OFFSET($B13,-1,0),P110:OFFSET(P111,-1,0))</f>
        <v>0</v>
      </c>
      <c r="Q109" s="43">
        <f ca="1">SUMPRODUCT($B12:OFFSET($B13,-1,0),Q110:OFFSET(Q111,-1,0))</f>
        <v>0</v>
      </c>
      <c r="S109" s="54">
        <f t="shared" ca="1" si="9"/>
        <v>11525547.882203316</v>
      </c>
    </row>
    <row r="110" spans="1:19" s="11" customFormat="1" hidden="1" outlineLevel="2" x14ac:dyDescent="0.2">
      <c r="A110" s="41" t="str">
        <f>"        " &amp; A12</f>
        <v xml:space="preserve">        Наименование проекта</v>
      </c>
      <c r="C110" s="199" t="str">
        <f t="shared" ca="1" si="8"/>
        <v>руб.</v>
      </c>
      <c r="D110" s="11" t="str">
        <f>"[" &amp; F12 &amp; "];int_sum"</f>
        <v>[Проект];int_sum</v>
      </c>
      <c r="F110" s="54">
        <f ca="1">IF(OR(F$33&lt;$B28,F$33&gt;$C28),0,OFFSET(Проект!F$1292,0,1-$B28))</f>
        <v>0</v>
      </c>
      <c r="G110" s="54">
        <f ca="1">IF(OR(G$33&lt;$B28,G$33&gt;$C28),0,OFFSET(Проект!G$1292,0,1-$B28))</f>
        <v>0</v>
      </c>
      <c r="H110" s="54">
        <f ca="1">IF(OR(H$33&lt;$B28,H$33&gt;$C28),0,OFFSET(Проект!H$1292,0,1-$B28))</f>
        <v>0</v>
      </c>
      <c r="I110" s="54">
        <f ca="1">IF(OR(I$33&lt;$B28,I$33&gt;$C28),0,OFFSET(Проект!I$1292,0,1-$B28))</f>
        <v>0</v>
      </c>
      <c r="J110" s="54">
        <f ca="1">IF(OR(J$33&lt;$B28,J$33&gt;$C28),0,OFFSET(Проект!J$1292,0,1-$B28))</f>
        <v>0</v>
      </c>
      <c r="K110" s="54">
        <f ca="1">IF(OR(K$33&lt;$B28,K$33&gt;$C28),0,OFFSET(Проект!K$1292,0,1-$B28))</f>
        <v>23659.363592692334</v>
      </c>
      <c r="L110" s="54">
        <f ca="1">IF(OR(L$33&lt;$B28,L$33&gt;$C28),0,OFFSET(Проект!L$1292,0,1-$B28))</f>
        <v>1202620.5457013601</v>
      </c>
      <c r="M110" s="54">
        <f ca="1">IF(OR(M$33&lt;$B28,M$33&gt;$C28),0,OFFSET(Проект!M$1292,0,1-$B28))</f>
        <v>2406104.568837841</v>
      </c>
      <c r="N110" s="54">
        <f ca="1">IF(OR(N$33&lt;$B28,N$33&gt;$C28),0,OFFSET(Проект!N$1292,0,1-$B28))</f>
        <v>4335106.8980769133</v>
      </c>
      <c r="O110" s="54">
        <f ca="1">IF(OR(O$33&lt;$B28,O$33&gt;$C28),0,OFFSET(Проект!O$1292,0,1-$B28))</f>
        <v>3558056.5059945099</v>
      </c>
      <c r="P110" s="54">
        <f ca="1">IF(OR(P$33&lt;$B28,P$33&gt;$C28),0,OFFSET(Проект!P$1292,0,1-$B28))</f>
        <v>0</v>
      </c>
      <c r="Q110" s="54">
        <f ca="1">IF(OR(Q$33&lt;$B28,Q$33&gt;$C28),0,OFFSET(Проект!Q$1292,0,1-$B28))</f>
        <v>0</v>
      </c>
      <c r="S110" s="54">
        <f t="shared" ca="1" si="9"/>
        <v>11525547.882203316</v>
      </c>
    </row>
    <row r="111" spans="1:19" outlineLevel="1" x14ac:dyDescent="0.2">
      <c r="S111" s="11"/>
    </row>
    <row r="112" spans="1:19" s="48" customFormat="1" outlineLevel="1" collapsed="1" x14ac:dyDescent="0.2">
      <c r="A112" s="52" t="str">
        <f ca="1">Language!A$1010</f>
        <v>Ранее осуществленные инвестиции</v>
      </c>
      <c r="C112" s="100" t="str">
        <f ca="1">CUR_Report</f>
        <v>руб.</v>
      </c>
      <c r="D112" s="300" t="s">
        <v>2210</v>
      </c>
      <c r="F112" s="106">
        <f ca="1">SUMPRODUCT($B12:OFFSET($B13,-1,0),F113:OFFSET(F114,-1,0))</f>
        <v>0</v>
      </c>
      <c r="G112" s="106">
        <f ca="1">SUMPRODUCT($B12:OFFSET($B13,-1,0),G113:OFFSET(G114,-1,0))</f>
        <v>0</v>
      </c>
      <c r="H112" s="106">
        <f ca="1">SUMPRODUCT($B12:OFFSET($B13,-1,0),H113:OFFSET(H114,-1,0))</f>
        <v>0</v>
      </c>
      <c r="I112" s="106">
        <f ca="1">SUMPRODUCT($B12:OFFSET($B13,-1,0),I113:OFFSET(I114,-1,0))</f>
        <v>0</v>
      </c>
      <c r="J112" s="106">
        <f ca="1">SUMPRODUCT($B12:OFFSET($B13,-1,0),J113:OFFSET(J114,-1,0))</f>
        <v>0</v>
      </c>
      <c r="K112" s="106">
        <f ca="1">SUMPRODUCT($B12:OFFSET($B13,-1,0),K113:OFFSET(K114,-1,0))</f>
        <v>0</v>
      </c>
      <c r="L112" s="106">
        <f ca="1">SUMPRODUCT($B12:OFFSET($B13,-1,0),L113:OFFSET(L114,-1,0))</f>
        <v>0</v>
      </c>
      <c r="M112" s="106">
        <f ca="1">SUMPRODUCT($B12:OFFSET($B13,-1,0),M113:OFFSET(M114,-1,0))</f>
        <v>0</v>
      </c>
      <c r="N112" s="106">
        <f ca="1">SUMPRODUCT($B12:OFFSET($B13,-1,0),N113:OFFSET(N114,-1,0))</f>
        <v>0</v>
      </c>
      <c r="O112" s="106">
        <f ca="1">SUMPRODUCT($B12:OFFSET($B13,-1,0),O113:OFFSET(O114,-1,0))</f>
        <v>0</v>
      </c>
      <c r="P112" s="106">
        <f ca="1">SUMPRODUCT($B12:OFFSET($B13,-1,0),P113:OFFSET(P114,-1,0))</f>
        <v>0</v>
      </c>
      <c r="Q112" s="106">
        <f ca="1">SUMPRODUCT($B12:OFFSET($B13,-1,0),Q113:OFFSET(Q114,-1,0))</f>
        <v>0</v>
      </c>
      <c r="S112" s="41"/>
    </row>
    <row r="113" spans="1:19" s="48" customFormat="1" hidden="1" outlineLevel="2" x14ac:dyDescent="0.2">
      <c r="A113" s="41" t="str">
        <f>"        " &amp; A12</f>
        <v xml:space="preserve">        Наименование проекта</v>
      </c>
      <c r="C113" s="301" t="str">
        <f ca="1">CUR_Report</f>
        <v>руб.</v>
      </c>
      <c r="D113" s="48" t="str">
        <f>"[" &amp; F12 &amp; "];int_sum"</f>
        <v>[Проект];int_sum</v>
      </c>
      <c r="F113" s="106">
        <f ca="1">IF(OR(F$33&lt;$B28,F$33&gt;$C28),0,OFFSET(Проект!F$426,0,1-$B28))</f>
        <v>0</v>
      </c>
      <c r="G113" s="106">
        <f ca="1">IF(OR(G$33&lt;$B28,G$33&gt;$C28),0,OFFSET(Проект!G$426,0,1-$B28))</f>
        <v>0</v>
      </c>
      <c r="H113" s="106">
        <f ca="1">IF(OR(H$33&lt;$B28,H$33&gt;$C28),0,OFFSET(Проект!H$426,0,1-$B28))</f>
        <v>0</v>
      </c>
      <c r="I113" s="106">
        <f ca="1">IF(OR(I$33&lt;$B28,I$33&gt;$C28),0,OFFSET(Проект!I$426,0,1-$B28))</f>
        <v>0</v>
      </c>
      <c r="J113" s="106">
        <f ca="1">IF(OR(J$33&lt;$B28,J$33&gt;$C28),0,OFFSET(Проект!J$426,0,1-$B28))</f>
        <v>0</v>
      </c>
      <c r="K113" s="106">
        <f ca="1">IF(OR(K$33&lt;$B28,K$33&gt;$C28),0,OFFSET(Проект!K$426,0,1-$B28))</f>
        <v>0</v>
      </c>
      <c r="L113" s="106">
        <f ca="1">IF(OR(L$33&lt;$B28,L$33&gt;$C28),0,OFFSET(Проект!L$426,0,1-$B28))</f>
        <v>0</v>
      </c>
      <c r="M113" s="106">
        <f ca="1">IF(OR(M$33&lt;$B28,M$33&gt;$C28),0,OFFSET(Проект!M$426,0,1-$B28))</f>
        <v>0</v>
      </c>
      <c r="N113" s="106">
        <f ca="1">IF(OR(N$33&lt;$B28,N$33&gt;$C28),0,OFFSET(Проект!N$426,0,1-$B28))</f>
        <v>0</v>
      </c>
      <c r="O113" s="106">
        <f ca="1">IF(OR(O$33&lt;$B28,O$33&gt;$C28),0,OFFSET(Проект!O$426,0,1-$B28))</f>
        <v>0</v>
      </c>
      <c r="P113" s="106">
        <f ca="1">IF(OR(P$33&lt;$B28,P$33&gt;$C28),0,OFFSET(Проект!P$426,0,1-$B28))</f>
        <v>0</v>
      </c>
      <c r="Q113" s="106">
        <f ca="1">IF(OR(Q$33&lt;$B28,Q$33&gt;$C28),0,OFFSET(Проект!Q$426,0,1-$B28))</f>
        <v>0</v>
      </c>
      <c r="S113" s="41"/>
    </row>
    <row r="114" spans="1:19" outlineLevel="1" x14ac:dyDescent="0.2">
      <c r="A114" s="11"/>
      <c r="C114" s="26"/>
      <c r="S114" s="11"/>
    </row>
    <row r="115" spans="1:19" outlineLevel="1" collapsed="1" x14ac:dyDescent="0.2">
      <c r="A115" t="str">
        <f ca="1">Language!A513</f>
        <v>Резерв средств на обеспечение текущих расчетов</v>
      </c>
      <c r="C115" s="100" t="str">
        <f ca="1">CUR_Report</f>
        <v>руб.</v>
      </c>
      <c r="D115" s="300" t="s">
        <v>2210</v>
      </c>
      <c r="F115">
        <f ca="1">SUMPRODUCT($B12:OFFSET($B13,-1,0),F116:OFFSET(F117,-1,0))</f>
        <v>692104</v>
      </c>
      <c r="G115">
        <f ca="1">SUMPRODUCT($B12:OFFSET($B13,-1,0),G116:OFFSET(G117,-1,0))</f>
        <v>596344</v>
      </c>
      <c r="H115">
        <f ca="1">SUMPRODUCT($B12:OFFSET($B13,-1,0),H116:OFFSET(H117,-1,0))</f>
        <v>596347.10537499993</v>
      </c>
      <c r="I115">
        <f ca="1">SUMPRODUCT($B12:OFFSET($B13,-1,0),I116:OFFSET(I117,-1,0))</f>
        <v>596359.5268750001</v>
      </c>
      <c r="J115">
        <f ca="1">SUMPRODUCT($B12:OFFSET($B13,-1,0),J116:OFFSET(J117,-1,0))</f>
        <v>596375.05375000008</v>
      </c>
      <c r="K115">
        <f ca="1">SUMPRODUCT($B12:OFFSET($B13,-1,0),K116:OFFSET(K117,-1,0))</f>
        <v>596406.10749999993</v>
      </c>
      <c r="L115">
        <f ca="1">SUMPRODUCT($B12:OFFSET($B13,-1,0),L116:OFFSET(L117,-1,0))</f>
        <v>596437.16125000012</v>
      </c>
      <c r="M115">
        <f ca="1">SUMPRODUCT($B12:OFFSET($B13,-1,0),M116:OFFSET(M117,-1,0))</f>
        <v>596468.21499999997</v>
      </c>
      <c r="N115">
        <f ca="1">SUMPRODUCT($B12:OFFSET($B13,-1,0),N116:OFFSET(N117,-1,0))</f>
        <v>596514.79562500003</v>
      </c>
      <c r="O115">
        <f ca="1">SUMPRODUCT($B12:OFFSET($B13,-1,0),O116:OFFSET(O117,-1,0))</f>
        <v>596576.90312499995</v>
      </c>
      <c r="P115">
        <f ca="1">SUMPRODUCT($B12:OFFSET($B13,-1,0),P116:OFFSET(P117,-1,0))</f>
        <v>596623.48375000001</v>
      </c>
      <c r="Q115">
        <f ca="1">SUMPRODUCT($B12:OFFSET($B13,-1,0),Q116:OFFSET(Q117,-1,0))</f>
        <v>596654.53749999998</v>
      </c>
      <c r="S115" s="11"/>
    </row>
    <row r="116" spans="1:19" hidden="1" outlineLevel="2" x14ac:dyDescent="0.2">
      <c r="A116" s="11" t="str">
        <f>"        " &amp; A12</f>
        <v xml:space="preserve">        Наименование проекта</v>
      </c>
      <c r="C116" s="301" t="str">
        <f ca="1">CUR_Report</f>
        <v>руб.</v>
      </c>
      <c r="D116" s="11" t="str">
        <f>"[" &amp; F12 &amp; "];int_sum"</f>
        <v>[Проект];int_sum</v>
      </c>
      <c r="F116">
        <f ca="1">IF(OR(F$33&lt;$B28,F$33&gt;$C28),0,OFFSET(Проект!F$1168,0,1-$B28))</f>
        <v>692104</v>
      </c>
      <c r="G116">
        <f ca="1">IF(OR(G$33&lt;$B28,G$33&gt;$C28),0,OFFSET(Проект!G$1168,0,1-$B28))</f>
        <v>596344</v>
      </c>
      <c r="H116">
        <f ca="1">IF(OR(H$33&lt;$B28,H$33&gt;$C28),0,OFFSET(Проект!H$1168,0,1-$B28))</f>
        <v>596347.10537499993</v>
      </c>
      <c r="I116">
        <f ca="1">IF(OR(I$33&lt;$B28,I$33&gt;$C28),0,OFFSET(Проект!I$1168,0,1-$B28))</f>
        <v>596359.5268750001</v>
      </c>
      <c r="J116">
        <f ca="1">IF(OR(J$33&lt;$B28,J$33&gt;$C28),0,OFFSET(Проект!J$1168,0,1-$B28))</f>
        <v>596375.05375000008</v>
      </c>
      <c r="K116">
        <f ca="1">IF(OR(K$33&lt;$B28,K$33&gt;$C28),0,OFFSET(Проект!K$1168,0,1-$B28))</f>
        <v>596406.10749999993</v>
      </c>
      <c r="L116">
        <f ca="1">IF(OR(L$33&lt;$B28,L$33&gt;$C28),0,OFFSET(Проект!L$1168,0,1-$B28))</f>
        <v>596437.16125000012</v>
      </c>
      <c r="M116">
        <f ca="1">IF(OR(M$33&lt;$B28,M$33&gt;$C28),0,OFFSET(Проект!M$1168,0,1-$B28))</f>
        <v>596468.21499999997</v>
      </c>
      <c r="N116">
        <f ca="1">IF(OR(N$33&lt;$B28,N$33&gt;$C28),0,OFFSET(Проект!N$1168,0,1-$B28))</f>
        <v>596514.79562500003</v>
      </c>
      <c r="O116">
        <f ca="1">IF(OR(O$33&lt;$B28,O$33&gt;$C28),0,OFFSET(Проект!O$1168,0,1-$B28))</f>
        <v>596576.90312499995</v>
      </c>
      <c r="P116">
        <f ca="1">IF(OR(P$33&lt;$B28,P$33&gt;$C28),0,OFFSET(Проект!P$1168,0,1-$B28))</f>
        <v>596623.48375000001</v>
      </c>
      <c r="Q116">
        <f ca="1">IF(OR(Q$33&lt;$B28,Q$33&gt;$C28),0,OFFSET(Проект!Q$1168,0,1-$B28))</f>
        <v>596654.53749999998</v>
      </c>
      <c r="S116" s="11"/>
    </row>
    <row r="117" spans="1:19" outlineLevel="1" x14ac:dyDescent="0.2">
      <c r="A117" s="11"/>
      <c r="C117" s="26"/>
      <c r="S117" s="11"/>
    </row>
    <row r="118" spans="1:19" s="11" customFormat="1" outlineLevel="1" x14ac:dyDescent="0.2">
      <c r="A118" s="11" t="str">
        <f ca="1">Language!A$653</f>
        <v>Справка: Остаток средств на счете (портфель проектов)</v>
      </c>
      <c r="C118" s="26" t="str">
        <f ca="1">CUR_Report</f>
        <v>руб.</v>
      </c>
      <c r="D118" s="16" t="s">
        <v>384</v>
      </c>
      <c r="F118" s="94">
        <f t="shared" ref="F118:M118" ca="1" si="10">F329</f>
        <v>0</v>
      </c>
      <c r="G118" s="94">
        <f t="shared" ca="1" si="10"/>
        <v>41283.684478371404</v>
      </c>
      <c r="H118" s="94">
        <f t="shared" ca="1" si="10"/>
        <v>52186.804602166172</v>
      </c>
      <c r="I118" s="94">
        <f t="shared" ca="1" si="10"/>
        <v>41882.190303205512</v>
      </c>
      <c r="J118" s="94">
        <f t="shared" ca="1" si="10"/>
        <v>31658.111742054811</v>
      </c>
      <c r="K118" s="94">
        <f t="shared" ca="1" si="10"/>
        <v>20027.616109238239</v>
      </c>
      <c r="L118" s="94">
        <f t="shared" ca="1" si="10"/>
        <v>239996.84876654632</v>
      </c>
      <c r="M118" s="94">
        <f t="shared" ca="1" si="10"/>
        <v>378282.62228927377</v>
      </c>
      <c r="N118" s="94">
        <f t="shared" ref="N118" ca="1" si="11">N329</f>
        <v>632706.11513018364</v>
      </c>
      <c r="O118" s="94">
        <f t="shared" ref="O118:Q118" ca="1" si="12">O329</f>
        <v>1072443.4038233669</v>
      </c>
      <c r="P118" s="94">
        <f t="shared" ref="P118:Q118" ca="1" si="13">P329</f>
        <v>5028706.2840788569</v>
      </c>
      <c r="Q118" s="94">
        <f t="shared" ca="1" si="13"/>
        <v>14337118.653453857</v>
      </c>
    </row>
    <row r="119" spans="1:19" s="11" customFormat="1" outlineLevel="1" x14ac:dyDescent="0.2">
      <c r="A119" s="11" t="str">
        <f ca="1">Language!A$701</f>
        <v>Минимальный остаток средств на счете</v>
      </c>
      <c r="B119" s="196">
        <f ca="1">MIN(F118:Q118)</f>
        <v>0</v>
      </c>
      <c r="C119" s="26" t="str">
        <f ca="1">CUR_Report</f>
        <v>руб.</v>
      </c>
    </row>
    <row r="120" spans="1:19" outlineLevel="1" x14ac:dyDescent="0.2">
      <c r="A120" s="63"/>
      <c r="B120" s="63"/>
      <c r="C120" s="63"/>
      <c r="D120" s="63"/>
      <c r="E120" s="63"/>
      <c r="F120" s="63"/>
      <c r="G120" s="63"/>
      <c r="H120" s="63"/>
      <c r="I120" s="63"/>
      <c r="J120" s="63"/>
      <c r="K120" s="63"/>
      <c r="L120" s="63"/>
      <c r="M120" s="63"/>
      <c r="N120" s="63"/>
      <c r="O120" s="63"/>
      <c r="P120" s="63"/>
      <c r="Q120" s="63"/>
      <c r="R120" s="63"/>
      <c r="S120" s="64"/>
    </row>
    <row r="121" spans="1:19" outlineLevel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22"/>
    </row>
    <row r="122" spans="1:19" s="4" customFormat="1" ht="16" customHeight="1" thickBot="1" x14ac:dyDescent="0.25">
      <c r="A122" s="166" t="str">
        <f ca="1">Language!A969</f>
        <v xml:space="preserve">         СВОДНЫЙ ОТЧЕТ О ПРИБЫЛЯХ И УБЫТКАХ</v>
      </c>
      <c r="B122" s="166"/>
      <c r="C122" s="166"/>
      <c r="D122" s="166"/>
      <c r="E122" s="166"/>
      <c r="F122" s="178" t="str">
        <f>IF(Проект!ShowRealDates,F36,F34)</f>
        <v>4/ 2020</v>
      </c>
      <c r="G122" s="178" t="str">
        <f>IF(Проект!ShowRealDates,G36,G34)</f>
        <v>5/ 2020</v>
      </c>
      <c r="H122" s="178" t="str">
        <f>IF(Проект!ShowRealDates,H36,H34)</f>
        <v>6/ 2020</v>
      </c>
      <c r="I122" s="178" t="str">
        <f>IF(Проект!ShowRealDates,I36,I34)</f>
        <v>7/ 2020</v>
      </c>
      <c r="J122" s="178" t="str">
        <f>IF(Проект!ShowRealDates,J36,J34)</f>
        <v>8/ 2020</v>
      </c>
      <c r="K122" s="178" t="str">
        <f>IF(Проект!ShowRealDates,K36,K34)</f>
        <v>9/ 2020</v>
      </c>
      <c r="L122" s="178" t="str">
        <f>IF(Проект!ShowRealDates,L36,L34)</f>
        <v>10/ 2020</v>
      </c>
      <c r="M122" s="178" t="str">
        <f>IF(Проект!ShowRealDates,M36,M34)</f>
        <v>11/ 2020</v>
      </c>
      <c r="N122" s="178" t="str">
        <f>IF(Проект!ShowRealDates,N36,N34)</f>
        <v>12/ 2020</v>
      </c>
      <c r="O122" s="178" t="str">
        <f>IF(Проект!ShowRealDates,O36,O34)</f>
        <v>1/ 2021</v>
      </c>
      <c r="P122" s="178" t="str">
        <f>IF(Проект!ShowRealDates,P36,P34)</f>
        <v>2/ 2021</v>
      </c>
      <c r="Q122" s="178" t="str">
        <f>IF(Проект!ShowRealDates,Q36,Q34)</f>
        <v>3/ 2021</v>
      </c>
      <c r="R122" s="167"/>
      <c r="S122" s="195" t="str">
        <f ca="1">Language!A$371</f>
        <v>ИТОГО</v>
      </c>
    </row>
    <row r="123" spans="1:19" ht="10.5" outlineLevel="1" thickTop="1" x14ac:dyDescent="0.2"/>
    <row r="124" spans="1:19" ht="10.5" outlineLevel="1" collapsed="1" x14ac:dyDescent="0.25">
      <c r="A124" s="179" t="str">
        <f ca="1">Language!A703</f>
        <v>Выручка (нетто)</v>
      </c>
      <c r="C124" s="115" t="str">
        <f ca="1">CUR_Report</f>
        <v>руб.</v>
      </c>
      <c r="D124" s="205" t="s">
        <v>2210</v>
      </c>
      <c r="F124" s="58">
        <f ca="1">SUMPRODUCT($B12:OFFSET($B13,-1,0),F125:OFFSET(F126,-1,0))</f>
        <v>0</v>
      </c>
      <c r="G124" s="58">
        <f ca="1">SUMPRODUCT($B12:OFFSET($B13,-1,0),G125:OFFSET(G126,-1,0))</f>
        <v>0</v>
      </c>
      <c r="H124" s="58">
        <f ca="1">SUMPRODUCT($B12:OFFSET($B13,-1,0),H125:OFFSET(H126,-1,0))</f>
        <v>135920</v>
      </c>
      <c r="I124" s="58">
        <f ca="1">SUMPRODUCT($B12:OFFSET($B13,-1,0),I125:OFFSET(I126,-1,0))</f>
        <v>679600</v>
      </c>
      <c r="J124" s="58">
        <f ca="1">SUMPRODUCT($B12:OFFSET($B13,-1,0),J125:OFFSET(J126,-1,0))</f>
        <v>1359200</v>
      </c>
      <c r="K124" s="58">
        <f ca="1">SUMPRODUCT($B12:OFFSET($B13,-1,0),K125:OFFSET(K126,-1,0))</f>
        <v>2718400</v>
      </c>
      <c r="L124" s="58">
        <f ca="1">SUMPRODUCT($B12:OFFSET($B13,-1,0),L125:OFFSET(L126,-1,0))</f>
        <v>4077600</v>
      </c>
      <c r="M124" s="58">
        <f ca="1">SUMPRODUCT($B12:OFFSET($B13,-1,0),M125:OFFSET(M126,-1,0))</f>
        <v>5436800</v>
      </c>
      <c r="N124" s="58">
        <f ca="1">SUMPRODUCT($B12:OFFSET($B13,-1,0),N125:OFFSET(N126,-1,0))</f>
        <v>7475600</v>
      </c>
      <c r="O124" s="58">
        <f ca="1">SUMPRODUCT($B12:OFFSET($B13,-1,0),O125:OFFSET(O126,-1,0))</f>
        <v>10194000</v>
      </c>
      <c r="P124" s="58">
        <f ca="1">SUMPRODUCT($B12:OFFSET($B13,-1,0),P125:OFFSET(P126,-1,0))</f>
        <v>12232800</v>
      </c>
      <c r="Q124" s="58">
        <f ca="1">SUMPRODUCT($B12:OFFSET($B13,-1,0),Q125:OFFSET(Q126,-1,0))</f>
        <v>13592000</v>
      </c>
      <c r="R124" s="35"/>
      <c r="S124" s="57">
        <f ca="1">SUM(F124:Q124)</f>
        <v>57901920</v>
      </c>
    </row>
    <row r="125" spans="1:19" s="11" customFormat="1" hidden="1" outlineLevel="2" x14ac:dyDescent="0.2">
      <c r="A125" s="11" t="str">
        <f>"        " &amp; A12</f>
        <v xml:space="preserve">        Наименование проекта</v>
      </c>
      <c r="C125" s="199" t="str">
        <f ca="1">CUR_Report</f>
        <v>руб.</v>
      </c>
      <c r="D125" s="11" t="str">
        <f>"[" &amp; F12 &amp; "];int_sum"</f>
        <v>[Проект];int_sum</v>
      </c>
      <c r="F125" s="54">
        <f ca="1">IF(OR(F$33&lt;$B28,F$33&gt;$C28),0,OFFSET(Проект!F$1301,0,1-$B28))</f>
        <v>0</v>
      </c>
      <c r="G125" s="54">
        <f ca="1">IF(OR(G$33&lt;$B28,G$33&gt;$C28),0,OFFSET(Проект!G$1301,0,1-$B28))</f>
        <v>0</v>
      </c>
      <c r="H125" s="54">
        <f ca="1">IF(OR(H$33&lt;$B28,H$33&gt;$C28),0,OFFSET(Проект!H$1301,0,1-$B28))</f>
        <v>135920</v>
      </c>
      <c r="I125" s="54">
        <f ca="1">IF(OR(I$33&lt;$B28,I$33&gt;$C28),0,OFFSET(Проект!I$1301,0,1-$B28))</f>
        <v>679600</v>
      </c>
      <c r="J125" s="54">
        <f ca="1">IF(OR(J$33&lt;$B28,J$33&gt;$C28),0,OFFSET(Проект!J$1301,0,1-$B28))</f>
        <v>1359200</v>
      </c>
      <c r="K125" s="54">
        <f ca="1">IF(OR(K$33&lt;$B28,K$33&gt;$C28),0,OFFSET(Проект!K$1301,0,1-$B28))</f>
        <v>2718400</v>
      </c>
      <c r="L125" s="54">
        <f ca="1">IF(OR(L$33&lt;$B28,L$33&gt;$C28),0,OFFSET(Проект!L$1301,0,1-$B28))</f>
        <v>4077600</v>
      </c>
      <c r="M125" s="54">
        <f ca="1">IF(OR(M$33&lt;$B28,M$33&gt;$C28),0,OFFSET(Проект!M$1301,0,1-$B28))</f>
        <v>5436800</v>
      </c>
      <c r="N125" s="54">
        <f ca="1">IF(OR(N$33&lt;$B28,N$33&gt;$C28),0,OFFSET(Проект!N$1301,0,1-$B28))</f>
        <v>7475600</v>
      </c>
      <c r="O125" s="54">
        <f ca="1">IF(OR(O$33&lt;$B28,O$33&gt;$C28),0,OFFSET(Проект!O$1301,0,1-$B28))</f>
        <v>10194000</v>
      </c>
      <c r="P125" s="54">
        <f ca="1">IF(OR(P$33&lt;$B28,P$33&gt;$C28),0,OFFSET(Проект!P$1301,0,1-$B28))</f>
        <v>12232800</v>
      </c>
      <c r="Q125" s="54">
        <f ca="1">IF(OR(Q$33&lt;$B28,Q$33&gt;$C28),0,OFFSET(Проект!Q$1301,0,1-$B28))</f>
        <v>13592000</v>
      </c>
      <c r="S125" s="203">
        <f ca="1">SUM(F125:Q125)</f>
        <v>57901920</v>
      </c>
    </row>
    <row r="126" spans="1:19" ht="10.5" outlineLevel="1" collapsed="1" x14ac:dyDescent="0.25">
      <c r="A126" s="35" t="str">
        <f ca="1">Language!A704</f>
        <v>Себестоимость</v>
      </c>
      <c r="C126" s="115" t="str">
        <f ca="1">CUR_Report</f>
        <v>руб.</v>
      </c>
      <c r="D126" s="205" t="s">
        <v>2210</v>
      </c>
      <c r="F126" s="207">
        <f ca="1">SUMPRODUCT($B12:OFFSET($B13,-1,0),F127:OFFSET(F128,-1,0))</f>
        <v>2468200</v>
      </c>
      <c r="G126" s="207">
        <f ca="1">SUMPRODUCT($B12:OFFSET($B13,-1,0),G127:OFFSET(G128,-1,0))</f>
        <v>2057800</v>
      </c>
      <c r="H126" s="207">
        <f ca="1">SUMPRODUCT($B12:OFFSET($B13,-1,0),H127:OFFSET(H128,-1,0))</f>
        <v>2057813.3087500001</v>
      </c>
      <c r="I126" s="207">
        <f ca="1">SUMPRODUCT($B12:OFFSET($B13,-1,0),I127:OFFSET(I128,-1,0))</f>
        <v>2057866.54375</v>
      </c>
      <c r="J126" s="207">
        <f ca="1">SUMPRODUCT($B12:OFFSET($B13,-1,0),J127:OFFSET(J128,-1,0))</f>
        <v>2057933.0874999999</v>
      </c>
      <c r="K126" s="207">
        <f ca="1">SUMPRODUCT($B12:OFFSET($B13,-1,0),K127:OFFSET(K128,-1,0))</f>
        <v>2058066.175</v>
      </c>
      <c r="L126" s="207">
        <f ca="1">SUMPRODUCT($B12:OFFSET($B13,-1,0),L127:OFFSET(L128,-1,0))</f>
        <v>2058199.2625</v>
      </c>
      <c r="M126" s="207">
        <f ca="1">SUMPRODUCT($B12:OFFSET($B13,-1,0),M127:OFFSET(M128,-1,0))</f>
        <v>2058332.35</v>
      </c>
      <c r="N126" s="207">
        <f ca="1">SUMPRODUCT($B12:OFFSET($B13,-1,0),N127:OFFSET(N128,-1,0))</f>
        <v>2058531.98125</v>
      </c>
      <c r="O126" s="207">
        <f ca="1">SUMPRODUCT($B12:OFFSET($B13,-1,0),O127:OFFSET(O128,-1,0))</f>
        <v>2058798.15625</v>
      </c>
      <c r="P126" s="207">
        <f ca="1">SUMPRODUCT($B12:OFFSET($B13,-1,0),P127:OFFSET(P128,-1,0))</f>
        <v>2058997.7875000001</v>
      </c>
      <c r="Q126" s="207">
        <f ca="1">SUMPRODUCT($B12:OFFSET($B13,-1,0),Q127:OFFSET(Q128,-1,0))</f>
        <v>2059130.875</v>
      </c>
      <c r="R126" s="179"/>
      <c r="S126" s="57">
        <f ca="1">SUM(F126:Q126)</f>
        <v>25109669.5275</v>
      </c>
    </row>
    <row r="127" spans="1:19" s="11" customFormat="1" hidden="1" outlineLevel="2" x14ac:dyDescent="0.2">
      <c r="A127" s="11" t="str">
        <f>"        " &amp; A12</f>
        <v xml:space="preserve">        Наименование проекта</v>
      </c>
      <c r="C127" s="199" t="str">
        <f ca="1">CUR_Report</f>
        <v>руб.</v>
      </c>
      <c r="D127" s="11" t="str">
        <f>"[" &amp; F12 &amp; "];int_sum"</f>
        <v>[Проект];int_sum</v>
      </c>
      <c r="F127" s="54">
        <f ca="1">IF(OR(F$33&lt;$B28,F$33&gt;$C28),0,OFFSET(Проект!F$1302,0,1-$B28))</f>
        <v>2468200</v>
      </c>
      <c r="G127" s="54">
        <f ca="1">IF(OR(G$33&lt;$B28,G$33&gt;$C28),0,OFFSET(Проект!G$1302,0,1-$B28))</f>
        <v>2057800</v>
      </c>
      <c r="H127" s="54">
        <f ca="1">IF(OR(H$33&lt;$B28,H$33&gt;$C28),0,OFFSET(Проект!H$1302,0,1-$B28))</f>
        <v>2057813.3087500001</v>
      </c>
      <c r="I127" s="54">
        <f ca="1">IF(OR(I$33&lt;$B28,I$33&gt;$C28),0,OFFSET(Проект!I$1302,0,1-$B28))</f>
        <v>2057866.54375</v>
      </c>
      <c r="J127" s="54">
        <f ca="1">IF(OR(J$33&lt;$B28,J$33&gt;$C28),0,OFFSET(Проект!J$1302,0,1-$B28))</f>
        <v>2057933.0874999999</v>
      </c>
      <c r="K127" s="54">
        <f ca="1">IF(OR(K$33&lt;$B28,K$33&gt;$C28),0,OFFSET(Проект!K$1302,0,1-$B28))</f>
        <v>2058066.175</v>
      </c>
      <c r="L127" s="54">
        <f ca="1">IF(OR(L$33&lt;$B28,L$33&gt;$C28),0,OFFSET(Проект!L$1302,0,1-$B28))</f>
        <v>2058199.2625</v>
      </c>
      <c r="M127" s="54">
        <f ca="1">IF(OR(M$33&lt;$B28,M$33&gt;$C28),0,OFFSET(Проект!M$1302,0,1-$B28))</f>
        <v>2058332.35</v>
      </c>
      <c r="N127" s="54">
        <f ca="1">IF(OR(N$33&lt;$B28,N$33&gt;$C28),0,OFFSET(Проект!N$1302,0,1-$B28))</f>
        <v>2058531.98125</v>
      </c>
      <c r="O127" s="54">
        <f ca="1">IF(OR(O$33&lt;$B28,O$33&gt;$C28),0,OFFSET(Проект!O$1302,0,1-$B28))</f>
        <v>2058798.15625</v>
      </c>
      <c r="P127" s="54">
        <f ca="1">IF(OR(P$33&lt;$B28,P$33&gt;$C28),0,OFFSET(Проект!P$1302,0,1-$B28))</f>
        <v>2058997.7875000001</v>
      </c>
      <c r="Q127" s="54">
        <f ca="1">IF(OR(Q$33&lt;$B28,Q$33&gt;$C28),0,OFFSET(Проект!Q$1302,0,1-$B28))</f>
        <v>2059130.875</v>
      </c>
      <c r="S127" s="203">
        <f ca="1">SUM(F127:Q127)</f>
        <v>25109669.5275</v>
      </c>
    </row>
    <row r="128" spans="1:19" outlineLevel="1" x14ac:dyDescent="0.2">
      <c r="A128" t="str">
        <f ca="1">Language!A705</f>
        <v>в том числе</v>
      </c>
      <c r="C128" s="115"/>
      <c r="S128" s="203"/>
    </row>
    <row r="129" spans="1:19" outlineLevel="1" collapsed="1" x14ac:dyDescent="0.2">
      <c r="A129" t="str">
        <f ca="1">Language!A706</f>
        <v xml:space="preserve">    Сырье и материалы</v>
      </c>
      <c r="C129" s="115" t="str">
        <f t="shared" ref="C129:C164" ca="1" si="14">CUR_Report</f>
        <v>руб.</v>
      </c>
      <c r="D129" s="205" t="s">
        <v>2210</v>
      </c>
      <c r="F129" s="43">
        <f ca="1">SUMPRODUCT($B12:OFFSET($B13,-1,0),F130:OFFSET(F131,-1,0))</f>
        <v>0</v>
      </c>
      <c r="G129" s="43">
        <f ca="1">SUMPRODUCT($B12:OFFSET($B13,-1,0),G130:OFFSET(G131,-1,0))</f>
        <v>0</v>
      </c>
      <c r="H129" s="43">
        <f ca="1">SUMPRODUCT($B12:OFFSET($B13,-1,0),H130:OFFSET(H131,-1,0))</f>
        <v>13.30875</v>
      </c>
      <c r="I129" s="43">
        <f ca="1">SUMPRODUCT($B12:OFFSET($B13,-1,0),I130:OFFSET(I131,-1,0))</f>
        <v>66.543750000000003</v>
      </c>
      <c r="J129" s="43">
        <f ca="1">SUMPRODUCT($B12:OFFSET($B13,-1,0),J130:OFFSET(J131,-1,0))</f>
        <v>133.08750000000001</v>
      </c>
      <c r="K129" s="43">
        <f ca="1">SUMPRODUCT($B12:OFFSET($B13,-1,0),K130:OFFSET(K131,-1,0))</f>
        <v>266.17500000000001</v>
      </c>
      <c r="L129" s="43">
        <f ca="1">SUMPRODUCT($B12:OFFSET($B13,-1,0),L130:OFFSET(L131,-1,0))</f>
        <v>399.26249999999999</v>
      </c>
      <c r="M129" s="43">
        <f ca="1">SUMPRODUCT($B12:OFFSET($B13,-1,0),M130:OFFSET(M131,-1,0))</f>
        <v>532.35</v>
      </c>
      <c r="N129" s="43">
        <f ca="1">SUMPRODUCT($B12:OFFSET($B13,-1,0),N130:OFFSET(N131,-1,0))</f>
        <v>731.98125000000005</v>
      </c>
      <c r="O129" s="43">
        <f ca="1">SUMPRODUCT($B12:OFFSET($B13,-1,0),O130:OFFSET(O131,-1,0))</f>
        <v>998.15625</v>
      </c>
      <c r="P129" s="43">
        <f ca="1">SUMPRODUCT($B12:OFFSET($B13,-1,0),P130:OFFSET(P131,-1,0))</f>
        <v>1197.7875000000001</v>
      </c>
      <c r="Q129" s="43">
        <f ca="1">SUMPRODUCT($B12:OFFSET($B13,-1,0),Q130:OFFSET(Q131,-1,0))</f>
        <v>1330.8750000000002</v>
      </c>
      <c r="S129" s="203">
        <f t="shared" ref="S129:S170" ca="1" si="15">SUM(F129:Q129)</f>
        <v>5669.5275000000001</v>
      </c>
    </row>
    <row r="130" spans="1:19" s="11" customFormat="1" hidden="1" outlineLevel="2" x14ac:dyDescent="0.2">
      <c r="A130" s="11" t="str">
        <f>"        " &amp; A12</f>
        <v xml:space="preserve">        Наименование проекта</v>
      </c>
      <c r="C130" s="199" t="str">
        <f t="shared" ca="1" si="14"/>
        <v>руб.</v>
      </c>
      <c r="D130" s="11" t="str">
        <f>"[" &amp; F12 &amp; "];int_sum"</f>
        <v>[Проект];int_sum</v>
      </c>
      <c r="F130" s="54">
        <f ca="1">IF(OR(F$33&lt;$B28,F$33&gt;$C28),0,OFFSET(Проект!F$1304,0,1-$B28))</f>
        <v>0</v>
      </c>
      <c r="G130" s="54">
        <f ca="1">IF(OR(G$33&lt;$B28,G$33&gt;$C28),0,OFFSET(Проект!G$1304,0,1-$B28))</f>
        <v>0</v>
      </c>
      <c r="H130" s="54">
        <f ca="1">IF(OR(H$33&lt;$B28,H$33&gt;$C28),0,OFFSET(Проект!H$1304,0,1-$B28))</f>
        <v>13.30875</v>
      </c>
      <c r="I130" s="54">
        <f ca="1">IF(OR(I$33&lt;$B28,I$33&gt;$C28),0,OFFSET(Проект!I$1304,0,1-$B28))</f>
        <v>66.543750000000003</v>
      </c>
      <c r="J130" s="54">
        <f ca="1">IF(OR(J$33&lt;$B28,J$33&gt;$C28),0,OFFSET(Проект!J$1304,0,1-$B28))</f>
        <v>133.08750000000001</v>
      </c>
      <c r="K130" s="54">
        <f ca="1">IF(OR(K$33&lt;$B28,K$33&gt;$C28),0,OFFSET(Проект!K$1304,0,1-$B28))</f>
        <v>266.17500000000001</v>
      </c>
      <c r="L130" s="54">
        <f ca="1">IF(OR(L$33&lt;$B28,L$33&gt;$C28),0,OFFSET(Проект!L$1304,0,1-$B28))</f>
        <v>399.26249999999999</v>
      </c>
      <c r="M130" s="54">
        <f ca="1">IF(OR(M$33&lt;$B28,M$33&gt;$C28),0,OFFSET(Проект!M$1304,0,1-$B28))</f>
        <v>532.35</v>
      </c>
      <c r="N130" s="54">
        <f ca="1">IF(OR(N$33&lt;$B28,N$33&gt;$C28),0,OFFSET(Проект!N$1304,0,1-$B28))</f>
        <v>731.98125000000005</v>
      </c>
      <c r="O130" s="54">
        <f ca="1">IF(OR(O$33&lt;$B28,O$33&gt;$C28),0,OFFSET(Проект!O$1304,0,1-$B28))</f>
        <v>998.15625</v>
      </c>
      <c r="P130" s="54">
        <f ca="1">IF(OR(P$33&lt;$B28,P$33&gt;$C28),0,OFFSET(Проект!P$1304,0,1-$B28))</f>
        <v>1197.7875000000001</v>
      </c>
      <c r="Q130" s="54">
        <f ca="1">IF(OR(Q$33&lt;$B28,Q$33&gt;$C28),0,OFFSET(Проект!Q$1304,0,1-$B28))</f>
        <v>1330.8750000000002</v>
      </c>
      <c r="S130" s="203">
        <f t="shared" ca="1" si="15"/>
        <v>5669.5275000000001</v>
      </c>
    </row>
    <row r="131" spans="1:19" outlineLevel="1" collapsed="1" x14ac:dyDescent="0.2">
      <c r="A131" t="str">
        <f ca="1">Language!A707</f>
        <v xml:space="preserve">    Прочие переменные расходы</v>
      </c>
      <c r="C131" s="115" t="str">
        <f t="shared" ca="1" si="14"/>
        <v>руб.</v>
      </c>
      <c r="D131" s="205" t="s">
        <v>2210</v>
      </c>
      <c r="F131" s="43">
        <f ca="1">SUMPRODUCT($B12:OFFSET($B13,-1,0),F132:OFFSET(F133,-1,0))</f>
        <v>0</v>
      </c>
      <c r="G131" s="43">
        <f ca="1">SUMPRODUCT($B12:OFFSET($B13,-1,0),G132:OFFSET(G133,-1,0))</f>
        <v>0</v>
      </c>
      <c r="H131" s="43">
        <f ca="1">SUMPRODUCT($B12:OFFSET($B13,-1,0),H132:OFFSET(H133,-1,0))</f>
        <v>0</v>
      </c>
      <c r="I131" s="43">
        <f ca="1">SUMPRODUCT($B12:OFFSET($B13,-1,0),I132:OFFSET(I133,-1,0))</f>
        <v>0</v>
      </c>
      <c r="J131" s="43">
        <f ca="1">SUMPRODUCT($B12:OFFSET($B13,-1,0),J132:OFFSET(J133,-1,0))</f>
        <v>0</v>
      </c>
      <c r="K131" s="43">
        <f ca="1">SUMPRODUCT($B12:OFFSET($B13,-1,0),K132:OFFSET(K133,-1,0))</f>
        <v>0</v>
      </c>
      <c r="L131" s="43">
        <f ca="1">SUMPRODUCT($B12:OFFSET($B13,-1,0),L132:OFFSET(L133,-1,0))</f>
        <v>0</v>
      </c>
      <c r="M131" s="43">
        <f ca="1">SUMPRODUCT($B12:OFFSET($B13,-1,0),M132:OFFSET(M133,-1,0))</f>
        <v>0</v>
      </c>
      <c r="N131" s="43">
        <f ca="1">SUMPRODUCT($B12:OFFSET($B13,-1,0),N132:OFFSET(N133,-1,0))</f>
        <v>0</v>
      </c>
      <c r="O131" s="43">
        <f ca="1">SUMPRODUCT($B12:OFFSET($B13,-1,0),O132:OFFSET(O133,-1,0))</f>
        <v>0</v>
      </c>
      <c r="P131" s="43">
        <f ca="1">SUMPRODUCT($B12:OFFSET($B13,-1,0),P132:OFFSET(P133,-1,0))</f>
        <v>0</v>
      </c>
      <c r="Q131" s="43">
        <f ca="1">SUMPRODUCT($B12:OFFSET($B13,-1,0),Q132:OFFSET(Q133,-1,0))</f>
        <v>0</v>
      </c>
      <c r="S131" s="203">
        <f t="shared" ca="1" si="15"/>
        <v>0</v>
      </c>
    </row>
    <row r="132" spans="1:19" s="11" customFormat="1" hidden="1" outlineLevel="2" x14ac:dyDescent="0.2">
      <c r="A132" s="11" t="str">
        <f>"        " &amp; A12</f>
        <v xml:space="preserve">        Наименование проекта</v>
      </c>
      <c r="C132" s="199" t="str">
        <f t="shared" ca="1" si="14"/>
        <v>руб.</v>
      </c>
      <c r="D132" s="11" t="str">
        <f>"[" &amp; F12 &amp; "];int_sum"</f>
        <v>[Проект];int_sum</v>
      </c>
      <c r="F132" s="54">
        <f ca="1">IF(OR(F$33&lt;$B28,F$33&gt;$C28),0,OFFSET(Проект!F$1305,0,1-$B28))</f>
        <v>0</v>
      </c>
      <c r="G132" s="54">
        <f ca="1">IF(OR(G$33&lt;$B28,G$33&gt;$C28),0,OFFSET(Проект!G$1305,0,1-$B28))</f>
        <v>0</v>
      </c>
      <c r="H132" s="54">
        <f ca="1">IF(OR(H$33&lt;$B28,H$33&gt;$C28),0,OFFSET(Проект!H$1305,0,1-$B28))</f>
        <v>0</v>
      </c>
      <c r="I132" s="54">
        <f ca="1">IF(OR(I$33&lt;$B28,I$33&gt;$C28),0,OFFSET(Проект!I$1305,0,1-$B28))</f>
        <v>0</v>
      </c>
      <c r="J132" s="54">
        <f ca="1">IF(OR(J$33&lt;$B28,J$33&gt;$C28),0,OFFSET(Проект!J$1305,0,1-$B28))</f>
        <v>0</v>
      </c>
      <c r="K132" s="54">
        <f ca="1">IF(OR(K$33&lt;$B28,K$33&gt;$C28),0,OFFSET(Проект!K$1305,0,1-$B28))</f>
        <v>0</v>
      </c>
      <c r="L132" s="54">
        <f ca="1">IF(OR(L$33&lt;$B28,L$33&gt;$C28),0,OFFSET(Проект!L$1305,0,1-$B28))</f>
        <v>0</v>
      </c>
      <c r="M132" s="54">
        <f ca="1">IF(OR(M$33&lt;$B28,M$33&gt;$C28),0,OFFSET(Проект!M$1305,0,1-$B28))</f>
        <v>0</v>
      </c>
      <c r="N132" s="54">
        <f ca="1">IF(OR(N$33&lt;$B28,N$33&gt;$C28),0,OFFSET(Проект!N$1305,0,1-$B28))</f>
        <v>0</v>
      </c>
      <c r="O132" s="54">
        <f ca="1">IF(OR(O$33&lt;$B28,O$33&gt;$C28),0,OFFSET(Проект!O$1305,0,1-$B28))</f>
        <v>0</v>
      </c>
      <c r="P132" s="54">
        <f ca="1">IF(OR(P$33&lt;$B28,P$33&gt;$C28),0,OFFSET(Проект!P$1305,0,1-$B28))</f>
        <v>0</v>
      </c>
      <c r="Q132" s="54">
        <f ca="1">IF(OR(Q$33&lt;$B28,Q$33&gt;$C28),0,OFFSET(Проект!Q$1305,0,1-$B28))</f>
        <v>0</v>
      </c>
      <c r="S132" s="203">
        <f t="shared" ca="1" si="15"/>
        <v>0</v>
      </c>
    </row>
    <row r="133" spans="1:19" outlineLevel="1" collapsed="1" x14ac:dyDescent="0.2">
      <c r="A133" t="str">
        <f ca="1">Language!A708</f>
        <v xml:space="preserve">    Оплата производственного персонала</v>
      </c>
      <c r="C133" s="115" t="str">
        <f t="shared" ca="1" si="14"/>
        <v>руб.</v>
      </c>
      <c r="D133" s="205" t="s">
        <v>2210</v>
      </c>
      <c r="F133" s="43">
        <f ca="1">SUMPRODUCT($B12:OFFSET($B13,-1,0),F134:OFFSET(F135,-1,0))</f>
        <v>718200</v>
      </c>
      <c r="G133" s="43">
        <f ca="1">SUMPRODUCT($B12:OFFSET($B13,-1,0),G134:OFFSET(G135,-1,0))</f>
        <v>307800</v>
      </c>
      <c r="H133" s="43">
        <f ca="1">SUMPRODUCT($B12:OFFSET($B13,-1,0),H134:OFFSET(H135,-1,0))</f>
        <v>307800</v>
      </c>
      <c r="I133" s="43">
        <f ca="1">SUMPRODUCT($B12:OFFSET($B13,-1,0),I134:OFFSET(I135,-1,0))</f>
        <v>307800</v>
      </c>
      <c r="J133" s="43">
        <f ca="1">SUMPRODUCT($B12:OFFSET($B13,-1,0),J134:OFFSET(J135,-1,0))</f>
        <v>307800</v>
      </c>
      <c r="K133" s="43">
        <f ca="1">SUMPRODUCT($B12:OFFSET($B13,-1,0),K134:OFFSET(K135,-1,0))</f>
        <v>307800</v>
      </c>
      <c r="L133" s="43">
        <f ca="1">SUMPRODUCT($B12:OFFSET($B13,-1,0),L134:OFFSET(L135,-1,0))</f>
        <v>307800</v>
      </c>
      <c r="M133" s="43">
        <f ca="1">SUMPRODUCT($B12:OFFSET($B13,-1,0),M134:OFFSET(M135,-1,0))</f>
        <v>307800</v>
      </c>
      <c r="N133" s="43">
        <f ca="1">SUMPRODUCT($B12:OFFSET($B13,-1,0),N134:OFFSET(N135,-1,0))</f>
        <v>307800</v>
      </c>
      <c r="O133" s="43">
        <f ca="1">SUMPRODUCT($B12:OFFSET($B13,-1,0),O134:OFFSET(O135,-1,0))</f>
        <v>307800</v>
      </c>
      <c r="P133" s="43">
        <f ca="1">SUMPRODUCT($B12:OFFSET($B13,-1,0),P134:OFFSET(P135,-1,0))</f>
        <v>307800</v>
      </c>
      <c r="Q133" s="43">
        <f ca="1">SUMPRODUCT($B12:OFFSET($B13,-1,0),Q134:OFFSET(Q135,-1,0))</f>
        <v>307800</v>
      </c>
      <c r="S133" s="203">
        <f t="shared" ca="1" si="15"/>
        <v>4104000</v>
      </c>
    </row>
    <row r="134" spans="1:19" s="11" customFormat="1" hidden="1" outlineLevel="2" x14ac:dyDescent="0.2">
      <c r="A134" s="11" t="str">
        <f>"        " &amp; A12</f>
        <v xml:space="preserve">        Наименование проекта</v>
      </c>
      <c r="C134" s="199" t="str">
        <f t="shared" ca="1" si="14"/>
        <v>руб.</v>
      </c>
      <c r="D134" s="11" t="str">
        <f>"[" &amp; F12 &amp; "];int_sum"</f>
        <v>[Проект];int_sum</v>
      </c>
      <c r="F134" s="54">
        <f ca="1">IF(OR(F$33&lt;$B28,F$33&gt;$C28),0,OFFSET(Проект!F$1306,0,1-$B28))</f>
        <v>718200</v>
      </c>
      <c r="G134" s="54">
        <f ca="1">IF(OR(G$33&lt;$B28,G$33&gt;$C28),0,OFFSET(Проект!G$1306,0,1-$B28))</f>
        <v>307800</v>
      </c>
      <c r="H134" s="54">
        <f ca="1">IF(OR(H$33&lt;$B28,H$33&gt;$C28),0,OFFSET(Проект!H$1306,0,1-$B28))</f>
        <v>307800</v>
      </c>
      <c r="I134" s="54">
        <f ca="1">IF(OR(I$33&lt;$B28,I$33&gt;$C28),0,OFFSET(Проект!I$1306,0,1-$B28))</f>
        <v>307800</v>
      </c>
      <c r="J134" s="54">
        <f ca="1">IF(OR(J$33&lt;$B28,J$33&gt;$C28),0,OFFSET(Проект!J$1306,0,1-$B28))</f>
        <v>307800</v>
      </c>
      <c r="K134" s="54">
        <f ca="1">IF(OR(K$33&lt;$B28,K$33&gt;$C28),0,OFFSET(Проект!K$1306,0,1-$B28))</f>
        <v>307800</v>
      </c>
      <c r="L134" s="54">
        <f ca="1">IF(OR(L$33&lt;$B28,L$33&gt;$C28),0,OFFSET(Проект!L$1306,0,1-$B28))</f>
        <v>307800</v>
      </c>
      <c r="M134" s="54">
        <f ca="1">IF(OR(M$33&lt;$B28,M$33&gt;$C28),0,OFFSET(Проект!M$1306,0,1-$B28))</f>
        <v>307800</v>
      </c>
      <c r="N134" s="54">
        <f ca="1">IF(OR(N$33&lt;$B28,N$33&gt;$C28),0,OFFSET(Проект!N$1306,0,1-$B28))</f>
        <v>307800</v>
      </c>
      <c r="O134" s="54">
        <f ca="1">IF(OR(O$33&lt;$B28,O$33&gt;$C28),0,OFFSET(Проект!O$1306,0,1-$B28))</f>
        <v>307800</v>
      </c>
      <c r="P134" s="54">
        <f ca="1">IF(OR(P$33&lt;$B28,P$33&gt;$C28),0,OFFSET(Проект!P$1306,0,1-$B28))</f>
        <v>307800</v>
      </c>
      <c r="Q134" s="54">
        <f ca="1">IF(OR(Q$33&lt;$B28,Q$33&gt;$C28),0,OFFSET(Проект!Q$1306,0,1-$B28))</f>
        <v>307800</v>
      </c>
      <c r="S134" s="203">
        <f t="shared" ca="1" si="15"/>
        <v>4104000</v>
      </c>
    </row>
    <row r="135" spans="1:19" outlineLevel="1" collapsed="1" x14ac:dyDescent="0.2">
      <c r="A135" t="str">
        <f ca="1">Language!A709</f>
        <v xml:space="preserve">    Лизинговые платежи</v>
      </c>
      <c r="C135" s="115" t="str">
        <f t="shared" ca="1" si="14"/>
        <v>руб.</v>
      </c>
      <c r="D135" s="205" t="s">
        <v>2210</v>
      </c>
      <c r="F135" s="43">
        <f ca="1">SUMPRODUCT($B12:OFFSET($B13,-1,0),F136:OFFSET(F137,-1,0))</f>
        <v>0</v>
      </c>
      <c r="G135" s="43">
        <f ca="1">SUMPRODUCT($B12:OFFSET($B13,-1,0),G136:OFFSET(G137,-1,0))</f>
        <v>0</v>
      </c>
      <c r="H135" s="43">
        <f ca="1">SUMPRODUCT($B12:OFFSET($B13,-1,0),H136:OFFSET(H137,-1,0))</f>
        <v>0</v>
      </c>
      <c r="I135" s="43">
        <f ca="1">SUMPRODUCT($B12:OFFSET($B13,-1,0),I136:OFFSET(I137,-1,0))</f>
        <v>0</v>
      </c>
      <c r="J135" s="43">
        <f ca="1">SUMPRODUCT($B12:OFFSET($B13,-1,0),J136:OFFSET(J137,-1,0))</f>
        <v>0</v>
      </c>
      <c r="K135" s="43">
        <f ca="1">SUMPRODUCT($B12:OFFSET($B13,-1,0),K136:OFFSET(K137,-1,0))</f>
        <v>0</v>
      </c>
      <c r="L135" s="43">
        <f ca="1">SUMPRODUCT($B12:OFFSET($B13,-1,0),L136:OFFSET(L137,-1,0))</f>
        <v>0</v>
      </c>
      <c r="M135" s="43">
        <f ca="1">SUMPRODUCT($B12:OFFSET($B13,-1,0),M136:OFFSET(M137,-1,0))</f>
        <v>0</v>
      </c>
      <c r="N135" s="43">
        <f ca="1">SUMPRODUCT($B12:OFFSET($B13,-1,0),N136:OFFSET(N137,-1,0))</f>
        <v>0</v>
      </c>
      <c r="O135" s="43">
        <f ca="1">SUMPRODUCT($B12:OFFSET($B13,-1,0),O136:OFFSET(O137,-1,0))</f>
        <v>0</v>
      </c>
      <c r="P135" s="43">
        <f ca="1">SUMPRODUCT($B12:OFFSET($B13,-1,0),P136:OFFSET(P137,-1,0))</f>
        <v>0</v>
      </c>
      <c r="Q135" s="43">
        <f ca="1">SUMPRODUCT($B12:OFFSET($B13,-1,0),Q136:OFFSET(Q137,-1,0))</f>
        <v>0</v>
      </c>
      <c r="S135" s="203">
        <f t="shared" ca="1" si="15"/>
        <v>0</v>
      </c>
    </row>
    <row r="136" spans="1:19" s="11" customFormat="1" hidden="1" outlineLevel="2" x14ac:dyDescent="0.2">
      <c r="A136" s="11" t="str">
        <f>"        " &amp; A12</f>
        <v xml:space="preserve">        Наименование проекта</v>
      </c>
      <c r="C136" s="199" t="str">
        <f t="shared" ca="1" si="14"/>
        <v>руб.</v>
      </c>
      <c r="D136" s="11" t="str">
        <f>"[" &amp; F12 &amp; "];int_sum"</f>
        <v>[Проект];int_sum</v>
      </c>
      <c r="F136" s="54">
        <f ca="1">IF(OR(F$33&lt;$B28,F$33&gt;$C28),0,OFFSET(Проект!F$1307,0,1-$B28))</f>
        <v>0</v>
      </c>
      <c r="G136" s="54">
        <f ca="1">IF(OR(G$33&lt;$B28,G$33&gt;$C28),0,OFFSET(Проект!G$1307,0,1-$B28))</f>
        <v>0</v>
      </c>
      <c r="H136" s="54">
        <f ca="1">IF(OR(H$33&lt;$B28,H$33&gt;$C28),0,OFFSET(Проект!H$1307,0,1-$B28))</f>
        <v>0</v>
      </c>
      <c r="I136" s="54">
        <f ca="1">IF(OR(I$33&lt;$B28,I$33&gt;$C28),0,OFFSET(Проект!I$1307,0,1-$B28))</f>
        <v>0</v>
      </c>
      <c r="J136" s="54">
        <f ca="1">IF(OR(J$33&lt;$B28,J$33&gt;$C28),0,OFFSET(Проект!J$1307,0,1-$B28))</f>
        <v>0</v>
      </c>
      <c r="K136" s="54">
        <f ca="1">IF(OR(K$33&lt;$B28,K$33&gt;$C28),0,OFFSET(Проект!K$1307,0,1-$B28))</f>
        <v>0</v>
      </c>
      <c r="L136" s="54">
        <f ca="1">IF(OR(L$33&lt;$B28,L$33&gt;$C28),0,OFFSET(Проект!L$1307,0,1-$B28))</f>
        <v>0</v>
      </c>
      <c r="M136" s="54">
        <f ca="1">IF(OR(M$33&lt;$B28,M$33&gt;$C28),0,OFFSET(Проект!M$1307,0,1-$B28))</f>
        <v>0</v>
      </c>
      <c r="N136" s="54">
        <f ca="1">IF(OR(N$33&lt;$B28,N$33&gt;$C28),0,OFFSET(Проект!N$1307,0,1-$B28))</f>
        <v>0</v>
      </c>
      <c r="O136" s="54">
        <f ca="1">IF(OR(O$33&lt;$B28,O$33&gt;$C28),0,OFFSET(Проект!O$1307,0,1-$B28))</f>
        <v>0</v>
      </c>
      <c r="P136" s="54">
        <f ca="1">IF(OR(P$33&lt;$B28,P$33&gt;$C28),0,OFFSET(Проект!P$1307,0,1-$B28))</f>
        <v>0</v>
      </c>
      <c r="Q136" s="54">
        <f ca="1">IF(OR(Q$33&lt;$B28,Q$33&gt;$C28),0,OFFSET(Проект!Q$1307,0,1-$B28))</f>
        <v>0</v>
      </c>
      <c r="S136" s="203">
        <f t="shared" ca="1" si="15"/>
        <v>0</v>
      </c>
    </row>
    <row r="137" spans="1:19" outlineLevel="1" collapsed="1" x14ac:dyDescent="0.2">
      <c r="A137" t="str">
        <f ca="1">Language!A710</f>
        <v xml:space="preserve">    Прочие производственные расходы</v>
      </c>
      <c r="C137" s="115" t="str">
        <f t="shared" ca="1" si="14"/>
        <v>руб.</v>
      </c>
      <c r="D137" s="205" t="s">
        <v>2210</v>
      </c>
      <c r="F137" s="43">
        <f ca="1">SUMPRODUCT($B12:OFFSET($B13,-1,0),F138:OFFSET(F139,-1,0))</f>
        <v>1750000</v>
      </c>
      <c r="G137" s="43">
        <f ca="1">SUMPRODUCT($B12:OFFSET($B13,-1,0),G138:OFFSET(G139,-1,0))</f>
        <v>1750000</v>
      </c>
      <c r="H137" s="43">
        <f ca="1">SUMPRODUCT($B12:OFFSET($B13,-1,0),H138:OFFSET(H139,-1,0))</f>
        <v>1750000</v>
      </c>
      <c r="I137" s="43">
        <f ca="1">SUMPRODUCT($B12:OFFSET($B13,-1,0),I138:OFFSET(I139,-1,0))</f>
        <v>1750000</v>
      </c>
      <c r="J137" s="43">
        <f ca="1">SUMPRODUCT($B12:OFFSET($B13,-1,0),J138:OFFSET(J139,-1,0))</f>
        <v>1750000</v>
      </c>
      <c r="K137" s="43">
        <f ca="1">SUMPRODUCT($B12:OFFSET($B13,-1,0),K138:OFFSET(K139,-1,0))</f>
        <v>1750000</v>
      </c>
      <c r="L137" s="43">
        <f ca="1">SUMPRODUCT($B12:OFFSET($B13,-1,0),L138:OFFSET(L139,-1,0))</f>
        <v>1750000</v>
      </c>
      <c r="M137" s="43">
        <f ca="1">SUMPRODUCT($B12:OFFSET($B13,-1,0),M138:OFFSET(M139,-1,0))</f>
        <v>1750000</v>
      </c>
      <c r="N137" s="43">
        <f ca="1">SUMPRODUCT($B12:OFFSET($B13,-1,0),N138:OFFSET(N139,-1,0))</f>
        <v>1750000</v>
      </c>
      <c r="O137" s="43">
        <f ca="1">SUMPRODUCT($B12:OFFSET($B13,-1,0),O138:OFFSET(O139,-1,0))</f>
        <v>1750000</v>
      </c>
      <c r="P137" s="43">
        <f ca="1">SUMPRODUCT($B12:OFFSET($B13,-1,0),P138:OFFSET(P139,-1,0))</f>
        <v>1750000</v>
      </c>
      <c r="Q137" s="43">
        <f ca="1">SUMPRODUCT($B12:OFFSET($B13,-1,0),Q138:OFFSET(Q139,-1,0))</f>
        <v>1750000</v>
      </c>
      <c r="S137" s="203">
        <f t="shared" ca="1" si="15"/>
        <v>21000000</v>
      </c>
    </row>
    <row r="138" spans="1:19" s="11" customFormat="1" hidden="1" outlineLevel="2" x14ac:dyDescent="0.2">
      <c r="A138" s="11" t="str">
        <f>"        " &amp; A12</f>
        <v xml:space="preserve">        Наименование проекта</v>
      </c>
      <c r="C138" s="199" t="str">
        <f t="shared" ca="1" si="14"/>
        <v>руб.</v>
      </c>
      <c r="D138" s="11" t="str">
        <f>"[" &amp; F12 &amp; "];int_sum"</f>
        <v>[Проект];int_sum</v>
      </c>
      <c r="F138" s="54">
        <f ca="1">IF(OR(F$33&lt;$B28,F$33&gt;$C28),0,OFFSET(Проект!F$1308,0,1-$B28))</f>
        <v>1750000</v>
      </c>
      <c r="G138" s="54">
        <f ca="1">IF(OR(G$33&lt;$B28,G$33&gt;$C28),0,OFFSET(Проект!G$1308,0,1-$B28))</f>
        <v>1750000</v>
      </c>
      <c r="H138" s="54">
        <f ca="1">IF(OR(H$33&lt;$B28,H$33&gt;$C28),0,OFFSET(Проект!H$1308,0,1-$B28))</f>
        <v>1750000</v>
      </c>
      <c r="I138" s="54">
        <f ca="1">IF(OR(I$33&lt;$B28,I$33&gt;$C28),0,OFFSET(Проект!I$1308,0,1-$B28))</f>
        <v>1750000</v>
      </c>
      <c r="J138" s="54">
        <f ca="1">IF(OR(J$33&lt;$B28,J$33&gt;$C28),0,OFFSET(Проект!J$1308,0,1-$B28))</f>
        <v>1750000</v>
      </c>
      <c r="K138" s="54">
        <f ca="1">IF(OR(K$33&lt;$B28,K$33&gt;$C28),0,OFFSET(Проект!K$1308,0,1-$B28))</f>
        <v>1750000</v>
      </c>
      <c r="L138" s="54">
        <f ca="1">IF(OR(L$33&lt;$B28,L$33&gt;$C28),0,OFFSET(Проект!L$1308,0,1-$B28))</f>
        <v>1750000</v>
      </c>
      <c r="M138" s="54">
        <f ca="1">IF(OR(M$33&lt;$B28,M$33&gt;$C28),0,OFFSET(Проект!M$1308,0,1-$B28))</f>
        <v>1750000</v>
      </c>
      <c r="N138" s="54">
        <f ca="1">IF(OR(N$33&lt;$B28,N$33&gt;$C28),0,OFFSET(Проект!N$1308,0,1-$B28))</f>
        <v>1750000</v>
      </c>
      <c r="O138" s="54">
        <f ca="1">IF(OR(O$33&lt;$B28,O$33&gt;$C28),0,OFFSET(Проект!O$1308,0,1-$B28))</f>
        <v>1750000</v>
      </c>
      <c r="P138" s="54">
        <f ca="1">IF(OR(P$33&lt;$B28,P$33&gt;$C28),0,OFFSET(Проект!P$1308,0,1-$B28))</f>
        <v>1750000</v>
      </c>
      <c r="Q138" s="54">
        <f ca="1">IF(OR(Q$33&lt;$B28,Q$33&gt;$C28),0,OFFSET(Проект!Q$1308,0,1-$B28))</f>
        <v>1750000</v>
      </c>
      <c r="S138" s="203">
        <f t="shared" ca="1" si="15"/>
        <v>21000000</v>
      </c>
    </row>
    <row r="139" spans="1:19" outlineLevel="1" collapsed="1" x14ac:dyDescent="0.2">
      <c r="A139" t="str">
        <f ca="1">Language!A724</f>
        <v xml:space="preserve">    Амортизация</v>
      </c>
      <c r="C139" s="115" t="str">
        <f ca="1">CUR_Report</f>
        <v>руб.</v>
      </c>
      <c r="D139" s="205" t="s">
        <v>2210</v>
      </c>
      <c r="F139" s="43">
        <f ca="1">SUMPRODUCT($B12:OFFSET($B13,-1,0),F140:OFFSET(F141,-1,0))</f>
        <v>0</v>
      </c>
      <c r="G139" s="43">
        <f ca="1">SUMPRODUCT($B12:OFFSET($B13,-1,0),G140:OFFSET(G141,-1,0))</f>
        <v>0</v>
      </c>
      <c r="H139" s="43">
        <f ca="1">SUMPRODUCT($B12:OFFSET($B13,-1,0),H140:OFFSET(H141,-1,0))</f>
        <v>0</v>
      </c>
      <c r="I139" s="43">
        <f ca="1">SUMPRODUCT($B12:OFFSET($B13,-1,0),I140:OFFSET(I141,-1,0))</f>
        <v>0</v>
      </c>
      <c r="J139" s="43">
        <f ca="1">SUMPRODUCT($B12:OFFSET($B13,-1,0),J140:OFFSET(J141,-1,0))</f>
        <v>0</v>
      </c>
      <c r="K139" s="43">
        <f ca="1">SUMPRODUCT($B12:OFFSET($B13,-1,0),K140:OFFSET(K141,-1,0))</f>
        <v>0</v>
      </c>
      <c r="L139" s="43">
        <f ca="1">SUMPRODUCT($B12:OFFSET($B13,-1,0),L140:OFFSET(L141,-1,0))</f>
        <v>0</v>
      </c>
      <c r="M139" s="43">
        <f ca="1">SUMPRODUCT($B12:OFFSET($B13,-1,0),M140:OFFSET(M141,-1,0))</f>
        <v>0</v>
      </c>
      <c r="N139" s="43">
        <f ca="1">SUMPRODUCT($B12:OFFSET($B13,-1,0),N140:OFFSET(N141,-1,0))</f>
        <v>0</v>
      </c>
      <c r="O139" s="43">
        <f ca="1">SUMPRODUCT($B12:OFFSET($B13,-1,0),O140:OFFSET(O141,-1,0))</f>
        <v>0</v>
      </c>
      <c r="P139" s="43">
        <f ca="1">SUMPRODUCT($B12:OFFSET($B13,-1,0),P140:OFFSET(P141,-1,0))</f>
        <v>0</v>
      </c>
      <c r="Q139" s="43">
        <f ca="1">SUMPRODUCT($B12:OFFSET($B13,-1,0),Q140:OFFSET(Q141,-1,0))</f>
        <v>0</v>
      </c>
      <c r="S139" s="203">
        <f t="shared" ca="1" si="15"/>
        <v>0</v>
      </c>
    </row>
    <row r="140" spans="1:19" s="11" customFormat="1" hidden="1" outlineLevel="2" x14ac:dyDescent="0.2">
      <c r="A140" s="11" t="str">
        <f>"        " &amp; A12</f>
        <v xml:space="preserve">        Наименование проекта</v>
      </c>
      <c r="C140" s="199" t="str">
        <f ca="1">CUR_Report</f>
        <v>руб.</v>
      </c>
      <c r="D140" s="11" t="str">
        <f>"[" &amp; F12 &amp; "];int_sum"</f>
        <v>[Проект];int_sum</v>
      </c>
      <c r="F140" s="54">
        <f ca="1">IF(OR(F$33&lt;$B28,F$33&gt;$C28),0,OFFSET(Проект!F$1309,0,1-$B28))</f>
        <v>0</v>
      </c>
      <c r="G140" s="54">
        <f ca="1">IF(OR(G$33&lt;$B28,G$33&gt;$C28),0,OFFSET(Проект!G$1309,0,1-$B28))</f>
        <v>0</v>
      </c>
      <c r="H140" s="54">
        <f ca="1">IF(OR(H$33&lt;$B28,H$33&gt;$C28),0,OFFSET(Проект!H$1309,0,1-$B28))</f>
        <v>0</v>
      </c>
      <c r="I140" s="54">
        <f ca="1">IF(OR(I$33&lt;$B28,I$33&gt;$C28),0,OFFSET(Проект!I$1309,0,1-$B28))</f>
        <v>0</v>
      </c>
      <c r="J140" s="54">
        <f ca="1">IF(OR(J$33&lt;$B28,J$33&gt;$C28),0,OFFSET(Проект!J$1309,0,1-$B28))</f>
        <v>0</v>
      </c>
      <c r="K140" s="54">
        <f ca="1">IF(OR(K$33&lt;$B28,K$33&gt;$C28),0,OFFSET(Проект!K$1309,0,1-$B28))</f>
        <v>0</v>
      </c>
      <c r="L140" s="54">
        <f ca="1">IF(OR(L$33&lt;$B28,L$33&gt;$C28),0,OFFSET(Проект!L$1309,0,1-$B28))</f>
        <v>0</v>
      </c>
      <c r="M140" s="54">
        <f ca="1">IF(OR(M$33&lt;$B28,M$33&gt;$C28),0,OFFSET(Проект!M$1309,0,1-$B28))</f>
        <v>0</v>
      </c>
      <c r="N140" s="54">
        <f ca="1">IF(OR(N$33&lt;$B28,N$33&gt;$C28),0,OFFSET(Проект!N$1309,0,1-$B28))</f>
        <v>0</v>
      </c>
      <c r="O140" s="54">
        <f ca="1">IF(OR(O$33&lt;$B28,O$33&gt;$C28),0,OFFSET(Проект!O$1309,0,1-$B28))</f>
        <v>0</v>
      </c>
      <c r="P140" s="54">
        <f ca="1">IF(OR(P$33&lt;$B28,P$33&gt;$C28),0,OFFSET(Проект!P$1309,0,1-$B28))</f>
        <v>0</v>
      </c>
      <c r="Q140" s="54">
        <f ca="1">IF(OR(Q$33&lt;$B28,Q$33&gt;$C28),0,OFFSET(Проект!Q$1309,0,1-$B28))</f>
        <v>0</v>
      </c>
      <c r="S140" s="203">
        <f t="shared" ca="1" si="15"/>
        <v>0</v>
      </c>
    </row>
    <row r="141" spans="1:19" ht="10.5" outlineLevel="1" collapsed="1" x14ac:dyDescent="0.25">
      <c r="A141" s="179" t="str">
        <f ca="1">Language!A711</f>
        <v>Валовая прибыль</v>
      </c>
      <c r="C141" s="115" t="str">
        <f t="shared" ca="1" si="14"/>
        <v>руб.</v>
      </c>
      <c r="D141" s="205" t="s">
        <v>2210</v>
      </c>
      <c r="F141" s="207">
        <f ca="1">SUMPRODUCT($B12:OFFSET($B13,-1,0),F142:OFFSET(F143,-1,0))</f>
        <v>-2468200</v>
      </c>
      <c r="G141" s="207">
        <f ca="1">SUMPRODUCT($B12:OFFSET($B13,-1,0),G142:OFFSET(G143,-1,0))</f>
        <v>-2057800</v>
      </c>
      <c r="H141" s="207">
        <f ca="1">SUMPRODUCT($B12:OFFSET($B13,-1,0),H142:OFFSET(H143,-1,0))</f>
        <v>-1921893.3087500001</v>
      </c>
      <c r="I141" s="207">
        <f ca="1">SUMPRODUCT($B12:OFFSET($B13,-1,0),I142:OFFSET(I143,-1,0))</f>
        <v>-1378266.54375</v>
      </c>
      <c r="J141" s="207">
        <f ca="1">SUMPRODUCT($B12:OFFSET($B13,-1,0),J142:OFFSET(J143,-1,0))</f>
        <v>-698733.08749999991</v>
      </c>
      <c r="K141" s="207">
        <f ca="1">SUMPRODUCT($B12:OFFSET($B13,-1,0),K142:OFFSET(K143,-1,0))</f>
        <v>660333.82499999995</v>
      </c>
      <c r="L141" s="207">
        <f ca="1">SUMPRODUCT($B12:OFFSET($B13,-1,0),L142:OFFSET(L143,-1,0))</f>
        <v>2019400.7375</v>
      </c>
      <c r="M141" s="207">
        <f ca="1">SUMPRODUCT($B12:OFFSET($B13,-1,0),M142:OFFSET(M143,-1,0))</f>
        <v>3378467.65</v>
      </c>
      <c r="N141" s="207">
        <f ca="1">SUMPRODUCT($B12:OFFSET($B13,-1,0),N142:OFFSET(N143,-1,0))</f>
        <v>5417068.0187499998</v>
      </c>
      <c r="O141" s="207">
        <f ca="1">SUMPRODUCT($B12:OFFSET($B13,-1,0),O142:OFFSET(O143,-1,0))</f>
        <v>8135201.84375</v>
      </c>
      <c r="P141" s="207">
        <f ca="1">SUMPRODUCT($B12:OFFSET($B13,-1,0),P142:OFFSET(P143,-1,0))</f>
        <v>10173802.2125</v>
      </c>
      <c r="Q141" s="207">
        <f ca="1">SUMPRODUCT($B12:OFFSET($B13,-1,0),Q142:OFFSET(Q143,-1,0))</f>
        <v>11532869.125</v>
      </c>
      <c r="R141" s="179"/>
      <c r="S141" s="57">
        <f t="shared" ca="1" si="15"/>
        <v>32792250.4725</v>
      </c>
    </row>
    <row r="142" spans="1:19" s="11" customFormat="1" hidden="1" outlineLevel="2" x14ac:dyDescent="0.2">
      <c r="A142" s="11" t="str">
        <f>"        " &amp; A12</f>
        <v xml:space="preserve">        Наименование проекта</v>
      </c>
      <c r="C142" s="199" t="str">
        <f t="shared" ca="1" si="14"/>
        <v>руб.</v>
      </c>
      <c r="D142" s="11" t="str">
        <f>"[" &amp; F12 &amp; "];int_sum"</f>
        <v>[Проект];int_sum</v>
      </c>
      <c r="F142" s="54">
        <f ca="1">IF(OR(F$33&lt;$B28,F$33&gt;$C28),0,OFFSET(Проект!F$1310,0,1-$B28))</f>
        <v>-2468200</v>
      </c>
      <c r="G142" s="54">
        <f ca="1">IF(OR(G$33&lt;$B28,G$33&gt;$C28),0,OFFSET(Проект!G$1310,0,1-$B28))</f>
        <v>-2057800</v>
      </c>
      <c r="H142" s="54">
        <f ca="1">IF(OR(H$33&lt;$B28,H$33&gt;$C28),0,OFFSET(Проект!H$1310,0,1-$B28))</f>
        <v>-1921893.3087500001</v>
      </c>
      <c r="I142" s="54">
        <f ca="1">IF(OR(I$33&lt;$B28,I$33&gt;$C28),0,OFFSET(Проект!I$1310,0,1-$B28))</f>
        <v>-1378266.54375</v>
      </c>
      <c r="J142" s="54">
        <f ca="1">IF(OR(J$33&lt;$B28,J$33&gt;$C28),0,OFFSET(Проект!J$1310,0,1-$B28))</f>
        <v>-698733.08749999991</v>
      </c>
      <c r="K142" s="54">
        <f ca="1">IF(OR(K$33&lt;$B28,K$33&gt;$C28),0,OFFSET(Проект!K$1310,0,1-$B28))</f>
        <v>660333.82499999995</v>
      </c>
      <c r="L142" s="54">
        <f ca="1">IF(OR(L$33&lt;$B28,L$33&gt;$C28),0,OFFSET(Проект!L$1310,0,1-$B28))</f>
        <v>2019400.7375</v>
      </c>
      <c r="M142" s="54">
        <f ca="1">IF(OR(M$33&lt;$B28,M$33&gt;$C28),0,OFFSET(Проект!M$1310,0,1-$B28))</f>
        <v>3378467.65</v>
      </c>
      <c r="N142" s="54">
        <f ca="1">IF(OR(N$33&lt;$B28,N$33&gt;$C28),0,OFFSET(Проект!N$1310,0,1-$B28))</f>
        <v>5417068.0187499998</v>
      </c>
      <c r="O142" s="54">
        <f ca="1">IF(OR(O$33&lt;$B28,O$33&gt;$C28),0,OFFSET(Проект!O$1310,0,1-$B28))</f>
        <v>8135201.84375</v>
      </c>
      <c r="P142" s="54">
        <f ca="1">IF(OR(P$33&lt;$B28,P$33&gt;$C28),0,OFFSET(Проект!P$1310,0,1-$B28))</f>
        <v>10173802.2125</v>
      </c>
      <c r="Q142" s="54">
        <f ca="1">IF(OR(Q$33&lt;$B28,Q$33&gt;$C28),0,OFFSET(Проект!Q$1310,0,1-$B28))</f>
        <v>11532869.125</v>
      </c>
      <c r="S142" s="203">
        <f t="shared" ca="1" si="15"/>
        <v>32792250.4725</v>
      </c>
    </row>
    <row r="143" spans="1:19" outlineLevel="1" collapsed="1" x14ac:dyDescent="0.2">
      <c r="A143" t="str">
        <f ca="1">Language!A712</f>
        <v>Оплата административного и коммерческого персонала</v>
      </c>
      <c r="C143" s="115" t="str">
        <f t="shared" ca="1" si="14"/>
        <v>руб.</v>
      </c>
      <c r="D143" s="205" t="s">
        <v>2210</v>
      </c>
      <c r="F143" s="43">
        <f ca="1">SUMPRODUCT($B12:OFFSET($B13,-1,0),F144:OFFSET(F145,-1,0))</f>
        <v>357960</v>
      </c>
      <c r="G143" s="43">
        <f ca="1">SUMPRODUCT($B12:OFFSET($B13,-1,0),G144:OFFSET(G145,-1,0))</f>
        <v>357960</v>
      </c>
      <c r="H143" s="43">
        <f ca="1">SUMPRODUCT($B12:OFFSET($B13,-1,0),H144:OFFSET(H145,-1,0))</f>
        <v>357960</v>
      </c>
      <c r="I143" s="43">
        <f ca="1">SUMPRODUCT($B12:OFFSET($B13,-1,0),I144:OFFSET(I145,-1,0))</f>
        <v>357960</v>
      </c>
      <c r="J143" s="43">
        <f ca="1">SUMPRODUCT($B12:OFFSET($B13,-1,0),J144:OFFSET(J145,-1,0))</f>
        <v>357960</v>
      </c>
      <c r="K143" s="43">
        <f ca="1">SUMPRODUCT($B12:OFFSET($B13,-1,0),K144:OFFSET(K145,-1,0))</f>
        <v>357960</v>
      </c>
      <c r="L143" s="43">
        <f ca="1">SUMPRODUCT($B12:OFFSET($B13,-1,0),L144:OFFSET(L145,-1,0))</f>
        <v>357960</v>
      </c>
      <c r="M143" s="43">
        <f ca="1">SUMPRODUCT($B12:OFFSET($B13,-1,0),M144:OFFSET(M145,-1,0))</f>
        <v>357960</v>
      </c>
      <c r="N143" s="43">
        <f ca="1">SUMPRODUCT($B12:OFFSET($B13,-1,0),N144:OFFSET(N145,-1,0))</f>
        <v>357960</v>
      </c>
      <c r="O143" s="43">
        <f ca="1">SUMPRODUCT($B12:OFFSET($B13,-1,0),O144:OFFSET(O145,-1,0))</f>
        <v>357960</v>
      </c>
      <c r="P143" s="43">
        <f ca="1">SUMPRODUCT($B12:OFFSET($B13,-1,0),P144:OFFSET(P145,-1,0))</f>
        <v>357960</v>
      </c>
      <c r="Q143" s="43">
        <f ca="1">SUMPRODUCT($B12:OFFSET($B13,-1,0),Q144:OFFSET(Q145,-1,0))</f>
        <v>357960</v>
      </c>
      <c r="S143" s="203">
        <f t="shared" ca="1" si="15"/>
        <v>4295520</v>
      </c>
    </row>
    <row r="144" spans="1:19" s="11" customFormat="1" hidden="1" outlineLevel="2" x14ac:dyDescent="0.2">
      <c r="A144" s="11" t="str">
        <f>"        " &amp; A12</f>
        <v xml:space="preserve">        Наименование проекта</v>
      </c>
      <c r="C144" s="199" t="str">
        <f t="shared" ca="1" si="14"/>
        <v>руб.</v>
      </c>
      <c r="D144" s="11" t="str">
        <f>"[" &amp; F12 &amp; "];int_sum"</f>
        <v>[Проект];int_sum</v>
      </c>
      <c r="F144" s="54">
        <f ca="1">IF(OR(F$33&lt;$B28,F$33&gt;$C28),0,OFFSET(Проект!F$1311,0,1-$B28))</f>
        <v>357960</v>
      </c>
      <c r="G144" s="54">
        <f ca="1">IF(OR(G$33&lt;$B28,G$33&gt;$C28),0,OFFSET(Проект!G$1311,0,1-$B28))</f>
        <v>357960</v>
      </c>
      <c r="H144" s="54">
        <f ca="1">IF(OR(H$33&lt;$B28,H$33&gt;$C28),0,OFFSET(Проект!H$1311,0,1-$B28))</f>
        <v>357960</v>
      </c>
      <c r="I144" s="54">
        <f ca="1">IF(OR(I$33&lt;$B28,I$33&gt;$C28),0,OFFSET(Проект!I$1311,0,1-$B28))</f>
        <v>357960</v>
      </c>
      <c r="J144" s="54">
        <f ca="1">IF(OR(J$33&lt;$B28,J$33&gt;$C28),0,OFFSET(Проект!J$1311,0,1-$B28))</f>
        <v>357960</v>
      </c>
      <c r="K144" s="54">
        <f ca="1">IF(OR(K$33&lt;$B28,K$33&gt;$C28),0,OFFSET(Проект!K$1311,0,1-$B28))</f>
        <v>357960</v>
      </c>
      <c r="L144" s="54">
        <f ca="1">IF(OR(L$33&lt;$B28,L$33&gt;$C28),0,OFFSET(Проект!L$1311,0,1-$B28))</f>
        <v>357960</v>
      </c>
      <c r="M144" s="54">
        <f ca="1">IF(OR(M$33&lt;$B28,M$33&gt;$C28),0,OFFSET(Проект!M$1311,0,1-$B28))</f>
        <v>357960</v>
      </c>
      <c r="N144" s="54">
        <f ca="1">IF(OR(N$33&lt;$B28,N$33&gt;$C28),0,OFFSET(Проект!N$1311,0,1-$B28))</f>
        <v>357960</v>
      </c>
      <c r="O144" s="54">
        <f ca="1">IF(OR(O$33&lt;$B28,O$33&gt;$C28),0,OFFSET(Проект!O$1311,0,1-$B28))</f>
        <v>357960</v>
      </c>
      <c r="P144" s="54">
        <f ca="1">IF(OR(P$33&lt;$B28,P$33&gt;$C28),0,OFFSET(Проект!P$1311,0,1-$B28))</f>
        <v>357960</v>
      </c>
      <c r="Q144" s="54">
        <f ca="1">IF(OR(Q$33&lt;$B28,Q$33&gt;$C28),0,OFFSET(Проект!Q$1311,0,1-$B28))</f>
        <v>357960</v>
      </c>
      <c r="S144" s="203">
        <f t="shared" ca="1" si="15"/>
        <v>4295520</v>
      </c>
    </row>
    <row r="145" spans="1:19" outlineLevel="1" collapsed="1" x14ac:dyDescent="0.2">
      <c r="A145" t="str">
        <f ca="1">Language!A713</f>
        <v>Административные расходы</v>
      </c>
      <c r="C145" s="115" t="str">
        <f t="shared" ca="1" si="14"/>
        <v>руб.</v>
      </c>
      <c r="D145" s="205" t="s">
        <v>2210</v>
      </c>
      <c r="F145" s="43">
        <f ca="1">SUMPRODUCT($B12:OFFSET($B13,-1,0),F146:OFFSET(F147,-1,0))</f>
        <v>140000</v>
      </c>
      <c r="G145" s="43">
        <f ca="1">SUMPRODUCT($B12:OFFSET($B13,-1,0),G146:OFFSET(G147,-1,0))</f>
        <v>140000</v>
      </c>
      <c r="H145" s="43">
        <f ca="1">SUMPRODUCT($B12:OFFSET($B13,-1,0),H146:OFFSET(H147,-1,0))</f>
        <v>140000</v>
      </c>
      <c r="I145" s="43">
        <f ca="1">SUMPRODUCT($B12:OFFSET($B13,-1,0),I146:OFFSET(I147,-1,0))</f>
        <v>140000</v>
      </c>
      <c r="J145" s="43">
        <f ca="1">SUMPRODUCT($B12:OFFSET($B13,-1,0),J146:OFFSET(J147,-1,0))</f>
        <v>140000</v>
      </c>
      <c r="K145" s="43">
        <f ca="1">SUMPRODUCT($B12:OFFSET($B13,-1,0),K146:OFFSET(K147,-1,0))</f>
        <v>140000</v>
      </c>
      <c r="L145" s="43">
        <f ca="1">SUMPRODUCT($B12:OFFSET($B13,-1,0),L146:OFFSET(L147,-1,0))</f>
        <v>140000</v>
      </c>
      <c r="M145" s="43">
        <f ca="1">SUMPRODUCT($B12:OFFSET($B13,-1,0),M146:OFFSET(M147,-1,0))</f>
        <v>140000</v>
      </c>
      <c r="N145" s="43">
        <f ca="1">SUMPRODUCT($B12:OFFSET($B13,-1,0),N146:OFFSET(N147,-1,0))</f>
        <v>140000</v>
      </c>
      <c r="O145" s="43">
        <f ca="1">SUMPRODUCT($B12:OFFSET($B13,-1,0),O146:OFFSET(O147,-1,0))</f>
        <v>140000</v>
      </c>
      <c r="P145" s="43">
        <f ca="1">SUMPRODUCT($B12:OFFSET($B13,-1,0),P146:OFFSET(P147,-1,0))</f>
        <v>140000</v>
      </c>
      <c r="Q145" s="43">
        <f ca="1">SUMPRODUCT($B12:OFFSET($B13,-1,0),Q146:OFFSET(Q147,-1,0))</f>
        <v>140000</v>
      </c>
      <c r="S145" s="203">
        <f t="shared" ca="1" si="15"/>
        <v>1680000</v>
      </c>
    </row>
    <row r="146" spans="1:19" s="11" customFormat="1" hidden="1" outlineLevel="2" x14ac:dyDescent="0.2">
      <c r="A146" s="11" t="str">
        <f>"        " &amp; A12</f>
        <v xml:space="preserve">        Наименование проекта</v>
      </c>
      <c r="C146" s="199" t="str">
        <f t="shared" ca="1" si="14"/>
        <v>руб.</v>
      </c>
      <c r="D146" s="11" t="str">
        <f>"[" &amp; F12 &amp; "];int_sum"</f>
        <v>[Проект];int_sum</v>
      </c>
      <c r="F146" s="54">
        <f ca="1">IF(OR(F$33&lt;$B28,F$33&gt;$C28),0,OFFSET(Проект!F$1312,0,1-$B28))</f>
        <v>140000</v>
      </c>
      <c r="G146" s="54">
        <f ca="1">IF(OR(G$33&lt;$B28,G$33&gt;$C28),0,OFFSET(Проект!G$1312,0,1-$B28))</f>
        <v>140000</v>
      </c>
      <c r="H146" s="54">
        <f ca="1">IF(OR(H$33&lt;$B28,H$33&gt;$C28),0,OFFSET(Проект!H$1312,0,1-$B28))</f>
        <v>140000</v>
      </c>
      <c r="I146" s="54">
        <f ca="1">IF(OR(I$33&lt;$B28,I$33&gt;$C28),0,OFFSET(Проект!I$1312,0,1-$B28))</f>
        <v>140000</v>
      </c>
      <c r="J146" s="54">
        <f ca="1">IF(OR(J$33&lt;$B28,J$33&gt;$C28),0,OFFSET(Проект!J$1312,0,1-$B28))</f>
        <v>140000</v>
      </c>
      <c r="K146" s="54">
        <f ca="1">IF(OR(K$33&lt;$B28,K$33&gt;$C28),0,OFFSET(Проект!K$1312,0,1-$B28))</f>
        <v>140000</v>
      </c>
      <c r="L146" s="54">
        <f ca="1">IF(OR(L$33&lt;$B28,L$33&gt;$C28),0,OFFSET(Проект!L$1312,0,1-$B28))</f>
        <v>140000</v>
      </c>
      <c r="M146" s="54">
        <f ca="1">IF(OR(M$33&lt;$B28,M$33&gt;$C28),0,OFFSET(Проект!M$1312,0,1-$B28))</f>
        <v>140000</v>
      </c>
      <c r="N146" s="54">
        <f ca="1">IF(OR(N$33&lt;$B28,N$33&gt;$C28),0,OFFSET(Проект!N$1312,0,1-$B28))</f>
        <v>140000</v>
      </c>
      <c r="O146" s="54">
        <f ca="1">IF(OR(O$33&lt;$B28,O$33&gt;$C28),0,OFFSET(Проект!O$1312,0,1-$B28))</f>
        <v>140000</v>
      </c>
      <c r="P146" s="54">
        <f ca="1">IF(OR(P$33&lt;$B28,P$33&gt;$C28),0,OFFSET(Проект!P$1312,0,1-$B28))</f>
        <v>140000</v>
      </c>
      <c r="Q146" s="54">
        <f ca="1">IF(OR(Q$33&lt;$B28,Q$33&gt;$C28),0,OFFSET(Проект!Q$1312,0,1-$B28))</f>
        <v>140000</v>
      </c>
      <c r="S146" s="203">
        <f t="shared" ca="1" si="15"/>
        <v>1680000</v>
      </c>
    </row>
    <row r="147" spans="1:19" outlineLevel="1" collapsed="1" x14ac:dyDescent="0.2">
      <c r="A147" t="str">
        <f ca="1">Language!A714</f>
        <v>Коммерческие расходы</v>
      </c>
      <c r="C147" s="115" t="str">
        <f t="shared" ca="1" si="14"/>
        <v>руб.</v>
      </c>
      <c r="D147" s="205" t="s">
        <v>2210</v>
      </c>
      <c r="F147" s="43">
        <f ca="1">SUMPRODUCT($B12:OFFSET($B13,-1,0),F148:OFFSET(F149,-1,0))</f>
        <v>0</v>
      </c>
      <c r="G147" s="43">
        <f ca="1">SUMPRODUCT($B12:OFFSET($B13,-1,0),G148:OFFSET(G149,-1,0))</f>
        <v>0</v>
      </c>
      <c r="H147" s="43">
        <f ca="1">SUMPRODUCT($B12:OFFSET($B13,-1,0),H148:OFFSET(H149,-1,0))</f>
        <v>0</v>
      </c>
      <c r="I147" s="43">
        <f ca="1">SUMPRODUCT($B12:OFFSET($B13,-1,0),I148:OFFSET(I149,-1,0))</f>
        <v>0</v>
      </c>
      <c r="J147" s="43">
        <f ca="1">SUMPRODUCT($B12:OFFSET($B13,-1,0),J148:OFFSET(J149,-1,0))</f>
        <v>0</v>
      </c>
      <c r="K147" s="43">
        <f ca="1">SUMPRODUCT($B12:OFFSET($B13,-1,0),K148:OFFSET(K149,-1,0))</f>
        <v>0</v>
      </c>
      <c r="L147" s="43">
        <f ca="1">SUMPRODUCT($B12:OFFSET($B13,-1,0),L148:OFFSET(L149,-1,0))</f>
        <v>0</v>
      </c>
      <c r="M147" s="43">
        <f ca="1">SUMPRODUCT($B12:OFFSET($B13,-1,0),M148:OFFSET(M149,-1,0))</f>
        <v>0</v>
      </c>
      <c r="N147" s="43">
        <f ca="1">SUMPRODUCT($B12:OFFSET($B13,-1,0),N148:OFFSET(N149,-1,0))</f>
        <v>0</v>
      </c>
      <c r="O147" s="43">
        <f ca="1">SUMPRODUCT($B12:OFFSET($B13,-1,0),O148:OFFSET(O149,-1,0))</f>
        <v>0</v>
      </c>
      <c r="P147" s="43">
        <f ca="1">SUMPRODUCT($B12:OFFSET($B13,-1,0),P148:OFFSET(P149,-1,0))</f>
        <v>0</v>
      </c>
      <c r="Q147" s="43">
        <f ca="1">SUMPRODUCT($B12:OFFSET($B13,-1,0),Q148:OFFSET(Q149,-1,0))</f>
        <v>0</v>
      </c>
      <c r="S147" s="203">
        <f t="shared" ca="1" si="15"/>
        <v>0</v>
      </c>
    </row>
    <row r="148" spans="1:19" s="11" customFormat="1" hidden="1" outlineLevel="2" x14ac:dyDescent="0.2">
      <c r="A148" s="11" t="str">
        <f>"        " &amp; A12</f>
        <v xml:space="preserve">        Наименование проекта</v>
      </c>
      <c r="C148" s="199" t="str">
        <f t="shared" ca="1" si="14"/>
        <v>руб.</v>
      </c>
      <c r="D148" s="11" t="str">
        <f>"[" &amp; F12 &amp; "];int_sum"</f>
        <v>[Проект];int_sum</v>
      </c>
      <c r="F148" s="54">
        <f ca="1">IF(OR(F$33&lt;$B28,F$33&gt;$C28),0,OFFSET(Проект!F$1313,0,1-$B28))</f>
        <v>0</v>
      </c>
      <c r="G148" s="54">
        <f ca="1">IF(OR(G$33&lt;$B28,G$33&gt;$C28),0,OFFSET(Проект!G$1313,0,1-$B28))</f>
        <v>0</v>
      </c>
      <c r="H148" s="54">
        <f ca="1">IF(OR(H$33&lt;$B28,H$33&gt;$C28),0,OFFSET(Проект!H$1313,0,1-$B28))</f>
        <v>0</v>
      </c>
      <c r="I148" s="54">
        <f ca="1">IF(OR(I$33&lt;$B28,I$33&gt;$C28),0,OFFSET(Проект!I$1313,0,1-$B28))</f>
        <v>0</v>
      </c>
      <c r="J148" s="54">
        <f ca="1">IF(OR(J$33&lt;$B28,J$33&gt;$C28),0,OFFSET(Проект!J$1313,0,1-$B28))</f>
        <v>0</v>
      </c>
      <c r="K148" s="54">
        <f ca="1">IF(OR(K$33&lt;$B28,K$33&gt;$C28),0,OFFSET(Проект!K$1313,0,1-$B28))</f>
        <v>0</v>
      </c>
      <c r="L148" s="54">
        <f ca="1">IF(OR(L$33&lt;$B28,L$33&gt;$C28),0,OFFSET(Проект!L$1313,0,1-$B28))</f>
        <v>0</v>
      </c>
      <c r="M148" s="54">
        <f ca="1">IF(OR(M$33&lt;$B28,M$33&gt;$C28),0,OFFSET(Проект!M$1313,0,1-$B28))</f>
        <v>0</v>
      </c>
      <c r="N148" s="54">
        <f ca="1">IF(OR(N$33&lt;$B28,N$33&gt;$C28),0,OFFSET(Проект!N$1313,0,1-$B28))</f>
        <v>0</v>
      </c>
      <c r="O148" s="54">
        <f ca="1">IF(OR(O$33&lt;$B28,O$33&gt;$C28),0,OFFSET(Проект!O$1313,0,1-$B28))</f>
        <v>0</v>
      </c>
      <c r="P148" s="54">
        <f ca="1">IF(OR(P$33&lt;$B28,P$33&gt;$C28),0,OFFSET(Проект!P$1313,0,1-$B28))</f>
        <v>0</v>
      </c>
      <c r="Q148" s="54">
        <f ca="1">IF(OR(Q$33&lt;$B28,Q$33&gt;$C28),0,OFFSET(Проект!Q$1313,0,1-$B28))</f>
        <v>0</v>
      </c>
      <c r="S148" s="203">
        <f t="shared" ca="1" si="15"/>
        <v>0</v>
      </c>
    </row>
    <row r="149" spans="1:19" outlineLevel="1" collapsed="1" x14ac:dyDescent="0.2">
      <c r="A149" t="str">
        <f ca="1">Language!A715</f>
        <v>Налоги, кроме налога на прибыль</v>
      </c>
      <c r="C149" s="115" t="str">
        <f t="shared" ca="1" si="14"/>
        <v>руб.</v>
      </c>
      <c r="D149" s="205" t="s">
        <v>2210</v>
      </c>
      <c r="F149" s="43">
        <f ca="1">SUMPRODUCT($B12:OFFSET($B13,-1,0),F150:OFFSET(F151,-1,0))</f>
        <v>0</v>
      </c>
      <c r="G149" s="43">
        <f ca="1">SUMPRODUCT($B12:OFFSET($B13,-1,0),G150:OFFSET(G151,-1,0))</f>
        <v>0</v>
      </c>
      <c r="H149" s="43">
        <f ca="1">SUMPRODUCT($B12:OFFSET($B13,-1,0),H150:OFFSET(H151,-1,0))</f>
        <v>0</v>
      </c>
      <c r="I149" s="43">
        <f ca="1">SUMPRODUCT($B12:OFFSET($B13,-1,0),I150:OFFSET(I151,-1,0))</f>
        <v>0</v>
      </c>
      <c r="J149" s="43">
        <f ca="1">SUMPRODUCT($B12:OFFSET($B13,-1,0),J150:OFFSET(J151,-1,0))</f>
        <v>0</v>
      </c>
      <c r="K149" s="43">
        <f ca="1">SUMPRODUCT($B12:OFFSET($B13,-1,0),K150:OFFSET(K151,-1,0))</f>
        <v>0</v>
      </c>
      <c r="L149" s="43">
        <f ca="1">SUMPRODUCT($B12:OFFSET($B13,-1,0),L150:OFFSET(L151,-1,0))</f>
        <v>0</v>
      </c>
      <c r="M149" s="43">
        <f ca="1">SUMPRODUCT($B12:OFFSET($B13,-1,0),M150:OFFSET(M151,-1,0))</f>
        <v>0</v>
      </c>
      <c r="N149" s="43">
        <f ca="1">SUMPRODUCT($B12:OFFSET($B13,-1,0),N150:OFFSET(N151,-1,0))</f>
        <v>0</v>
      </c>
      <c r="O149" s="43">
        <f ca="1">SUMPRODUCT($B12:OFFSET($B13,-1,0),O150:OFFSET(O151,-1,0))</f>
        <v>0</v>
      </c>
      <c r="P149" s="43">
        <f ca="1">SUMPRODUCT($B12:OFFSET($B13,-1,0),P150:OFFSET(P151,-1,0))</f>
        <v>0</v>
      </c>
      <c r="Q149" s="43">
        <f ca="1">SUMPRODUCT($B12:OFFSET($B13,-1,0),Q150:OFFSET(Q151,-1,0))</f>
        <v>0</v>
      </c>
      <c r="S149" s="203">
        <f t="shared" ca="1" si="15"/>
        <v>0</v>
      </c>
    </row>
    <row r="150" spans="1:19" s="11" customFormat="1" hidden="1" outlineLevel="2" x14ac:dyDescent="0.2">
      <c r="A150" s="11" t="str">
        <f>"        " &amp; A12</f>
        <v xml:space="preserve">        Наименование проекта</v>
      </c>
      <c r="C150" s="199" t="str">
        <f t="shared" ca="1" si="14"/>
        <v>руб.</v>
      </c>
      <c r="D150" s="11" t="str">
        <f>"[" &amp; F12 &amp; "];int_sum"</f>
        <v>[Проект];int_sum</v>
      </c>
      <c r="F150" s="54">
        <f ca="1">IF(OR(F$33&lt;$B28,F$33&gt;$C28),0,OFFSET(Проект!F$1316,0,1-$B28))</f>
        <v>0</v>
      </c>
      <c r="G150" s="54">
        <f ca="1">IF(OR(G$33&lt;$B28,G$33&gt;$C28),0,OFFSET(Проект!G$1316,0,1-$B28))</f>
        <v>0</v>
      </c>
      <c r="H150" s="54">
        <f ca="1">IF(OR(H$33&lt;$B28,H$33&gt;$C28),0,OFFSET(Проект!H$1316,0,1-$B28))</f>
        <v>0</v>
      </c>
      <c r="I150" s="54">
        <f ca="1">IF(OR(I$33&lt;$B28,I$33&gt;$C28),0,OFFSET(Проект!I$1316,0,1-$B28))</f>
        <v>0</v>
      </c>
      <c r="J150" s="54">
        <f ca="1">IF(OR(J$33&lt;$B28,J$33&gt;$C28),0,OFFSET(Проект!J$1316,0,1-$B28))</f>
        <v>0</v>
      </c>
      <c r="K150" s="54">
        <f ca="1">IF(OR(K$33&lt;$B28,K$33&gt;$C28),0,OFFSET(Проект!K$1316,0,1-$B28))</f>
        <v>0</v>
      </c>
      <c r="L150" s="54">
        <f ca="1">IF(OR(L$33&lt;$B28,L$33&gt;$C28),0,OFFSET(Проект!L$1316,0,1-$B28))</f>
        <v>0</v>
      </c>
      <c r="M150" s="54">
        <f ca="1">IF(OR(M$33&lt;$B28,M$33&gt;$C28),0,OFFSET(Проект!M$1316,0,1-$B28))</f>
        <v>0</v>
      </c>
      <c r="N150" s="54">
        <f ca="1">IF(OR(N$33&lt;$B28,N$33&gt;$C28),0,OFFSET(Проект!N$1316,0,1-$B28))</f>
        <v>0</v>
      </c>
      <c r="O150" s="54">
        <f ca="1">IF(OR(O$33&lt;$B28,O$33&gt;$C28),0,OFFSET(Проект!O$1316,0,1-$B28))</f>
        <v>0</v>
      </c>
      <c r="P150" s="54">
        <f ca="1">IF(OR(P$33&lt;$B28,P$33&gt;$C28),0,OFFSET(Проект!P$1316,0,1-$B28))</f>
        <v>0</v>
      </c>
      <c r="Q150" s="54">
        <f ca="1">IF(OR(Q$33&lt;$B28,Q$33&gt;$C28),0,OFFSET(Проект!Q$1316,0,1-$B28))</f>
        <v>0</v>
      </c>
      <c r="S150" s="203">
        <f t="shared" ca="1" si="15"/>
        <v>0</v>
      </c>
    </row>
    <row r="151" spans="1:19" outlineLevel="1" collapsed="1" x14ac:dyDescent="0.2">
      <c r="A151" t="str">
        <f ca="1">Language!A726</f>
        <v>Проценты</v>
      </c>
      <c r="C151" s="115" t="str">
        <f ca="1">CUR_Report</f>
        <v>руб.</v>
      </c>
      <c r="D151" s="205" t="s">
        <v>2210</v>
      </c>
      <c r="F151" s="43">
        <f ca="1">SUMPRODUCT($B12:OFFSET($B13,-1,0),F152:OFFSET(F153,-1,0))</f>
        <v>41283.684478371499</v>
      </c>
      <c r="G151" s="43">
        <f ca="1">SUMPRODUCT($B12:OFFSET($B13,-1,0),G152:OFFSET(G153,-1,0))</f>
        <v>94192.953558909416</v>
      </c>
      <c r="H151" s="43">
        <f ca="1">SUMPRODUCT($B12:OFFSET($B13,-1,0),H152:OFFSET(H153,-1,0))</f>
        <v>137723.52054939602</v>
      </c>
      <c r="I151" s="43">
        <f ca="1">SUMPRODUCT($B12:OFFSET($B13,-1,0),I152:OFFSET(I153,-1,0))</f>
        <v>171791.79390106534</v>
      </c>
      <c r="J151" s="43">
        <f ca="1">SUMPRODUCT($B12:OFFSET($B13,-1,0),J152:OFFSET(J153,-1,0))</f>
        <v>194825.76640357217</v>
      </c>
      <c r="K151" s="43">
        <f ca="1">SUMPRODUCT($B12:OFFSET($B13,-1,0),K152:OFFSET(K153,-1,0))</f>
        <v>197821.1784527626</v>
      </c>
      <c r="L151" s="43">
        <f ca="1">SUMPRODUCT($B12:OFFSET($B13,-1,0),L152:OFFSET(L153,-1,0))</f>
        <v>180237.18952591211</v>
      </c>
      <c r="M151" s="43">
        <f ca="1">SUMPRODUCT($B12:OFFSET($B13,-1,0),M152:OFFSET(M153,-1,0))</f>
        <v>138130.35957124989</v>
      </c>
      <c r="N151" s="43">
        <f ca="1">SUMPRODUCT($B12:OFFSET($B13,-1,0),N152:OFFSET(N153,-1,0))</f>
        <v>62265.988854903924</v>
      </c>
      <c r="O151" s="43">
        <f ca="1">SUMPRODUCT($B12:OFFSET($B13,-1,0),O152:OFFSET(O153,-1,0))</f>
        <v>0</v>
      </c>
      <c r="P151" s="43">
        <f ca="1">SUMPRODUCT($B12:OFFSET($B13,-1,0),P152:OFFSET(P153,-1,0))</f>
        <v>0</v>
      </c>
      <c r="Q151" s="43">
        <f ca="1">SUMPRODUCT($B12:OFFSET($B13,-1,0),Q152:OFFSET(Q153,-1,0))</f>
        <v>0</v>
      </c>
      <c r="S151" s="203">
        <f t="shared" ca="1" si="15"/>
        <v>1218272.4352961429</v>
      </c>
    </row>
    <row r="152" spans="1:19" s="11" customFormat="1" hidden="1" outlineLevel="2" x14ac:dyDescent="0.2">
      <c r="A152" s="11" t="str">
        <f>"        " &amp; A12</f>
        <v xml:space="preserve">        Наименование проекта</v>
      </c>
      <c r="C152" s="199" t="str">
        <f ca="1">CUR_Report</f>
        <v>руб.</v>
      </c>
      <c r="D152" s="11" t="str">
        <f>"[" &amp; F12 &amp; "];int_sum"</f>
        <v>[Проект];int_sum</v>
      </c>
      <c r="F152" s="54">
        <f ca="1">IF(OR(F$33&lt;$B28,F$33&gt;$C28),0,OFFSET(Проект!F$1314,0,1-$B28))</f>
        <v>41283.684478371499</v>
      </c>
      <c r="G152" s="54">
        <f ca="1">IF(OR(G$33&lt;$B28,G$33&gt;$C28),0,OFFSET(Проект!G$1314,0,1-$B28))</f>
        <v>94192.953558909416</v>
      </c>
      <c r="H152" s="54">
        <f ca="1">IF(OR(H$33&lt;$B28,H$33&gt;$C28),0,OFFSET(Проект!H$1314,0,1-$B28))</f>
        <v>137723.52054939602</v>
      </c>
      <c r="I152" s="54">
        <f ca="1">IF(OR(I$33&lt;$B28,I$33&gt;$C28),0,OFFSET(Проект!I$1314,0,1-$B28))</f>
        <v>171791.79390106534</v>
      </c>
      <c r="J152" s="54">
        <f ca="1">IF(OR(J$33&lt;$B28,J$33&gt;$C28),0,OFFSET(Проект!J$1314,0,1-$B28))</f>
        <v>194825.76640357217</v>
      </c>
      <c r="K152" s="54">
        <f ca="1">IF(OR(K$33&lt;$B28,K$33&gt;$C28),0,OFFSET(Проект!K$1314,0,1-$B28))</f>
        <v>197821.1784527626</v>
      </c>
      <c r="L152" s="54">
        <f ca="1">IF(OR(L$33&lt;$B28,L$33&gt;$C28),0,OFFSET(Проект!L$1314,0,1-$B28))</f>
        <v>180237.18952591211</v>
      </c>
      <c r="M152" s="54">
        <f ca="1">IF(OR(M$33&lt;$B28,M$33&gt;$C28),0,OFFSET(Проект!M$1314,0,1-$B28))</f>
        <v>138130.35957124989</v>
      </c>
      <c r="N152" s="54">
        <f ca="1">IF(OR(N$33&lt;$B28,N$33&gt;$C28),0,OFFSET(Проект!N$1314,0,1-$B28))</f>
        <v>62265.988854903924</v>
      </c>
      <c r="O152" s="54">
        <f ca="1">IF(OR(O$33&lt;$B28,O$33&gt;$C28),0,OFFSET(Проект!O$1314,0,1-$B28))</f>
        <v>0</v>
      </c>
      <c r="P152" s="54">
        <f ca="1">IF(OR(P$33&lt;$B28,P$33&gt;$C28),0,OFFSET(Проект!P$1314,0,1-$B28))</f>
        <v>0</v>
      </c>
      <c r="Q152" s="54">
        <f ca="1">IF(OR(Q$33&lt;$B28,Q$33&gt;$C28),0,OFFSET(Проект!Q$1314,0,1-$B28))</f>
        <v>0</v>
      </c>
      <c r="S152" s="203">
        <f t="shared" ca="1" si="15"/>
        <v>1218272.4352961429</v>
      </c>
    </row>
    <row r="153" spans="1:19" ht="10.5" outlineLevel="1" collapsed="1" x14ac:dyDescent="0.25">
      <c r="A153" s="179" t="str">
        <f ca="1">Language!A716</f>
        <v>Прибыль (убыток) от операционной деятельности</v>
      </c>
      <c r="C153" s="115" t="str">
        <f t="shared" ca="1" si="14"/>
        <v>руб.</v>
      </c>
      <c r="D153" s="205" t="s">
        <v>2210</v>
      </c>
      <c r="F153" s="207">
        <f ca="1">SUMPRODUCT($B12:OFFSET($B13,-1,0),F154:OFFSET(F155,-1,0))</f>
        <v>-3007443.6844783714</v>
      </c>
      <c r="G153" s="207">
        <f ca="1">SUMPRODUCT($B12:OFFSET($B13,-1,0),G154:OFFSET(G155,-1,0))</f>
        <v>-2649952.9535589092</v>
      </c>
      <c r="H153" s="207">
        <f ca="1">SUMPRODUCT($B12:OFFSET($B13,-1,0),H154:OFFSET(H155,-1,0))</f>
        <v>-2557576.8292993959</v>
      </c>
      <c r="I153" s="207">
        <f ca="1">SUMPRODUCT($B12:OFFSET($B13,-1,0),I154:OFFSET(I155,-1,0))</f>
        <v>-2048018.3376510653</v>
      </c>
      <c r="J153" s="207">
        <f ca="1">SUMPRODUCT($B12:OFFSET($B13,-1,0),J154:OFFSET(J155,-1,0))</f>
        <v>-1391518.8539035721</v>
      </c>
      <c r="K153" s="207">
        <f ca="1">SUMPRODUCT($B12:OFFSET($B13,-1,0),K154:OFFSET(K155,-1,0))</f>
        <v>-35447.353452762647</v>
      </c>
      <c r="L153" s="207">
        <f ca="1">SUMPRODUCT($B12:OFFSET($B13,-1,0),L154:OFFSET(L155,-1,0))</f>
        <v>1341203.547974088</v>
      </c>
      <c r="M153" s="207">
        <f ca="1">SUMPRODUCT($B12:OFFSET($B13,-1,0),M154:OFFSET(M155,-1,0))</f>
        <v>2742377.2904287502</v>
      </c>
      <c r="N153" s="207">
        <f ca="1">SUMPRODUCT($B12:OFFSET($B13,-1,0),N154:OFFSET(N155,-1,0))</f>
        <v>4856842.0298950961</v>
      </c>
      <c r="O153" s="207">
        <f ca="1">SUMPRODUCT($B12:OFFSET($B13,-1,0),O154:OFFSET(O155,-1,0))</f>
        <v>7637241.84375</v>
      </c>
      <c r="P153" s="207">
        <f ca="1">SUMPRODUCT($B12:OFFSET($B13,-1,0),P154:OFFSET(P155,-1,0))</f>
        <v>9675842.2125000004</v>
      </c>
      <c r="Q153" s="207">
        <f ca="1">SUMPRODUCT($B12:OFFSET($B13,-1,0),Q154:OFFSET(Q155,-1,0))</f>
        <v>11034909.125</v>
      </c>
      <c r="R153" s="179"/>
      <c r="S153" s="57">
        <f t="shared" ca="1" si="15"/>
        <v>25598458.03720386</v>
      </c>
    </row>
    <row r="154" spans="1:19" s="11" customFormat="1" hidden="1" outlineLevel="2" x14ac:dyDescent="0.2">
      <c r="A154" s="11" t="str">
        <f>"        " &amp; A12</f>
        <v xml:space="preserve">        Наименование проекта</v>
      </c>
      <c r="C154" s="199" t="str">
        <f t="shared" ca="1" si="14"/>
        <v>руб.</v>
      </c>
      <c r="D154" s="11" t="str">
        <f>"[" &amp; F12 &amp; "];int_sum"</f>
        <v>[Проект];int_sum</v>
      </c>
      <c r="F154" s="54">
        <f ca="1">IF(OR(F$33&lt;$B28,F$33&gt;$C28),0,OFFSET(Проект!F$1317,0,1-$B28))</f>
        <v>-3007443.6844783714</v>
      </c>
      <c r="G154" s="54">
        <f ca="1">IF(OR(G$33&lt;$B28,G$33&gt;$C28),0,OFFSET(Проект!G$1317,0,1-$B28))</f>
        <v>-2649952.9535589092</v>
      </c>
      <c r="H154" s="54">
        <f ca="1">IF(OR(H$33&lt;$B28,H$33&gt;$C28),0,OFFSET(Проект!H$1317,0,1-$B28))</f>
        <v>-2557576.8292993959</v>
      </c>
      <c r="I154" s="54">
        <f ca="1">IF(OR(I$33&lt;$B28,I$33&gt;$C28),0,OFFSET(Проект!I$1317,0,1-$B28))</f>
        <v>-2048018.3376510653</v>
      </c>
      <c r="J154" s="54">
        <f ca="1">IF(OR(J$33&lt;$B28,J$33&gt;$C28),0,OFFSET(Проект!J$1317,0,1-$B28))</f>
        <v>-1391518.8539035721</v>
      </c>
      <c r="K154" s="54">
        <f ca="1">IF(OR(K$33&lt;$B28,K$33&gt;$C28),0,OFFSET(Проект!K$1317,0,1-$B28))</f>
        <v>-35447.353452762647</v>
      </c>
      <c r="L154" s="54">
        <f ca="1">IF(OR(L$33&lt;$B28,L$33&gt;$C28),0,OFFSET(Проект!L$1317,0,1-$B28))</f>
        <v>1341203.547974088</v>
      </c>
      <c r="M154" s="54">
        <f ca="1">IF(OR(M$33&lt;$B28,M$33&gt;$C28),0,OFFSET(Проект!M$1317,0,1-$B28))</f>
        <v>2742377.2904287502</v>
      </c>
      <c r="N154" s="54">
        <f ca="1">IF(OR(N$33&lt;$B28,N$33&gt;$C28),0,OFFSET(Проект!N$1317,0,1-$B28))</f>
        <v>4856842.0298950961</v>
      </c>
      <c r="O154" s="54">
        <f ca="1">IF(OR(O$33&lt;$B28,O$33&gt;$C28),0,OFFSET(Проект!O$1317,0,1-$B28))</f>
        <v>7637241.84375</v>
      </c>
      <c r="P154" s="54">
        <f ca="1">IF(OR(P$33&lt;$B28,P$33&gt;$C28),0,OFFSET(Проект!P$1317,0,1-$B28))</f>
        <v>9675842.2125000004</v>
      </c>
      <c r="Q154" s="54">
        <f ca="1">IF(OR(Q$33&lt;$B28,Q$33&gt;$C28),0,OFFSET(Проект!Q$1317,0,1-$B28))</f>
        <v>11034909.125</v>
      </c>
      <c r="S154" s="203">
        <f t="shared" ca="1" si="15"/>
        <v>25598458.03720386</v>
      </c>
    </row>
    <row r="155" spans="1:19" outlineLevel="1" collapsed="1" x14ac:dyDescent="0.2">
      <c r="A155" t="str">
        <f ca="1">Language!A718</f>
        <v>Прибыль / убыток от реализации внеоборотных активов</v>
      </c>
      <c r="C155" s="115" t="str">
        <f t="shared" ca="1" si="14"/>
        <v>руб.</v>
      </c>
      <c r="D155" s="205" t="s">
        <v>2210</v>
      </c>
      <c r="F155" s="43">
        <f ca="1">SUMPRODUCT($B12:OFFSET($B13,-1,0),F156:OFFSET(F157,-1,0))</f>
        <v>0</v>
      </c>
      <c r="G155" s="43">
        <f ca="1">SUMPRODUCT($B12:OFFSET($B13,-1,0),G156:OFFSET(G157,-1,0))</f>
        <v>0</v>
      </c>
      <c r="H155" s="43">
        <f ca="1">SUMPRODUCT($B12:OFFSET($B13,-1,0),H156:OFFSET(H157,-1,0))</f>
        <v>0</v>
      </c>
      <c r="I155" s="43">
        <f ca="1">SUMPRODUCT($B12:OFFSET($B13,-1,0),I156:OFFSET(I157,-1,0))</f>
        <v>0</v>
      </c>
      <c r="J155" s="43">
        <f ca="1">SUMPRODUCT($B12:OFFSET($B13,-1,0),J156:OFFSET(J157,-1,0))</f>
        <v>0</v>
      </c>
      <c r="K155" s="43">
        <f ca="1">SUMPRODUCT($B12:OFFSET($B13,-1,0),K156:OFFSET(K157,-1,0))</f>
        <v>0</v>
      </c>
      <c r="L155" s="43">
        <f ca="1">SUMPRODUCT($B12:OFFSET($B13,-1,0),L156:OFFSET(L157,-1,0))</f>
        <v>0</v>
      </c>
      <c r="M155" s="43">
        <f ca="1">SUMPRODUCT($B12:OFFSET($B13,-1,0),M156:OFFSET(M157,-1,0))</f>
        <v>0</v>
      </c>
      <c r="N155" s="43">
        <f ca="1">SUMPRODUCT($B12:OFFSET($B13,-1,0),N156:OFFSET(N157,-1,0))</f>
        <v>0</v>
      </c>
      <c r="O155" s="43">
        <f ca="1">SUMPRODUCT($B12:OFFSET($B13,-1,0),O156:OFFSET(O157,-1,0))</f>
        <v>0</v>
      </c>
      <c r="P155" s="43">
        <f ca="1">SUMPRODUCT($B12:OFFSET($B13,-1,0),P156:OFFSET(P157,-1,0))</f>
        <v>0</v>
      </c>
      <c r="Q155" s="43">
        <f ca="1">SUMPRODUCT($B12:OFFSET($B13,-1,0),Q156:OFFSET(Q157,-1,0))</f>
        <v>0</v>
      </c>
      <c r="S155" s="203">
        <f t="shared" ca="1" si="15"/>
        <v>0</v>
      </c>
    </row>
    <row r="156" spans="1:19" s="11" customFormat="1" hidden="1" outlineLevel="2" x14ac:dyDescent="0.2">
      <c r="A156" s="11" t="str">
        <f>"        " &amp; A12</f>
        <v xml:space="preserve">        Наименование проекта</v>
      </c>
      <c r="C156" s="199" t="str">
        <f t="shared" ca="1" si="14"/>
        <v>руб.</v>
      </c>
      <c r="D156" s="11" t="str">
        <f>"[" &amp; F12 &amp; "];int_sum"</f>
        <v>[Проект];int_sum</v>
      </c>
      <c r="F156" s="54">
        <f ca="1">IF(OR(F$33&lt;$B28,F$33&gt;$C28),0,OFFSET(Проект!F$1318,0,1-$B28))</f>
        <v>0</v>
      </c>
      <c r="G156" s="54">
        <f ca="1">IF(OR(G$33&lt;$B28,G$33&gt;$C28),0,OFFSET(Проект!G$1318,0,1-$B28))</f>
        <v>0</v>
      </c>
      <c r="H156" s="54">
        <f ca="1">IF(OR(H$33&lt;$B28,H$33&gt;$C28),0,OFFSET(Проект!H$1318,0,1-$B28))</f>
        <v>0</v>
      </c>
      <c r="I156" s="54">
        <f ca="1">IF(OR(I$33&lt;$B28,I$33&gt;$C28),0,OFFSET(Проект!I$1318,0,1-$B28))</f>
        <v>0</v>
      </c>
      <c r="J156" s="54">
        <f ca="1">IF(OR(J$33&lt;$B28,J$33&gt;$C28),0,OFFSET(Проект!J$1318,0,1-$B28))</f>
        <v>0</v>
      </c>
      <c r="K156" s="54">
        <f ca="1">IF(OR(K$33&lt;$B28,K$33&gt;$C28),0,OFFSET(Проект!K$1318,0,1-$B28))</f>
        <v>0</v>
      </c>
      <c r="L156" s="54">
        <f ca="1">IF(OR(L$33&lt;$B28,L$33&gt;$C28),0,OFFSET(Проект!L$1318,0,1-$B28))</f>
        <v>0</v>
      </c>
      <c r="M156" s="54">
        <f ca="1">IF(OR(M$33&lt;$B28,M$33&gt;$C28),0,OFFSET(Проект!M$1318,0,1-$B28))</f>
        <v>0</v>
      </c>
      <c r="N156" s="54">
        <f ca="1">IF(OR(N$33&lt;$B28,N$33&gt;$C28),0,OFFSET(Проект!N$1318,0,1-$B28))</f>
        <v>0</v>
      </c>
      <c r="O156" s="54">
        <f ca="1">IF(OR(O$33&lt;$B28,O$33&gt;$C28),0,OFFSET(Проект!O$1318,0,1-$B28))</f>
        <v>0</v>
      </c>
      <c r="P156" s="54">
        <f ca="1">IF(OR(P$33&lt;$B28,P$33&gt;$C28),0,OFFSET(Проект!P$1318,0,1-$B28))</f>
        <v>0</v>
      </c>
      <c r="Q156" s="54">
        <f ca="1">IF(OR(Q$33&lt;$B28,Q$33&gt;$C28),0,OFFSET(Проект!Q$1318,0,1-$B28))</f>
        <v>0</v>
      </c>
      <c r="S156" s="203">
        <f t="shared" ca="1" si="15"/>
        <v>0</v>
      </c>
    </row>
    <row r="157" spans="1:19" s="11" customFormat="1" outlineLevel="1" collapsed="1" x14ac:dyDescent="0.2">
      <c r="A157" t="str">
        <f ca="1">Language!A719</f>
        <v>Прибыль / убыток от строительной деятельности</v>
      </c>
      <c r="C157" s="115" t="str">
        <f t="shared" ca="1" si="14"/>
        <v>руб.</v>
      </c>
      <c r="D157" s="205" t="s">
        <v>2210</v>
      </c>
      <c r="F157" s="43">
        <f ca="1">SUMPRODUCT($B12:OFFSET($B13,-1,0),F158:OFFSET(F159,-1,0))</f>
        <v>0</v>
      </c>
      <c r="G157" s="43">
        <f ca="1">SUMPRODUCT($B12:OFFSET($B13,-1,0),G158:OFFSET(G159,-1,0))</f>
        <v>0</v>
      </c>
      <c r="H157" s="43">
        <f ca="1">SUMPRODUCT($B12:OFFSET($B13,-1,0),H158:OFFSET(H159,-1,0))</f>
        <v>0</v>
      </c>
      <c r="I157" s="43">
        <f ca="1">SUMPRODUCT($B12:OFFSET($B13,-1,0),I158:OFFSET(I159,-1,0))</f>
        <v>0</v>
      </c>
      <c r="J157" s="43">
        <f ca="1">SUMPRODUCT($B12:OFFSET($B13,-1,0),J158:OFFSET(J159,-1,0))</f>
        <v>0</v>
      </c>
      <c r="K157" s="43">
        <f ca="1">SUMPRODUCT($B12:OFFSET($B13,-1,0),K158:OFFSET(K159,-1,0))</f>
        <v>0</v>
      </c>
      <c r="L157" s="43">
        <f ca="1">SUMPRODUCT($B12:OFFSET($B13,-1,0),L158:OFFSET(L159,-1,0))</f>
        <v>0</v>
      </c>
      <c r="M157" s="43">
        <f ca="1">SUMPRODUCT($B12:OFFSET($B13,-1,0),M158:OFFSET(M159,-1,0))</f>
        <v>0</v>
      </c>
      <c r="N157" s="43">
        <f ca="1">SUMPRODUCT($B12:OFFSET($B13,-1,0),N158:OFFSET(N159,-1,0))</f>
        <v>0</v>
      </c>
      <c r="O157" s="43">
        <f ca="1">SUMPRODUCT($B12:OFFSET($B13,-1,0),O158:OFFSET(O159,-1,0))</f>
        <v>0</v>
      </c>
      <c r="P157" s="43">
        <f ca="1">SUMPRODUCT($B12:OFFSET($B13,-1,0),P158:OFFSET(P159,-1,0))</f>
        <v>0</v>
      </c>
      <c r="Q157" s="43">
        <f ca="1">SUMPRODUCT($B12:OFFSET($B13,-1,0),Q158:OFFSET(Q159,-1,0))</f>
        <v>0</v>
      </c>
      <c r="S157" s="203">
        <f t="shared" ca="1" si="15"/>
        <v>0</v>
      </c>
    </row>
    <row r="158" spans="1:19" s="11" customFormat="1" hidden="1" outlineLevel="2" x14ac:dyDescent="0.2">
      <c r="A158" s="11" t="str">
        <f>"        " &amp; A12</f>
        <v xml:space="preserve">        Наименование проекта</v>
      </c>
      <c r="C158" s="199" t="str">
        <f t="shared" ca="1" si="14"/>
        <v>руб.</v>
      </c>
      <c r="D158" s="11" t="str">
        <f>"[" &amp; F12 &amp; "];int_sum"</f>
        <v>[Проект];int_sum</v>
      </c>
      <c r="F158" s="54">
        <f ca="1">IF(OR(F$33&lt;$B28,F$33&gt;$C28),0,OFFSET(Проект!F$1315,0,1-$B28))</f>
        <v>0</v>
      </c>
      <c r="G158" s="54">
        <f ca="1">IF(OR(G$33&lt;$B28,G$33&gt;$C28),0,OFFSET(Проект!G$1315,0,1-$B28))</f>
        <v>0</v>
      </c>
      <c r="H158" s="54">
        <f ca="1">IF(OR(H$33&lt;$B28,H$33&gt;$C28),0,OFFSET(Проект!H$1315,0,1-$B28))</f>
        <v>0</v>
      </c>
      <c r="I158" s="54">
        <f ca="1">IF(OR(I$33&lt;$B28,I$33&gt;$C28),0,OFFSET(Проект!I$1315,0,1-$B28))</f>
        <v>0</v>
      </c>
      <c r="J158" s="54">
        <f ca="1">IF(OR(J$33&lt;$B28,J$33&gt;$C28),0,OFFSET(Проект!J$1315,0,1-$B28))</f>
        <v>0</v>
      </c>
      <c r="K158" s="54">
        <f ca="1">IF(OR(K$33&lt;$B28,K$33&gt;$C28),0,OFFSET(Проект!K$1315,0,1-$B28))</f>
        <v>0</v>
      </c>
      <c r="L158" s="54">
        <f ca="1">IF(OR(L$33&lt;$B28,L$33&gt;$C28),0,OFFSET(Проект!L$1315,0,1-$B28))</f>
        <v>0</v>
      </c>
      <c r="M158" s="54">
        <f ca="1">IF(OR(M$33&lt;$B28,M$33&gt;$C28),0,OFFSET(Проект!M$1315,0,1-$B28))</f>
        <v>0</v>
      </c>
      <c r="N158" s="54">
        <f ca="1">IF(OR(N$33&lt;$B28,N$33&gt;$C28),0,OFFSET(Проект!N$1315,0,1-$B28))</f>
        <v>0</v>
      </c>
      <c r="O158" s="54">
        <f ca="1">IF(OR(O$33&lt;$B28,O$33&gt;$C28),0,OFFSET(Проект!O$1315,0,1-$B28))</f>
        <v>0</v>
      </c>
      <c r="P158" s="54">
        <f ca="1">IF(OR(P$33&lt;$B28,P$33&gt;$C28),0,OFFSET(Проект!P$1315,0,1-$B28))</f>
        <v>0</v>
      </c>
      <c r="Q158" s="54">
        <f ca="1">IF(OR(Q$33&lt;$B28,Q$33&gt;$C28),0,OFFSET(Проект!Q$1315,0,1-$B28))</f>
        <v>0</v>
      </c>
      <c r="S158" s="203">
        <f t="shared" ca="1" si="15"/>
        <v>0</v>
      </c>
    </row>
    <row r="159" spans="1:19" outlineLevel="1" collapsed="1" x14ac:dyDescent="0.2">
      <c r="A159" t="str">
        <f ca="1">Language!A720</f>
        <v>Курсовые разницы</v>
      </c>
      <c r="C159" s="115" t="str">
        <f t="shared" ca="1" si="14"/>
        <v>руб.</v>
      </c>
      <c r="D159" s="205" t="s">
        <v>2210</v>
      </c>
      <c r="F159" s="43">
        <f ca="1">SUMPRODUCT($B12:OFFSET($B13,-1,0),F160:OFFSET(F161,-1,0))</f>
        <v>9.4587448984384537E-11</v>
      </c>
      <c r="G159" s="43">
        <f ca="1">SUMPRODUCT($B12:OFFSET($B13,-1,0),G160:OFFSET(G161,-1,0))</f>
        <v>6.3300831243395805E-10</v>
      </c>
      <c r="H159" s="43">
        <f ca="1">SUMPRODUCT($B12:OFFSET($B13,-1,0),H160:OFFSET(H161,-1,0))</f>
        <v>-2.9103830456733704E-11</v>
      </c>
      <c r="I159" s="43">
        <f ca="1">SUMPRODUCT($B12:OFFSET($B13,-1,0),I160:OFFSET(I161,-1,0))</f>
        <v>9.3132257461547852E-10</v>
      </c>
      <c r="J159" s="43">
        <f ca="1">SUMPRODUCT($B12:OFFSET($B13,-1,0),J160:OFFSET(J161,-1,0))</f>
        <v>-4.6566128730773926E-10</v>
      </c>
      <c r="K159" s="43">
        <f ca="1">SUMPRODUCT($B12:OFFSET($B13,-1,0),K160:OFFSET(K161,-1,0))</f>
        <v>6.9849193096160889E-10</v>
      </c>
      <c r="L159" s="43">
        <f ca="1">SUMPRODUCT($B12:OFFSET($B13,-1,0),L160:OFFSET(L161,-1,0))</f>
        <v>-5.8207660913467407E-11</v>
      </c>
      <c r="M159" s="43">
        <f ca="1">SUMPRODUCT($B12:OFFSET($B13,-1,0),M160:OFFSET(M161,-1,0))</f>
        <v>-8.7311491370201111E-10</v>
      </c>
      <c r="N159" s="43">
        <f ca="1">SUMPRODUCT($B12:OFFSET($B13,-1,0),N160:OFFSET(N161,-1,0))</f>
        <v>9.8953023552894592E-10</v>
      </c>
      <c r="O159" s="43">
        <f ca="1">SUMPRODUCT($B12:OFFSET($B13,-1,0),O160:OFFSET(O161,-1,0))</f>
        <v>0</v>
      </c>
      <c r="P159" s="43">
        <f ca="1">SUMPRODUCT($B12:OFFSET($B13,-1,0),P160:OFFSET(P161,-1,0))</f>
        <v>0</v>
      </c>
      <c r="Q159" s="43">
        <f ca="1">SUMPRODUCT($B12:OFFSET($B13,-1,0),Q160:OFFSET(Q161,-1,0))</f>
        <v>0</v>
      </c>
      <c r="S159" s="203">
        <f t="shared" ca="1" si="15"/>
        <v>1.9208528101444244E-9</v>
      </c>
    </row>
    <row r="160" spans="1:19" s="11" customFormat="1" hidden="1" outlineLevel="2" x14ac:dyDescent="0.2">
      <c r="A160" s="11" t="str">
        <f>"        " &amp; A12</f>
        <v xml:space="preserve">        Наименование проекта</v>
      </c>
      <c r="C160" s="199" t="str">
        <f t="shared" ca="1" si="14"/>
        <v>руб.</v>
      </c>
      <c r="D160" s="11" t="str">
        <f>"[" &amp; F12 &amp; "];int_sum"</f>
        <v>[Проект];int_sum</v>
      </c>
      <c r="F160" s="54">
        <f ca="1">IF(OR(F$33&lt;$B28,F$33&gt;$C28),0,OFFSET(Проект!F$1319,0,1-$B28))</f>
        <v>9.4587448984384537E-11</v>
      </c>
      <c r="G160" s="54">
        <f ca="1">IF(OR(G$33&lt;$B28,G$33&gt;$C28),0,OFFSET(Проект!G$1319,0,1-$B28))</f>
        <v>6.3300831243395805E-10</v>
      </c>
      <c r="H160" s="54">
        <f ca="1">IF(OR(H$33&lt;$B28,H$33&gt;$C28),0,OFFSET(Проект!H$1319,0,1-$B28))</f>
        <v>-2.9103830456733704E-11</v>
      </c>
      <c r="I160" s="54">
        <f ca="1">IF(OR(I$33&lt;$B28,I$33&gt;$C28),0,OFFSET(Проект!I$1319,0,1-$B28))</f>
        <v>9.3132257461547852E-10</v>
      </c>
      <c r="J160" s="54">
        <f ca="1">IF(OR(J$33&lt;$B28,J$33&gt;$C28),0,OFFSET(Проект!J$1319,0,1-$B28))</f>
        <v>-4.6566128730773926E-10</v>
      </c>
      <c r="K160" s="54">
        <f ca="1">IF(OR(K$33&lt;$B28,K$33&gt;$C28),0,OFFSET(Проект!K$1319,0,1-$B28))</f>
        <v>6.9849193096160889E-10</v>
      </c>
      <c r="L160" s="54">
        <f ca="1">IF(OR(L$33&lt;$B28,L$33&gt;$C28),0,OFFSET(Проект!L$1319,0,1-$B28))</f>
        <v>-5.8207660913467407E-11</v>
      </c>
      <c r="M160" s="54">
        <f ca="1">IF(OR(M$33&lt;$B28,M$33&gt;$C28),0,OFFSET(Проект!M$1319,0,1-$B28))</f>
        <v>-8.7311491370201111E-10</v>
      </c>
      <c r="N160" s="54">
        <f ca="1">IF(OR(N$33&lt;$B28,N$33&gt;$C28),0,OFFSET(Проект!N$1319,0,1-$B28))</f>
        <v>9.8953023552894592E-10</v>
      </c>
      <c r="O160" s="54">
        <f ca="1">IF(OR(O$33&lt;$B28,O$33&gt;$C28),0,OFFSET(Проект!O$1319,0,1-$B28))</f>
        <v>0</v>
      </c>
      <c r="P160" s="54">
        <f ca="1">IF(OR(P$33&lt;$B28,P$33&gt;$C28),0,OFFSET(Проект!P$1319,0,1-$B28))</f>
        <v>0</v>
      </c>
      <c r="Q160" s="54">
        <f ca="1">IF(OR(Q$33&lt;$B28,Q$33&gt;$C28),0,OFFSET(Проект!Q$1319,0,1-$B28))</f>
        <v>0</v>
      </c>
      <c r="S160" s="203">
        <f t="shared" ca="1" si="15"/>
        <v>1.9208528101444244E-9</v>
      </c>
    </row>
    <row r="161" spans="1:19" outlineLevel="1" collapsed="1" x14ac:dyDescent="0.2">
      <c r="A161" t="str">
        <f ca="1">Language!A721</f>
        <v>Прочие доходы</v>
      </c>
      <c r="C161" s="115" t="str">
        <f t="shared" ca="1" si="14"/>
        <v>руб.</v>
      </c>
      <c r="D161" s="205" t="s">
        <v>2210</v>
      </c>
      <c r="F161" s="43">
        <f ca="1">SUMPRODUCT($B12:OFFSET($B13,-1,0),F162:OFFSET(F163,-1,0))</f>
        <v>0</v>
      </c>
      <c r="G161" s="43">
        <f ca="1">SUMPRODUCT($B12:OFFSET($B13,-1,0),G162:OFFSET(G163,-1,0))</f>
        <v>0</v>
      </c>
      <c r="H161" s="43">
        <f ca="1">SUMPRODUCT($B12:OFFSET($B13,-1,0),H162:OFFSET(H163,-1,0))</f>
        <v>0</v>
      </c>
      <c r="I161" s="43">
        <f ca="1">SUMPRODUCT($B12:OFFSET($B13,-1,0),I162:OFFSET(I163,-1,0))</f>
        <v>0</v>
      </c>
      <c r="J161" s="43">
        <f ca="1">SUMPRODUCT($B12:OFFSET($B13,-1,0),J162:OFFSET(J163,-1,0))</f>
        <v>0</v>
      </c>
      <c r="K161" s="43">
        <f ca="1">SUMPRODUCT($B12:OFFSET($B13,-1,0),K162:OFFSET(K163,-1,0))</f>
        <v>0</v>
      </c>
      <c r="L161" s="43">
        <f ca="1">SUMPRODUCT($B12:OFFSET($B13,-1,0),L162:OFFSET(L163,-1,0))</f>
        <v>0</v>
      </c>
      <c r="M161" s="43">
        <f ca="1">SUMPRODUCT($B12:OFFSET($B13,-1,0),M162:OFFSET(M163,-1,0))</f>
        <v>0</v>
      </c>
      <c r="N161" s="43">
        <f ca="1">SUMPRODUCT($B12:OFFSET($B13,-1,0),N162:OFFSET(N163,-1,0))</f>
        <v>0</v>
      </c>
      <c r="O161" s="43">
        <f ca="1">SUMPRODUCT($B12:OFFSET($B13,-1,0),O162:OFFSET(O163,-1,0))</f>
        <v>0</v>
      </c>
      <c r="P161" s="43">
        <f ca="1">SUMPRODUCT($B12:OFFSET($B13,-1,0),P162:OFFSET(P163,-1,0))</f>
        <v>0</v>
      </c>
      <c r="Q161" s="43">
        <f ca="1">SUMPRODUCT($B12:OFFSET($B13,-1,0),Q162:OFFSET(Q163,-1,0))</f>
        <v>0</v>
      </c>
      <c r="S161" s="203">
        <f t="shared" ca="1" si="15"/>
        <v>0</v>
      </c>
    </row>
    <row r="162" spans="1:19" s="11" customFormat="1" hidden="1" outlineLevel="2" x14ac:dyDescent="0.2">
      <c r="A162" s="11" t="str">
        <f>"        " &amp; A12</f>
        <v xml:space="preserve">        Наименование проекта</v>
      </c>
      <c r="C162" s="199" t="str">
        <f t="shared" ca="1" si="14"/>
        <v>руб.</v>
      </c>
      <c r="D162" s="11" t="str">
        <f>"[" &amp; F12 &amp; "];int_sum"</f>
        <v>[Проект];int_sum</v>
      </c>
      <c r="F162" s="54">
        <f ca="1">IF(OR(F$33&lt;$B28,F$33&gt;$C28),0,OFFSET(Проект!F$1320,0,1-$B28))</f>
        <v>0</v>
      </c>
      <c r="G162" s="54">
        <f ca="1">IF(OR(G$33&lt;$B28,G$33&gt;$C28),0,OFFSET(Проект!G$1320,0,1-$B28))</f>
        <v>0</v>
      </c>
      <c r="H162" s="54">
        <f ca="1">IF(OR(H$33&lt;$B28,H$33&gt;$C28),0,OFFSET(Проект!H$1320,0,1-$B28))</f>
        <v>0</v>
      </c>
      <c r="I162" s="54">
        <f ca="1">IF(OR(I$33&lt;$B28,I$33&gt;$C28),0,OFFSET(Проект!I$1320,0,1-$B28))</f>
        <v>0</v>
      </c>
      <c r="J162" s="54">
        <f ca="1">IF(OR(J$33&lt;$B28,J$33&gt;$C28),0,OFFSET(Проект!J$1320,0,1-$B28))</f>
        <v>0</v>
      </c>
      <c r="K162" s="54">
        <f ca="1">IF(OR(K$33&lt;$B28,K$33&gt;$C28),0,OFFSET(Проект!K$1320,0,1-$B28))</f>
        <v>0</v>
      </c>
      <c r="L162" s="54">
        <f ca="1">IF(OR(L$33&lt;$B28,L$33&gt;$C28),0,OFFSET(Проект!L$1320,0,1-$B28))</f>
        <v>0</v>
      </c>
      <c r="M162" s="54">
        <f ca="1">IF(OR(M$33&lt;$B28,M$33&gt;$C28),0,OFFSET(Проект!M$1320,0,1-$B28))</f>
        <v>0</v>
      </c>
      <c r="N162" s="54">
        <f ca="1">IF(OR(N$33&lt;$B28,N$33&gt;$C28),0,OFFSET(Проект!N$1320,0,1-$B28))</f>
        <v>0</v>
      </c>
      <c r="O162" s="54">
        <f ca="1">IF(OR(O$33&lt;$B28,O$33&gt;$C28),0,OFFSET(Проект!O$1320,0,1-$B28))</f>
        <v>0</v>
      </c>
      <c r="P162" s="54">
        <f ca="1">IF(OR(P$33&lt;$B28,P$33&gt;$C28),0,OFFSET(Проект!P$1320,0,1-$B28))</f>
        <v>0</v>
      </c>
      <c r="Q162" s="54">
        <f ca="1">IF(OR(Q$33&lt;$B28,Q$33&gt;$C28),0,OFFSET(Проект!Q$1320,0,1-$B28))</f>
        <v>0</v>
      </c>
      <c r="S162" s="203">
        <f t="shared" ca="1" si="15"/>
        <v>0</v>
      </c>
    </row>
    <row r="163" spans="1:19" s="11" customFormat="1" outlineLevel="1" collapsed="1" x14ac:dyDescent="0.2">
      <c r="A163" t="str">
        <f ca="1">Language!A722</f>
        <v>Прочие расходы</v>
      </c>
      <c r="C163" s="115" t="str">
        <f t="shared" ca="1" si="14"/>
        <v>руб.</v>
      </c>
      <c r="D163" s="205" t="s">
        <v>2210</v>
      </c>
      <c r="F163" s="43">
        <f ca="1">SUMPRODUCT($B12:OFFSET($B13,-1,0),F164:OFFSET(F165,-1,0))</f>
        <v>0</v>
      </c>
      <c r="G163" s="43">
        <f ca="1">SUMPRODUCT($B12:OFFSET($B13,-1,0),G164:OFFSET(G165,-1,0))</f>
        <v>0</v>
      </c>
      <c r="H163" s="43">
        <f ca="1">SUMPRODUCT($B12:OFFSET($B13,-1,0),H164:OFFSET(H165,-1,0))</f>
        <v>0</v>
      </c>
      <c r="I163" s="43">
        <f ca="1">SUMPRODUCT($B12:OFFSET($B13,-1,0),I164:OFFSET(I165,-1,0))</f>
        <v>0</v>
      </c>
      <c r="J163" s="43">
        <f ca="1">SUMPRODUCT($B12:OFFSET($B13,-1,0),J164:OFFSET(J165,-1,0))</f>
        <v>0</v>
      </c>
      <c r="K163" s="43">
        <f ca="1">SUMPRODUCT($B12:OFFSET($B13,-1,0),K164:OFFSET(K165,-1,0))</f>
        <v>0</v>
      </c>
      <c r="L163" s="43">
        <f ca="1">SUMPRODUCT($B12:OFFSET($B13,-1,0),L164:OFFSET(L165,-1,0))</f>
        <v>0</v>
      </c>
      <c r="M163" s="43">
        <f ca="1">SUMPRODUCT($B12:OFFSET($B13,-1,0),M164:OFFSET(M165,-1,0))</f>
        <v>0</v>
      </c>
      <c r="N163" s="43">
        <f ca="1">SUMPRODUCT($B12:OFFSET($B13,-1,0),N164:OFFSET(N165,-1,0))</f>
        <v>0</v>
      </c>
      <c r="O163" s="43">
        <f ca="1">SUMPRODUCT($B12:OFFSET($B13,-1,0),O164:OFFSET(O165,-1,0))</f>
        <v>0</v>
      </c>
      <c r="P163" s="43">
        <f ca="1">SUMPRODUCT($B12:OFFSET($B13,-1,0),P164:OFFSET(P165,-1,0))</f>
        <v>0</v>
      </c>
      <c r="Q163" s="43">
        <f ca="1">SUMPRODUCT($B12:OFFSET($B13,-1,0),Q164:OFFSET(Q165,-1,0))</f>
        <v>0</v>
      </c>
      <c r="S163" s="203">
        <f t="shared" ca="1" si="15"/>
        <v>0</v>
      </c>
    </row>
    <row r="164" spans="1:19" s="11" customFormat="1" hidden="1" outlineLevel="2" x14ac:dyDescent="0.2">
      <c r="A164" s="11" t="str">
        <f>"        " &amp; A12</f>
        <v xml:space="preserve">        Наименование проекта</v>
      </c>
      <c r="C164" s="199" t="str">
        <f t="shared" ca="1" si="14"/>
        <v>руб.</v>
      </c>
      <c r="D164" s="11" t="str">
        <f>"[" &amp; F12 &amp; "];int_sum"</f>
        <v>[Проект];int_sum</v>
      </c>
      <c r="F164" s="54">
        <f ca="1">IF(OR(F$33&lt;$B28,F$33&gt;$C28),0,OFFSET(Проект!F$1321,0,1-$B28))</f>
        <v>0</v>
      </c>
      <c r="G164" s="54">
        <f ca="1">IF(OR(G$33&lt;$B28,G$33&gt;$C28),0,OFFSET(Проект!G$1321,0,1-$B28))</f>
        <v>0</v>
      </c>
      <c r="H164" s="54">
        <f ca="1">IF(OR(H$33&lt;$B28,H$33&gt;$C28),0,OFFSET(Проект!H$1321,0,1-$B28))</f>
        <v>0</v>
      </c>
      <c r="I164" s="54">
        <f ca="1">IF(OR(I$33&lt;$B28,I$33&gt;$C28),0,OFFSET(Проект!I$1321,0,1-$B28))</f>
        <v>0</v>
      </c>
      <c r="J164" s="54">
        <f ca="1">IF(OR(J$33&lt;$B28,J$33&gt;$C28),0,OFFSET(Проект!J$1321,0,1-$B28))</f>
        <v>0</v>
      </c>
      <c r="K164" s="54">
        <f ca="1">IF(OR(K$33&lt;$B28,K$33&gt;$C28),0,OFFSET(Проект!K$1321,0,1-$B28))</f>
        <v>0</v>
      </c>
      <c r="L164" s="54">
        <f ca="1">IF(OR(L$33&lt;$B28,L$33&gt;$C28),0,OFFSET(Проект!L$1321,0,1-$B28))</f>
        <v>0</v>
      </c>
      <c r="M164" s="54">
        <f ca="1">IF(OR(M$33&lt;$B28,M$33&gt;$C28),0,OFFSET(Проект!M$1321,0,1-$B28))</f>
        <v>0</v>
      </c>
      <c r="N164" s="54">
        <f ca="1">IF(OR(N$33&lt;$B28,N$33&gt;$C28),0,OFFSET(Проект!N$1321,0,1-$B28))</f>
        <v>0</v>
      </c>
      <c r="O164" s="54">
        <f ca="1">IF(OR(O$33&lt;$B28,O$33&gt;$C28),0,OFFSET(Проект!O$1321,0,1-$B28))</f>
        <v>0</v>
      </c>
      <c r="P164" s="54">
        <f ca="1">IF(OR(P$33&lt;$B28,P$33&gt;$C28),0,OFFSET(Проект!P$1321,0,1-$B28))</f>
        <v>0</v>
      </c>
      <c r="Q164" s="54">
        <f ca="1">IF(OR(Q$33&lt;$B28,Q$33&gt;$C28),0,OFFSET(Проект!Q$1321,0,1-$B28))</f>
        <v>0</v>
      </c>
      <c r="S164" s="203">
        <f t="shared" ca="1" si="15"/>
        <v>0</v>
      </c>
    </row>
    <row r="165" spans="1:19" ht="10.5" outlineLevel="1" collapsed="1" x14ac:dyDescent="0.25">
      <c r="A165" s="35" t="str">
        <f ca="1">Language!A727</f>
        <v>Прибыль до налогообложения</v>
      </c>
      <c r="C165" s="115" t="str">
        <f t="shared" ref="C165:C187" ca="1" si="16">CUR_Report</f>
        <v>руб.</v>
      </c>
      <c r="D165" s="205" t="s">
        <v>2210</v>
      </c>
      <c r="F165" s="58">
        <f ca="1">SUMPRODUCT($B12:OFFSET($B13,-1,0),F166:OFFSET(F167,-1,0))</f>
        <v>-3007443.6844783714</v>
      </c>
      <c r="G165" s="58">
        <f ca="1">SUMPRODUCT($B12:OFFSET($B13,-1,0),G166:OFFSET(G167,-1,0))</f>
        <v>-2649952.9535589088</v>
      </c>
      <c r="H165" s="58">
        <f ca="1">SUMPRODUCT($B12:OFFSET($B13,-1,0),H166:OFFSET(H167,-1,0))</f>
        <v>-2557576.8292993959</v>
      </c>
      <c r="I165" s="58">
        <f ca="1">SUMPRODUCT($B12:OFFSET($B13,-1,0),I166:OFFSET(I167,-1,0))</f>
        <v>-2048018.3376510644</v>
      </c>
      <c r="J165" s="58">
        <f ca="1">SUMPRODUCT($B12:OFFSET($B13,-1,0),J166:OFFSET(J167,-1,0))</f>
        <v>-1391518.8539035725</v>
      </c>
      <c r="K165" s="58">
        <f ca="1">SUMPRODUCT($B12:OFFSET($B13,-1,0),K166:OFFSET(K167,-1,0))</f>
        <v>-35447.353452761949</v>
      </c>
      <c r="L165" s="58">
        <f ca="1">SUMPRODUCT($B12:OFFSET($B13,-1,0),L166:OFFSET(L167,-1,0))</f>
        <v>1341203.547974088</v>
      </c>
      <c r="M165" s="58">
        <f ca="1">SUMPRODUCT($B12:OFFSET($B13,-1,0),M166:OFFSET(M167,-1,0))</f>
        <v>2742377.2904287493</v>
      </c>
      <c r="N165" s="58">
        <f ca="1">SUMPRODUCT($B12:OFFSET($B13,-1,0),N166:OFFSET(N167,-1,0))</f>
        <v>4856842.029895097</v>
      </c>
      <c r="O165" s="58">
        <f ca="1">SUMPRODUCT($B12:OFFSET($B13,-1,0),O166:OFFSET(O167,-1,0))</f>
        <v>7637241.84375</v>
      </c>
      <c r="P165" s="58">
        <f ca="1">SUMPRODUCT($B12:OFFSET($B13,-1,0),P166:OFFSET(P167,-1,0))</f>
        <v>9675842.2125000004</v>
      </c>
      <c r="Q165" s="58">
        <f ca="1">SUMPRODUCT($B12:OFFSET($B13,-1,0),Q166:OFFSET(Q167,-1,0))</f>
        <v>11034909.125</v>
      </c>
      <c r="R165" s="35"/>
      <c r="S165" s="57">
        <f t="shared" ca="1" si="15"/>
        <v>25598458.03720386</v>
      </c>
    </row>
    <row r="166" spans="1:19" s="11" customFormat="1" hidden="1" outlineLevel="2" x14ac:dyDescent="0.2">
      <c r="A166" s="11" t="str">
        <f>"        " &amp; A12</f>
        <v xml:space="preserve">        Наименование проекта</v>
      </c>
      <c r="C166" s="199" t="str">
        <f t="shared" ca="1" si="16"/>
        <v>руб.</v>
      </c>
      <c r="D166" s="11" t="str">
        <f>"[" &amp; F12 &amp; "];int_sum"</f>
        <v>[Проект];int_sum</v>
      </c>
      <c r="F166" s="54">
        <f ca="1">IF(OR(F$33&lt;$B28,F$33&gt;$C28),0,OFFSET(Проект!F$1322,0,1-$B28))</f>
        <v>-3007443.6844783714</v>
      </c>
      <c r="G166" s="54">
        <f ca="1">IF(OR(G$33&lt;$B28,G$33&gt;$C28),0,OFFSET(Проект!G$1322,0,1-$B28))</f>
        <v>-2649952.9535589088</v>
      </c>
      <c r="H166" s="54">
        <f ca="1">IF(OR(H$33&lt;$B28,H$33&gt;$C28),0,OFFSET(Проект!H$1322,0,1-$B28))</f>
        <v>-2557576.8292993959</v>
      </c>
      <c r="I166" s="54">
        <f ca="1">IF(OR(I$33&lt;$B28,I$33&gt;$C28),0,OFFSET(Проект!I$1322,0,1-$B28))</f>
        <v>-2048018.3376510644</v>
      </c>
      <c r="J166" s="54">
        <f ca="1">IF(OR(J$33&lt;$B28,J$33&gt;$C28),0,OFFSET(Проект!J$1322,0,1-$B28))</f>
        <v>-1391518.8539035725</v>
      </c>
      <c r="K166" s="54">
        <f ca="1">IF(OR(K$33&lt;$B28,K$33&gt;$C28),0,OFFSET(Проект!K$1322,0,1-$B28))</f>
        <v>-35447.353452761949</v>
      </c>
      <c r="L166" s="54">
        <f ca="1">IF(OR(L$33&lt;$B28,L$33&gt;$C28),0,OFFSET(Проект!L$1322,0,1-$B28))</f>
        <v>1341203.547974088</v>
      </c>
      <c r="M166" s="54">
        <f ca="1">IF(OR(M$33&lt;$B28,M$33&gt;$C28),0,OFFSET(Проект!M$1322,0,1-$B28))</f>
        <v>2742377.2904287493</v>
      </c>
      <c r="N166" s="54">
        <f ca="1">IF(OR(N$33&lt;$B28,N$33&gt;$C28),0,OFFSET(Проект!N$1322,0,1-$B28))</f>
        <v>4856842.029895097</v>
      </c>
      <c r="O166" s="54">
        <f ca="1">IF(OR(O$33&lt;$B28,O$33&gt;$C28),0,OFFSET(Проект!O$1322,0,1-$B28))</f>
        <v>7637241.84375</v>
      </c>
      <c r="P166" s="54">
        <f ca="1">IF(OR(P$33&lt;$B28,P$33&gt;$C28),0,OFFSET(Проект!P$1322,0,1-$B28))</f>
        <v>9675842.2125000004</v>
      </c>
      <c r="Q166" s="54">
        <f ca="1">IF(OR(Q$33&lt;$B28,Q$33&gt;$C28),0,OFFSET(Проект!Q$1322,0,1-$B28))</f>
        <v>11034909.125</v>
      </c>
      <c r="S166" s="203">
        <f t="shared" ca="1" si="15"/>
        <v>25598458.03720386</v>
      </c>
    </row>
    <row r="167" spans="1:19" outlineLevel="1" collapsed="1" x14ac:dyDescent="0.2">
      <c r="A167" t="str">
        <f ca="1">Language!A728</f>
        <v>Налог на прибыль</v>
      </c>
      <c r="C167" s="115" t="str">
        <f t="shared" ca="1" si="16"/>
        <v>руб.</v>
      </c>
      <c r="D167" s="205" t="s">
        <v>2210</v>
      </c>
      <c r="F167" s="109">
        <f ca="1">IF($B12=2,SUMPRODUCT($B12:OFFSET($B13,-1,0),F168:OFFSET(F169,-1,0)),F44+F61)</f>
        <v>0</v>
      </c>
      <c r="G167" s="109">
        <f ca="1">IF($B12=2,SUMPRODUCT($B12:OFFSET($B13,-1,0),G168:OFFSET(G169,-1,0)),G44+G61)</f>
        <v>0</v>
      </c>
      <c r="H167" s="109">
        <f ca="1">IF($B12=2,SUMPRODUCT($B12:OFFSET($B13,-1,0),H168:OFFSET(H169,-1,0)),H44+H61)</f>
        <v>8155.2</v>
      </c>
      <c r="I167" s="109">
        <f ca="1">IF($B12=2,SUMPRODUCT($B12:OFFSET($B13,-1,0),I168:OFFSET(I169,-1,0)),I44+I61)</f>
        <v>40776</v>
      </c>
      <c r="J167" s="109">
        <f ca="1">IF($B12=2,SUMPRODUCT($B12:OFFSET($B13,-1,0),J168:OFFSET(J169,-1,0)),J44+J61)</f>
        <v>81552</v>
      </c>
      <c r="K167" s="109">
        <f ca="1">IF($B12=2,SUMPRODUCT($B12:OFFSET($B13,-1,0),K168:OFFSET(K169,-1,0)),K44+K61)</f>
        <v>163104</v>
      </c>
      <c r="L167" s="109">
        <f ca="1">IF($B12=2,SUMPRODUCT($B12:OFFSET($B13,-1,0),L168:OFFSET(L169,-1,0)),L44+L61)</f>
        <v>244656</v>
      </c>
      <c r="M167" s="109">
        <f ca="1">IF($B12=2,SUMPRODUCT($B12:OFFSET($B13,-1,0),M168:OFFSET(M169,-1,0)),M44+M61)</f>
        <v>326208</v>
      </c>
      <c r="N167" s="109">
        <f ca="1">IF($B12=2,SUMPRODUCT($B12:OFFSET($B13,-1,0),N168:OFFSET(N169,-1,0)),N44+N61)</f>
        <v>448536</v>
      </c>
      <c r="O167" s="109">
        <f ca="1">IF($B12=2,SUMPRODUCT($B12:OFFSET($B13,-1,0),O168:OFFSET(O169,-1,0)),O44+O61)</f>
        <v>611640</v>
      </c>
      <c r="P167" s="109">
        <f ca="1">IF($B12=2,SUMPRODUCT($B12:OFFSET($B13,-1,0),P168:OFFSET(P169,-1,0)),P44+P61)</f>
        <v>733968</v>
      </c>
      <c r="Q167" s="109">
        <f ca="1">IF($B12=2,SUMPRODUCT($B12:OFFSET($B13,-1,0),Q168:OFFSET(Q169,-1,0)),Q44+Q61)</f>
        <v>815520</v>
      </c>
      <c r="S167" s="203">
        <f t="shared" ca="1" si="15"/>
        <v>3474115.2</v>
      </c>
    </row>
    <row r="168" spans="1:19" s="11" customFormat="1" hidden="1" outlineLevel="2" x14ac:dyDescent="0.2">
      <c r="A168" s="11" t="str">
        <f>"        " &amp; A12</f>
        <v xml:space="preserve">        Наименование проекта</v>
      </c>
      <c r="C168" s="199" t="str">
        <f t="shared" ca="1" si="16"/>
        <v>руб.</v>
      </c>
      <c r="D168" s="11" t="str">
        <f>"[" &amp; F12 &amp; "];int_sum"</f>
        <v>[Проект];int_sum</v>
      </c>
      <c r="F168" s="54">
        <f ca="1">IF(OR(F$33&lt;$B28,F$33&gt;$C28),0,OFFSET(Проект!F$1323,0,1-$B28))</f>
        <v>0</v>
      </c>
      <c r="G168" s="54">
        <f ca="1">IF(OR(G$33&lt;$B28,G$33&gt;$C28),0,OFFSET(Проект!G$1323,0,1-$B28))</f>
        <v>0</v>
      </c>
      <c r="H168" s="54">
        <f ca="1">IF(OR(H$33&lt;$B28,H$33&gt;$C28),0,OFFSET(Проект!H$1323,0,1-$B28))</f>
        <v>8155.2</v>
      </c>
      <c r="I168" s="54">
        <f ca="1">IF(OR(I$33&lt;$B28,I$33&gt;$C28),0,OFFSET(Проект!I$1323,0,1-$B28))</f>
        <v>40776</v>
      </c>
      <c r="J168" s="54">
        <f ca="1">IF(OR(J$33&lt;$B28,J$33&gt;$C28),0,OFFSET(Проект!J$1323,0,1-$B28))</f>
        <v>81552</v>
      </c>
      <c r="K168" s="54">
        <f ca="1">IF(OR(K$33&lt;$B28,K$33&gt;$C28),0,OFFSET(Проект!K$1323,0,1-$B28))</f>
        <v>163104</v>
      </c>
      <c r="L168" s="54">
        <f ca="1">IF(OR(L$33&lt;$B28,L$33&gt;$C28),0,OFFSET(Проект!L$1323,0,1-$B28))</f>
        <v>244656</v>
      </c>
      <c r="M168" s="54">
        <f ca="1">IF(OR(M$33&lt;$B28,M$33&gt;$C28),0,OFFSET(Проект!M$1323,0,1-$B28))</f>
        <v>326208</v>
      </c>
      <c r="N168" s="54">
        <f ca="1">IF(OR(N$33&lt;$B28,N$33&gt;$C28),0,OFFSET(Проект!N$1323,0,1-$B28))</f>
        <v>448536</v>
      </c>
      <c r="O168" s="54">
        <f ca="1">IF(OR(O$33&lt;$B28,O$33&gt;$C28),0,OFFSET(Проект!O$1323,0,1-$B28))</f>
        <v>611640</v>
      </c>
      <c r="P168" s="54">
        <f ca="1">IF(OR(P$33&lt;$B28,P$33&gt;$C28),0,OFFSET(Проект!P$1323,0,1-$B28))</f>
        <v>733968</v>
      </c>
      <c r="Q168" s="54">
        <f ca="1">IF(OR(Q$33&lt;$B28,Q$33&gt;$C28),0,OFFSET(Проект!Q$1323,0,1-$B28))</f>
        <v>815520</v>
      </c>
      <c r="S168" s="203">
        <f t="shared" ca="1" si="15"/>
        <v>3474115.2</v>
      </c>
    </row>
    <row r="169" spans="1:19" ht="10.5" outlineLevel="1" collapsed="1" x14ac:dyDescent="0.25">
      <c r="A169" s="179" t="str">
        <f ca="1">Language!A729</f>
        <v>Чистая прибыль (убыток)</v>
      </c>
      <c r="C169" s="115" t="str">
        <f t="shared" ca="1" si="16"/>
        <v>руб.</v>
      </c>
      <c r="D169" s="205" t="s">
        <v>2210</v>
      </c>
      <c r="F169" s="207">
        <f ca="1">IF($B41=2,SUMPRODUCT($B12:OFFSET($B13,-1,0),F170:OFFSET(F171,-1,0)),F165-F167)</f>
        <v>-3007443.6844783714</v>
      </c>
      <c r="G169" s="207">
        <f ca="1">IF($B41=2,SUMPRODUCT($B12:OFFSET($B13,-1,0),G170:OFFSET(G171,-1,0)),G165-G167)</f>
        <v>-2649952.9535589088</v>
      </c>
      <c r="H169" s="207">
        <f ca="1">IF($B41=2,SUMPRODUCT($B12:OFFSET($B13,-1,0),H170:OFFSET(H171,-1,0)),H165-H167)</f>
        <v>-2565732.0292993961</v>
      </c>
      <c r="I169" s="207">
        <f ca="1">IF($B41=2,SUMPRODUCT($B12:OFFSET($B13,-1,0),I170:OFFSET(I171,-1,0)),I165-I167)</f>
        <v>-2088794.3376510644</v>
      </c>
      <c r="J169" s="207">
        <f ca="1">IF($B41=2,SUMPRODUCT($B12:OFFSET($B13,-1,0),J170:OFFSET(J171,-1,0)),J165-J167)</f>
        <v>-1473070.8539035725</v>
      </c>
      <c r="K169" s="207">
        <f ca="1">IF($B41=2,SUMPRODUCT($B12:OFFSET($B13,-1,0),K170:OFFSET(K171,-1,0)),K165-K167)</f>
        <v>-198551.35345276195</v>
      </c>
      <c r="L169" s="207">
        <f ca="1">IF($B41=2,SUMPRODUCT($B12:OFFSET($B13,-1,0),L170:OFFSET(L171,-1,0)),L165-L167)</f>
        <v>1096547.547974088</v>
      </c>
      <c r="M169" s="207">
        <f ca="1">IF($B41=2,SUMPRODUCT($B12:OFFSET($B13,-1,0),M170:OFFSET(M171,-1,0)),M165-M167)</f>
        <v>2416169.2904287493</v>
      </c>
      <c r="N169" s="207">
        <f ca="1">IF($B41=2,SUMPRODUCT($B12:OFFSET($B13,-1,0),N170:OFFSET(N171,-1,0)),N165-N167)</f>
        <v>4408306.029895097</v>
      </c>
      <c r="O169" s="207">
        <f ca="1">IF($B41=2,SUMPRODUCT($B12:OFFSET($B13,-1,0),O170:OFFSET(O171,-1,0)),O165-O167)</f>
        <v>7025601.84375</v>
      </c>
      <c r="P169" s="207">
        <f ca="1">IF($B41=2,SUMPRODUCT($B12:OFFSET($B13,-1,0),P170:OFFSET(P171,-1,0)),P165-P167)</f>
        <v>8941874.2125000004</v>
      </c>
      <c r="Q169" s="207">
        <f ca="1">IF($B41=2,SUMPRODUCT($B12:OFFSET($B13,-1,0),Q170:OFFSET(Q171,-1,0)),Q165-Q167)</f>
        <v>10219389.125</v>
      </c>
      <c r="R169" s="179"/>
      <c r="S169" s="57">
        <f t="shared" ca="1" si="15"/>
        <v>22124342.83720386</v>
      </c>
    </row>
    <row r="170" spans="1:19" s="11" customFormat="1" hidden="1" outlineLevel="2" x14ac:dyDescent="0.2">
      <c r="A170" s="11" t="str">
        <f>"        " &amp; A12</f>
        <v xml:space="preserve">        Наименование проекта</v>
      </c>
      <c r="C170" s="199" t="str">
        <f t="shared" ca="1" si="16"/>
        <v>руб.</v>
      </c>
      <c r="D170" s="11" t="str">
        <f>"[" &amp; F12 &amp; "];int_sum"</f>
        <v>[Проект];int_sum</v>
      </c>
      <c r="F170" s="54">
        <f ca="1">IF(OR(F$33&lt;$B28,F$33&gt;$C28),0,OFFSET(Проект!F$1324,0,1-$B28))</f>
        <v>-3007443.6844783714</v>
      </c>
      <c r="G170" s="54">
        <f ca="1">IF(OR(G$33&lt;$B28,G$33&gt;$C28),0,OFFSET(Проект!G$1324,0,1-$B28))</f>
        <v>-2649952.9535589088</v>
      </c>
      <c r="H170" s="54">
        <f ca="1">IF(OR(H$33&lt;$B28,H$33&gt;$C28),0,OFFSET(Проект!H$1324,0,1-$B28))</f>
        <v>-2565732.0292993961</v>
      </c>
      <c r="I170" s="54">
        <f ca="1">IF(OR(I$33&lt;$B28,I$33&gt;$C28),0,OFFSET(Проект!I$1324,0,1-$B28))</f>
        <v>-2088794.3376510644</v>
      </c>
      <c r="J170" s="54">
        <f ca="1">IF(OR(J$33&lt;$B28,J$33&gt;$C28),0,OFFSET(Проект!J$1324,0,1-$B28))</f>
        <v>-1473070.8539035725</v>
      </c>
      <c r="K170" s="54">
        <f ca="1">IF(OR(K$33&lt;$B28,K$33&gt;$C28),0,OFFSET(Проект!K$1324,0,1-$B28))</f>
        <v>-198551.35345276195</v>
      </c>
      <c r="L170" s="54">
        <f ca="1">IF(OR(L$33&lt;$B28,L$33&gt;$C28),0,OFFSET(Проект!L$1324,0,1-$B28))</f>
        <v>1096547.547974088</v>
      </c>
      <c r="M170" s="54">
        <f ca="1">IF(OR(M$33&lt;$B28,M$33&gt;$C28),0,OFFSET(Проект!M$1324,0,1-$B28))</f>
        <v>2416169.2904287493</v>
      </c>
      <c r="N170" s="54">
        <f ca="1">IF(OR(N$33&lt;$B28,N$33&gt;$C28),0,OFFSET(Проект!N$1324,0,1-$B28))</f>
        <v>4408306.029895097</v>
      </c>
      <c r="O170" s="54">
        <f ca="1">IF(OR(O$33&lt;$B28,O$33&gt;$C28),0,OFFSET(Проект!O$1324,0,1-$B28))</f>
        <v>7025601.84375</v>
      </c>
      <c r="P170" s="54">
        <f ca="1">IF(OR(P$33&lt;$B28,P$33&gt;$C28),0,OFFSET(Проект!P$1324,0,1-$B28))</f>
        <v>8941874.2125000004</v>
      </c>
      <c r="Q170" s="54">
        <f ca="1">IF(OR(Q$33&lt;$B28,Q$33&gt;$C28),0,OFFSET(Проект!Q$1324,0,1-$B28))</f>
        <v>10219389.125</v>
      </c>
      <c r="S170" s="203">
        <f t="shared" ca="1" si="15"/>
        <v>22124342.83720386</v>
      </c>
    </row>
    <row r="171" spans="1:19" s="11" customFormat="1" outlineLevel="1" x14ac:dyDescent="0.2">
      <c r="C171" s="199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S171" s="203"/>
    </row>
    <row r="172" spans="1:19" s="11" customFormat="1" outlineLevel="1" x14ac:dyDescent="0.2">
      <c r="A172" s="11" t="s">
        <v>1930</v>
      </c>
      <c r="C172" s="199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S172" s="203"/>
    </row>
    <row r="173" spans="1:19" outlineLevel="1" collapsed="1" x14ac:dyDescent="0.2">
      <c r="A173" s="23" t="str">
        <f ca="1">Language!A723</f>
        <v>Прибыль до налога, процентов и амортизации (EBITDA)</v>
      </c>
      <c r="C173" s="115" t="str">
        <f t="shared" ref="C173:C178" ca="1" si="17">CUR_Report</f>
        <v>руб.</v>
      </c>
      <c r="D173" s="205" t="s">
        <v>2210</v>
      </c>
      <c r="F173" s="109">
        <f t="shared" ref="F173:M173" ca="1" si="18">F165+F151+F139</f>
        <v>-2966160</v>
      </c>
      <c r="G173" s="109">
        <f t="shared" ca="1" si="18"/>
        <v>-2555759.9999999995</v>
      </c>
      <c r="H173" s="109">
        <f t="shared" ca="1" si="18"/>
        <v>-2419853.3087499999</v>
      </c>
      <c r="I173" s="109">
        <f t="shared" ca="1" si="18"/>
        <v>-1876226.543749999</v>
      </c>
      <c r="J173" s="109">
        <f t="shared" ca="1" si="18"/>
        <v>-1196693.0875000004</v>
      </c>
      <c r="K173" s="109">
        <f t="shared" ca="1" si="18"/>
        <v>162373.82500000065</v>
      </c>
      <c r="L173" s="109">
        <f t="shared" ca="1" si="18"/>
        <v>1521440.7375</v>
      </c>
      <c r="M173" s="109">
        <f t="shared" ca="1" si="18"/>
        <v>2880507.649999999</v>
      </c>
      <c r="N173" s="109">
        <f t="shared" ref="N173" ca="1" si="19">N165+N151+N139</f>
        <v>4919108.0187500007</v>
      </c>
      <c r="O173" s="109">
        <f t="shared" ref="O173:Q173" ca="1" si="20">O165+O151+O139</f>
        <v>7637241.84375</v>
      </c>
      <c r="P173" s="109">
        <f t="shared" ref="P173:Q173" ca="1" si="21">P165+P151+P139</f>
        <v>9675842.2125000004</v>
      </c>
      <c r="Q173" s="109">
        <f t="shared" ca="1" si="21"/>
        <v>11034909.125</v>
      </c>
      <c r="R173" s="23"/>
      <c r="S173" s="54">
        <f t="shared" ref="S173:S178" ca="1" si="22">SUM(F173:Q173)</f>
        <v>26816730.472500004</v>
      </c>
    </row>
    <row r="174" spans="1:19" s="11" customFormat="1" hidden="1" outlineLevel="2" x14ac:dyDescent="0.2">
      <c r="A174" s="11" t="str">
        <f>"        " &amp; A12</f>
        <v xml:space="preserve">        Наименование проекта</v>
      </c>
      <c r="C174" s="199" t="str">
        <f t="shared" ca="1" si="17"/>
        <v>руб.</v>
      </c>
      <c r="D174" s="11" t="str">
        <f>"[" &amp; F12 &amp; "];int_sum"</f>
        <v>[Проект];int_sum</v>
      </c>
      <c r="F174" s="54">
        <f ca="1">IF(OR(F$33&lt;$B28,F$33&gt;$C28),0,OFFSET(Проект!F$1387,0,1-$B28))</f>
        <v>-2966160</v>
      </c>
      <c r="G174" s="54">
        <f ca="1">IF(OR(G$33&lt;$B28,G$33&gt;$C28),0,OFFSET(Проект!G$1387,0,1-$B28))</f>
        <v>-2555759.9999999995</v>
      </c>
      <c r="H174" s="54">
        <f ca="1">IF(OR(H$33&lt;$B28,H$33&gt;$C28),0,OFFSET(Проект!H$1387,0,1-$B28))</f>
        <v>-2419853.3087499999</v>
      </c>
      <c r="I174" s="54">
        <f ca="1">IF(OR(I$33&lt;$B28,I$33&gt;$C28),0,OFFSET(Проект!I$1387,0,1-$B28))</f>
        <v>-1876226.543749999</v>
      </c>
      <c r="J174" s="54">
        <f ca="1">IF(OR(J$33&lt;$B28,J$33&gt;$C28),0,OFFSET(Проект!J$1387,0,1-$B28))</f>
        <v>-1196693.0875000004</v>
      </c>
      <c r="K174" s="54">
        <f ca="1">IF(OR(K$33&lt;$B28,K$33&gt;$C28),0,OFFSET(Проект!K$1387,0,1-$B28))</f>
        <v>162373.82500000065</v>
      </c>
      <c r="L174" s="54">
        <f ca="1">IF(OR(L$33&lt;$B28,L$33&gt;$C28),0,OFFSET(Проект!L$1387,0,1-$B28))</f>
        <v>1521440.7375</v>
      </c>
      <c r="M174" s="54">
        <f ca="1">IF(OR(M$33&lt;$B28,M$33&gt;$C28),0,OFFSET(Проект!M$1387,0,1-$B28))</f>
        <v>2880507.649999999</v>
      </c>
      <c r="N174" s="54">
        <f ca="1">IF(OR(N$33&lt;$B28,N$33&gt;$C28),0,OFFSET(Проект!N$1387,0,1-$B28))</f>
        <v>4919108.0187500007</v>
      </c>
      <c r="O174" s="54">
        <f ca="1">IF(OR(O$33&lt;$B28,O$33&gt;$C28),0,OFFSET(Проект!O$1387,0,1-$B28))</f>
        <v>7637241.84375</v>
      </c>
      <c r="P174" s="54">
        <f ca="1">IF(OR(P$33&lt;$B28,P$33&gt;$C28),0,OFFSET(Проект!P$1387,0,1-$B28))</f>
        <v>9675842.2125000004</v>
      </c>
      <c r="Q174" s="54">
        <f ca="1">IF(OR(Q$33&lt;$B28,Q$33&gt;$C28),0,OFFSET(Проект!Q$1387,0,1-$B28))</f>
        <v>11034909.125</v>
      </c>
      <c r="S174" s="203">
        <f t="shared" ca="1" si="22"/>
        <v>26816730.472500004</v>
      </c>
    </row>
    <row r="175" spans="1:19" outlineLevel="1" collapsed="1" x14ac:dyDescent="0.2">
      <c r="A175" s="23" t="str">
        <f ca="1">Language!A725</f>
        <v>Прибыль до процентов и налога (EBIT)</v>
      </c>
      <c r="C175" s="115" t="str">
        <f t="shared" ca="1" si="17"/>
        <v>руб.</v>
      </c>
      <c r="D175" s="205" t="s">
        <v>2210</v>
      </c>
      <c r="F175" s="109">
        <f t="shared" ref="F175:M175" ca="1" si="23">F173-F139</f>
        <v>-2966160</v>
      </c>
      <c r="G175" s="109">
        <f t="shared" ca="1" si="23"/>
        <v>-2555759.9999999995</v>
      </c>
      <c r="H175" s="109">
        <f t="shared" ca="1" si="23"/>
        <v>-2419853.3087499999</v>
      </c>
      <c r="I175" s="109">
        <f t="shared" ca="1" si="23"/>
        <v>-1876226.543749999</v>
      </c>
      <c r="J175" s="109">
        <f t="shared" ca="1" si="23"/>
        <v>-1196693.0875000004</v>
      </c>
      <c r="K175" s="109">
        <f t="shared" ca="1" si="23"/>
        <v>162373.82500000065</v>
      </c>
      <c r="L175" s="109">
        <f t="shared" ca="1" si="23"/>
        <v>1521440.7375</v>
      </c>
      <c r="M175" s="109">
        <f t="shared" ca="1" si="23"/>
        <v>2880507.649999999</v>
      </c>
      <c r="N175" s="109">
        <f t="shared" ref="N175" ca="1" si="24">N173-N139</f>
        <v>4919108.0187500007</v>
      </c>
      <c r="O175" s="109">
        <f t="shared" ref="O175:Q175" ca="1" si="25">O173-O139</f>
        <v>7637241.84375</v>
      </c>
      <c r="P175" s="109">
        <f t="shared" ref="P175:Q175" ca="1" si="26">P173-P139</f>
        <v>9675842.2125000004</v>
      </c>
      <c r="Q175" s="109">
        <f t="shared" ca="1" si="26"/>
        <v>11034909.125</v>
      </c>
      <c r="R175" s="23"/>
      <c r="S175" s="54">
        <f t="shared" ca="1" si="22"/>
        <v>26816730.472500004</v>
      </c>
    </row>
    <row r="176" spans="1:19" s="11" customFormat="1" hidden="1" outlineLevel="2" x14ac:dyDescent="0.2">
      <c r="A176" s="11" t="str">
        <f>"        " &amp; A12</f>
        <v xml:space="preserve">        Наименование проекта</v>
      </c>
      <c r="C176" s="199" t="str">
        <f t="shared" ca="1" si="17"/>
        <v>руб.</v>
      </c>
      <c r="D176" s="11" t="str">
        <f>"[" &amp; F12 &amp; "];int_sum"</f>
        <v>[Проект];int_sum</v>
      </c>
      <c r="F176" s="54">
        <f ca="1">IF(OR(F$33&lt;$B28,F$33&gt;$C28),0,OFFSET(Проект!F$1388,0,1-$B28))</f>
        <v>-2966160</v>
      </c>
      <c r="G176" s="54">
        <f ca="1">IF(OR(G$33&lt;$B28,G$33&gt;$C28),0,OFFSET(Проект!G$1388,0,1-$B28))</f>
        <v>-2555759.9999999995</v>
      </c>
      <c r="H176" s="54">
        <f ca="1">IF(OR(H$33&lt;$B28,H$33&gt;$C28),0,OFFSET(Проект!H$1388,0,1-$B28))</f>
        <v>-2419853.3087499999</v>
      </c>
      <c r="I176" s="54">
        <f ca="1">IF(OR(I$33&lt;$B28,I$33&gt;$C28),0,OFFSET(Проект!I$1388,0,1-$B28))</f>
        <v>-1876226.543749999</v>
      </c>
      <c r="J176" s="54">
        <f ca="1">IF(OR(J$33&lt;$B28,J$33&gt;$C28),0,OFFSET(Проект!J$1388,0,1-$B28))</f>
        <v>-1196693.0875000004</v>
      </c>
      <c r="K176" s="54">
        <f ca="1">IF(OR(K$33&lt;$B28,K$33&gt;$C28),0,OFFSET(Проект!K$1388,0,1-$B28))</f>
        <v>162373.82500000065</v>
      </c>
      <c r="L176" s="54">
        <f ca="1">IF(OR(L$33&lt;$B28,L$33&gt;$C28),0,OFFSET(Проект!L$1388,0,1-$B28))</f>
        <v>1521440.7375</v>
      </c>
      <c r="M176" s="54">
        <f ca="1">IF(OR(M$33&lt;$B28,M$33&gt;$C28),0,OFFSET(Проект!M$1388,0,1-$B28))</f>
        <v>2880507.649999999</v>
      </c>
      <c r="N176" s="54">
        <f ca="1">IF(OR(N$33&lt;$B28,N$33&gt;$C28),0,OFFSET(Проект!N$1388,0,1-$B28))</f>
        <v>4919108.0187500007</v>
      </c>
      <c r="O176" s="54">
        <f ca="1">IF(OR(O$33&lt;$B28,O$33&gt;$C28),0,OFFSET(Проект!O$1388,0,1-$B28))</f>
        <v>7637241.84375</v>
      </c>
      <c r="P176" s="54">
        <f ca="1">IF(OR(P$33&lt;$B28,P$33&gt;$C28),0,OFFSET(Проект!P$1388,0,1-$B28))</f>
        <v>9675842.2125000004</v>
      </c>
      <c r="Q176" s="54">
        <f ca="1">IF(OR(Q$33&lt;$B28,Q$33&gt;$C28),0,OFFSET(Проект!Q$1388,0,1-$B28))</f>
        <v>11034909.125</v>
      </c>
      <c r="S176" s="203">
        <f t="shared" ca="1" si="22"/>
        <v>26816730.472500004</v>
      </c>
    </row>
    <row r="177" spans="1:19" outlineLevel="1" collapsed="1" x14ac:dyDescent="0.2">
      <c r="A177" s="23" t="str">
        <f ca="1">Language!A889</f>
        <v>Посленалоговая операционная прибыль (NOPLAT)</v>
      </c>
      <c r="C177" s="115" t="str">
        <f t="shared" ca="1" si="17"/>
        <v>руб.</v>
      </c>
      <c r="D177" s="205" t="s">
        <v>2210</v>
      </c>
      <c r="F177" s="109">
        <f t="shared" ref="F177:M177" ca="1" si="27">F153-F167</f>
        <v>-3007443.6844783714</v>
      </c>
      <c r="G177" s="109">
        <f t="shared" ca="1" si="27"/>
        <v>-2649952.9535589092</v>
      </c>
      <c r="H177" s="109">
        <f t="shared" ca="1" si="27"/>
        <v>-2565732.0292993961</v>
      </c>
      <c r="I177" s="109">
        <f t="shared" ca="1" si="27"/>
        <v>-2088794.3376510653</v>
      </c>
      <c r="J177" s="109">
        <f t="shared" ca="1" si="27"/>
        <v>-1473070.8539035721</v>
      </c>
      <c r="K177" s="109">
        <f t="shared" ca="1" si="27"/>
        <v>-198551.35345276265</v>
      </c>
      <c r="L177" s="109">
        <f t="shared" ca="1" si="27"/>
        <v>1096547.547974088</v>
      </c>
      <c r="M177" s="109">
        <f t="shared" ca="1" si="27"/>
        <v>2416169.2904287502</v>
      </c>
      <c r="N177" s="109">
        <f t="shared" ref="N177" ca="1" si="28">N153-N167</f>
        <v>4408306.0298950961</v>
      </c>
      <c r="O177" s="109">
        <f t="shared" ref="O177:Q177" ca="1" si="29">O153-O167</f>
        <v>7025601.84375</v>
      </c>
      <c r="P177" s="109">
        <f t="shared" ref="P177:Q177" ca="1" si="30">P153-P167</f>
        <v>8941874.2125000004</v>
      </c>
      <c r="Q177" s="109">
        <f t="shared" ca="1" si="30"/>
        <v>10219389.125</v>
      </c>
      <c r="R177" s="23"/>
      <c r="S177" s="54">
        <f t="shared" ca="1" si="22"/>
        <v>22124342.837203857</v>
      </c>
    </row>
    <row r="178" spans="1:19" s="11" customFormat="1" hidden="1" outlineLevel="2" x14ac:dyDescent="0.2">
      <c r="A178" s="11" t="str">
        <f>"        " &amp; A12</f>
        <v xml:space="preserve">        Наименование проекта</v>
      </c>
      <c r="C178" s="199" t="str">
        <f t="shared" ca="1" si="17"/>
        <v>руб.</v>
      </c>
      <c r="D178" s="11" t="str">
        <f>"[" &amp; F12 &amp; "];int_sum"</f>
        <v>[Проект];int_sum</v>
      </c>
      <c r="F178" s="54">
        <f ca="1">IF(OR(F$33&lt;$B28,F$33&gt;$C28),0,OFFSET(Проект!F1389,0,1-$B28))</f>
        <v>-3007443.6844783714</v>
      </c>
      <c r="G178" s="54">
        <f ca="1">IF(OR(G$33&lt;$B28,G$33&gt;$C28),0,OFFSET(Проект!G1389,0,1-$B28))</f>
        <v>-2649952.9535589092</v>
      </c>
      <c r="H178" s="54">
        <f ca="1">IF(OR(H$33&lt;$B28,H$33&gt;$C28),0,OFFSET(Проект!H1389,0,1-$B28))</f>
        <v>-2565732.0292993961</v>
      </c>
      <c r="I178" s="54">
        <f ca="1">IF(OR(I$33&lt;$B28,I$33&gt;$C28),0,OFFSET(Проект!I1389,0,1-$B28))</f>
        <v>-2088794.3376510653</v>
      </c>
      <c r="J178" s="54">
        <f ca="1">IF(OR(J$33&lt;$B28,J$33&gt;$C28),0,OFFSET(Проект!J1389,0,1-$B28))</f>
        <v>-1473070.8539035721</v>
      </c>
      <c r="K178" s="54">
        <f ca="1">IF(OR(K$33&lt;$B28,K$33&gt;$C28),0,OFFSET(Проект!K1389,0,1-$B28))</f>
        <v>-198551.35345276265</v>
      </c>
      <c r="L178" s="54">
        <f ca="1">IF(OR(L$33&lt;$B28,L$33&gt;$C28),0,OFFSET(Проект!L1389,0,1-$B28))</f>
        <v>1096547.547974088</v>
      </c>
      <c r="M178" s="54">
        <f ca="1">IF(OR(M$33&lt;$B28,M$33&gt;$C28),0,OFFSET(Проект!M1389,0,1-$B28))</f>
        <v>2416169.2904287502</v>
      </c>
      <c r="N178" s="54">
        <f ca="1">IF(OR(N$33&lt;$B28,N$33&gt;$C28),0,OFFSET(Проект!N1389,0,1-$B28))</f>
        <v>4408306.0298950961</v>
      </c>
      <c r="O178" s="54">
        <f ca="1">IF(OR(O$33&lt;$B28,O$33&gt;$C28),0,OFFSET(Проект!O1389,0,1-$B28))</f>
        <v>7025601.84375</v>
      </c>
      <c r="P178" s="54">
        <f ca="1">IF(OR(P$33&lt;$B28,P$33&gt;$C28),0,OFFSET(Проект!P1389,0,1-$B28))</f>
        <v>8941874.2125000004</v>
      </c>
      <c r="Q178" s="54">
        <f ca="1">IF(OR(Q$33&lt;$B28,Q$33&gt;$C28),0,OFFSET(Проект!Q1389,0,1-$B28))</f>
        <v>10219389.125</v>
      </c>
      <c r="S178" s="203">
        <f t="shared" ca="1" si="22"/>
        <v>22124342.837203857</v>
      </c>
    </row>
    <row r="179" spans="1:19" s="11" customFormat="1" outlineLevel="1" x14ac:dyDescent="0.2">
      <c r="C179" s="199"/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S179" s="203"/>
    </row>
    <row r="180" spans="1:19" s="11" customFormat="1" outlineLevel="1" collapsed="1" x14ac:dyDescent="0.2">
      <c r="A180" t="str">
        <f ca="1">Language!A737</f>
        <v>Дивиденды</v>
      </c>
      <c r="C180" s="115" t="str">
        <f t="shared" ca="1" si="16"/>
        <v>руб.</v>
      </c>
      <c r="D180" s="205" t="s">
        <v>2210</v>
      </c>
      <c r="F180" s="109">
        <f ca="1">SUMPRODUCT($B12:OFFSET($B13,-1,0),F181:OFFSET(F182,-1,0))</f>
        <v>0</v>
      </c>
      <c r="G180" s="109">
        <f ca="1">SUMPRODUCT($B12:OFFSET($B13,-1,0),G181:OFFSET(G182,-1,0))</f>
        <v>0</v>
      </c>
      <c r="H180" s="109">
        <f ca="1">SUMPRODUCT($B12:OFFSET($B13,-1,0),H181:OFFSET(H182,-1,0))</f>
        <v>0</v>
      </c>
      <c r="I180" s="109">
        <f ca="1">SUMPRODUCT($B12:OFFSET($B13,-1,0),I181:OFFSET(I182,-1,0))</f>
        <v>0</v>
      </c>
      <c r="J180" s="109">
        <f ca="1">SUMPRODUCT($B12:OFFSET($B13,-1,0),J181:OFFSET(J182,-1,0))</f>
        <v>0</v>
      </c>
      <c r="K180" s="109">
        <f ca="1">SUMPRODUCT($B12:OFFSET($B13,-1,0),K181:OFFSET(K182,-1,0))</f>
        <v>0</v>
      </c>
      <c r="L180" s="109">
        <f ca="1">SUMPRODUCT($B12:OFFSET($B13,-1,0),L181:OFFSET(L182,-1,0))</f>
        <v>0</v>
      </c>
      <c r="M180" s="109">
        <f ca="1">SUMPRODUCT($B12:OFFSET($B13,-1,0),M181:OFFSET(M182,-1,0))</f>
        <v>0</v>
      </c>
      <c r="N180" s="109">
        <f ca="1">SUMPRODUCT($B12:OFFSET($B13,-1,0),N181:OFFSET(N182,-1,0))</f>
        <v>0</v>
      </c>
      <c r="O180" s="109">
        <f ca="1">SUMPRODUCT($B12:OFFSET($B13,-1,0),O181:OFFSET(O182,-1,0))</f>
        <v>0</v>
      </c>
      <c r="P180" s="109">
        <f ca="1">SUMPRODUCT($B12:OFFSET($B13,-1,0),P181:OFFSET(P182,-1,0))</f>
        <v>0</v>
      </c>
      <c r="Q180" s="109">
        <f ca="1">SUMPRODUCT($B12:OFFSET($B13,-1,0),Q181:OFFSET(Q182,-1,0))</f>
        <v>0</v>
      </c>
      <c r="S180" s="203">
        <f ca="1">SUM(F180:Q180)</f>
        <v>0</v>
      </c>
    </row>
    <row r="181" spans="1:19" s="11" customFormat="1" hidden="1" outlineLevel="2" x14ac:dyDescent="0.2">
      <c r="A181" s="11" t="str">
        <f>"        " &amp; A12</f>
        <v xml:space="preserve">        Наименование проекта</v>
      </c>
      <c r="C181" s="199" t="str">
        <f t="shared" ca="1" si="16"/>
        <v>руб.</v>
      </c>
      <c r="D181" s="11" t="str">
        <f>"[" &amp; F12 &amp; "];int_sum"</f>
        <v>[Проект];int_sum</v>
      </c>
      <c r="F181" s="54">
        <f ca="1">IF(OR(F$33&lt;$B28,F$33&gt;$C28),0,OFFSET(Проект!F$1385,0,1-$B28))</f>
        <v>0</v>
      </c>
      <c r="G181" s="54">
        <f ca="1">IF(OR(G$33&lt;$B28,G$33&gt;$C28),0,OFFSET(Проект!G$1385,0,1-$B28))</f>
        <v>0</v>
      </c>
      <c r="H181" s="54">
        <f ca="1">IF(OR(H$33&lt;$B28,H$33&gt;$C28),0,OFFSET(Проект!H$1385,0,1-$B28))</f>
        <v>0</v>
      </c>
      <c r="I181" s="54">
        <f ca="1">IF(OR(I$33&lt;$B28,I$33&gt;$C28),0,OFFSET(Проект!I$1385,0,1-$B28))</f>
        <v>0</v>
      </c>
      <c r="J181" s="54">
        <f ca="1">IF(OR(J$33&lt;$B28,J$33&gt;$C28),0,OFFSET(Проект!J$1385,0,1-$B28))</f>
        <v>0</v>
      </c>
      <c r="K181" s="54">
        <f ca="1">IF(OR(K$33&lt;$B28,K$33&gt;$C28),0,OFFSET(Проект!K$1385,0,1-$B28))</f>
        <v>0</v>
      </c>
      <c r="L181" s="54">
        <f ca="1">IF(OR(L$33&lt;$B28,L$33&gt;$C28),0,OFFSET(Проект!L$1385,0,1-$B28))</f>
        <v>0</v>
      </c>
      <c r="M181" s="54">
        <f ca="1">IF(OR(M$33&lt;$B28,M$33&gt;$C28),0,OFFSET(Проект!M$1385,0,1-$B28))</f>
        <v>0</v>
      </c>
      <c r="N181" s="54">
        <f ca="1">IF(OR(N$33&lt;$B28,N$33&gt;$C28),0,OFFSET(Проект!N$1385,0,1-$B28))</f>
        <v>0</v>
      </c>
      <c r="O181" s="54">
        <f ca="1">IF(OR(O$33&lt;$B28,O$33&gt;$C28),0,OFFSET(Проект!O$1385,0,1-$B28))</f>
        <v>0</v>
      </c>
      <c r="P181" s="54">
        <f ca="1">IF(OR(P$33&lt;$B28,P$33&gt;$C28),0,OFFSET(Проект!P$1385,0,1-$B28))</f>
        <v>0</v>
      </c>
      <c r="Q181" s="54">
        <f ca="1">IF(OR(Q$33&lt;$B28,Q$33&gt;$C28),0,OFFSET(Проект!Q$1385,0,1-$B28))</f>
        <v>0</v>
      </c>
      <c r="S181" s="203">
        <f ca="1">SUM(F181:Q181)</f>
        <v>0</v>
      </c>
    </row>
    <row r="182" spans="1:19" s="11" customFormat="1" outlineLevel="1" collapsed="1" x14ac:dyDescent="0.2">
      <c r="A182" s="23" t="str">
        <f ca="1">Language!A738</f>
        <v>Нераспределенная прибыль (за период)</v>
      </c>
      <c r="C182" s="115" t="str">
        <f t="shared" ca="1" si="16"/>
        <v>руб.</v>
      </c>
      <c r="D182" s="205" t="s">
        <v>2210</v>
      </c>
      <c r="F182" s="109">
        <f ca="1">IF($B41=2,SUMPRODUCT($B12:OFFSET($B13,-1,0),F183:OFFSET(F184,-1,0)),F169-F180)</f>
        <v>-3007443.6844783714</v>
      </c>
      <c r="G182" s="109">
        <f ca="1">IF($B41=2,SUMPRODUCT($B12:OFFSET($B13,-1,0),G183:OFFSET(G184,-1,0)),G169-G180)</f>
        <v>-2649952.9535589088</v>
      </c>
      <c r="H182" s="109">
        <f ca="1">IF($B41=2,SUMPRODUCT($B12:OFFSET($B13,-1,0),H183:OFFSET(H184,-1,0)),H169-H180)</f>
        <v>-2565732.0292993961</v>
      </c>
      <c r="I182" s="109">
        <f ca="1">IF($B41=2,SUMPRODUCT($B12:OFFSET($B13,-1,0),I183:OFFSET(I184,-1,0)),I169-I180)</f>
        <v>-2088794.3376510644</v>
      </c>
      <c r="J182" s="109">
        <f ca="1">IF($B41=2,SUMPRODUCT($B12:OFFSET($B13,-1,0),J183:OFFSET(J184,-1,0)),J169-J180)</f>
        <v>-1473070.8539035725</v>
      </c>
      <c r="K182" s="109">
        <f ca="1">IF($B41=2,SUMPRODUCT($B12:OFFSET($B13,-1,0),K183:OFFSET(K184,-1,0)),K169-K180)</f>
        <v>-198551.35345276195</v>
      </c>
      <c r="L182" s="109">
        <f ca="1">IF($B41=2,SUMPRODUCT($B12:OFFSET($B13,-1,0),L183:OFFSET(L184,-1,0)),L169-L180)</f>
        <v>1096547.547974088</v>
      </c>
      <c r="M182" s="109">
        <f ca="1">IF($B41=2,SUMPRODUCT($B12:OFFSET($B13,-1,0),M183:OFFSET(M184,-1,0)),M169-M180)</f>
        <v>2416169.2904287493</v>
      </c>
      <c r="N182" s="109">
        <f ca="1">IF($B41=2,SUMPRODUCT($B12:OFFSET($B13,-1,0),N183:OFFSET(N184,-1,0)),N169-N180)</f>
        <v>4408306.029895097</v>
      </c>
      <c r="O182" s="109">
        <f ca="1">IF($B41=2,SUMPRODUCT($B12:OFFSET($B13,-1,0),O183:OFFSET(O184,-1,0)),O169-O180)</f>
        <v>7025601.84375</v>
      </c>
      <c r="P182" s="109">
        <f ca="1">IF($B41=2,SUMPRODUCT($B12:OFFSET($B13,-1,0),P183:OFFSET(P184,-1,0)),P169-P180)</f>
        <v>8941874.2125000004</v>
      </c>
      <c r="Q182" s="109">
        <f ca="1">IF($B41=2,SUMPRODUCT($B12:OFFSET($B13,-1,0),Q183:OFFSET(Q184,-1,0)),Q169-Q180)</f>
        <v>10219389.125</v>
      </c>
      <c r="S182" s="203">
        <f ca="1">SUM(F182:Q182)</f>
        <v>22124342.83720386</v>
      </c>
    </row>
    <row r="183" spans="1:19" s="11" customFormat="1" hidden="1" outlineLevel="2" x14ac:dyDescent="0.2">
      <c r="A183" s="11" t="str">
        <f>"        " &amp; A12</f>
        <v xml:space="preserve">        Наименование проекта</v>
      </c>
      <c r="C183" s="199" t="str">
        <f t="shared" ca="1" si="16"/>
        <v>руб.</v>
      </c>
      <c r="D183" s="11" t="str">
        <f>"[" &amp; F12 &amp; "];int_sum"</f>
        <v>[Проект];int_sum</v>
      </c>
      <c r="F183" s="54">
        <f ca="1">IF(OR(F$33&lt;$B28,F$33&gt;$C28),0,OFFSET(Проект!F$1391,0,1-$B28))</f>
        <v>-3007443.6844783714</v>
      </c>
      <c r="G183" s="54">
        <f ca="1">IF(OR(G$33&lt;$B28,G$33&gt;$C28),0,OFFSET(Проект!G$1391,0,1-$B28))</f>
        <v>-2649952.9535589088</v>
      </c>
      <c r="H183" s="54">
        <f ca="1">IF(OR(H$33&lt;$B28,H$33&gt;$C28),0,OFFSET(Проект!H$1391,0,1-$B28))</f>
        <v>-2565732.0292993961</v>
      </c>
      <c r="I183" s="54">
        <f ca="1">IF(OR(I$33&lt;$B28,I$33&gt;$C28),0,OFFSET(Проект!I$1391,0,1-$B28))</f>
        <v>-2088794.3376510644</v>
      </c>
      <c r="J183" s="54">
        <f ca="1">IF(OR(J$33&lt;$B28,J$33&gt;$C28),0,OFFSET(Проект!J$1391,0,1-$B28))</f>
        <v>-1473070.8539035725</v>
      </c>
      <c r="K183" s="54">
        <f ca="1">IF(OR(K$33&lt;$B28,K$33&gt;$C28),0,OFFSET(Проект!K$1391,0,1-$B28))</f>
        <v>-198551.35345276195</v>
      </c>
      <c r="L183" s="54">
        <f ca="1">IF(OR(L$33&lt;$B28,L$33&gt;$C28),0,OFFSET(Проект!L$1391,0,1-$B28))</f>
        <v>1096547.547974088</v>
      </c>
      <c r="M183" s="54">
        <f ca="1">IF(OR(M$33&lt;$B28,M$33&gt;$C28),0,OFFSET(Проект!M$1391,0,1-$B28))</f>
        <v>2416169.2904287493</v>
      </c>
      <c r="N183" s="54">
        <f ca="1">IF(OR(N$33&lt;$B28,N$33&gt;$C28),0,OFFSET(Проект!N$1391,0,1-$B28))</f>
        <v>4408306.029895097</v>
      </c>
      <c r="O183" s="54">
        <f ca="1">IF(OR(O$33&lt;$B28,O$33&gt;$C28),0,OFFSET(Проект!O$1391,0,1-$B28))</f>
        <v>7025601.84375</v>
      </c>
      <c r="P183" s="54">
        <f ca="1">IF(OR(P$33&lt;$B28,P$33&gt;$C28),0,OFFSET(Проект!P$1391,0,1-$B28))</f>
        <v>8941874.2125000004</v>
      </c>
      <c r="Q183" s="54">
        <f ca="1">IF(OR(Q$33&lt;$B28,Q$33&gt;$C28),0,OFFSET(Проект!Q$1391,0,1-$B28))</f>
        <v>10219389.125</v>
      </c>
      <c r="S183" s="203">
        <f ca="1">SUM(F183:Q183)</f>
        <v>22124342.83720386</v>
      </c>
    </row>
    <row r="184" spans="1:19" s="11" customFormat="1" outlineLevel="1" collapsed="1" x14ac:dyDescent="0.2">
      <c r="A184" s="23" t="str">
        <f ca="1">Language!A739</f>
        <v>Нераспределенная прибыль (на начало периода, нарастающим итогом)</v>
      </c>
      <c r="C184" s="115" t="str">
        <f t="shared" ca="1" si="16"/>
        <v>руб.</v>
      </c>
      <c r="D184" s="205" t="s">
        <v>675</v>
      </c>
      <c r="F184" s="210">
        <f ca="1">IF($B41=2,SUMPRODUCT($B12:OFFSET($B13,-1,0),F185:OFFSET(F186,-1,0)),SUMPRODUCT($B12:OFFSET($B13,-1,0),F185:OFFSET(F186,-1,0))+SUMPRODUCT($B12:OFFSET($B13,-1,0),F45:OFFSET(F46,-1,0))-F44)</f>
        <v>0</v>
      </c>
      <c r="G184" s="210">
        <f ca="1">IF($B41=2,SUMPRODUCT($B12:OFFSET($B13,-1,0),G185:OFFSET(G186,-1,0)),SUMPRODUCT($B12:OFFSET($B13,-1,0),G185:OFFSET(G186,-1,0))+SUMPRODUCT($B12:OFFSET($B13,-1,0),G45:OFFSET(G46,-1,0))-G44)</f>
        <v>-3007443.6844783714</v>
      </c>
      <c r="H184" s="210">
        <f ca="1">IF($B41=2,SUMPRODUCT($B12:OFFSET($B13,-1,0),H185:OFFSET(H186,-1,0)),SUMPRODUCT($B12:OFFSET($B13,-1,0),H185:OFFSET(H186,-1,0))+SUMPRODUCT($B12:OFFSET($B13,-1,0),H45:OFFSET(H46,-1,0))-H44)</f>
        <v>-5657396.6380372802</v>
      </c>
      <c r="I184" s="210">
        <f ca="1">IF($B41=2,SUMPRODUCT($B12:OFFSET($B13,-1,0),I185:OFFSET(I186,-1,0)),SUMPRODUCT($B12:OFFSET($B13,-1,0),I185:OFFSET(I186,-1,0))+SUMPRODUCT($B12:OFFSET($B13,-1,0),I45:OFFSET(I46,-1,0))-I44)</f>
        <v>-8223128.6673366763</v>
      </c>
      <c r="J184" s="210">
        <f ca="1">IF($B41=2,SUMPRODUCT($B12:OFFSET($B13,-1,0),J185:OFFSET(J186,-1,0)),SUMPRODUCT($B12:OFFSET($B13,-1,0),J185:OFFSET(J186,-1,0))+SUMPRODUCT($B12:OFFSET($B13,-1,0),J45:OFFSET(J46,-1,0))-J44)</f>
        <v>-10311923.004987741</v>
      </c>
      <c r="K184" s="210">
        <f ca="1">IF($B41=2,SUMPRODUCT($B12:OFFSET($B13,-1,0),K185:OFFSET(K186,-1,0)),SUMPRODUCT($B12:OFFSET($B13,-1,0),K185:OFFSET(K186,-1,0))+SUMPRODUCT($B12:OFFSET($B13,-1,0),K45:OFFSET(K46,-1,0))-K44)</f>
        <v>-11784993.858891314</v>
      </c>
      <c r="L184" s="210">
        <f ca="1">IF($B41=2,SUMPRODUCT($B12:OFFSET($B13,-1,0),L185:OFFSET(L186,-1,0)),SUMPRODUCT($B12:OFFSET($B13,-1,0),L185:OFFSET(L186,-1,0))+SUMPRODUCT($B12:OFFSET($B13,-1,0),L45:OFFSET(L46,-1,0))-L44)</f>
        <v>-11983545.212344076</v>
      </c>
      <c r="M184" s="210">
        <f ca="1">IF($B41=2,SUMPRODUCT($B12:OFFSET($B13,-1,0),M185:OFFSET(M186,-1,0)),SUMPRODUCT($B12:OFFSET($B13,-1,0),M185:OFFSET(M186,-1,0))+SUMPRODUCT($B12:OFFSET($B13,-1,0),M45:OFFSET(M46,-1,0))-M44)</f>
        <v>-10886997.664369989</v>
      </c>
      <c r="N184" s="210">
        <f ca="1">IF($B41=2,SUMPRODUCT($B12:OFFSET($B13,-1,0),N185:OFFSET(N186,-1,0)),SUMPRODUCT($B12:OFFSET($B13,-1,0),N185:OFFSET(N186,-1,0))+SUMPRODUCT($B12:OFFSET($B13,-1,0),N45:OFFSET(N46,-1,0))-N44)</f>
        <v>-8470828.373941239</v>
      </c>
      <c r="O184" s="210">
        <f ca="1">IF($B41=2,SUMPRODUCT($B12:OFFSET($B13,-1,0),O185:OFFSET(O186,-1,0)),SUMPRODUCT($B12:OFFSET($B13,-1,0),O185:OFFSET(O186,-1,0))+SUMPRODUCT($B12:OFFSET($B13,-1,0),O45:OFFSET(O46,-1,0))-O44)</f>
        <v>-4062522.344046142</v>
      </c>
      <c r="P184" s="210">
        <f ca="1">IF($B41=2,SUMPRODUCT($B12:OFFSET($B13,-1,0),P185:OFFSET(P186,-1,0)),SUMPRODUCT($B12:OFFSET($B13,-1,0),P185:OFFSET(P186,-1,0))+SUMPRODUCT($B12:OFFSET($B13,-1,0),P45:OFFSET(P46,-1,0))-P44)</f>
        <v>2963079.499703858</v>
      </c>
      <c r="Q184" s="210">
        <f ca="1">IF($B41=2,SUMPRODUCT($B12:OFFSET($B13,-1,0),Q185:OFFSET(Q186,-1,0)),SUMPRODUCT($B12:OFFSET($B13,-1,0),Q185:OFFSET(Q186,-1,0))+SUMPRODUCT($B12:OFFSET($B13,-1,0),Q45:OFFSET(Q46,-1,0))-Q44)</f>
        <v>11904953.712203858</v>
      </c>
      <c r="S184" s="203"/>
    </row>
    <row r="185" spans="1:19" s="11" customFormat="1" hidden="1" outlineLevel="2" x14ac:dyDescent="0.2">
      <c r="A185" s="11" t="str">
        <f>"        " &amp; A12</f>
        <v xml:space="preserve">        Наименование проекта</v>
      </c>
      <c r="C185" s="199" t="str">
        <f t="shared" ca="1" si="16"/>
        <v>руб.</v>
      </c>
      <c r="D185" s="11" t="str">
        <f>"[" &amp; F12 &amp; "];int_end"</f>
        <v>[Проект];int_end</v>
      </c>
      <c r="E185" s="54"/>
      <c r="F185" s="54">
        <f ca="1">IF(F$33&lt;$B28,0,IF(F$33&gt;$C28,IF(LIFE_PRJ=1,E185,0),OFFSET(Проект!F$1392,0,1-$B28)))</f>
        <v>0</v>
      </c>
      <c r="G185" s="54">
        <f ca="1">IF(G$33&lt;$B28,0,IF(G$33&gt;$C28,IF(LIFE_PRJ=1,F185,0),OFFSET(Проект!G$1392,0,1-$B28)))</f>
        <v>-3007443.6844783714</v>
      </c>
      <c r="H185" s="54">
        <f ca="1">IF(H$33&lt;$B28,0,IF(H$33&gt;$C28,IF(LIFE_PRJ=1,G185,0),OFFSET(Проект!H$1392,0,1-$B28)))</f>
        <v>-5657396.6380372802</v>
      </c>
      <c r="I185" s="54">
        <f ca="1">IF(I$33&lt;$B28,0,IF(I$33&gt;$C28,IF(LIFE_PRJ=1,H185,0),OFFSET(Проект!I$1392,0,1-$B28)))</f>
        <v>-8223128.6673366763</v>
      </c>
      <c r="J185" s="54">
        <f ca="1">IF(J$33&lt;$B28,0,IF(J$33&gt;$C28,IF(LIFE_PRJ=1,I185,0),OFFSET(Проект!J$1392,0,1-$B28)))</f>
        <v>-10311923.004987741</v>
      </c>
      <c r="K185" s="54">
        <f ca="1">IF(K$33&lt;$B28,0,IF(K$33&gt;$C28,IF(LIFE_PRJ=1,J185,0),OFFSET(Проект!K$1392,0,1-$B28)))</f>
        <v>-11784993.858891314</v>
      </c>
      <c r="L185" s="54">
        <f ca="1">IF(L$33&lt;$B28,0,IF(L$33&gt;$C28,IF(LIFE_PRJ=1,K185,0),OFFSET(Проект!L$1392,0,1-$B28)))</f>
        <v>-11983545.212344076</v>
      </c>
      <c r="M185" s="54">
        <f ca="1">IF(M$33&lt;$B28,0,IF(M$33&gt;$C28,IF(LIFE_PRJ=1,L185,0),OFFSET(Проект!M$1392,0,1-$B28)))</f>
        <v>-10886997.664369989</v>
      </c>
      <c r="N185" s="54">
        <f ca="1">IF(N$33&lt;$B28,0,IF(N$33&gt;$C28,IF(LIFE_PRJ=1,M185,0),OFFSET(Проект!N$1392,0,1-$B28)))</f>
        <v>-8470828.373941239</v>
      </c>
      <c r="O185" s="54">
        <f ca="1">IF(O$33&lt;$B28,0,IF(O$33&gt;$C28,IF(LIFE_PRJ=1,N185,0),OFFSET(Проект!O$1392,0,1-$B28)))</f>
        <v>-4062522.344046142</v>
      </c>
      <c r="P185" s="54">
        <f ca="1">IF(P$33&lt;$B28,0,IF(P$33&gt;$C28,IF(LIFE_PRJ=1,O185,0),OFFSET(Проект!P$1392,0,1-$B28)))</f>
        <v>2963079.499703858</v>
      </c>
      <c r="Q185" s="54">
        <f ca="1">IF(Q$33&lt;$B28,0,IF(Q$33&gt;$C28,IF(LIFE_PRJ=1,P185,0),OFFSET(Проект!Q$1392,0,1-$B28)))</f>
        <v>11904953.712203858</v>
      </c>
      <c r="S185" s="54"/>
    </row>
    <row r="186" spans="1:19" s="11" customFormat="1" outlineLevel="1" collapsed="1" x14ac:dyDescent="0.2">
      <c r="A186" s="23" t="str">
        <f ca="1">Language!A740</f>
        <v>Нераспределенная прибыль (на конец периода, нарастающим итогом)</v>
      </c>
      <c r="C186" s="115" t="str">
        <f t="shared" ca="1" si="16"/>
        <v>руб.</v>
      </c>
      <c r="D186" s="205" t="s">
        <v>2211</v>
      </c>
      <c r="F186" s="210">
        <f ca="1">IF($B41=2,SUMPRODUCT($B12:OFFSET($B13,-1,0),F187:OFFSET(F188,-1,0)),SUMPRODUCT($B12:OFFSET($B13,-1,0),F187:OFFSET(F188,-1,0))+SUMPRODUCT($B12:OFFSET($B13,-1,0),F45:OFFSET(F46,-1,0))-F44)</f>
        <v>-3007443.6844783714</v>
      </c>
      <c r="G186" s="210">
        <f ca="1">IF($B41=2,SUMPRODUCT($B12:OFFSET($B13,-1,0),G187:OFFSET(G188,-1,0)),SUMPRODUCT($B12:OFFSET($B13,-1,0),G187:OFFSET(G188,-1,0))+SUMPRODUCT($B12:OFFSET($B13,-1,0),G45:OFFSET(G46,-1,0))-G44)</f>
        <v>-5657396.6380372802</v>
      </c>
      <c r="H186" s="210">
        <f ca="1">IF($B41=2,SUMPRODUCT($B12:OFFSET($B13,-1,0),H187:OFFSET(H188,-1,0)),SUMPRODUCT($B12:OFFSET($B13,-1,0),H187:OFFSET(H188,-1,0))+SUMPRODUCT($B12:OFFSET($B13,-1,0),H45:OFFSET(H46,-1,0))-H44)</f>
        <v>-8223128.6673366763</v>
      </c>
      <c r="I186" s="210">
        <f ca="1">IF($B41=2,SUMPRODUCT($B12:OFFSET($B13,-1,0),I187:OFFSET(I188,-1,0)),SUMPRODUCT($B12:OFFSET($B13,-1,0),I187:OFFSET(I188,-1,0))+SUMPRODUCT($B12:OFFSET($B13,-1,0),I45:OFFSET(I46,-1,0))-I44)</f>
        <v>-10311923.004987741</v>
      </c>
      <c r="J186" s="210">
        <f ca="1">IF($B41=2,SUMPRODUCT($B12:OFFSET($B13,-1,0),J187:OFFSET(J188,-1,0)),SUMPRODUCT($B12:OFFSET($B13,-1,0),J187:OFFSET(J188,-1,0))+SUMPRODUCT($B12:OFFSET($B13,-1,0),J45:OFFSET(J46,-1,0))-J44)</f>
        <v>-11784993.858891314</v>
      </c>
      <c r="K186" s="210">
        <f ca="1">IF($B41=2,SUMPRODUCT($B12:OFFSET($B13,-1,0),K187:OFFSET(K188,-1,0)),SUMPRODUCT($B12:OFFSET($B13,-1,0),K187:OFFSET(K188,-1,0))+SUMPRODUCT($B12:OFFSET($B13,-1,0),K45:OFFSET(K46,-1,0))-K44)</f>
        <v>-11983545.212344076</v>
      </c>
      <c r="L186" s="210">
        <f ca="1">IF($B41=2,SUMPRODUCT($B12:OFFSET($B13,-1,0),L187:OFFSET(L188,-1,0)),SUMPRODUCT($B12:OFFSET($B13,-1,0),L187:OFFSET(L188,-1,0))+SUMPRODUCT($B12:OFFSET($B13,-1,0),L45:OFFSET(L46,-1,0))-L44)</f>
        <v>-10886997.664369989</v>
      </c>
      <c r="M186" s="210">
        <f ca="1">IF($B41=2,SUMPRODUCT($B12:OFFSET($B13,-1,0),M187:OFFSET(M188,-1,0)),SUMPRODUCT($B12:OFFSET($B13,-1,0),M187:OFFSET(M188,-1,0))+SUMPRODUCT($B12:OFFSET($B13,-1,0),M45:OFFSET(M46,-1,0))-M44)</f>
        <v>-8470828.373941239</v>
      </c>
      <c r="N186" s="210">
        <f ca="1">IF($B41=2,SUMPRODUCT($B12:OFFSET($B13,-1,0),N187:OFFSET(N188,-1,0)),SUMPRODUCT($B12:OFFSET($B13,-1,0),N187:OFFSET(N188,-1,0))+SUMPRODUCT($B12:OFFSET($B13,-1,0),N45:OFFSET(N46,-1,0))-N44)</f>
        <v>-4062522.344046142</v>
      </c>
      <c r="O186" s="210">
        <f ca="1">IF($B41=2,SUMPRODUCT($B12:OFFSET($B13,-1,0),O187:OFFSET(O188,-1,0)),SUMPRODUCT($B12:OFFSET($B13,-1,0),O187:OFFSET(O188,-1,0))+SUMPRODUCT($B12:OFFSET($B13,-1,0),O45:OFFSET(O46,-1,0))-O44)</f>
        <v>2963079.499703858</v>
      </c>
      <c r="P186" s="210">
        <f ca="1">IF($B41=2,SUMPRODUCT($B12:OFFSET($B13,-1,0),P187:OFFSET(P188,-1,0)),SUMPRODUCT($B12:OFFSET($B13,-1,0),P187:OFFSET(P188,-1,0))+SUMPRODUCT($B12:OFFSET($B13,-1,0),P45:OFFSET(P46,-1,0))-P44)</f>
        <v>11904953.712203858</v>
      </c>
      <c r="Q186" s="210">
        <f ca="1">IF($B41=2,SUMPRODUCT($B12:OFFSET($B13,-1,0),Q187:OFFSET(Q188,-1,0)),SUMPRODUCT($B12:OFFSET($B13,-1,0),Q187:OFFSET(Q188,-1,0))+SUMPRODUCT($B12:OFFSET($B13,-1,0),Q45:OFFSET(Q46,-1,0))-Q44)</f>
        <v>22124342.83720386</v>
      </c>
      <c r="S186" s="203"/>
    </row>
    <row r="187" spans="1:19" s="11" customFormat="1" hidden="1" outlineLevel="2" x14ac:dyDescent="0.2">
      <c r="A187" s="11" t="str">
        <f>"        " &amp; A12</f>
        <v xml:space="preserve">        Наименование проекта</v>
      </c>
      <c r="C187" s="199" t="str">
        <f t="shared" ca="1" si="16"/>
        <v>руб.</v>
      </c>
      <c r="D187" s="11" t="str">
        <f>"[" &amp; F12 &amp; "];int_end"</f>
        <v>[Проект];int_end</v>
      </c>
      <c r="E187" s="54"/>
      <c r="F187" s="54">
        <f ca="1">IF(F$33&lt;$B28,0,IF(F$33&gt;$C28,IF(LIFE_PRJ=1,E187,0),OFFSET(Проект!F$1393,0,1-$B28)))</f>
        <v>-3007443.6844783714</v>
      </c>
      <c r="G187" s="54">
        <f ca="1">IF(G$33&lt;$B28,0,IF(G$33&gt;$C28,IF(LIFE_PRJ=1,F187,0),OFFSET(Проект!G$1393,0,1-$B28)))</f>
        <v>-5657396.6380372802</v>
      </c>
      <c r="H187" s="54">
        <f ca="1">IF(H$33&lt;$B28,0,IF(H$33&gt;$C28,IF(LIFE_PRJ=1,G187,0),OFFSET(Проект!H$1393,0,1-$B28)))</f>
        <v>-8223128.6673366763</v>
      </c>
      <c r="I187" s="54">
        <f ca="1">IF(I$33&lt;$B28,0,IF(I$33&gt;$C28,IF(LIFE_PRJ=1,H187,0),OFFSET(Проект!I$1393,0,1-$B28)))</f>
        <v>-10311923.004987741</v>
      </c>
      <c r="J187" s="54">
        <f ca="1">IF(J$33&lt;$B28,0,IF(J$33&gt;$C28,IF(LIFE_PRJ=1,I187,0),OFFSET(Проект!J$1393,0,1-$B28)))</f>
        <v>-11784993.858891314</v>
      </c>
      <c r="K187" s="54">
        <f ca="1">IF(K$33&lt;$B28,0,IF(K$33&gt;$C28,IF(LIFE_PRJ=1,J187,0),OFFSET(Проект!K$1393,0,1-$B28)))</f>
        <v>-11983545.212344076</v>
      </c>
      <c r="L187" s="54">
        <f ca="1">IF(L$33&lt;$B28,0,IF(L$33&gt;$C28,IF(LIFE_PRJ=1,K187,0),OFFSET(Проект!L$1393,0,1-$B28)))</f>
        <v>-10886997.664369989</v>
      </c>
      <c r="M187" s="54">
        <f ca="1">IF(M$33&lt;$B28,0,IF(M$33&gt;$C28,IF(LIFE_PRJ=1,L187,0),OFFSET(Проект!M$1393,0,1-$B28)))</f>
        <v>-8470828.373941239</v>
      </c>
      <c r="N187" s="54">
        <f ca="1">IF(N$33&lt;$B28,0,IF(N$33&gt;$C28,IF(LIFE_PRJ=1,M187,0),OFFSET(Проект!N$1393,0,1-$B28)))</f>
        <v>-4062522.344046142</v>
      </c>
      <c r="O187" s="54">
        <f ca="1">IF(O$33&lt;$B28,0,IF(O$33&gt;$C28,IF(LIFE_PRJ=1,N187,0),OFFSET(Проект!O$1393,0,1-$B28)))</f>
        <v>2963079.499703858</v>
      </c>
      <c r="P187" s="54">
        <f ca="1">IF(P$33&lt;$B28,0,IF(P$33&gt;$C28,IF(LIFE_PRJ=1,O187,0),OFFSET(Проект!P$1393,0,1-$B28)))</f>
        <v>11904953.712203858</v>
      </c>
      <c r="Q187" s="54">
        <f ca="1">IF(Q$33&lt;$B28,0,IF(Q$33&gt;$C28,IF(LIFE_PRJ=1,P187,0),OFFSET(Проект!Q$1393,0,1-$B28)))</f>
        <v>22124342.83720386</v>
      </c>
      <c r="S187" s="54"/>
    </row>
    <row r="188" spans="1:19" outlineLevel="1" x14ac:dyDescent="0.2">
      <c r="A188" s="63"/>
      <c r="B188" s="63"/>
      <c r="C188" s="63"/>
      <c r="D188" s="63"/>
      <c r="E188" s="63"/>
      <c r="F188" s="63"/>
      <c r="G188" s="63"/>
      <c r="H188" s="63"/>
      <c r="I188" s="63"/>
      <c r="J188" s="63"/>
      <c r="K188" s="63"/>
      <c r="L188" s="63"/>
      <c r="M188" s="63"/>
      <c r="N188" s="63"/>
      <c r="O188" s="63"/>
      <c r="P188" s="63"/>
      <c r="Q188" s="63"/>
      <c r="R188" s="63"/>
      <c r="S188" s="204"/>
    </row>
    <row r="189" spans="1:19" outlineLevel="1" collapsed="1" x14ac:dyDescent="0.2">
      <c r="A189" s="22" t="str">
        <f ca="1">Language!A$964 &amp; ", " &amp; CUR_Report</f>
        <v>График: Суммарная выручка проектов, руб.</v>
      </c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206"/>
    </row>
    <row r="190" spans="1:19" hidden="1" outlineLevel="2" x14ac:dyDescent="0.2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206"/>
    </row>
    <row r="191" spans="1:19" hidden="1" outlineLevel="2" x14ac:dyDescent="0.2"/>
    <row r="192" spans="1:19" hidden="1" outlineLevel="2" x14ac:dyDescent="0.2"/>
    <row r="193" hidden="1" outlineLevel="2" x14ac:dyDescent="0.2"/>
    <row r="194" hidden="1" outlineLevel="2" x14ac:dyDescent="0.2"/>
    <row r="195" hidden="1" outlineLevel="2" x14ac:dyDescent="0.2"/>
    <row r="196" hidden="1" outlineLevel="2" x14ac:dyDescent="0.2"/>
    <row r="197" hidden="1" outlineLevel="2" x14ac:dyDescent="0.2"/>
    <row r="198" hidden="1" outlineLevel="2" x14ac:dyDescent="0.2"/>
    <row r="199" hidden="1" outlineLevel="2" x14ac:dyDescent="0.2"/>
    <row r="200" hidden="1" outlineLevel="2" x14ac:dyDescent="0.2"/>
    <row r="201" hidden="1" outlineLevel="2" x14ac:dyDescent="0.2"/>
    <row r="202" hidden="1" outlineLevel="2" x14ac:dyDescent="0.2"/>
    <row r="203" hidden="1" outlineLevel="2" x14ac:dyDescent="0.2"/>
    <row r="204" hidden="1" outlineLevel="2" x14ac:dyDescent="0.2"/>
    <row r="205" hidden="1" outlineLevel="2" x14ac:dyDescent="0.2"/>
    <row r="206" hidden="1" outlineLevel="2" x14ac:dyDescent="0.2"/>
    <row r="207" hidden="1" outlineLevel="2" x14ac:dyDescent="0.2"/>
    <row r="208" hidden="1" outlineLevel="2" x14ac:dyDescent="0.2"/>
    <row r="209" spans="1:1" hidden="1" outlineLevel="2" x14ac:dyDescent="0.2"/>
    <row r="210" spans="1:1" hidden="1" outlineLevel="2" x14ac:dyDescent="0.2"/>
    <row r="211" spans="1:1" hidden="1" outlineLevel="2" x14ac:dyDescent="0.2"/>
    <row r="212" spans="1:1" hidden="1" outlineLevel="2" x14ac:dyDescent="0.2"/>
    <row r="213" spans="1:1" outlineLevel="1" x14ac:dyDescent="0.2"/>
    <row r="214" spans="1:1" outlineLevel="1" collapsed="1" x14ac:dyDescent="0.2">
      <c r="A214" s="22" t="str">
        <f ca="1">Language!A965 &amp; ", " &amp; CUR_Report</f>
        <v>График: Прибыль проектов, руб.</v>
      </c>
    </row>
    <row r="215" spans="1:1" hidden="1" outlineLevel="2" x14ac:dyDescent="0.2"/>
    <row r="216" spans="1:1" hidden="1" outlineLevel="2" x14ac:dyDescent="0.2"/>
    <row r="217" spans="1:1" hidden="1" outlineLevel="2" x14ac:dyDescent="0.2"/>
    <row r="218" spans="1:1" hidden="1" outlineLevel="2" x14ac:dyDescent="0.2"/>
    <row r="219" spans="1:1" hidden="1" outlineLevel="2" x14ac:dyDescent="0.2"/>
    <row r="220" spans="1:1" hidden="1" outlineLevel="2" x14ac:dyDescent="0.2"/>
    <row r="221" spans="1:1" hidden="1" outlineLevel="2" x14ac:dyDescent="0.2"/>
    <row r="222" spans="1:1" hidden="1" outlineLevel="2" x14ac:dyDescent="0.2"/>
    <row r="223" spans="1:1" hidden="1" outlineLevel="2" x14ac:dyDescent="0.2"/>
    <row r="224" spans="1:1" hidden="1" outlineLevel="2" x14ac:dyDescent="0.2"/>
    <row r="225" spans="1:1" hidden="1" outlineLevel="2" x14ac:dyDescent="0.2"/>
    <row r="226" spans="1:1" hidden="1" outlineLevel="2" x14ac:dyDescent="0.2"/>
    <row r="227" spans="1:1" hidden="1" outlineLevel="2" x14ac:dyDescent="0.2"/>
    <row r="228" spans="1:1" hidden="1" outlineLevel="2" x14ac:dyDescent="0.2"/>
    <row r="229" spans="1:1" hidden="1" outlineLevel="2" x14ac:dyDescent="0.2"/>
    <row r="230" spans="1:1" hidden="1" outlineLevel="2" x14ac:dyDescent="0.2"/>
    <row r="231" spans="1:1" hidden="1" outlineLevel="2" x14ac:dyDescent="0.2"/>
    <row r="232" spans="1:1" hidden="1" outlineLevel="2" x14ac:dyDescent="0.2"/>
    <row r="233" spans="1:1" hidden="1" outlineLevel="2" x14ac:dyDescent="0.2"/>
    <row r="234" spans="1:1" hidden="1" outlineLevel="2" x14ac:dyDescent="0.2"/>
    <row r="235" spans="1:1" hidden="1" outlineLevel="2" x14ac:dyDescent="0.2"/>
    <row r="236" spans="1:1" hidden="1" outlineLevel="2" x14ac:dyDescent="0.2"/>
    <row r="237" spans="1:1" hidden="1" outlineLevel="2" x14ac:dyDescent="0.2"/>
    <row r="238" spans="1:1" outlineLevel="1" x14ac:dyDescent="0.2"/>
    <row r="239" spans="1:1" outlineLevel="1" collapsed="1" x14ac:dyDescent="0.2">
      <c r="A239" s="295" t="str">
        <f ca="1">Language!A$1009 &amp; ", " &amp; CUR_Report</f>
        <v>График: EBITDA, руб.</v>
      </c>
    </row>
    <row r="240" spans="1:1" hidden="1" outlineLevel="2" x14ac:dyDescent="0.2"/>
    <row r="241" hidden="1" outlineLevel="2" x14ac:dyDescent="0.2"/>
    <row r="242" hidden="1" outlineLevel="2" x14ac:dyDescent="0.2"/>
    <row r="243" hidden="1" outlineLevel="2" x14ac:dyDescent="0.2"/>
    <row r="244" hidden="1" outlineLevel="2" x14ac:dyDescent="0.2"/>
    <row r="245" hidden="1" outlineLevel="2" x14ac:dyDescent="0.2"/>
    <row r="246" hidden="1" outlineLevel="2" x14ac:dyDescent="0.2"/>
    <row r="247" hidden="1" outlineLevel="2" x14ac:dyDescent="0.2"/>
    <row r="248" hidden="1" outlineLevel="2" x14ac:dyDescent="0.2"/>
    <row r="249" hidden="1" outlineLevel="2" x14ac:dyDescent="0.2"/>
    <row r="250" hidden="1" outlineLevel="2" x14ac:dyDescent="0.2"/>
    <row r="251" hidden="1" outlineLevel="2" x14ac:dyDescent="0.2"/>
    <row r="252" hidden="1" outlineLevel="2" x14ac:dyDescent="0.2"/>
    <row r="253" hidden="1" outlineLevel="2" x14ac:dyDescent="0.2"/>
    <row r="254" hidden="1" outlineLevel="2" x14ac:dyDescent="0.2"/>
    <row r="255" hidden="1" outlineLevel="2" x14ac:dyDescent="0.2"/>
    <row r="256" hidden="1" outlineLevel="2" x14ac:dyDescent="0.2"/>
    <row r="257" spans="1:19" hidden="1" outlineLevel="2" x14ac:dyDescent="0.2"/>
    <row r="258" spans="1:19" hidden="1" outlineLevel="2" x14ac:dyDescent="0.2"/>
    <row r="259" spans="1:19" hidden="1" outlineLevel="2" x14ac:dyDescent="0.2"/>
    <row r="260" spans="1:19" hidden="1" outlineLevel="2" x14ac:dyDescent="0.2"/>
    <row r="261" spans="1:19" hidden="1" outlineLevel="2" x14ac:dyDescent="0.2"/>
    <row r="262" spans="1:19" hidden="1" outlineLevel="2" x14ac:dyDescent="0.2"/>
    <row r="263" spans="1:19" outlineLevel="1" x14ac:dyDescent="0.2"/>
    <row r="264" spans="1:19" outlineLevel="1" x14ac:dyDescent="0.2"/>
    <row r="265" spans="1:19" s="4" customFormat="1" ht="16" customHeight="1" thickBot="1" x14ac:dyDescent="0.25">
      <c r="A265" s="166" t="str">
        <f ca="1">Language!A970</f>
        <v xml:space="preserve">         СВОДНЫЙ ОТЧЕТ О ДВИЖЕНИИ ДЕНЕЖНЫХ СРЕДСТВ</v>
      </c>
      <c r="B265" s="166"/>
      <c r="C265" s="166"/>
      <c r="D265" s="166"/>
      <c r="E265" s="166"/>
      <c r="F265" s="178" t="str">
        <f>IF(Проект!ShowRealDates,F36,F34)</f>
        <v>4/ 2020</v>
      </c>
      <c r="G265" s="178" t="str">
        <f>IF(Проект!ShowRealDates,G36,G34)</f>
        <v>5/ 2020</v>
      </c>
      <c r="H265" s="178" t="str">
        <f>IF(Проект!ShowRealDates,H36,H34)</f>
        <v>6/ 2020</v>
      </c>
      <c r="I265" s="178" t="str">
        <f>IF(Проект!ShowRealDates,I36,I34)</f>
        <v>7/ 2020</v>
      </c>
      <c r="J265" s="178" t="str">
        <f>IF(Проект!ShowRealDates,J36,J34)</f>
        <v>8/ 2020</v>
      </c>
      <c r="K265" s="178" t="str">
        <f>IF(Проект!ShowRealDates,K36,K34)</f>
        <v>9/ 2020</v>
      </c>
      <c r="L265" s="178" t="str">
        <f>IF(Проект!ShowRealDates,L36,L34)</f>
        <v>10/ 2020</v>
      </c>
      <c r="M265" s="178" t="str">
        <f>IF(Проект!ShowRealDates,M36,M34)</f>
        <v>11/ 2020</v>
      </c>
      <c r="N265" s="178" t="str">
        <f>IF(Проект!ShowRealDates,N36,N34)</f>
        <v>12/ 2020</v>
      </c>
      <c r="O265" s="178" t="str">
        <f>IF(Проект!ShowRealDates,O36,O34)</f>
        <v>1/ 2021</v>
      </c>
      <c r="P265" s="178" t="str">
        <f>IF(Проект!ShowRealDates,P36,P34)</f>
        <v>2/ 2021</v>
      </c>
      <c r="Q265" s="178" t="str">
        <f>IF(Проект!ShowRealDates,Q36,Q34)</f>
        <v>3/ 2021</v>
      </c>
      <c r="R265" s="167"/>
      <c r="S265" s="195" t="str">
        <f ca="1">Language!A$371</f>
        <v>ИТОГО</v>
      </c>
    </row>
    <row r="266" spans="1:19" ht="10.5" outlineLevel="1" thickTop="1" x14ac:dyDescent="0.2"/>
    <row r="267" spans="1:19" outlineLevel="1" collapsed="1" x14ac:dyDescent="0.2">
      <c r="A267" t="str">
        <f ca="1">Language!A$742</f>
        <v>Поступления от продаж</v>
      </c>
      <c r="C267" s="5" t="str">
        <f t="shared" ref="C267:C284" ca="1" si="31">CUR_Report</f>
        <v>руб.</v>
      </c>
      <c r="D267" s="205" t="s">
        <v>2210</v>
      </c>
      <c r="F267" s="43">
        <f ca="1">SUMPRODUCT($B12:OFFSET($B13,-1,0),F268:OFFSET(F269,-1,0))</f>
        <v>0</v>
      </c>
      <c r="G267" s="43">
        <f ca="1">SUMPRODUCT($B12:OFFSET($B13,-1,0),G268:OFFSET(G269,-1,0))</f>
        <v>0</v>
      </c>
      <c r="H267" s="43">
        <f ca="1">SUMPRODUCT($B12:OFFSET($B13,-1,0),H268:OFFSET(H269,-1,0))</f>
        <v>135920</v>
      </c>
      <c r="I267" s="43">
        <f ca="1">SUMPRODUCT($B12:OFFSET($B13,-1,0),I268:OFFSET(I269,-1,0))</f>
        <v>679600</v>
      </c>
      <c r="J267" s="43">
        <f ca="1">SUMPRODUCT($B12:OFFSET($B13,-1,0),J268:OFFSET(J269,-1,0))</f>
        <v>1359200</v>
      </c>
      <c r="K267" s="43">
        <f ca="1">SUMPRODUCT($B12:OFFSET($B13,-1,0),K268:OFFSET(K269,-1,0))</f>
        <v>2718400</v>
      </c>
      <c r="L267" s="43">
        <f ca="1">SUMPRODUCT($B12:OFFSET($B13,-1,0),L268:OFFSET(L269,-1,0))</f>
        <v>4077600</v>
      </c>
      <c r="M267" s="43">
        <f ca="1">SUMPRODUCT($B12:OFFSET($B13,-1,0),M268:OFFSET(M269,-1,0))</f>
        <v>5436800</v>
      </c>
      <c r="N267" s="43">
        <f ca="1">SUMPRODUCT($B12:OFFSET($B13,-1,0),N268:OFFSET(N269,-1,0))</f>
        <v>7475600</v>
      </c>
      <c r="O267" s="43">
        <f ca="1">SUMPRODUCT($B12:OFFSET($B13,-1,0),O268:OFFSET(O269,-1,0))</f>
        <v>10194000</v>
      </c>
      <c r="P267" s="43">
        <f ca="1">SUMPRODUCT($B12:OFFSET($B13,-1,0),P268:OFFSET(P269,-1,0))</f>
        <v>12232800</v>
      </c>
      <c r="Q267" s="43">
        <f ca="1">SUMPRODUCT($B12:OFFSET($B13,-1,0),Q268:OFFSET(Q269,-1,0))</f>
        <v>13592000</v>
      </c>
      <c r="S267" s="54">
        <f t="shared" ref="S267:S284" ca="1" si="32">SUM(F267:Q267)</f>
        <v>57901920</v>
      </c>
    </row>
    <row r="268" spans="1:19" s="181" customFormat="1" hidden="1" outlineLevel="2" x14ac:dyDescent="0.2">
      <c r="A268" s="11" t="str">
        <f>"        " &amp; A12</f>
        <v xml:space="preserve">        Наименование проекта</v>
      </c>
      <c r="B268" s="11"/>
      <c r="C268" s="36" t="str">
        <f t="shared" ca="1" si="31"/>
        <v>руб.</v>
      </c>
      <c r="D268" s="11" t="str">
        <f>"[" &amp; F12 &amp; "];int_sum"</f>
        <v>[Проект];int_sum</v>
      </c>
      <c r="E268" s="11"/>
      <c r="F268" s="54">
        <f ca="1">IF(OR(F$33&lt;$B28,F$33&gt;$C28),0,OFFSET(Проект!F$1423,0,1-$B28))</f>
        <v>0</v>
      </c>
      <c r="G268" s="54">
        <f ca="1">IF(OR(G$33&lt;$B28,G$33&gt;$C28),0,OFFSET(Проект!G$1423,0,1-$B28))</f>
        <v>0</v>
      </c>
      <c r="H268" s="54">
        <f ca="1">IF(OR(H$33&lt;$B28,H$33&gt;$C28),0,OFFSET(Проект!H$1423,0,1-$B28))</f>
        <v>135920</v>
      </c>
      <c r="I268" s="54">
        <f ca="1">IF(OR(I$33&lt;$B28,I$33&gt;$C28),0,OFFSET(Проект!I$1423,0,1-$B28))</f>
        <v>679600</v>
      </c>
      <c r="J268" s="54">
        <f ca="1">IF(OR(J$33&lt;$B28,J$33&gt;$C28),0,OFFSET(Проект!J$1423,0,1-$B28))</f>
        <v>1359200</v>
      </c>
      <c r="K268" s="54">
        <f ca="1">IF(OR(K$33&lt;$B28,K$33&gt;$C28),0,OFFSET(Проект!K$1423,0,1-$B28))</f>
        <v>2718400</v>
      </c>
      <c r="L268" s="54">
        <f ca="1">IF(OR(L$33&lt;$B28,L$33&gt;$C28),0,OFFSET(Проект!L$1423,0,1-$B28))</f>
        <v>4077600</v>
      </c>
      <c r="M268" s="54">
        <f ca="1">IF(OR(M$33&lt;$B28,M$33&gt;$C28),0,OFFSET(Проект!M$1423,0,1-$B28))</f>
        <v>5436800</v>
      </c>
      <c r="N268" s="54">
        <f ca="1">IF(OR(N$33&lt;$B28,N$33&gt;$C28),0,OFFSET(Проект!N$1423,0,1-$B28))</f>
        <v>7475600</v>
      </c>
      <c r="O268" s="54">
        <f ca="1">IF(OR(O$33&lt;$B28,O$33&gt;$C28),0,OFFSET(Проект!O$1423,0,1-$B28))</f>
        <v>10194000</v>
      </c>
      <c r="P268" s="54">
        <f ca="1">IF(OR(P$33&lt;$B28,P$33&gt;$C28),0,OFFSET(Проект!P$1423,0,1-$B28))</f>
        <v>12232800</v>
      </c>
      <c r="Q268" s="54">
        <f ca="1">IF(OR(Q$33&lt;$B28,Q$33&gt;$C28),0,OFFSET(Проект!Q$1423,0,1-$B28))</f>
        <v>13592000</v>
      </c>
      <c r="S268" s="54">
        <f t="shared" ca="1" si="32"/>
        <v>57901920</v>
      </c>
    </row>
    <row r="269" spans="1:19" outlineLevel="1" collapsed="1" x14ac:dyDescent="0.2">
      <c r="A269" t="str">
        <f ca="1">Language!A$743</f>
        <v>Затраты на материалы и комплектующие</v>
      </c>
      <c r="C269" s="5" t="str">
        <f t="shared" ca="1" si="31"/>
        <v>руб.</v>
      </c>
      <c r="D269" s="205" t="s">
        <v>2210</v>
      </c>
      <c r="F269" s="43">
        <f ca="1">SUMPRODUCT($B12:OFFSET($B13,-1,0),F270:OFFSET(F271,-1,0))</f>
        <v>0</v>
      </c>
      <c r="G269" s="43">
        <f ca="1">SUMPRODUCT($B12:OFFSET($B13,-1,0),G270:OFFSET(G271,-1,0))</f>
        <v>0</v>
      </c>
      <c r="H269" s="43">
        <f ca="1">SUMPRODUCT($B12:OFFSET($B13,-1,0),H270:OFFSET(H271,-1,0))</f>
        <v>-13.30875</v>
      </c>
      <c r="I269" s="43">
        <f ca="1">SUMPRODUCT($B12:OFFSET($B13,-1,0),I270:OFFSET(I271,-1,0))</f>
        <v>-66.543750000000003</v>
      </c>
      <c r="J269" s="43">
        <f ca="1">SUMPRODUCT($B12:OFFSET($B13,-1,0),J270:OFFSET(J271,-1,0))</f>
        <v>-133.08750000000001</v>
      </c>
      <c r="K269" s="43">
        <f ca="1">SUMPRODUCT($B12:OFFSET($B13,-1,0),K270:OFFSET(K271,-1,0))</f>
        <v>-266.17500000000001</v>
      </c>
      <c r="L269" s="43">
        <f ca="1">SUMPRODUCT($B12:OFFSET($B13,-1,0),L270:OFFSET(L271,-1,0))</f>
        <v>-399.26249999999999</v>
      </c>
      <c r="M269" s="43">
        <f ca="1">SUMPRODUCT($B12:OFFSET($B13,-1,0),M270:OFFSET(M271,-1,0))</f>
        <v>-532.35</v>
      </c>
      <c r="N269" s="43">
        <f ca="1">SUMPRODUCT($B12:OFFSET($B13,-1,0),N270:OFFSET(N271,-1,0))</f>
        <v>-731.98125000000005</v>
      </c>
      <c r="O269" s="43">
        <f ca="1">SUMPRODUCT($B12:OFFSET($B13,-1,0),O270:OFFSET(O271,-1,0))</f>
        <v>-998.15625</v>
      </c>
      <c r="P269" s="43">
        <f ca="1">SUMPRODUCT($B12:OFFSET($B13,-1,0),P270:OFFSET(P271,-1,0))</f>
        <v>-1197.7875000000001</v>
      </c>
      <c r="Q269" s="43">
        <f ca="1">SUMPRODUCT($B12:OFFSET($B13,-1,0),Q270:OFFSET(Q271,-1,0))</f>
        <v>-1330.8750000000002</v>
      </c>
      <c r="S269" s="54">
        <f t="shared" ca="1" si="32"/>
        <v>-5669.5275000000001</v>
      </c>
    </row>
    <row r="270" spans="1:19" s="181" customFormat="1" hidden="1" outlineLevel="2" x14ac:dyDescent="0.2">
      <c r="A270" s="181" t="str">
        <f>"        " &amp; A12</f>
        <v xml:space="preserve">        Наименование проекта</v>
      </c>
      <c r="C270" s="209" t="str">
        <f t="shared" ca="1" si="31"/>
        <v>руб.</v>
      </c>
      <c r="D270" s="181" t="str">
        <f>"[" &amp; F12 &amp; "];int_sum"</f>
        <v>[Проект];int_sum</v>
      </c>
      <c r="F270" s="54">
        <f ca="1">IF(OR(F$33&lt;$B28,F$33&gt;$C28),0,OFFSET(Проект!F$1424,0,1-$B28))</f>
        <v>0</v>
      </c>
      <c r="G270" s="54">
        <f ca="1">IF(OR(G$33&lt;$B28,G$33&gt;$C28),0,OFFSET(Проект!G$1424,0,1-$B28))</f>
        <v>0</v>
      </c>
      <c r="H270" s="54">
        <f ca="1">IF(OR(H$33&lt;$B28,H$33&gt;$C28),0,OFFSET(Проект!H$1424,0,1-$B28))</f>
        <v>-13.30875</v>
      </c>
      <c r="I270" s="54">
        <f ca="1">IF(OR(I$33&lt;$B28,I$33&gt;$C28),0,OFFSET(Проект!I$1424,0,1-$B28))</f>
        <v>-66.543750000000003</v>
      </c>
      <c r="J270" s="54">
        <f ca="1">IF(OR(J$33&lt;$B28,J$33&gt;$C28),0,OFFSET(Проект!J$1424,0,1-$B28))</f>
        <v>-133.08750000000001</v>
      </c>
      <c r="K270" s="54">
        <f ca="1">IF(OR(K$33&lt;$B28,K$33&gt;$C28),0,OFFSET(Проект!K$1424,0,1-$B28))</f>
        <v>-266.17500000000001</v>
      </c>
      <c r="L270" s="54">
        <f ca="1">IF(OR(L$33&lt;$B28,L$33&gt;$C28),0,OFFSET(Проект!L$1424,0,1-$B28))</f>
        <v>-399.26249999999999</v>
      </c>
      <c r="M270" s="54">
        <f ca="1">IF(OR(M$33&lt;$B28,M$33&gt;$C28),0,OFFSET(Проект!M$1424,0,1-$B28))</f>
        <v>-532.35</v>
      </c>
      <c r="N270" s="54">
        <f ca="1">IF(OR(N$33&lt;$B28,N$33&gt;$C28),0,OFFSET(Проект!N$1424,0,1-$B28))</f>
        <v>-731.98125000000005</v>
      </c>
      <c r="O270" s="54">
        <f ca="1">IF(OR(O$33&lt;$B28,O$33&gt;$C28),0,OFFSET(Проект!O$1424,0,1-$B28))</f>
        <v>-998.15625</v>
      </c>
      <c r="P270" s="54">
        <f ca="1">IF(OR(P$33&lt;$B28,P$33&gt;$C28),0,OFFSET(Проект!P$1424,0,1-$B28))</f>
        <v>-1197.7875000000001</v>
      </c>
      <c r="Q270" s="54">
        <f ca="1">IF(OR(Q$33&lt;$B28,Q$33&gt;$C28),0,OFFSET(Проект!Q$1424,0,1-$B28))</f>
        <v>-1330.8750000000002</v>
      </c>
      <c r="S270" s="54">
        <f t="shared" ca="1" si="32"/>
        <v>-5669.5275000000001</v>
      </c>
    </row>
    <row r="271" spans="1:19" outlineLevel="1" collapsed="1" x14ac:dyDescent="0.2">
      <c r="A271" t="str">
        <f ca="1">Language!A$599</f>
        <v>Прочие переменные затраты</v>
      </c>
      <c r="C271" s="5" t="str">
        <f t="shared" ca="1" si="31"/>
        <v>руб.</v>
      </c>
      <c r="D271" s="205" t="s">
        <v>2210</v>
      </c>
      <c r="F271" s="43">
        <f ca="1">SUMPRODUCT($B12:OFFSET($B13,-1,0),F272:OFFSET(F273,-1,0))</f>
        <v>0</v>
      </c>
      <c r="G271" s="43">
        <f ca="1">SUMPRODUCT($B12:OFFSET($B13,-1,0),G272:OFFSET(G273,-1,0))</f>
        <v>0</v>
      </c>
      <c r="H271" s="43">
        <f ca="1">SUMPRODUCT($B12:OFFSET($B13,-1,0),H272:OFFSET(H273,-1,0))</f>
        <v>0</v>
      </c>
      <c r="I271" s="43">
        <f ca="1">SUMPRODUCT($B12:OFFSET($B13,-1,0),I272:OFFSET(I273,-1,0))</f>
        <v>0</v>
      </c>
      <c r="J271" s="43">
        <f ca="1">SUMPRODUCT($B12:OFFSET($B13,-1,0),J272:OFFSET(J273,-1,0))</f>
        <v>0</v>
      </c>
      <c r="K271" s="43">
        <f ca="1">SUMPRODUCT($B12:OFFSET($B13,-1,0),K272:OFFSET(K273,-1,0))</f>
        <v>0</v>
      </c>
      <c r="L271" s="43">
        <f ca="1">SUMPRODUCT($B12:OFFSET($B13,-1,0),L272:OFFSET(L273,-1,0))</f>
        <v>0</v>
      </c>
      <c r="M271" s="43">
        <f ca="1">SUMPRODUCT($B12:OFFSET($B13,-1,0),M272:OFFSET(M273,-1,0))</f>
        <v>0</v>
      </c>
      <c r="N271" s="43">
        <f ca="1">SUMPRODUCT($B12:OFFSET($B13,-1,0),N272:OFFSET(N273,-1,0))</f>
        <v>0</v>
      </c>
      <c r="O271" s="43">
        <f ca="1">SUMPRODUCT($B12:OFFSET($B13,-1,0),O272:OFFSET(O273,-1,0))</f>
        <v>0</v>
      </c>
      <c r="P271" s="43">
        <f ca="1">SUMPRODUCT($B12:OFFSET($B13,-1,0),P272:OFFSET(P273,-1,0))</f>
        <v>0</v>
      </c>
      <c r="Q271" s="43">
        <f ca="1">SUMPRODUCT($B12:OFFSET($B13,-1,0),Q272:OFFSET(Q273,-1,0))</f>
        <v>0</v>
      </c>
      <c r="S271" s="54">
        <f t="shared" ca="1" si="32"/>
        <v>0</v>
      </c>
    </row>
    <row r="272" spans="1:19" s="181" customFormat="1" hidden="1" outlineLevel="2" x14ac:dyDescent="0.2">
      <c r="A272" s="181" t="str">
        <f>"        " &amp; A12</f>
        <v xml:space="preserve">        Наименование проекта</v>
      </c>
      <c r="C272" s="209" t="str">
        <f t="shared" ca="1" si="31"/>
        <v>руб.</v>
      </c>
      <c r="D272" s="181" t="str">
        <f>"[" &amp; F12 &amp; "];int_sum"</f>
        <v>[Проект];int_sum</v>
      </c>
      <c r="F272" s="54">
        <f ca="1">IF(OR(F$33&lt;$B28,F$33&gt;$C28),0,OFFSET(Проект!F$1425,0,1-$B28))</f>
        <v>0</v>
      </c>
      <c r="G272" s="54">
        <f ca="1">IF(OR(G$33&lt;$B28,G$33&gt;$C28),0,OFFSET(Проект!G$1425,0,1-$B28))</f>
        <v>0</v>
      </c>
      <c r="H272" s="54">
        <f ca="1">IF(OR(H$33&lt;$B28,H$33&gt;$C28),0,OFFSET(Проект!H$1425,0,1-$B28))</f>
        <v>0</v>
      </c>
      <c r="I272" s="54">
        <f ca="1">IF(OR(I$33&lt;$B28,I$33&gt;$C28),0,OFFSET(Проект!I$1425,0,1-$B28))</f>
        <v>0</v>
      </c>
      <c r="J272" s="54">
        <f ca="1">IF(OR(J$33&lt;$B28,J$33&gt;$C28),0,OFFSET(Проект!J$1425,0,1-$B28))</f>
        <v>0</v>
      </c>
      <c r="K272" s="54">
        <f ca="1">IF(OR(K$33&lt;$B28,K$33&gt;$C28),0,OFFSET(Проект!K$1425,0,1-$B28))</f>
        <v>0</v>
      </c>
      <c r="L272" s="54">
        <f ca="1">IF(OR(L$33&lt;$B28,L$33&gt;$C28),0,OFFSET(Проект!L$1425,0,1-$B28))</f>
        <v>0</v>
      </c>
      <c r="M272" s="54">
        <f ca="1">IF(OR(M$33&lt;$B28,M$33&gt;$C28),0,OFFSET(Проект!M$1425,0,1-$B28))</f>
        <v>0</v>
      </c>
      <c r="N272" s="54">
        <f ca="1">IF(OR(N$33&lt;$B28,N$33&gt;$C28),0,OFFSET(Проект!N$1425,0,1-$B28))</f>
        <v>0</v>
      </c>
      <c r="O272" s="54">
        <f ca="1">IF(OR(O$33&lt;$B28,O$33&gt;$C28),0,OFFSET(Проект!O$1425,0,1-$B28))</f>
        <v>0</v>
      </c>
      <c r="P272" s="54">
        <f ca="1">IF(OR(P$33&lt;$B28,P$33&gt;$C28),0,OFFSET(Проект!P$1425,0,1-$B28))</f>
        <v>0</v>
      </c>
      <c r="Q272" s="54">
        <f ca="1">IF(OR(Q$33&lt;$B28,Q$33&gt;$C28),0,OFFSET(Проект!Q$1425,0,1-$B28))</f>
        <v>0</v>
      </c>
      <c r="S272" s="54">
        <f t="shared" ca="1" si="32"/>
        <v>0</v>
      </c>
    </row>
    <row r="273" spans="1:24" outlineLevel="1" collapsed="1" x14ac:dyDescent="0.2">
      <c r="A273" t="str">
        <f ca="1">Language!A$744</f>
        <v>Зарплата</v>
      </c>
      <c r="C273" s="5" t="str">
        <f t="shared" ca="1" si="31"/>
        <v>руб.</v>
      </c>
      <c r="D273" s="205" t="s">
        <v>2210</v>
      </c>
      <c r="F273" s="43">
        <f ca="1">SUMPRODUCT($B12:OFFSET($B13,-1,0),F274:OFFSET(F275,-1,0))</f>
        <v>-944000</v>
      </c>
      <c r="G273" s="43">
        <f ca="1">SUMPRODUCT($B12:OFFSET($B13,-1,0),G274:OFFSET(G275,-1,0))</f>
        <v>-584000</v>
      </c>
      <c r="H273" s="43">
        <f ca="1">SUMPRODUCT($B12:OFFSET($B13,-1,0),H274:OFFSET(H275,-1,0))</f>
        <v>-584000</v>
      </c>
      <c r="I273" s="43">
        <f ca="1">SUMPRODUCT($B12:OFFSET($B13,-1,0),I274:OFFSET(I275,-1,0))</f>
        <v>-584000</v>
      </c>
      <c r="J273" s="43">
        <f ca="1">SUMPRODUCT($B12:OFFSET($B13,-1,0),J274:OFFSET(J275,-1,0))</f>
        <v>-584000</v>
      </c>
      <c r="K273" s="43">
        <f ca="1">SUMPRODUCT($B12:OFFSET($B13,-1,0),K274:OFFSET(K275,-1,0))</f>
        <v>-584000</v>
      </c>
      <c r="L273" s="43">
        <f ca="1">SUMPRODUCT($B12:OFFSET($B13,-1,0),L274:OFFSET(L275,-1,0))</f>
        <v>-584000</v>
      </c>
      <c r="M273" s="43">
        <f ca="1">SUMPRODUCT($B12:OFFSET($B13,-1,0),M274:OFFSET(M275,-1,0))</f>
        <v>-584000</v>
      </c>
      <c r="N273" s="43">
        <f ca="1">SUMPRODUCT($B12:OFFSET($B13,-1,0),N274:OFFSET(N275,-1,0))</f>
        <v>-584000</v>
      </c>
      <c r="O273" s="43">
        <f ca="1">SUMPRODUCT($B12:OFFSET($B13,-1,0),O274:OFFSET(O275,-1,0))</f>
        <v>-584000</v>
      </c>
      <c r="P273" s="43">
        <f ca="1">SUMPRODUCT($B12:OFFSET($B13,-1,0),P274:OFFSET(P275,-1,0))</f>
        <v>-584000</v>
      </c>
      <c r="Q273" s="43">
        <f ca="1">SUMPRODUCT($B12:OFFSET($B13,-1,0),Q274:OFFSET(Q275,-1,0))</f>
        <v>-584000</v>
      </c>
      <c r="S273" s="54">
        <f t="shared" ca="1" si="32"/>
        <v>-7368000</v>
      </c>
    </row>
    <row r="274" spans="1:24" s="181" customFormat="1" hidden="1" outlineLevel="2" x14ac:dyDescent="0.2">
      <c r="A274" s="181" t="str">
        <f>"        " &amp; A12</f>
        <v xml:space="preserve">        Наименование проекта</v>
      </c>
      <c r="C274" s="209" t="str">
        <f t="shared" ca="1" si="31"/>
        <v>руб.</v>
      </c>
      <c r="D274" s="181" t="str">
        <f>"[" &amp; F12 &amp; "];int_sum"</f>
        <v>[Проект];int_sum</v>
      </c>
      <c r="F274" s="54">
        <f ca="1">IF(OR(F$33&lt;$B28,F$33&gt;$C28),0,OFFSET(Проект!F$1426,0,1-$B28))</f>
        <v>-944000</v>
      </c>
      <c r="G274" s="54">
        <f ca="1">IF(OR(G$33&lt;$B28,G$33&gt;$C28),0,OFFSET(Проект!G$1426,0,1-$B28))</f>
        <v>-584000</v>
      </c>
      <c r="H274" s="54">
        <f ca="1">IF(OR(H$33&lt;$B28,H$33&gt;$C28),0,OFFSET(Проект!H$1426,0,1-$B28))</f>
        <v>-584000</v>
      </c>
      <c r="I274" s="54">
        <f ca="1">IF(OR(I$33&lt;$B28,I$33&gt;$C28),0,OFFSET(Проект!I$1426,0,1-$B28))</f>
        <v>-584000</v>
      </c>
      <c r="J274" s="54">
        <f ca="1">IF(OR(J$33&lt;$B28,J$33&gt;$C28),0,OFFSET(Проект!J$1426,0,1-$B28))</f>
        <v>-584000</v>
      </c>
      <c r="K274" s="54">
        <f ca="1">IF(OR(K$33&lt;$B28,K$33&gt;$C28),0,OFFSET(Проект!K$1426,0,1-$B28))</f>
        <v>-584000</v>
      </c>
      <c r="L274" s="54">
        <f ca="1">IF(OR(L$33&lt;$B28,L$33&gt;$C28),0,OFFSET(Проект!L$1426,0,1-$B28))</f>
        <v>-584000</v>
      </c>
      <c r="M274" s="54">
        <f ca="1">IF(OR(M$33&lt;$B28,M$33&gt;$C28),0,OFFSET(Проект!M$1426,0,1-$B28))</f>
        <v>-584000</v>
      </c>
      <c r="N274" s="54">
        <f ca="1">IF(OR(N$33&lt;$B28,N$33&gt;$C28),0,OFFSET(Проект!N$1426,0,1-$B28))</f>
        <v>-584000</v>
      </c>
      <c r="O274" s="54">
        <f ca="1">IF(OR(O$33&lt;$B28,O$33&gt;$C28),0,OFFSET(Проект!O$1426,0,1-$B28))</f>
        <v>-584000</v>
      </c>
      <c r="P274" s="54">
        <f ca="1">IF(OR(P$33&lt;$B28,P$33&gt;$C28),0,OFFSET(Проект!P$1426,0,1-$B28))</f>
        <v>-584000</v>
      </c>
      <c r="Q274" s="54">
        <f ca="1">IF(OR(Q$33&lt;$B28,Q$33&gt;$C28),0,OFFSET(Проект!Q$1426,0,1-$B28))</f>
        <v>-584000</v>
      </c>
      <c r="S274" s="54">
        <f t="shared" ca="1" si="32"/>
        <v>-7368000</v>
      </c>
    </row>
    <row r="275" spans="1:24" outlineLevel="1" collapsed="1" x14ac:dyDescent="0.2">
      <c r="A275" t="str">
        <f ca="1">Language!A$745</f>
        <v>Общие затраты</v>
      </c>
      <c r="C275" s="5" t="str">
        <f t="shared" ca="1" si="31"/>
        <v>руб.</v>
      </c>
      <c r="D275" s="205" t="s">
        <v>2210</v>
      </c>
      <c r="F275" s="43">
        <f ca="1">SUMPRODUCT($B12:OFFSET($B13,-1,0),F276:OFFSET(F277,-1,0))</f>
        <v>-1890000</v>
      </c>
      <c r="G275" s="43">
        <f ca="1">SUMPRODUCT($B12:OFFSET($B13,-1,0),G276:OFFSET(G277,-1,0))</f>
        <v>-1890000</v>
      </c>
      <c r="H275" s="43">
        <f ca="1">SUMPRODUCT($B12:OFFSET($B13,-1,0),H276:OFFSET(H277,-1,0))</f>
        <v>-1890000</v>
      </c>
      <c r="I275" s="43">
        <f ca="1">SUMPRODUCT($B12:OFFSET($B13,-1,0),I276:OFFSET(I277,-1,0))</f>
        <v>-1890000</v>
      </c>
      <c r="J275" s="43">
        <f ca="1">SUMPRODUCT($B12:OFFSET($B13,-1,0),J276:OFFSET(J277,-1,0))</f>
        <v>-1890000</v>
      </c>
      <c r="K275" s="43">
        <f ca="1">SUMPRODUCT($B12:OFFSET($B13,-1,0),K276:OFFSET(K277,-1,0))</f>
        <v>-1890000</v>
      </c>
      <c r="L275" s="43">
        <f ca="1">SUMPRODUCT($B12:OFFSET($B13,-1,0),L276:OFFSET(L277,-1,0))</f>
        <v>-1890000</v>
      </c>
      <c r="M275" s="43">
        <f ca="1">SUMPRODUCT($B12:OFFSET($B13,-1,0),M276:OFFSET(M277,-1,0))</f>
        <v>-1890000</v>
      </c>
      <c r="N275" s="43">
        <f ca="1">SUMPRODUCT($B12:OFFSET($B13,-1,0),N276:OFFSET(N277,-1,0))</f>
        <v>-1890000</v>
      </c>
      <c r="O275" s="43">
        <f ca="1">SUMPRODUCT($B12:OFFSET($B13,-1,0),O276:OFFSET(O277,-1,0))</f>
        <v>-1890000</v>
      </c>
      <c r="P275" s="43">
        <f ca="1">SUMPRODUCT($B12:OFFSET($B13,-1,0),P276:OFFSET(P277,-1,0))</f>
        <v>-1890000</v>
      </c>
      <c r="Q275" s="43">
        <f ca="1">SUMPRODUCT($B12:OFFSET($B13,-1,0),Q276:OFFSET(Q277,-1,0))</f>
        <v>-1890000</v>
      </c>
      <c r="S275" s="54">
        <f t="shared" ca="1" si="32"/>
        <v>-22680000</v>
      </c>
    </row>
    <row r="276" spans="1:24" s="181" customFormat="1" hidden="1" outlineLevel="2" x14ac:dyDescent="0.2">
      <c r="A276" s="181" t="str">
        <f>"        " &amp; A12</f>
        <v xml:space="preserve">        Наименование проекта</v>
      </c>
      <c r="C276" s="209" t="str">
        <f t="shared" ca="1" si="31"/>
        <v>руб.</v>
      </c>
      <c r="D276" s="181" t="str">
        <f>"[" &amp; F12 &amp; "];int_sum"</f>
        <v>[Проект];int_sum</v>
      </c>
      <c r="F276" s="54">
        <f ca="1">IF(OR(F$33&lt;$B28,F$33&gt;$C28),0,OFFSET(Проект!F$1427,0,1-$B28))</f>
        <v>-1890000</v>
      </c>
      <c r="G276" s="54">
        <f ca="1">IF(OR(G$33&lt;$B28,G$33&gt;$C28),0,OFFSET(Проект!G$1427,0,1-$B28))</f>
        <v>-1890000</v>
      </c>
      <c r="H276" s="54">
        <f ca="1">IF(OR(H$33&lt;$B28,H$33&gt;$C28),0,OFFSET(Проект!H$1427,0,1-$B28))</f>
        <v>-1890000</v>
      </c>
      <c r="I276" s="54">
        <f ca="1">IF(OR(I$33&lt;$B28,I$33&gt;$C28),0,OFFSET(Проект!I$1427,0,1-$B28))</f>
        <v>-1890000</v>
      </c>
      <c r="J276" s="54">
        <f ca="1">IF(OR(J$33&lt;$B28,J$33&gt;$C28),0,OFFSET(Проект!J$1427,0,1-$B28))</f>
        <v>-1890000</v>
      </c>
      <c r="K276" s="54">
        <f ca="1">IF(OR(K$33&lt;$B28,K$33&gt;$C28),0,OFFSET(Проект!K$1427,0,1-$B28))</f>
        <v>-1890000</v>
      </c>
      <c r="L276" s="54">
        <f ca="1">IF(OR(L$33&lt;$B28,L$33&gt;$C28),0,OFFSET(Проект!L$1427,0,1-$B28))</f>
        <v>-1890000</v>
      </c>
      <c r="M276" s="54">
        <f ca="1">IF(OR(M$33&lt;$B28,M$33&gt;$C28),0,OFFSET(Проект!M$1427,0,1-$B28))</f>
        <v>-1890000</v>
      </c>
      <c r="N276" s="54">
        <f ca="1">IF(OR(N$33&lt;$B28,N$33&gt;$C28),0,OFFSET(Проект!N$1427,0,1-$B28))</f>
        <v>-1890000</v>
      </c>
      <c r="O276" s="54">
        <f ca="1">IF(OR(O$33&lt;$B28,O$33&gt;$C28),0,OFFSET(Проект!O$1427,0,1-$B28))</f>
        <v>-1890000</v>
      </c>
      <c r="P276" s="54">
        <f ca="1">IF(OR(P$33&lt;$B28,P$33&gt;$C28),0,OFFSET(Проект!P$1427,0,1-$B28))</f>
        <v>-1890000</v>
      </c>
      <c r="Q276" s="54">
        <f ca="1">IF(OR(Q$33&lt;$B28,Q$33&gt;$C28),0,OFFSET(Проект!Q$1427,0,1-$B28))</f>
        <v>-1890000</v>
      </c>
      <c r="S276" s="54">
        <f t="shared" ca="1" si="32"/>
        <v>-22680000</v>
      </c>
    </row>
    <row r="277" spans="1:24" outlineLevel="1" collapsed="1" x14ac:dyDescent="0.2">
      <c r="A277" t="str">
        <f ca="1">Language!A$746</f>
        <v>Налоги</v>
      </c>
      <c r="C277" s="5" t="str">
        <f t="shared" ca="1" si="31"/>
        <v>руб.</v>
      </c>
      <c r="D277" s="205" t="s">
        <v>2210</v>
      </c>
      <c r="F277" s="84">
        <f ca="1">IF($B12=2,SUMPRODUCT($B12:OFFSET($B13,-1,0),F278:OFFSET(F279,-1,0)),SUMPRODUCT($B12:OFFSET($B13,-1,0),F278:OFFSET(F279,-1,0))+SUMPRODUCT($B12:OFFSET($B13,-1,0),F45:OFFSET(F46,-1,0))-F44)</f>
        <v>-132160</v>
      </c>
      <c r="G277" s="84">
        <f ca="1">IF($B12=2,SUMPRODUCT($B12:OFFSET($B13,-1,0),G278:OFFSET(G279,-1,0)),SUMPRODUCT($B12:OFFSET($B13,-1,0),G278:OFFSET(G279,-1,0))+SUMPRODUCT($B12:OFFSET($B13,-1,0),G45:OFFSET(G46,-1,0))-G44)</f>
        <v>-81760.000000000015</v>
      </c>
      <c r="H277" s="84">
        <f ca="1">IF($B12=2,SUMPRODUCT($B12:OFFSET($B13,-1,0),H278:OFFSET(H279,-1,0)),SUMPRODUCT($B12:OFFSET($B13,-1,0),H278:OFFSET(H279,-1,0))+SUMPRODUCT($B12:OFFSET($B13,-1,0),H45:OFFSET(H46,-1,0))-H44)</f>
        <v>-89915.200000000012</v>
      </c>
      <c r="I277" s="84">
        <f ca="1">IF($B12=2,SUMPRODUCT($B12:OFFSET($B13,-1,0),I278:OFFSET(I279,-1,0)),SUMPRODUCT($B12:OFFSET($B13,-1,0),I278:OFFSET(I279,-1,0))+SUMPRODUCT($B12:OFFSET($B13,-1,0),I45:OFFSET(I46,-1,0))-I44)</f>
        <v>-122536.00000000001</v>
      </c>
      <c r="J277" s="84">
        <f ca="1">IF($B12=2,SUMPRODUCT($B12:OFFSET($B13,-1,0),J278:OFFSET(J279,-1,0)),SUMPRODUCT($B12:OFFSET($B13,-1,0),J278:OFFSET(J279,-1,0))+SUMPRODUCT($B12:OFFSET($B13,-1,0),J45:OFFSET(J46,-1,0))-J44)</f>
        <v>-163312</v>
      </c>
      <c r="K277" s="84">
        <f ca="1">IF($B12=2,SUMPRODUCT($B12:OFFSET($B13,-1,0),K278:OFFSET(K279,-1,0)),SUMPRODUCT($B12:OFFSET($B13,-1,0),K278:OFFSET(K279,-1,0))+SUMPRODUCT($B12:OFFSET($B13,-1,0),K45:OFFSET(K46,-1,0))-K44)</f>
        <v>-244864</v>
      </c>
      <c r="L277" s="84">
        <f ca="1">IF($B12=2,SUMPRODUCT($B12:OFFSET($B13,-1,0),L278:OFFSET(L279,-1,0)),SUMPRODUCT($B12:OFFSET($B13,-1,0),L278:OFFSET(L279,-1,0))+SUMPRODUCT($B12:OFFSET($B13,-1,0),L45:OFFSET(L46,-1,0))-L44)</f>
        <v>-326416</v>
      </c>
      <c r="M277" s="84">
        <f ca="1">IF($B12=2,SUMPRODUCT($B12:OFFSET($B13,-1,0),M278:OFFSET(M279,-1,0)),SUMPRODUCT($B12:OFFSET($B13,-1,0),M278:OFFSET(M279,-1,0))+SUMPRODUCT($B12:OFFSET($B13,-1,0),M45:OFFSET(M46,-1,0))-M44)</f>
        <v>-407968</v>
      </c>
      <c r="N277" s="84">
        <f ca="1">IF($B12=2,SUMPRODUCT($B12:OFFSET($B13,-1,0),N278:OFFSET(N279,-1,0)),SUMPRODUCT($B12:OFFSET($B13,-1,0),N278:OFFSET(N279,-1,0))+SUMPRODUCT($B12:OFFSET($B13,-1,0),N45:OFFSET(N46,-1,0))-N44)</f>
        <v>-530296</v>
      </c>
      <c r="O277" s="84">
        <f ca="1">IF($B12=2,SUMPRODUCT($B12:OFFSET($B13,-1,0),O278:OFFSET(O279,-1,0)),SUMPRODUCT($B12:OFFSET($B13,-1,0),O278:OFFSET(O279,-1,0))+SUMPRODUCT($B12:OFFSET($B13,-1,0),O45:OFFSET(O46,-1,0))-O44)</f>
        <v>-693400</v>
      </c>
      <c r="P277" s="84">
        <f ca="1">IF($B12=2,SUMPRODUCT($B12:OFFSET($B13,-1,0),P278:OFFSET(P279,-1,0)),SUMPRODUCT($B12:OFFSET($B13,-1,0),P278:OFFSET(P279,-1,0))+SUMPRODUCT($B12:OFFSET($B13,-1,0),P45:OFFSET(P46,-1,0))-P44)</f>
        <v>-815728</v>
      </c>
      <c r="Q277" s="84">
        <f ca="1">IF($B12=2,SUMPRODUCT($B12:OFFSET($B13,-1,0),Q278:OFFSET(Q279,-1,0)),SUMPRODUCT($B12:OFFSET($B13,-1,0),Q278:OFFSET(Q279,-1,0))+SUMPRODUCT($B12:OFFSET($B13,-1,0),Q45:OFFSET(Q46,-1,0))-Q44)</f>
        <v>-897280</v>
      </c>
      <c r="S277" s="54">
        <f t="shared" ca="1" si="32"/>
        <v>-4505635.2</v>
      </c>
    </row>
    <row r="278" spans="1:24" s="181" customFormat="1" hidden="1" outlineLevel="2" x14ac:dyDescent="0.2">
      <c r="A278" s="181" t="str">
        <f>"        " &amp; A12</f>
        <v xml:space="preserve">        Наименование проекта</v>
      </c>
      <c r="C278" s="209" t="str">
        <f t="shared" ca="1" si="31"/>
        <v>руб.</v>
      </c>
      <c r="D278" s="181" t="str">
        <f>"[" &amp; F12 &amp; "];int_sum"</f>
        <v>[Проект];int_sum</v>
      </c>
      <c r="F278" s="54">
        <f ca="1">IF(OR(F$33&lt;$B28,F$33&gt;$C28),0,OFFSET(Проект!F$1428,0,1-$B28))</f>
        <v>-132160</v>
      </c>
      <c r="G278" s="54">
        <f ca="1">IF(OR(G$33&lt;$B28,G$33&gt;$C28),0,OFFSET(Проект!G$1428,0,1-$B28))</f>
        <v>-81760.000000000015</v>
      </c>
      <c r="H278" s="54">
        <f ca="1">IF(OR(H$33&lt;$B28,H$33&gt;$C28),0,OFFSET(Проект!H$1428,0,1-$B28))</f>
        <v>-89915.200000000012</v>
      </c>
      <c r="I278" s="54">
        <f ca="1">IF(OR(I$33&lt;$B28,I$33&gt;$C28),0,OFFSET(Проект!I$1428,0,1-$B28))</f>
        <v>-122536.00000000001</v>
      </c>
      <c r="J278" s="54">
        <f ca="1">IF(OR(J$33&lt;$B28,J$33&gt;$C28),0,OFFSET(Проект!J$1428,0,1-$B28))</f>
        <v>-163312</v>
      </c>
      <c r="K278" s="54">
        <f ca="1">IF(OR(K$33&lt;$B28,K$33&gt;$C28),0,OFFSET(Проект!K$1428,0,1-$B28))</f>
        <v>-244864</v>
      </c>
      <c r="L278" s="54">
        <f ca="1">IF(OR(L$33&lt;$B28,L$33&gt;$C28),0,OFFSET(Проект!L$1428,0,1-$B28))</f>
        <v>-326416</v>
      </c>
      <c r="M278" s="54">
        <f ca="1">IF(OR(M$33&lt;$B28,M$33&gt;$C28),0,OFFSET(Проект!M$1428,0,1-$B28))</f>
        <v>-407968</v>
      </c>
      <c r="N278" s="54">
        <f ca="1">IF(OR(N$33&lt;$B28,N$33&gt;$C28),0,OFFSET(Проект!N$1428,0,1-$B28))</f>
        <v>-530296</v>
      </c>
      <c r="O278" s="54">
        <f ca="1">IF(OR(O$33&lt;$B28,O$33&gt;$C28),0,OFFSET(Проект!O$1428,0,1-$B28))</f>
        <v>-693400</v>
      </c>
      <c r="P278" s="54">
        <f ca="1">IF(OR(P$33&lt;$B28,P$33&gt;$C28),0,OFFSET(Проект!P$1428,0,1-$B28))</f>
        <v>-815728</v>
      </c>
      <c r="Q278" s="54">
        <f ca="1">IF(OR(Q$33&lt;$B28,Q$33&gt;$C28),0,OFFSET(Проект!Q$1428,0,1-$B28))</f>
        <v>-897280</v>
      </c>
      <c r="S278" s="54">
        <f t="shared" ca="1" si="32"/>
        <v>-4505635.2</v>
      </c>
    </row>
    <row r="279" spans="1:24" outlineLevel="1" collapsed="1" x14ac:dyDescent="0.2">
      <c r="A279" t="str">
        <f ca="1">Language!A$747</f>
        <v>Выплата процентов по кредитам</v>
      </c>
      <c r="C279" s="5" t="str">
        <f t="shared" ca="1" si="31"/>
        <v>руб.</v>
      </c>
      <c r="D279" s="205" t="s">
        <v>2210</v>
      </c>
      <c r="F279" s="43">
        <f ca="1">SUMPRODUCT($B12:OFFSET($B13,-1,0),F280:OFFSET(F281,-1,0))</f>
        <v>0</v>
      </c>
      <c r="G279" s="43">
        <f ca="1">SUMPRODUCT($B12:OFFSET($B13,-1,0),G280:OFFSET(G281,-1,0))</f>
        <v>0</v>
      </c>
      <c r="H279" s="43">
        <f ca="1">SUMPRODUCT($B12:OFFSET($B13,-1,0),H280:OFFSET(H281,-1,0))</f>
        <v>0</v>
      </c>
      <c r="I279" s="43">
        <f ca="1">SUMPRODUCT($B12:OFFSET($B13,-1,0),I280:OFFSET(I281,-1,0))</f>
        <v>0</v>
      </c>
      <c r="J279" s="43">
        <f ca="1">SUMPRODUCT($B12:OFFSET($B13,-1,0),J280:OFFSET(J281,-1,0))</f>
        <v>0</v>
      </c>
      <c r="K279" s="43">
        <f ca="1">SUMPRODUCT($B12:OFFSET($B13,-1,0),K280:OFFSET(K281,-1,0))</f>
        <v>0</v>
      </c>
      <c r="L279" s="43">
        <f ca="1">SUMPRODUCT($B12:OFFSET($B13,-1,0),L280:OFFSET(L281,-1,0))</f>
        <v>-180237.18952591211</v>
      </c>
      <c r="M279" s="43">
        <f ca="1">SUMPRODUCT($B12:OFFSET($B13,-1,0),M280:OFFSET(M281,-1,0))</f>
        <v>-138130.35957124989</v>
      </c>
      <c r="N279" s="43">
        <f ca="1">SUMPRODUCT($B12:OFFSET($B13,-1,0),N280:OFFSET(N281,-1,0))</f>
        <v>-62265.988854903924</v>
      </c>
      <c r="O279" s="43">
        <f ca="1">SUMPRODUCT($B12:OFFSET($B13,-1,0),O280:OFFSET(O281,-1,0))</f>
        <v>0</v>
      </c>
      <c r="P279" s="43">
        <f ca="1">SUMPRODUCT($B12:OFFSET($B13,-1,0),P280:OFFSET(P281,-1,0))</f>
        <v>0</v>
      </c>
      <c r="Q279" s="43">
        <f ca="1">SUMPRODUCT($B12:OFFSET($B13,-1,0),Q280:OFFSET(Q281,-1,0))</f>
        <v>0</v>
      </c>
      <c r="S279" s="54">
        <f t="shared" ca="1" si="32"/>
        <v>-380633.53795206588</v>
      </c>
    </row>
    <row r="280" spans="1:24" s="181" customFormat="1" hidden="1" outlineLevel="2" x14ac:dyDescent="0.2">
      <c r="A280" s="181" t="str">
        <f>"        " &amp; A12</f>
        <v xml:space="preserve">        Наименование проекта</v>
      </c>
      <c r="C280" s="209" t="str">
        <f t="shared" ca="1" si="31"/>
        <v>руб.</v>
      </c>
      <c r="D280" s="181" t="str">
        <f>"[" &amp; F12 &amp; "];int_sum"</f>
        <v>[Проект];int_sum</v>
      </c>
      <c r="F280" s="54">
        <f ca="1">IF(OR(F$33&lt;$B28,F$33&gt;$C28),0,OFFSET(Проект!F$1429,0,1-$B28))</f>
        <v>0</v>
      </c>
      <c r="G280" s="54">
        <f ca="1">IF(OR(G$33&lt;$B28,G$33&gt;$C28),0,OFFSET(Проект!G$1429,0,1-$B28))</f>
        <v>0</v>
      </c>
      <c r="H280" s="54">
        <f ca="1">IF(OR(H$33&lt;$B28,H$33&gt;$C28),0,OFFSET(Проект!H$1429,0,1-$B28))</f>
        <v>0</v>
      </c>
      <c r="I280" s="54">
        <f ca="1">IF(OR(I$33&lt;$B28,I$33&gt;$C28),0,OFFSET(Проект!I$1429,0,1-$B28))</f>
        <v>0</v>
      </c>
      <c r="J280" s="54">
        <f ca="1">IF(OR(J$33&lt;$B28,J$33&gt;$C28),0,OFFSET(Проект!J$1429,0,1-$B28))</f>
        <v>0</v>
      </c>
      <c r="K280" s="54">
        <f ca="1">IF(OR(K$33&lt;$B28,K$33&gt;$C28),0,OFFSET(Проект!K$1429,0,1-$B28))</f>
        <v>0</v>
      </c>
      <c r="L280" s="54">
        <f ca="1">IF(OR(L$33&lt;$B28,L$33&gt;$C28),0,OFFSET(Проект!L$1429,0,1-$B28))</f>
        <v>-180237.18952591211</v>
      </c>
      <c r="M280" s="54">
        <f ca="1">IF(OR(M$33&lt;$B28,M$33&gt;$C28),0,OFFSET(Проект!M$1429,0,1-$B28))</f>
        <v>-138130.35957124989</v>
      </c>
      <c r="N280" s="54">
        <f ca="1">IF(OR(N$33&lt;$B28,N$33&gt;$C28),0,OFFSET(Проект!N$1429,0,1-$B28))</f>
        <v>-62265.988854903924</v>
      </c>
      <c r="O280" s="54">
        <f ca="1">IF(OR(O$33&lt;$B28,O$33&gt;$C28),0,OFFSET(Проект!O$1429,0,1-$B28))</f>
        <v>0</v>
      </c>
      <c r="P280" s="54">
        <f ca="1">IF(OR(P$33&lt;$B28,P$33&gt;$C28),0,OFFSET(Проект!P$1429,0,1-$B28))</f>
        <v>0</v>
      </c>
      <c r="Q280" s="54">
        <f ca="1">IF(OR(Q$33&lt;$B28,Q$33&gt;$C28),0,OFFSET(Проект!Q$1429,0,1-$B28))</f>
        <v>0</v>
      </c>
      <c r="S280" s="54">
        <f t="shared" ca="1" si="32"/>
        <v>-380633.53795206588</v>
      </c>
    </row>
    <row r="281" spans="1:24" outlineLevel="1" collapsed="1" x14ac:dyDescent="0.2">
      <c r="A281" t="str">
        <f ca="1">Language!A$748</f>
        <v>Прочие поступления</v>
      </c>
      <c r="C281" s="5" t="str">
        <f t="shared" ca="1" si="31"/>
        <v>руб.</v>
      </c>
      <c r="D281" s="205" t="s">
        <v>2210</v>
      </c>
      <c r="F281" s="43">
        <f ca="1">SUMPRODUCT($B12:OFFSET($B13,-1,0),F282:OFFSET(F283,-1,0))</f>
        <v>0</v>
      </c>
      <c r="G281" s="43">
        <f ca="1">SUMPRODUCT($B12:OFFSET($B13,-1,0),G282:OFFSET(G283,-1,0))</f>
        <v>0</v>
      </c>
      <c r="H281" s="43">
        <f ca="1">SUMPRODUCT($B12:OFFSET($B13,-1,0),H282:OFFSET(H283,-1,0))</f>
        <v>0</v>
      </c>
      <c r="I281" s="43">
        <f ca="1">SUMPRODUCT($B12:OFFSET($B13,-1,0),I282:OFFSET(I283,-1,0))</f>
        <v>0</v>
      </c>
      <c r="J281" s="43">
        <f ca="1">SUMPRODUCT($B12:OFFSET($B13,-1,0),J282:OFFSET(J283,-1,0))</f>
        <v>0</v>
      </c>
      <c r="K281" s="43">
        <f ca="1">SUMPRODUCT($B12:OFFSET($B13,-1,0),K282:OFFSET(K283,-1,0))</f>
        <v>0</v>
      </c>
      <c r="L281" s="43">
        <f ca="1">SUMPRODUCT($B12:OFFSET($B13,-1,0),L282:OFFSET(L283,-1,0))</f>
        <v>0</v>
      </c>
      <c r="M281" s="43">
        <f ca="1">SUMPRODUCT($B12:OFFSET($B13,-1,0),M282:OFFSET(M283,-1,0))</f>
        <v>0</v>
      </c>
      <c r="N281" s="43">
        <f ca="1">SUMPRODUCT($B12:OFFSET($B13,-1,0),N282:OFFSET(N283,-1,0))</f>
        <v>0</v>
      </c>
      <c r="O281" s="43">
        <f ca="1">SUMPRODUCT($B12:OFFSET($B13,-1,0),O282:OFFSET(O283,-1,0))</f>
        <v>0</v>
      </c>
      <c r="P281" s="43">
        <f ca="1">SUMPRODUCT($B12:OFFSET($B13,-1,0),P282:OFFSET(P283,-1,0))</f>
        <v>0</v>
      </c>
      <c r="Q281" s="43">
        <f ca="1">SUMPRODUCT($B12:OFFSET($B13,-1,0),Q282:OFFSET(Q283,-1,0))</f>
        <v>0</v>
      </c>
      <c r="S281" s="54">
        <f t="shared" ca="1" si="32"/>
        <v>0</v>
      </c>
    </row>
    <row r="282" spans="1:24" s="181" customFormat="1" hidden="1" outlineLevel="2" x14ac:dyDescent="0.2">
      <c r="A282" s="181" t="str">
        <f>"        " &amp; A12</f>
        <v xml:space="preserve">        Наименование проекта</v>
      </c>
      <c r="C282" s="209" t="str">
        <f t="shared" ca="1" si="31"/>
        <v>руб.</v>
      </c>
      <c r="D282" s="181" t="str">
        <f>"[" &amp; F12 &amp; "];int_sum"</f>
        <v>[Проект];int_sum</v>
      </c>
      <c r="F282" s="54">
        <f ca="1">IF(OR(F$33&lt;$B28,F$33&gt;$C28),0,OFFSET(Проект!F$1430,0,1-$B28))</f>
        <v>0</v>
      </c>
      <c r="G282" s="54">
        <f ca="1">IF(OR(G$33&lt;$B28,G$33&gt;$C28),0,OFFSET(Проект!G$1430,0,1-$B28))</f>
        <v>0</v>
      </c>
      <c r="H282" s="54">
        <f ca="1">IF(OR(H$33&lt;$B28,H$33&gt;$C28),0,OFFSET(Проект!H$1430,0,1-$B28))</f>
        <v>0</v>
      </c>
      <c r="I282" s="54">
        <f ca="1">IF(OR(I$33&lt;$B28,I$33&gt;$C28),0,OFFSET(Проект!I$1430,0,1-$B28))</f>
        <v>0</v>
      </c>
      <c r="J282" s="54">
        <f ca="1">IF(OR(J$33&lt;$B28,J$33&gt;$C28),0,OFFSET(Проект!J$1430,0,1-$B28))</f>
        <v>0</v>
      </c>
      <c r="K282" s="54">
        <f ca="1">IF(OR(K$33&lt;$B28,K$33&gt;$C28),0,OFFSET(Проект!K$1430,0,1-$B28))</f>
        <v>0</v>
      </c>
      <c r="L282" s="54">
        <f ca="1">IF(OR(L$33&lt;$B28,L$33&gt;$C28),0,OFFSET(Проект!L$1430,0,1-$B28))</f>
        <v>0</v>
      </c>
      <c r="M282" s="54">
        <f ca="1">IF(OR(M$33&lt;$B28,M$33&gt;$C28),0,OFFSET(Проект!M$1430,0,1-$B28))</f>
        <v>0</v>
      </c>
      <c r="N282" s="54">
        <f ca="1">IF(OR(N$33&lt;$B28,N$33&gt;$C28),0,OFFSET(Проект!N$1430,0,1-$B28))</f>
        <v>0</v>
      </c>
      <c r="O282" s="54">
        <f ca="1">IF(OR(O$33&lt;$B28,O$33&gt;$C28),0,OFFSET(Проект!O$1430,0,1-$B28))</f>
        <v>0</v>
      </c>
      <c r="P282" s="54">
        <f ca="1">IF(OR(P$33&lt;$B28,P$33&gt;$C28),0,OFFSET(Проект!P$1430,0,1-$B28))</f>
        <v>0</v>
      </c>
      <c r="Q282" s="54">
        <f ca="1">IF(OR(Q$33&lt;$B28,Q$33&gt;$C28),0,OFFSET(Проект!Q$1430,0,1-$B28))</f>
        <v>0</v>
      </c>
      <c r="S282" s="54">
        <f t="shared" ca="1" si="32"/>
        <v>0</v>
      </c>
    </row>
    <row r="283" spans="1:24" outlineLevel="1" collapsed="1" x14ac:dyDescent="0.2">
      <c r="A283" t="str">
        <f ca="1">Language!A$749</f>
        <v>Прочие затраты</v>
      </c>
      <c r="C283" s="5" t="str">
        <f t="shared" ca="1" si="31"/>
        <v>руб.</v>
      </c>
      <c r="D283" s="205" t="s">
        <v>2210</v>
      </c>
      <c r="F283" s="43">
        <f ca="1">SUMPRODUCT($B12:OFFSET($B13,-1,0),F284:OFFSET(F285,-1,0))</f>
        <v>0</v>
      </c>
      <c r="G283" s="43">
        <f ca="1">SUMPRODUCT($B12:OFFSET($B13,-1,0),G284:OFFSET(G285,-1,0))</f>
        <v>0</v>
      </c>
      <c r="H283" s="43">
        <f ca="1">SUMPRODUCT($B12:OFFSET($B13,-1,0),H284:OFFSET(H285,-1,0))</f>
        <v>0</v>
      </c>
      <c r="I283" s="43">
        <f ca="1">SUMPRODUCT($B12:OFFSET($B13,-1,0),I284:OFFSET(I285,-1,0))</f>
        <v>0</v>
      </c>
      <c r="J283" s="43">
        <f ca="1">SUMPRODUCT($B12:OFFSET($B13,-1,0),J284:OFFSET(J285,-1,0))</f>
        <v>0</v>
      </c>
      <c r="K283" s="43">
        <f ca="1">SUMPRODUCT($B12:OFFSET($B13,-1,0),K284:OFFSET(K285,-1,0))</f>
        <v>0</v>
      </c>
      <c r="L283" s="43">
        <f ca="1">SUMPRODUCT($B12:OFFSET($B13,-1,0),L284:OFFSET(L285,-1,0))</f>
        <v>0</v>
      </c>
      <c r="M283" s="43">
        <f ca="1">SUMPRODUCT($B12:OFFSET($B13,-1,0),M284:OFFSET(M285,-1,0))</f>
        <v>0</v>
      </c>
      <c r="N283" s="43">
        <f ca="1">SUMPRODUCT($B12:OFFSET($B13,-1,0),N284:OFFSET(N285,-1,0))</f>
        <v>0</v>
      </c>
      <c r="O283" s="43">
        <f ca="1">SUMPRODUCT($B12:OFFSET($B13,-1,0),O284:OFFSET(O285,-1,0))</f>
        <v>0</v>
      </c>
      <c r="P283" s="43">
        <f ca="1">SUMPRODUCT($B12:OFFSET($B13,-1,0),P284:OFFSET(P285,-1,0))</f>
        <v>0</v>
      </c>
      <c r="Q283" s="43">
        <f ca="1">SUMPRODUCT($B12:OFFSET($B13,-1,0),Q284:OFFSET(Q285,-1,0))</f>
        <v>0</v>
      </c>
      <c r="S283" s="54">
        <f t="shared" ca="1" si="32"/>
        <v>0</v>
      </c>
    </row>
    <row r="284" spans="1:24" s="181" customFormat="1" hidden="1" outlineLevel="2" x14ac:dyDescent="0.2">
      <c r="A284" s="181" t="str">
        <f>"        " &amp; A12</f>
        <v xml:space="preserve">        Наименование проекта</v>
      </c>
      <c r="C284" s="209" t="str">
        <f t="shared" ca="1" si="31"/>
        <v>руб.</v>
      </c>
      <c r="D284" s="181" t="str">
        <f>"[" &amp; F12 &amp; "];int_sum"</f>
        <v>[Проект];int_sum</v>
      </c>
      <c r="F284" s="54">
        <f ca="1">IF(OR(F$33&lt;$B28,F$33&gt;$C28),0,OFFSET(Проект!F$1431,0,1-$B28))</f>
        <v>0</v>
      </c>
      <c r="G284" s="54">
        <f ca="1">IF(OR(G$33&lt;$B28,G$33&gt;$C28),0,OFFSET(Проект!G$1431,0,1-$B28))</f>
        <v>0</v>
      </c>
      <c r="H284" s="54">
        <f ca="1">IF(OR(H$33&lt;$B28,H$33&gt;$C28),0,OFFSET(Проект!H$1431,0,1-$B28))</f>
        <v>0</v>
      </c>
      <c r="I284" s="54">
        <f ca="1">IF(OR(I$33&lt;$B28,I$33&gt;$C28),0,OFFSET(Проект!I$1431,0,1-$B28))</f>
        <v>0</v>
      </c>
      <c r="J284" s="54">
        <f ca="1">IF(OR(J$33&lt;$B28,J$33&gt;$C28),0,OFFSET(Проект!J$1431,0,1-$B28))</f>
        <v>0</v>
      </c>
      <c r="K284" s="54">
        <f ca="1">IF(OR(K$33&lt;$B28,K$33&gt;$C28),0,OFFSET(Проект!K$1431,0,1-$B28))</f>
        <v>0</v>
      </c>
      <c r="L284" s="54">
        <f ca="1">IF(OR(L$33&lt;$B28,L$33&gt;$C28),0,OFFSET(Проект!L$1431,0,1-$B28))</f>
        <v>0</v>
      </c>
      <c r="M284" s="54">
        <f ca="1">IF(OR(M$33&lt;$B28,M$33&gt;$C28),0,OFFSET(Проект!M$1431,0,1-$B28))</f>
        <v>0</v>
      </c>
      <c r="N284" s="54">
        <f ca="1">IF(OR(N$33&lt;$B28,N$33&gt;$C28),0,OFFSET(Проект!N$1431,0,1-$B28))</f>
        <v>0</v>
      </c>
      <c r="O284" s="54">
        <f ca="1">IF(OR(O$33&lt;$B28,O$33&gt;$C28),0,OFFSET(Проект!O$1431,0,1-$B28))</f>
        <v>0</v>
      </c>
      <c r="P284" s="54">
        <f ca="1">IF(OR(P$33&lt;$B28,P$33&gt;$C28),0,OFFSET(Проект!P$1431,0,1-$B28))</f>
        <v>0</v>
      </c>
      <c r="Q284" s="54">
        <f ca="1">IF(OR(Q$33&lt;$B28,Q$33&gt;$C28),0,OFFSET(Проект!Q$1431,0,1-$B28))</f>
        <v>0</v>
      </c>
      <c r="S284" s="54">
        <f t="shared" ca="1" si="32"/>
        <v>0</v>
      </c>
      <c r="T284" s="57"/>
      <c r="U284" s="57"/>
      <c r="V284" s="57"/>
      <c r="W284" s="57"/>
      <c r="X284" s="57"/>
    </row>
    <row r="285" spans="1:24" ht="10.5" outlineLevel="1" x14ac:dyDescent="0.25">
      <c r="S285" s="57"/>
      <c r="T285" s="58"/>
      <c r="U285" s="58"/>
      <c r="V285" s="58"/>
      <c r="W285" s="58"/>
      <c r="X285" s="58"/>
    </row>
    <row r="286" spans="1:24" ht="10.5" outlineLevel="1" collapsed="1" x14ac:dyDescent="0.25">
      <c r="A286" s="35" t="str">
        <f ca="1">Language!A$750</f>
        <v>Денежные потоки от операционной деятельности</v>
      </c>
      <c r="C286" s="5" t="str">
        <f ca="1">CUR_Report</f>
        <v>руб.</v>
      </c>
      <c r="D286" s="205" t="s">
        <v>2210</v>
      </c>
      <c r="F286" s="160">
        <f ca="1">IF($B12=2,SUMPRODUCT($B12:OFFSET($B13,-1,0),F287:OFFSET(F288,-1,0)),F283+F281+F279+F277+F275+F273+F271+F269+F267)</f>
        <v>-2966160</v>
      </c>
      <c r="G286" s="160">
        <f ca="1">IF($B12=2,SUMPRODUCT($B12:OFFSET($B13,-1,0),G287:OFFSET(G288,-1,0)),G283+G281+G279+G277+G275+G273+G271+G269+G267)</f>
        <v>-2555760</v>
      </c>
      <c r="H286" s="160">
        <f ca="1">IF($B12=2,SUMPRODUCT($B12:OFFSET($B13,-1,0),H287:OFFSET(H288,-1,0)),H283+H281+H279+H277+H275+H273+H271+H269+H267)</f>
        <v>-2428008.50875</v>
      </c>
      <c r="I286" s="160">
        <f ca="1">IF($B12=2,SUMPRODUCT($B12:OFFSET($B13,-1,0),I287:OFFSET(I288,-1,0)),I283+I281+I279+I277+I275+I273+I271+I269+I267)</f>
        <v>-1917002.5437500002</v>
      </c>
      <c r="J286" s="160">
        <f ca="1">IF($B12=2,SUMPRODUCT($B12:OFFSET($B13,-1,0),J287:OFFSET(J288,-1,0)),J283+J281+J279+J277+J275+J273+J271+J269+J267)</f>
        <v>-1278245.0874999999</v>
      </c>
      <c r="K286" s="160">
        <f ca="1">IF($B12=2,SUMPRODUCT($B12:OFFSET($B13,-1,0),K287:OFFSET(K288,-1,0)),K283+K281+K279+K277+K275+K273+K271+K269+K267)</f>
        <v>-730.17499999981374</v>
      </c>
      <c r="L286" s="160">
        <f ca="1">IF($B12=2,SUMPRODUCT($B12:OFFSET($B13,-1,0),L287:OFFSET(L288,-1,0)),L283+L281+L279+L277+L275+L273+L271+L269+L267)</f>
        <v>1096547.5479740878</v>
      </c>
      <c r="M286" s="160">
        <f ca="1">IF($B12=2,SUMPRODUCT($B12:OFFSET($B13,-1,0),M287:OFFSET(M288,-1,0)),M283+M281+M279+M277+M275+M273+M271+M269+M267)</f>
        <v>2416169.2904287498</v>
      </c>
      <c r="N286" s="160">
        <f ca="1">IF($B12=2,SUMPRODUCT($B12:OFFSET($B13,-1,0),N287:OFFSET(N288,-1,0)),N283+N281+N279+N277+N275+N273+N271+N269+N267)</f>
        <v>4408306.0298950961</v>
      </c>
      <c r="O286" s="160">
        <f ca="1">IF($B12=2,SUMPRODUCT($B12:OFFSET($B13,-1,0),O287:OFFSET(O288,-1,0)),O283+O281+O279+O277+O275+O273+O271+O269+O267)</f>
        <v>7025601.84375</v>
      </c>
      <c r="P286" s="160">
        <f ca="1">IF($B12=2,SUMPRODUCT($B12:OFFSET($B13,-1,0),P287:OFFSET(P288,-1,0)),P283+P281+P279+P277+P275+P273+P271+P269+P267)</f>
        <v>8941874.2125000004</v>
      </c>
      <c r="Q286" s="160">
        <f ca="1">IF($B12=2,SUMPRODUCT($B12:OFFSET($B13,-1,0),Q287:OFFSET(Q288,-1,0)),Q283+Q281+Q279+Q277+Q275+Q273+Q271+Q269+Q267)</f>
        <v>10219389.125</v>
      </c>
      <c r="S286" s="57">
        <f ca="1">SUM(F286:Q286)</f>
        <v>22961981.734547932</v>
      </c>
    </row>
    <row r="287" spans="1:24" s="11" customFormat="1" hidden="1" outlineLevel="2" x14ac:dyDescent="0.2">
      <c r="A287" s="11" t="str">
        <f>"        " &amp; A12</f>
        <v xml:space="preserve">        Наименование проекта</v>
      </c>
      <c r="C287" s="36" t="str">
        <f ca="1">CUR_Report</f>
        <v>руб.</v>
      </c>
      <c r="D287" s="11" t="str">
        <f>"[" &amp; F12 &amp; "];int_sum"</f>
        <v>[Проект];int_sum</v>
      </c>
      <c r="F287" s="54">
        <f ca="1">IF(OR(F$33&lt;$B28,F$33&gt;$C28),0,OFFSET(Проект!F$1433,0,1-$B28))</f>
        <v>-2966160</v>
      </c>
      <c r="G287" s="54">
        <f ca="1">IF(OR(G$33&lt;$B28,G$33&gt;$C28),0,OFFSET(Проект!G$1433,0,1-$B28))</f>
        <v>-2555760</v>
      </c>
      <c r="H287" s="54">
        <f ca="1">IF(OR(H$33&lt;$B28,H$33&gt;$C28),0,OFFSET(Проект!H$1433,0,1-$B28))</f>
        <v>-2428008.50875</v>
      </c>
      <c r="I287" s="54">
        <f ca="1">IF(OR(I$33&lt;$B28,I$33&gt;$C28),0,OFFSET(Проект!I$1433,0,1-$B28))</f>
        <v>-1917002.54375</v>
      </c>
      <c r="J287" s="54">
        <f ca="1">IF(OR(J$33&lt;$B28,J$33&gt;$C28),0,OFFSET(Проект!J$1433,0,1-$B28))</f>
        <v>-1278245.0874999999</v>
      </c>
      <c r="K287" s="54">
        <f ca="1">IF(OR(K$33&lt;$B28,K$33&gt;$C28),0,OFFSET(Проект!K$1433,0,1-$B28))</f>
        <v>-730.17499999981374</v>
      </c>
      <c r="L287" s="54">
        <f ca="1">IF(OR(L$33&lt;$B28,L$33&gt;$C28),0,OFFSET(Проект!L$1433,0,1-$B28))</f>
        <v>1096547.5479740878</v>
      </c>
      <c r="M287" s="54">
        <f ca="1">IF(OR(M$33&lt;$B28,M$33&gt;$C28),0,OFFSET(Проект!M$1433,0,1-$B28))</f>
        <v>2416169.2904287507</v>
      </c>
      <c r="N287" s="54">
        <f ca="1">IF(OR(N$33&lt;$B28,N$33&gt;$C28),0,OFFSET(Проект!N$1433,0,1-$B28))</f>
        <v>4408306.0298950961</v>
      </c>
      <c r="O287" s="54">
        <f ca="1">IF(OR(O$33&lt;$B28,O$33&gt;$C28),0,OFFSET(Проект!O$1433,0,1-$B28))</f>
        <v>7025601.84375</v>
      </c>
      <c r="P287" s="54">
        <f ca="1">IF(OR(P$33&lt;$B28,P$33&gt;$C28),0,OFFSET(Проект!P$1433,0,1-$B28))</f>
        <v>8941874.2125000004</v>
      </c>
      <c r="Q287" s="54">
        <f ca="1">IF(OR(Q$33&lt;$B28,Q$33&gt;$C28),0,OFFSET(Проект!Q$1433,0,1-$B28))</f>
        <v>10219389.125</v>
      </c>
      <c r="S287" s="54">
        <f ca="1">SUM(F287:Q287)</f>
        <v>22961981.734547932</v>
      </c>
    </row>
    <row r="288" spans="1:24" ht="10.5" outlineLevel="1" x14ac:dyDescent="0.25">
      <c r="S288" s="57"/>
      <c r="T288" s="58"/>
      <c r="U288" s="58"/>
      <c r="V288" s="58"/>
      <c r="W288" s="58"/>
      <c r="X288" s="58"/>
    </row>
    <row r="289" spans="1:19" outlineLevel="1" collapsed="1" x14ac:dyDescent="0.2">
      <c r="A289" t="str">
        <f ca="1">Language!A$688</f>
        <v>Инвестиции в земельные участки</v>
      </c>
      <c r="C289" s="5" t="str">
        <f t="shared" ref="C289:C304" ca="1" si="33">CUR_Report</f>
        <v>руб.</v>
      </c>
      <c r="D289" s="205" t="s">
        <v>2210</v>
      </c>
      <c r="F289" s="43">
        <f ca="1">SUMPRODUCT($B12:OFFSET($B13,-1,0),F290:OFFSET(F291,-1,0))</f>
        <v>0</v>
      </c>
      <c r="G289" s="43">
        <f ca="1">SUMPRODUCT($B12:OFFSET($B13,-1,0),G290:OFFSET(G291,-1,0))</f>
        <v>0</v>
      </c>
      <c r="H289" s="43">
        <f ca="1">SUMPRODUCT($B12:OFFSET($B13,-1,0),H290:OFFSET(H291,-1,0))</f>
        <v>0</v>
      </c>
      <c r="I289" s="43">
        <f ca="1">SUMPRODUCT($B12:OFFSET($B13,-1,0),I290:OFFSET(I291,-1,0))</f>
        <v>0</v>
      </c>
      <c r="J289" s="43">
        <f ca="1">SUMPRODUCT($B12:OFFSET($B13,-1,0),J290:OFFSET(J291,-1,0))</f>
        <v>0</v>
      </c>
      <c r="K289" s="43">
        <f ca="1">SUMPRODUCT($B12:OFFSET($B13,-1,0),K290:OFFSET(K291,-1,0))</f>
        <v>0</v>
      </c>
      <c r="L289" s="43">
        <f ca="1">SUMPRODUCT($B12:OFFSET($B13,-1,0),L290:OFFSET(L291,-1,0))</f>
        <v>0</v>
      </c>
      <c r="M289" s="43">
        <f ca="1">SUMPRODUCT($B12:OFFSET($B13,-1,0),M290:OFFSET(M291,-1,0))</f>
        <v>0</v>
      </c>
      <c r="N289" s="43">
        <f ca="1">SUMPRODUCT($B12:OFFSET($B13,-1,0),N290:OFFSET(N291,-1,0))</f>
        <v>0</v>
      </c>
      <c r="O289" s="43">
        <f ca="1">SUMPRODUCT($B12:OFFSET($B13,-1,0),O290:OFFSET(O291,-1,0))</f>
        <v>0</v>
      </c>
      <c r="P289" s="43">
        <f ca="1">SUMPRODUCT($B12:OFFSET($B13,-1,0),P290:OFFSET(P291,-1,0))</f>
        <v>0</v>
      </c>
      <c r="Q289" s="43">
        <f ca="1">SUMPRODUCT($B12:OFFSET($B13,-1,0),Q290:OFFSET(Q291,-1,0))</f>
        <v>0</v>
      </c>
      <c r="S289" s="54">
        <f t="shared" ref="S289:S304" ca="1" si="34">SUM(F289:Q289)</f>
        <v>0</v>
      </c>
    </row>
    <row r="290" spans="1:19" s="181" customFormat="1" hidden="1" outlineLevel="2" x14ac:dyDescent="0.2">
      <c r="A290" s="11" t="str">
        <f>"        " &amp; A12</f>
        <v xml:space="preserve">        Наименование проекта</v>
      </c>
      <c r="B290" s="11"/>
      <c r="C290" s="36" t="str">
        <f t="shared" ca="1" si="33"/>
        <v>руб.</v>
      </c>
      <c r="D290" s="11" t="str">
        <f>"[" &amp; F12 &amp; "];int_sum"</f>
        <v>[Проект];int_sum</v>
      </c>
      <c r="E290" s="11"/>
      <c r="F290" s="54">
        <f ca="1">IF(OR(F$33&lt;$B28,F$33&gt;$C28),0,OFFSET(Проект!F$1435,0,1-$B28))</f>
        <v>0</v>
      </c>
      <c r="G290" s="54">
        <f ca="1">IF(OR(G$33&lt;$B28,G$33&gt;$C28),0,OFFSET(Проект!G$1435,0,1-$B28))</f>
        <v>0</v>
      </c>
      <c r="H290" s="54">
        <f ca="1">IF(OR(H$33&lt;$B28,H$33&gt;$C28),0,OFFSET(Проект!H$1435,0,1-$B28))</f>
        <v>0</v>
      </c>
      <c r="I290" s="54">
        <f ca="1">IF(OR(I$33&lt;$B28,I$33&gt;$C28),0,OFFSET(Проект!I$1435,0,1-$B28))</f>
        <v>0</v>
      </c>
      <c r="J290" s="54">
        <f ca="1">IF(OR(J$33&lt;$B28,J$33&gt;$C28),0,OFFSET(Проект!J$1435,0,1-$B28))</f>
        <v>0</v>
      </c>
      <c r="K290" s="54">
        <f ca="1">IF(OR(K$33&lt;$B28,K$33&gt;$C28),0,OFFSET(Проект!K$1435,0,1-$B28))</f>
        <v>0</v>
      </c>
      <c r="L290" s="54">
        <f ca="1">IF(OR(L$33&lt;$B28,L$33&gt;$C28),0,OFFSET(Проект!L$1435,0,1-$B28))</f>
        <v>0</v>
      </c>
      <c r="M290" s="54">
        <f ca="1">IF(OR(M$33&lt;$B28,M$33&gt;$C28),0,OFFSET(Проект!M$1435,0,1-$B28))</f>
        <v>0</v>
      </c>
      <c r="N290" s="54">
        <f ca="1">IF(OR(N$33&lt;$B28,N$33&gt;$C28),0,OFFSET(Проект!N$1435,0,1-$B28))</f>
        <v>0</v>
      </c>
      <c r="O290" s="54">
        <f ca="1">IF(OR(O$33&lt;$B28,O$33&gt;$C28),0,OFFSET(Проект!O$1435,0,1-$B28))</f>
        <v>0</v>
      </c>
      <c r="P290" s="54">
        <f ca="1">IF(OR(P$33&lt;$B28,P$33&gt;$C28),0,OFFSET(Проект!P$1435,0,1-$B28))</f>
        <v>0</v>
      </c>
      <c r="Q290" s="54">
        <f ca="1">IF(OR(Q$33&lt;$B28,Q$33&gt;$C28),0,OFFSET(Проект!Q$1435,0,1-$B28))</f>
        <v>0</v>
      </c>
      <c r="S290" s="54">
        <f t="shared" ca="1" si="34"/>
        <v>0</v>
      </c>
    </row>
    <row r="291" spans="1:19" outlineLevel="1" collapsed="1" x14ac:dyDescent="0.2">
      <c r="A291" t="str">
        <f ca="1">Language!A$691</f>
        <v>Инвестиции в здания и сооружения</v>
      </c>
      <c r="C291" s="5" t="str">
        <f t="shared" ca="1" si="33"/>
        <v>руб.</v>
      </c>
      <c r="D291" s="205" t="s">
        <v>2210</v>
      </c>
      <c r="F291" s="43">
        <f ca="1">SUMPRODUCT($B12:OFFSET($B13,-1,0),F292:OFFSET(F293,-1,0))</f>
        <v>0</v>
      </c>
      <c r="G291" s="43">
        <f ca="1">SUMPRODUCT($B12:OFFSET($B13,-1,0),G292:OFFSET(G293,-1,0))</f>
        <v>0</v>
      </c>
      <c r="H291" s="43">
        <f ca="1">SUMPRODUCT($B12:OFFSET($B13,-1,0),H292:OFFSET(H293,-1,0))</f>
        <v>0</v>
      </c>
      <c r="I291" s="43">
        <f ca="1">SUMPRODUCT($B12:OFFSET($B13,-1,0),I292:OFFSET(I293,-1,0))</f>
        <v>0</v>
      </c>
      <c r="J291" s="43">
        <f ca="1">SUMPRODUCT($B12:OFFSET($B13,-1,0),J292:OFFSET(J293,-1,0))</f>
        <v>0</v>
      </c>
      <c r="K291" s="43">
        <f ca="1">SUMPRODUCT($B12:OFFSET($B13,-1,0),K292:OFFSET(K293,-1,0))</f>
        <v>0</v>
      </c>
      <c r="L291" s="43">
        <f ca="1">SUMPRODUCT($B12:OFFSET($B13,-1,0),L292:OFFSET(L293,-1,0))</f>
        <v>0</v>
      </c>
      <c r="M291" s="43">
        <f ca="1">SUMPRODUCT($B12:OFFSET($B13,-1,0),M292:OFFSET(M293,-1,0))</f>
        <v>0</v>
      </c>
      <c r="N291" s="43">
        <f ca="1">SUMPRODUCT($B12:OFFSET($B13,-1,0),N292:OFFSET(N293,-1,0))</f>
        <v>0</v>
      </c>
      <c r="O291" s="43">
        <f ca="1">SUMPRODUCT($B12:OFFSET($B13,-1,0),O292:OFFSET(O293,-1,0))</f>
        <v>0</v>
      </c>
      <c r="P291" s="43">
        <f ca="1">SUMPRODUCT($B12:OFFSET($B13,-1,0),P292:OFFSET(P293,-1,0))</f>
        <v>0</v>
      </c>
      <c r="Q291" s="43">
        <f ca="1">SUMPRODUCT($B12:OFFSET($B13,-1,0),Q292:OFFSET(Q293,-1,0))</f>
        <v>0</v>
      </c>
      <c r="S291" s="54">
        <f t="shared" ca="1" si="34"/>
        <v>0</v>
      </c>
    </row>
    <row r="292" spans="1:19" s="181" customFormat="1" hidden="1" outlineLevel="2" x14ac:dyDescent="0.2">
      <c r="A292" s="181" t="str">
        <f>"        " &amp; A12</f>
        <v xml:space="preserve">        Наименование проекта</v>
      </c>
      <c r="C292" s="209" t="str">
        <f t="shared" ca="1" si="33"/>
        <v>руб.</v>
      </c>
      <c r="D292" s="181" t="str">
        <f>"[" &amp; F12 &amp; "];int_sum"</f>
        <v>[Проект];int_sum</v>
      </c>
      <c r="F292" s="54">
        <f ca="1">IF(OR(F$33&lt;$B28,F$33&gt;$C28),0,OFFSET(Проект!F$1436,0,1-$B28))</f>
        <v>0</v>
      </c>
      <c r="G292" s="54">
        <f ca="1">IF(OR(G$33&lt;$B28,G$33&gt;$C28),0,OFFSET(Проект!G$1436,0,1-$B28))</f>
        <v>0</v>
      </c>
      <c r="H292" s="54">
        <f ca="1">IF(OR(H$33&lt;$B28,H$33&gt;$C28),0,OFFSET(Проект!H$1436,0,1-$B28))</f>
        <v>0</v>
      </c>
      <c r="I292" s="54">
        <f ca="1">IF(OR(I$33&lt;$B28,I$33&gt;$C28),0,OFFSET(Проект!I$1436,0,1-$B28))</f>
        <v>0</v>
      </c>
      <c r="J292" s="54">
        <f ca="1">IF(OR(J$33&lt;$B28,J$33&gt;$C28),0,OFFSET(Проект!J$1436,0,1-$B28))</f>
        <v>0</v>
      </c>
      <c r="K292" s="54">
        <f ca="1">IF(OR(K$33&lt;$B28,K$33&gt;$C28),0,OFFSET(Проект!K$1436,0,1-$B28))</f>
        <v>0</v>
      </c>
      <c r="L292" s="54">
        <f ca="1">IF(OR(L$33&lt;$B28,L$33&gt;$C28),0,OFFSET(Проект!L$1436,0,1-$B28))</f>
        <v>0</v>
      </c>
      <c r="M292" s="54">
        <f ca="1">IF(OR(M$33&lt;$B28,M$33&gt;$C28),0,OFFSET(Проект!M$1436,0,1-$B28))</f>
        <v>0</v>
      </c>
      <c r="N292" s="54">
        <f ca="1">IF(OR(N$33&lt;$B28,N$33&gt;$C28),0,OFFSET(Проект!N$1436,0,1-$B28))</f>
        <v>0</v>
      </c>
      <c r="O292" s="54">
        <f ca="1">IF(OR(O$33&lt;$B28,O$33&gt;$C28),0,OFFSET(Проект!O$1436,0,1-$B28))</f>
        <v>0</v>
      </c>
      <c r="P292" s="54">
        <f ca="1">IF(OR(P$33&lt;$B28,P$33&gt;$C28),0,OFFSET(Проект!P$1436,0,1-$B28))</f>
        <v>0</v>
      </c>
      <c r="Q292" s="54">
        <f ca="1">IF(OR(Q$33&lt;$B28,Q$33&gt;$C28),0,OFFSET(Проект!Q$1436,0,1-$B28))</f>
        <v>0</v>
      </c>
      <c r="S292" s="54">
        <f t="shared" ca="1" si="34"/>
        <v>0</v>
      </c>
    </row>
    <row r="293" spans="1:19" outlineLevel="1" collapsed="1" x14ac:dyDescent="0.2">
      <c r="A293" t="str">
        <f ca="1">Language!A$692</f>
        <v>Инвестиции в оборудование и прочие активы</v>
      </c>
      <c r="C293" s="5" t="str">
        <f t="shared" ca="1" si="33"/>
        <v>руб.</v>
      </c>
      <c r="D293" s="205" t="s">
        <v>2210</v>
      </c>
      <c r="F293" s="43">
        <f ca="1">SUMPRODUCT($B12:OFFSET($B13,-1,0),F294:OFFSET(F295,-1,0))</f>
        <v>0</v>
      </c>
      <c r="G293" s="43">
        <f ca="1">SUMPRODUCT($B12:OFFSET($B13,-1,0),G294:OFFSET(G295,-1,0))</f>
        <v>0</v>
      </c>
      <c r="H293" s="43">
        <f ca="1">SUMPRODUCT($B12:OFFSET($B13,-1,0),H294:OFFSET(H295,-1,0))</f>
        <v>0</v>
      </c>
      <c r="I293" s="43">
        <f ca="1">SUMPRODUCT($B12:OFFSET($B13,-1,0),I294:OFFSET(I295,-1,0))</f>
        <v>0</v>
      </c>
      <c r="J293" s="43">
        <f ca="1">SUMPRODUCT($B12:OFFSET($B13,-1,0),J294:OFFSET(J295,-1,0))</f>
        <v>0</v>
      </c>
      <c r="K293" s="43">
        <f ca="1">SUMPRODUCT($B12:OFFSET($B13,-1,0),K294:OFFSET(K295,-1,0))</f>
        <v>0</v>
      </c>
      <c r="L293" s="43">
        <f ca="1">SUMPRODUCT($B12:OFFSET($B13,-1,0),L294:OFFSET(L295,-1,0))</f>
        <v>0</v>
      </c>
      <c r="M293" s="43">
        <f ca="1">SUMPRODUCT($B12:OFFSET($B13,-1,0),M294:OFFSET(M295,-1,0))</f>
        <v>0</v>
      </c>
      <c r="N293" s="43">
        <f ca="1">SUMPRODUCT($B12:OFFSET($B13,-1,0),N294:OFFSET(N295,-1,0))</f>
        <v>0</v>
      </c>
      <c r="O293" s="43">
        <f ca="1">SUMPRODUCT($B12:OFFSET($B13,-1,0),O294:OFFSET(O295,-1,0))</f>
        <v>0</v>
      </c>
      <c r="P293" s="43">
        <f ca="1">SUMPRODUCT($B12:OFFSET($B13,-1,0),P294:OFFSET(P295,-1,0))</f>
        <v>0</v>
      </c>
      <c r="Q293" s="43">
        <f ca="1">SUMPRODUCT($B12:OFFSET($B13,-1,0),Q294:OFFSET(Q295,-1,0))</f>
        <v>0</v>
      </c>
      <c r="S293" s="54">
        <f t="shared" ca="1" si="34"/>
        <v>0</v>
      </c>
    </row>
    <row r="294" spans="1:19" s="181" customFormat="1" hidden="1" outlineLevel="2" x14ac:dyDescent="0.2">
      <c r="A294" s="181" t="str">
        <f>"        " &amp; A12</f>
        <v xml:space="preserve">        Наименование проекта</v>
      </c>
      <c r="C294" s="209" t="str">
        <f t="shared" ca="1" si="33"/>
        <v>руб.</v>
      </c>
      <c r="D294" s="181" t="str">
        <f>"[" &amp; F12 &amp; "];int_sum"</f>
        <v>[Проект];int_sum</v>
      </c>
      <c r="F294" s="54">
        <f ca="1">IF(OR(F$33&lt;$B28,F$33&gt;$C28),0,OFFSET(Проект!F$1437,0,1-$B28))</f>
        <v>0</v>
      </c>
      <c r="G294" s="54">
        <f ca="1">IF(OR(G$33&lt;$B28,G$33&gt;$C28),0,OFFSET(Проект!G$1437,0,1-$B28))</f>
        <v>0</v>
      </c>
      <c r="H294" s="54">
        <f ca="1">IF(OR(H$33&lt;$B28,H$33&gt;$C28),0,OFFSET(Проект!H$1437,0,1-$B28))</f>
        <v>0</v>
      </c>
      <c r="I294" s="54">
        <f ca="1">IF(OR(I$33&lt;$B28,I$33&gt;$C28),0,OFFSET(Проект!I$1437,0,1-$B28))</f>
        <v>0</v>
      </c>
      <c r="J294" s="54">
        <f ca="1">IF(OR(J$33&lt;$B28,J$33&gt;$C28),0,OFFSET(Проект!J$1437,0,1-$B28))</f>
        <v>0</v>
      </c>
      <c r="K294" s="54">
        <f ca="1">IF(OR(K$33&lt;$B28,K$33&gt;$C28),0,OFFSET(Проект!K$1437,0,1-$B28))</f>
        <v>0</v>
      </c>
      <c r="L294" s="54">
        <f ca="1">IF(OR(L$33&lt;$B28,L$33&gt;$C28),0,OFFSET(Проект!L$1437,0,1-$B28))</f>
        <v>0</v>
      </c>
      <c r="M294" s="54">
        <f ca="1">IF(OR(M$33&lt;$B28,M$33&gt;$C28),0,OFFSET(Проект!M$1437,0,1-$B28))</f>
        <v>0</v>
      </c>
      <c r="N294" s="54">
        <f ca="1">IF(OR(N$33&lt;$B28,N$33&gt;$C28),0,OFFSET(Проект!N$1437,0,1-$B28))</f>
        <v>0</v>
      </c>
      <c r="O294" s="54">
        <f ca="1">IF(OR(O$33&lt;$B28,O$33&gt;$C28),0,OFFSET(Проект!O$1437,0,1-$B28))</f>
        <v>0</v>
      </c>
      <c r="P294" s="54">
        <f ca="1">IF(OR(P$33&lt;$B28,P$33&gt;$C28),0,OFFSET(Проект!P$1437,0,1-$B28))</f>
        <v>0</v>
      </c>
      <c r="Q294" s="54">
        <f ca="1">IF(OR(Q$33&lt;$B28,Q$33&gt;$C28),0,OFFSET(Проект!Q$1437,0,1-$B28))</f>
        <v>0</v>
      </c>
      <c r="S294" s="54">
        <f t="shared" ca="1" si="34"/>
        <v>0</v>
      </c>
    </row>
    <row r="295" spans="1:19" outlineLevel="1" collapsed="1" x14ac:dyDescent="0.2">
      <c r="A295" t="str">
        <f ca="1">Language!A$689</f>
        <v>Инвестиции в нематериальные активы</v>
      </c>
      <c r="C295" s="5" t="str">
        <f t="shared" ca="1" si="33"/>
        <v>руб.</v>
      </c>
      <c r="D295" s="205" t="s">
        <v>2210</v>
      </c>
      <c r="F295" s="43">
        <f ca="1">SUMPRODUCT($B12:OFFSET($B13,-1,0),F296:OFFSET(F297,-1,0))</f>
        <v>0</v>
      </c>
      <c r="G295" s="43">
        <f ca="1">SUMPRODUCT($B12:OFFSET($B13,-1,0),G296:OFFSET(G297,-1,0))</f>
        <v>0</v>
      </c>
      <c r="H295" s="43">
        <f ca="1">SUMPRODUCT($B12:OFFSET($B13,-1,0),H296:OFFSET(H297,-1,0))</f>
        <v>0</v>
      </c>
      <c r="I295" s="43">
        <f ca="1">SUMPRODUCT($B12:OFFSET($B13,-1,0),I296:OFFSET(I297,-1,0))</f>
        <v>0</v>
      </c>
      <c r="J295" s="43">
        <f ca="1">SUMPRODUCT($B12:OFFSET($B13,-1,0),J296:OFFSET(J297,-1,0))</f>
        <v>0</v>
      </c>
      <c r="K295" s="43">
        <f ca="1">SUMPRODUCT($B12:OFFSET($B13,-1,0),K296:OFFSET(K297,-1,0))</f>
        <v>0</v>
      </c>
      <c r="L295" s="43">
        <f ca="1">SUMPRODUCT($B12:OFFSET($B13,-1,0),L296:OFFSET(L297,-1,0))</f>
        <v>0</v>
      </c>
      <c r="M295" s="43">
        <f ca="1">SUMPRODUCT($B12:OFFSET($B13,-1,0),M296:OFFSET(M297,-1,0))</f>
        <v>0</v>
      </c>
      <c r="N295" s="43">
        <f ca="1">SUMPRODUCT($B12:OFFSET($B13,-1,0),N296:OFFSET(N297,-1,0))</f>
        <v>0</v>
      </c>
      <c r="O295" s="43">
        <f ca="1">SUMPRODUCT($B12:OFFSET($B13,-1,0),O296:OFFSET(O297,-1,0))</f>
        <v>0</v>
      </c>
      <c r="P295" s="43">
        <f ca="1">SUMPRODUCT($B12:OFFSET($B13,-1,0),P296:OFFSET(P297,-1,0))</f>
        <v>0</v>
      </c>
      <c r="Q295" s="43">
        <f ca="1">SUMPRODUCT($B12:OFFSET($B13,-1,0),Q296:OFFSET(Q297,-1,0))</f>
        <v>0</v>
      </c>
      <c r="S295" s="54">
        <f t="shared" ca="1" si="34"/>
        <v>0</v>
      </c>
    </row>
    <row r="296" spans="1:19" s="181" customFormat="1" hidden="1" outlineLevel="2" x14ac:dyDescent="0.2">
      <c r="A296" s="181" t="str">
        <f>"        " &amp; A12</f>
        <v xml:space="preserve">        Наименование проекта</v>
      </c>
      <c r="C296" s="209" t="str">
        <f t="shared" ca="1" si="33"/>
        <v>руб.</v>
      </c>
      <c r="D296" s="181" t="str">
        <f>"[" &amp; F12 &amp; "];int_sum"</f>
        <v>[Проект];int_sum</v>
      </c>
      <c r="F296" s="54">
        <f ca="1">IF(OR(F$33&lt;$B28,F$33&gt;$C28),0,OFFSET(Проект!F$1438,0,1-$B28))</f>
        <v>0</v>
      </c>
      <c r="G296" s="54">
        <f ca="1">IF(OR(G$33&lt;$B28,G$33&gt;$C28),0,OFFSET(Проект!G$1438,0,1-$B28))</f>
        <v>0</v>
      </c>
      <c r="H296" s="54">
        <f ca="1">IF(OR(H$33&lt;$B28,H$33&gt;$C28),0,OFFSET(Проект!H$1438,0,1-$B28))</f>
        <v>0</v>
      </c>
      <c r="I296" s="54">
        <f ca="1">IF(OR(I$33&lt;$B28,I$33&gt;$C28),0,OFFSET(Проект!I$1438,0,1-$B28))</f>
        <v>0</v>
      </c>
      <c r="J296" s="54">
        <f ca="1">IF(OR(J$33&lt;$B28,J$33&gt;$C28),0,OFFSET(Проект!J$1438,0,1-$B28))</f>
        <v>0</v>
      </c>
      <c r="K296" s="54">
        <f ca="1">IF(OR(K$33&lt;$B28,K$33&gt;$C28),0,OFFSET(Проект!K$1438,0,1-$B28))</f>
        <v>0</v>
      </c>
      <c r="L296" s="54">
        <f ca="1">IF(OR(L$33&lt;$B28,L$33&gt;$C28),0,OFFSET(Проект!L$1438,0,1-$B28))</f>
        <v>0</v>
      </c>
      <c r="M296" s="54">
        <f ca="1">IF(OR(M$33&lt;$B28,M$33&gt;$C28),0,OFFSET(Проект!M$1438,0,1-$B28))</f>
        <v>0</v>
      </c>
      <c r="N296" s="54">
        <f ca="1">IF(OR(N$33&lt;$B28,N$33&gt;$C28),0,OFFSET(Проект!N$1438,0,1-$B28))</f>
        <v>0</v>
      </c>
      <c r="O296" s="54">
        <f ca="1">IF(OR(O$33&lt;$B28,O$33&gt;$C28),0,OFFSET(Проект!O$1438,0,1-$B28))</f>
        <v>0</v>
      </c>
      <c r="P296" s="54">
        <f ca="1">IF(OR(P$33&lt;$B28,P$33&gt;$C28),0,OFFSET(Проект!P$1438,0,1-$B28))</f>
        <v>0</v>
      </c>
      <c r="Q296" s="54">
        <f ca="1">IF(OR(Q$33&lt;$B28,Q$33&gt;$C28),0,OFFSET(Проект!Q$1438,0,1-$B28))</f>
        <v>0</v>
      </c>
      <c r="S296" s="54">
        <f t="shared" ca="1" si="34"/>
        <v>0</v>
      </c>
    </row>
    <row r="297" spans="1:19" outlineLevel="1" collapsed="1" x14ac:dyDescent="0.2">
      <c r="A297" t="str">
        <f ca="1">Language!A$693</f>
        <v>Инвестиции в финансовые активы</v>
      </c>
      <c r="C297" s="5" t="str">
        <f t="shared" ca="1" si="33"/>
        <v>руб.</v>
      </c>
      <c r="D297" s="205" t="s">
        <v>2210</v>
      </c>
      <c r="F297" s="43">
        <f ca="1">SUMPRODUCT($B12:OFFSET($B13,-1,0),F298:OFFSET(F299,-1,0))</f>
        <v>0</v>
      </c>
      <c r="G297" s="43">
        <f ca="1">SUMPRODUCT($B12:OFFSET($B13,-1,0),G298:OFFSET(G299,-1,0))</f>
        <v>0</v>
      </c>
      <c r="H297" s="43">
        <f ca="1">SUMPRODUCT($B12:OFFSET($B13,-1,0),H298:OFFSET(H299,-1,0))</f>
        <v>0</v>
      </c>
      <c r="I297" s="43">
        <f ca="1">SUMPRODUCT($B12:OFFSET($B13,-1,0),I298:OFFSET(I299,-1,0))</f>
        <v>0</v>
      </c>
      <c r="J297" s="43">
        <f ca="1">SUMPRODUCT($B12:OFFSET($B13,-1,0),J298:OFFSET(J299,-1,0))</f>
        <v>0</v>
      </c>
      <c r="K297" s="43">
        <f ca="1">SUMPRODUCT($B12:OFFSET($B13,-1,0),K298:OFFSET(K299,-1,0))</f>
        <v>0</v>
      </c>
      <c r="L297" s="43">
        <f ca="1">SUMPRODUCT($B12:OFFSET($B13,-1,0),L298:OFFSET(L299,-1,0))</f>
        <v>0</v>
      </c>
      <c r="M297" s="43">
        <f ca="1">SUMPRODUCT($B12:OFFSET($B13,-1,0),M298:OFFSET(M299,-1,0))</f>
        <v>0</v>
      </c>
      <c r="N297" s="43">
        <f ca="1">SUMPRODUCT($B12:OFFSET($B13,-1,0),N298:OFFSET(N299,-1,0))</f>
        <v>0</v>
      </c>
      <c r="O297" s="43">
        <f ca="1">SUMPRODUCT($B12:OFFSET($B13,-1,0),O298:OFFSET(O299,-1,0))</f>
        <v>0</v>
      </c>
      <c r="P297" s="43">
        <f ca="1">SUMPRODUCT($B12:OFFSET($B13,-1,0),P298:OFFSET(P299,-1,0))</f>
        <v>0</v>
      </c>
      <c r="Q297" s="43">
        <f ca="1">SUMPRODUCT($B12:OFFSET($B13,-1,0),Q298:OFFSET(Q299,-1,0))</f>
        <v>0</v>
      </c>
      <c r="S297" s="54">
        <f t="shared" ca="1" si="34"/>
        <v>0</v>
      </c>
    </row>
    <row r="298" spans="1:19" s="181" customFormat="1" hidden="1" outlineLevel="2" x14ac:dyDescent="0.2">
      <c r="A298" s="181" t="str">
        <f>"        " &amp; A12</f>
        <v xml:space="preserve">        Наименование проекта</v>
      </c>
      <c r="C298" s="209" t="str">
        <f t="shared" ca="1" si="33"/>
        <v>руб.</v>
      </c>
      <c r="D298" s="181" t="str">
        <f>"[" &amp; F12 &amp; "];int_sum"</f>
        <v>[Проект];int_sum</v>
      </c>
      <c r="F298" s="54">
        <f ca="1">IF(OR(F$33&lt;$B28,F$33&gt;$C28),0,OFFSET(Проект!F$1439,0,1-$B28))</f>
        <v>0</v>
      </c>
      <c r="G298" s="54">
        <f ca="1">IF(OR(G$33&lt;$B28,G$33&gt;$C28),0,OFFSET(Проект!G$1439,0,1-$B28))</f>
        <v>0</v>
      </c>
      <c r="H298" s="54">
        <f ca="1">IF(OR(H$33&lt;$B28,H$33&gt;$C28),0,OFFSET(Проект!H$1439,0,1-$B28))</f>
        <v>0</v>
      </c>
      <c r="I298" s="54">
        <f ca="1">IF(OR(I$33&lt;$B28,I$33&gt;$C28),0,OFFSET(Проект!I$1439,0,1-$B28))</f>
        <v>0</v>
      </c>
      <c r="J298" s="54">
        <f ca="1">IF(OR(J$33&lt;$B28,J$33&gt;$C28),0,OFFSET(Проект!J$1439,0,1-$B28))</f>
        <v>0</v>
      </c>
      <c r="K298" s="54">
        <f ca="1">IF(OR(K$33&lt;$B28,K$33&gt;$C28),0,OFFSET(Проект!K$1439,0,1-$B28))</f>
        <v>0</v>
      </c>
      <c r="L298" s="54">
        <f ca="1">IF(OR(L$33&lt;$B28,L$33&gt;$C28),0,OFFSET(Проект!L$1439,0,1-$B28))</f>
        <v>0</v>
      </c>
      <c r="M298" s="54">
        <f ca="1">IF(OR(M$33&lt;$B28,M$33&gt;$C28),0,OFFSET(Проект!M$1439,0,1-$B28))</f>
        <v>0</v>
      </c>
      <c r="N298" s="54">
        <f ca="1">IF(OR(N$33&lt;$B28,N$33&gt;$C28),0,OFFSET(Проект!N$1439,0,1-$B28))</f>
        <v>0</v>
      </c>
      <c r="O298" s="54">
        <f ca="1">IF(OR(O$33&lt;$B28,O$33&gt;$C28),0,OFFSET(Проект!O$1439,0,1-$B28))</f>
        <v>0</v>
      </c>
      <c r="P298" s="54">
        <f ca="1">IF(OR(P$33&lt;$B28,P$33&gt;$C28),0,OFFSET(Проект!P$1439,0,1-$B28))</f>
        <v>0</v>
      </c>
      <c r="Q298" s="54">
        <f ca="1">IF(OR(Q$33&lt;$B28,Q$33&gt;$C28),0,OFFSET(Проект!Q$1439,0,1-$B28))</f>
        <v>0</v>
      </c>
      <c r="S298" s="54">
        <f t="shared" ca="1" si="34"/>
        <v>0</v>
      </c>
    </row>
    <row r="299" spans="1:19" outlineLevel="1" collapsed="1" x14ac:dyDescent="0.2">
      <c r="A299" t="str">
        <f ca="1">Language!A$694</f>
        <v>Оплата расходов будущих периодов</v>
      </c>
      <c r="C299" s="5" t="str">
        <f t="shared" ca="1" si="33"/>
        <v>руб.</v>
      </c>
      <c r="D299" s="205" t="s">
        <v>2210</v>
      </c>
      <c r="F299" s="43">
        <f ca="1">SUMPRODUCT($B12:OFFSET($B13,-1,0),F300:OFFSET(F301,-1,0))</f>
        <v>0</v>
      </c>
      <c r="G299" s="43">
        <f ca="1">SUMPRODUCT($B12:OFFSET($B13,-1,0),G300:OFFSET(G301,-1,0))</f>
        <v>0</v>
      </c>
      <c r="H299" s="43">
        <f ca="1">SUMPRODUCT($B12:OFFSET($B13,-1,0),H300:OFFSET(H301,-1,0))</f>
        <v>0</v>
      </c>
      <c r="I299" s="43">
        <f ca="1">SUMPRODUCT($B12:OFFSET($B13,-1,0),I300:OFFSET(I301,-1,0))</f>
        <v>0</v>
      </c>
      <c r="J299" s="43">
        <f ca="1">SUMPRODUCT($B12:OFFSET($B13,-1,0),J300:OFFSET(J301,-1,0))</f>
        <v>0</v>
      </c>
      <c r="K299" s="43">
        <f ca="1">SUMPRODUCT($B12:OFFSET($B13,-1,0),K300:OFFSET(K301,-1,0))</f>
        <v>0</v>
      </c>
      <c r="L299" s="43">
        <f ca="1">SUMPRODUCT($B12:OFFSET($B13,-1,0),L300:OFFSET(L301,-1,0))</f>
        <v>0</v>
      </c>
      <c r="M299" s="43">
        <f ca="1">SUMPRODUCT($B12:OFFSET($B13,-1,0),M300:OFFSET(M301,-1,0))</f>
        <v>0</v>
      </c>
      <c r="N299" s="43">
        <f ca="1">SUMPRODUCT($B12:OFFSET($B13,-1,0),N300:OFFSET(N301,-1,0))</f>
        <v>0</v>
      </c>
      <c r="O299" s="43">
        <f ca="1">SUMPRODUCT($B12:OFFSET($B13,-1,0),O300:OFFSET(O301,-1,0))</f>
        <v>0</v>
      </c>
      <c r="P299" s="43">
        <f ca="1">SUMPRODUCT($B12:OFFSET($B13,-1,0),P300:OFFSET(P301,-1,0))</f>
        <v>0</v>
      </c>
      <c r="Q299" s="43">
        <f ca="1">SUMPRODUCT($B12:OFFSET($B13,-1,0),Q300:OFFSET(Q301,-1,0))</f>
        <v>0</v>
      </c>
      <c r="S299" s="54">
        <f t="shared" ca="1" si="34"/>
        <v>0</v>
      </c>
    </row>
    <row r="300" spans="1:19" s="181" customFormat="1" hidden="1" outlineLevel="2" x14ac:dyDescent="0.2">
      <c r="A300" s="181" t="str">
        <f>"        " &amp; A12</f>
        <v xml:space="preserve">        Наименование проекта</v>
      </c>
      <c r="C300" s="209" t="str">
        <f t="shared" ca="1" si="33"/>
        <v>руб.</v>
      </c>
      <c r="D300" s="181" t="str">
        <f>"[" &amp; F12 &amp; "];int_sum"</f>
        <v>[Проект];int_sum</v>
      </c>
      <c r="F300" s="54">
        <f ca="1">IF(OR(F$33&lt;$B28,F$33&gt;$C28),0,OFFSET(Проект!F$1440,0,1-$B28))</f>
        <v>0</v>
      </c>
      <c r="G300" s="54">
        <f ca="1">IF(OR(G$33&lt;$B28,G$33&gt;$C28),0,OFFSET(Проект!G$1440,0,1-$B28))</f>
        <v>0</v>
      </c>
      <c r="H300" s="54">
        <f ca="1">IF(OR(H$33&lt;$B28,H$33&gt;$C28),0,OFFSET(Проект!H$1440,0,1-$B28))</f>
        <v>0</v>
      </c>
      <c r="I300" s="54">
        <f ca="1">IF(OR(I$33&lt;$B28,I$33&gt;$C28),0,OFFSET(Проект!I$1440,0,1-$B28))</f>
        <v>0</v>
      </c>
      <c r="J300" s="54">
        <f ca="1">IF(OR(J$33&lt;$B28,J$33&gt;$C28),0,OFFSET(Проект!J$1440,0,1-$B28))</f>
        <v>0</v>
      </c>
      <c r="K300" s="54">
        <f ca="1">IF(OR(K$33&lt;$B28,K$33&gt;$C28),0,OFFSET(Проект!K$1440,0,1-$B28))</f>
        <v>0</v>
      </c>
      <c r="L300" s="54">
        <f ca="1">IF(OR(L$33&lt;$B28,L$33&gt;$C28),0,OFFSET(Проект!L$1440,0,1-$B28))</f>
        <v>0</v>
      </c>
      <c r="M300" s="54">
        <f ca="1">IF(OR(M$33&lt;$B28,M$33&gt;$C28),0,OFFSET(Проект!M$1440,0,1-$B28))</f>
        <v>0</v>
      </c>
      <c r="N300" s="54">
        <f ca="1">IF(OR(N$33&lt;$B28,N$33&gt;$C28),0,OFFSET(Проект!N$1440,0,1-$B28))</f>
        <v>0</v>
      </c>
      <c r="O300" s="54">
        <f ca="1">IF(OR(O$33&lt;$B28,O$33&gt;$C28),0,OFFSET(Проект!O$1440,0,1-$B28))</f>
        <v>0</v>
      </c>
      <c r="P300" s="54">
        <f ca="1">IF(OR(P$33&lt;$B28,P$33&gt;$C28),0,OFFSET(Проект!P$1440,0,1-$B28))</f>
        <v>0</v>
      </c>
      <c r="Q300" s="54">
        <f ca="1">IF(OR(Q$33&lt;$B28,Q$33&gt;$C28),0,OFFSET(Проект!Q$1440,0,1-$B28))</f>
        <v>0</v>
      </c>
      <c r="S300" s="54">
        <f t="shared" ca="1" si="34"/>
        <v>0</v>
      </c>
    </row>
    <row r="301" spans="1:19" outlineLevel="1" collapsed="1" x14ac:dyDescent="0.2">
      <c r="A301" t="str">
        <f ca="1">Language!A$695</f>
        <v>Прирост чистого оборотного капитала</v>
      </c>
      <c r="C301" s="5" t="str">
        <f t="shared" ca="1" si="33"/>
        <v>руб.</v>
      </c>
      <c r="D301" s="205" t="s">
        <v>2210</v>
      </c>
      <c r="F301" s="43">
        <f ca="1">SUMPRODUCT($B12:OFFSET($B13,-1,0),F302:OFFSET(F303,-1,0))</f>
        <v>648376</v>
      </c>
      <c r="G301" s="43">
        <f ca="1">SUMPRODUCT($B12:OFFSET($B13,-1,0),G302:OFFSET(G303,-1,0))</f>
        <v>-415440</v>
      </c>
      <c r="H301" s="43">
        <f ca="1">SUMPRODUCT($B12:OFFSET($B13,-1,0),H302:OFFSET(H303,-1,0))</f>
        <v>24435.877125000115</v>
      </c>
      <c r="I301" s="43">
        <f ca="1">SUMPRODUCT($B12:OFFSET($B13,-1,0),I302:OFFSET(I303,-1,0))</f>
        <v>97743.508499999763</v>
      </c>
      <c r="J301" s="43">
        <f ca="1">SUMPRODUCT($B12:OFFSET($B13,-1,0),J302:OFFSET(J303,-1,0))</f>
        <v>122179.385625</v>
      </c>
      <c r="K301" s="43">
        <f ca="1">SUMPRODUCT($B12:OFFSET($B13,-1,0),K302:OFFSET(K303,-1,0))</f>
        <v>244358.77125000022</v>
      </c>
      <c r="L301" s="43">
        <f ca="1">SUMPRODUCT($B12:OFFSET($B13,-1,0),L302:OFFSET(L303,-1,0))</f>
        <v>244358.77124999976</v>
      </c>
      <c r="M301" s="43">
        <f ca="1">SUMPRODUCT($B12:OFFSET($B13,-1,0),M302:OFFSET(M303,-1,0))</f>
        <v>244358.77125000011</v>
      </c>
      <c r="N301" s="43">
        <f ca="1">SUMPRODUCT($B12:OFFSET($B13,-1,0),N302:OFFSET(N303,-1,0))</f>
        <v>366538.15687499987</v>
      </c>
      <c r="O301" s="43">
        <f ca="1">SUMPRODUCT($B12:OFFSET($B13,-1,0),O302:OFFSET(O303,-1,0))</f>
        <v>488717.54250000021</v>
      </c>
      <c r="P301" s="43">
        <f ca="1">SUMPRODUCT($B12:OFFSET($B13,-1,0),P302:OFFSET(P303,-1,0))</f>
        <v>366538.1568750001</v>
      </c>
      <c r="Q301" s="43">
        <f ca="1">SUMPRODUCT($B12:OFFSET($B13,-1,0),Q302:OFFSET(Q303,-1,0))</f>
        <v>244358.77124999976</v>
      </c>
      <c r="S301" s="54">
        <f t="shared" ca="1" si="34"/>
        <v>2676523.7124999999</v>
      </c>
    </row>
    <row r="302" spans="1:19" s="181" customFormat="1" hidden="1" outlineLevel="2" x14ac:dyDescent="0.2">
      <c r="A302" s="181" t="str">
        <f>"        " &amp; A12</f>
        <v xml:space="preserve">        Наименование проекта</v>
      </c>
      <c r="C302" s="209" t="str">
        <f t="shared" ca="1" si="33"/>
        <v>руб.</v>
      </c>
      <c r="D302" s="181" t="str">
        <f>"[" &amp; F12 &amp; "];int_sum"</f>
        <v>[Проект];int_sum</v>
      </c>
      <c r="F302" s="54">
        <f ca="1">IF(OR(F$33&lt;$B28,F$33&gt;$C28),0,OFFSET(Проект!F$1441,0,1-$B28))</f>
        <v>648376</v>
      </c>
      <c r="G302" s="54">
        <f ca="1">IF(OR(G$33&lt;$B28,G$33&gt;$C28),0,OFFSET(Проект!G$1441,0,1-$B28))</f>
        <v>-415440</v>
      </c>
      <c r="H302" s="54">
        <f ca="1">IF(OR(H$33&lt;$B28,H$33&gt;$C28),0,OFFSET(Проект!H$1441,0,1-$B28))</f>
        <v>24435.877125000115</v>
      </c>
      <c r="I302" s="54">
        <f ca="1">IF(OR(I$33&lt;$B28,I$33&gt;$C28),0,OFFSET(Проект!I$1441,0,1-$B28))</f>
        <v>97743.508499999763</v>
      </c>
      <c r="J302" s="54">
        <f ca="1">IF(OR(J$33&lt;$B28,J$33&gt;$C28),0,OFFSET(Проект!J$1441,0,1-$B28))</f>
        <v>122179.385625</v>
      </c>
      <c r="K302" s="54">
        <f ca="1">IF(OR(K$33&lt;$B28,K$33&gt;$C28),0,OFFSET(Проект!K$1441,0,1-$B28))</f>
        <v>244358.77125000022</v>
      </c>
      <c r="L302" s="54">
        <f ca="1">IF(OR(L$33&lt;$B28,L$33&gt;$C28),0,OFFSET(Проект!L$1441,0,1-$B28))</f>
        <v>244358.77124999976</v>
      </c>
      <c r="M302" s="54">
        <f ca="1">IF(OR(M$33&lt;$B28,M$33&gt;$C28),0,OFFSET(Проект!M$1441,0,1-$B28))</f>
        <v>244358.77125000011</v>
      </c>
      <c r="N302" s="54">
        <f ca="1">IF(OR(N$33&lt;$B28,N$33&gt;$C28),0,OFFSET(Проект!N$1441,0,1-$B28))</f>
        <v>366538.15687499987</v>
      </c>
      <c r="O302" s="54">
        <f ca="1">IF(OR(O$33&lt;$B28,O$33&gt;$C28),0,OFFSET(Проект!O$1441,0,1-$B28))</f>
        <v>488717.54250000021</v>
      </c>
      <c r="P302" s="54">
        <f ca="1">IF(OR(P$33&lt;$B28,P$33&gt;$C28),0,OFFSET(Проект!P$1441,0,1-$B28))</f>
        <v>366538.1568750001</v>
      </c>
      <c r="Q302" s="54">
        <f ca="1">IF(OR(Q$33&lt;$B28,Q$33&gt;$C28),0,OFFSET(Проект!Q$1441,0,1-$B28))</f>
        <v>244358.77124999976</v>
      </c>
      <c r="S302" s="54">
        <f t="shared" ca="1" si="34"/>
        <v>2676523.7124999999</v>
      </c>
    </row>
    <row r="303" spans="1:19" outlineLevel="1" collapsed="1" x14ac:dyDescent="0.2">
      <c r="A303" t="str">
        <f ca="1">Language!A$751</f>
        <v>Выручка от реализации активов</v>
      </c>
      <c r="C303" s="5" t="str">
        <f t="shared" ca="1" si="33"/>
        <v>руб.</v>
      </c>
      <c r="D303" s="205" t="s">
        <v>2210</v>
      </c>
      <c r="F303" s="43">
        <f ca="1">SUMPRODUCT($B12:OFFSET($B13,-1,0),F304:OFFSET(F305,-1,0))</f>
        <v>0</v>
      </c>
      <c r="G303" s="43">
        <f ca="1">SUMPRODUCT($B12:OFFSET($B13,-1,0),G304:OFFSET(G305,-1,0))</f>
        <v>0</v>
      </c>
      <c r="H303" s="43">
        <f ca="1">SUMPRODUCT($B12:OFFSET($B13,-1,0),H304:OFFSET(H305,-1,0))</f>
        <v>0</v>
      </c>
      <c r="I303" s="43">
        <f ca="1">SUMPRODUCT($B12:OFFSET($B13,-1,0),I304:OFFSET(I305,-1,0))</f>
        <v>0</v>
      </c>
      <c r="J303" s="43">
        <f ca="1">SUMPRODUCT($B12:OFFSET($B13,-1,0),J304:OFFSET(J305,-1,0))</f>
        <v>0</v>
      </c>
      <c r="K303" s="43">
        <f ca="1">SUMPRODUCT($B12:OFFSET($B13,-1,0),K304:OFFSET(K305,-1,0))</f>
        <v>0</v>
      </c>
      <c r="L303" s="43">
        <f ca="1">SUMPRODUCT($B12:OFFSET($B13,-1,0),L304:OFFSET(L305,-1,0))</f>
        <v>0</v>
      </c>
      <c r="M303" s="43">
        <f ca="1">SUMPRODUCT($B12:OFFSET($B13,-1,0),M304:OFFSET(M305,-1,0))</f>
        <v>0</v>
      </c>
      <c r="N303" s="43">
        <f ca="1">SUMPRODUCT($B12:OFFSET($B13,-1,0),N304:OFFSET(N305,-1,0))</f>
        <v>0</v>
      </c>
      <c r="O303" s="43">
        <f ca="1">SUMPRODUCT($B12:OFFSET($B13,-1,0),O304:OFFSET(O305,-1,0))</f>
        <v>0</v>
      </c>
      <c r="P303" s="43">
        <f ca="1">SUMPRODUCT($B12:OFFSET($B13,-1,0),P304:OFFSET(P305,-1,0))</f>
        <v>0</v>
      </c>
      <c r="Q303" s="43">
        <f ca="1">SUMPRODUCT($B12:OFFSET($B13,-1,0),Q304:OFFSET(Q305,-1,0))</f>
        <v>0</v>
      </c>
      <c r="S303" s="54">
        <f t="shared" ca="1" si="34"/>
        <v>0</v>
      </c>
    </row>
    <row r="304" spans="1:19" s="181" customFormat="1" hidden="1" outlineLevel="2" x14ac:dyDescent="0.2">
      <c r="A304" s="181" t="str">
        <f>"        " &amp; A12</f>
        <v xml:space="preserve">        Наименование проекта</v>
      </c>
      <c r="C304" s="209" t="str">
        <f t="shared" ca="1" si="33"/>
        <v>руб.</v>
      </c>
      <c r="D304" s="181" t="str">
        <f>"[" &amp; F12 &amp; "];int_sum"</f>
        <v>[Проект];int_sum</v>
      </c>
      <c r="F304" s="54">
        <f ca="1">IF(OR(F$33&lt;$B28,F$33&gt;$C28),0,OFFSET(Проект!F$1442,0,1-$B28))</f>
        <v>0</v>
      </c>
      <c r="G304" s="54">
        <f ca="1">IF(OR(G$33&lt;$B28,G$33&gt;$C28),0,OFFSET(Проект!G$1442,0,1-$B28))</f>
        <v>0</v>
      </c>
      <c r="H304" s="54">
        <f ca="1">IF(OR(H$33&lt;$B28,H$33&gt;$C28),0,OFFSET(Проект!H$1442,0,1-$B28))</f>
        <v>0</v>
      </c>
      <c r="I304" s="54">
        <f ca="1">IF(OR(I$33&lt;$B28,I$33&gt;$C28),0,OFFSET(Проект!I$1442,0,1-$B28))</f>
        <v>0</v>
      </c>
      <c r="J304" s="54">
        <f ca="1">IF(OR(J$33&lt;$B28,J$33&gt;$C28),0,OFFSET(Проект!J$1442,0,1-$B28))</f>
        <v>0</v>
      </c>
      <c r="K304" s="54">
        <f ca="1">IF(OR(K$33&lt;$B28,K$33&gt;$C28),0,OFFSET(Проект!K$1442,0,1-$B28))</f>
        <v>0</v>
      </c>
      <c r="L304" s="54">
        <f ca="1">IF(OR(L$33&lt;$B28,L$33&gt;$C28),0,OFFSET(Проект!L$1442,0,1-$B28))</f>
        <v>0</v>
      </c>
      <c r="M304" s="54">
        <f ca="1">IF(OR(M$33&lt;$B28,M$33&gt;$C28),0,OFFSET(Проект!M$1442,0,1-$B28))</f>
        <v>0</v>
      </c>
      <c r="N304" s="54">
        <f ca="1">IF(OR(N$33&lt;$B28,N$33&gt;$C28),0,OFFSET(Проект!N$1442,0,1-$B28))</f>
        <v>0</v>
      </c>
      <c r="O304" s="54">
        <f ca="1">IF(OR(O$33&lt;$B28,O$33&gt;$C28),0,OFFSET(Проект!O$1442,0,1-$B28))</f>
        <v>0</v>
      </c>
      <c r="P304" s="54">
        <f ca="1">IF(OR(P$33&lt;$B28,P$33&gt;$C28),0,OFFSET(Проект!P$1442,0,1-$B28))</f>
        <v>0</v>
      </c>
      <c r="Q304" s="54">
        <f ca="1">IF(OR(Q$33&lt;$B28,Q$33&gt;$C28),0,OFFSET(Проект!Q$1442,0,1-$B28))</f>
        <v>0</v>
      </c>
      <c r="S304" s="54">
        <f t="shared" ca="1" si="34"/>
        <v>0</v>
      </c>
    </row>
    <row r="305" spans="1:24" outlineLevel="1" x14ac:dyDescent="0.2">
      <c r="S305" s="11"/>
    </row>
    <row r="306" spans="1:24" ht="10.5" outlineLevel="1" collapsed="1" x14ac:dyDescent="0.25">
      <c r="A306" s="35" t="str">
        <f ca="1">Language!A$752</f>
        <v>Денежные потоки от инвестиционной деятельности</v>
      </c>
      <c r="C306" s="5" t="str">
        <f ca="1">CUR_Report</f>
        <v>руб.</v>
      </c>
      <c r="D306" s="205" t="s">
        <v>2210</v>
      </c>
      <c r="F306" s="58">
        <f ca="1">SUMPRODUCT($B12:OFFSET($B13,-1,0),F307:OFFSET(F308,-1,0))</f>
        <v>648376</v>
      </c>
      <c r="G306" s="58">
        <f ca="1">SUMPRODUCT($B12:OFFSET($B13,-1,0),G307:OFFSET(G308,-1,0))</f>
        <v>-415440</v>
      </c>
      <c r="H306" s="58">
        <f ca="1">SUMPRODUCT($B12:OFFSET($B13,-1,0),H307:OFFSET(H308,-1,0))</f>
        <v>24435.877125000115</v>
      </c>
      <c r="I306" s="58">
        <f ca="1">SUMPRODUCT($B12:OFFSET($B13,-1,0),I307:OFFSET(I308,-1,0))</f>
        <v>97743.508499999763</v>
      </c>
      <c r="J306" s="58">
        <f ca="1">SUMPRODUCT($B12:OFFSET($B13,-1,0),J307:OFFSET(J308,-1,0))</f>
        <v>122179.385625</v>
      </c>
      <c r="K306" s="58">
        <f ca="1">SUMPRODUCT($B12:OFFSET($B13,-1,0),K307:OFFSET(K308,-1,0))</f>
        <v>244358.77125000022</v>
      </c>
      <c r="L306" s="58">
        <f ca="1">SUMPRODUCT($B12:OFFSET($B13,-1,0),L307:OFFSET(L308,-1,0))</f>
        <v>244358.77124999976</v>
      </c>
      <c r="M306" s="58">
        <f ca="1">SUMPRODUCT($B12:OFFSET($B13,-1,0),M307:OFFSET(M308,-1,0))</f>
        <v>244358.77125000011</v>
      </c>
      <c r="N306" s="58">
        <f ca="1">SUMPRODUCT($B12:OFFSET($B13,-1,0),N307:OFFSET(N308,-1,0))</f>
        <v>366538.15687499987</v>
      </c>
      <c r="O306" s="58">
        <f ca="1">SUMPRODUCT($B12:OFFSET($B13,-1,0),O307:OFFSET(O308,-1,0))</f>
        <v>488717.54250000021</v>
      </c>
      <c r="P306" s="58">
        <f ca="1">SUMPRODUCT($B12:OFFSET($B13,-1,0),P307:OFFSET(P308,-1,0))</f>
        <v>366538.1568750001</v>
      </c>
      <c r="Q306" s="58">
        <f ca="1">SUMPRODUCT($B12:OFFSET($B13,-1,0),Q307:OFFSET(Q308,-1,0))</f>
        <v>244358.77124999976</v>
      </c>
      <c r="S306" s="57">
        <f ca="1">SUM(F306:Q306)</f>
        <v>2676523.7124999999</v>
      </c>
      <c r="T306" s="58"/>
      <c r="U306" s="58"/>
      <c r="V306" s="58"/>
      <c r="W306" s="58"/>
      <c r="X306" s="58"/>
    </row>
    <row r="307" spans="1:24" s="11" customFormat="1" hidden="1" outlineLevel="2" x14ac:dyDescent="0.2">
      <c r="A307" s="11" t="str">
        <f>"        " &amp; A12</f>
        <v xml:space="preserve">        Наименование проекта</v>
      </c>
      <c r="C307" s="36" t="str">
        <f ca="1">CUR_Report</f>
        <v>руб.</v>
      </c>
      <c r="D307" s="11" t="str">
        <f>"[" &amp; F12 &amp; "];int_sum"</f>
        <v>[Проект];int_sum</v>
      </c>
      <c r="F307" s="54">
        <f ca="1">IF(OR(F$33&lt;$B28,F$33&gt;$C28),0,OFFSET(Проект!F$1444,0,1-$B28))</f>
        <v>648376</v>
      </c>
      <c r="G307" s="54">
        <f ca="1">IF(OR(G$33&lt;$B28,G$33&gt;$C28),0,OFFSET(Проект!G$1444,0,1-$B28))</f>
        <v>-415440</v>
      </c>
      <c r="H307" s="54">
        <f ca="1">IF(OR(H$33&lt;$B28,H$33&gt;$C28),0,OFFSET(Проект!H$1444,0,1-$B28))</f>
        <v>24435.877125000115</v>
      </c>
      <c r="I307" s="54">
        <f ca="1">IF(OR(I$33&lt;$B28,I$33&gt;$C28),0,OFFSET(Проект!I$1444,0,1-$B28))</f>
        <v>97743.508499999763</v>
      </c>
      <c r="J307" s="54">
        <f ca="1">IF(OR(J$33&lt;$B28,J$33&gt;$C28),0,OFFSET(Проект!J$1444,0,1-$B28))</f>
        <v>122179.385625</v>
      </c>
      <c r="K307" s="54">
        <f ca="1">IF(OR(K$33&lt;$B28,K$33&gt;$C28),0,OFFSET(Проект!K$1444,0,1-$B28))</f>
        <v>244358.77125000022</v>
      </c>
      <c r="L307" s="54">
        <f ca="1">IF(OR(L$33&lt;$B28,L$33&gt;$C28),0,OFFSET(Проект!L$1444,0,1-$B28))</f>
        <v>244358.77124999976</v>
      </c>
      <c r="M307" s="54">
        <f ca="1">IF(OR(M$33&lt;$B28,M$33&gt;$C28),0,OFFSET(Проект!M$1444,0,1-$B28))</f>
        <v>244358.77125000011</v>
      </c>
      <c r="N307" s="54">
        <f ca="1">IF(OR(N$33&lt;$B28,N$33&gt;$C28),0,OFFSET(Проект!N$1444,0,1-$B28))</f>
        <v>366538.15687499987</v>
      </c>
      <c r="O307" s="54">
        <f ca="1">IF(OR(O$33&lt;$B28,O$33&gt;$C28),0,OFFSET(Проект!O$1444,0,1-$B28))</f>
        <v>488717.54250000021</v>
      </c>
      <c r="P307" s="54">
        <f ca="1">IF(OR(P$33&lt;$B28,P$33&gt;$C28),0,OFFSET(Проект!P$1444,0,1-$B28))</f>
        <v>366538.1568750001</v>
      </c>
      <c r="Q307" s="54">
        <f ca="1">IF(OR(Q$33&lt;$B28,Q$33&gt;$C28),0,OFFSET(Проект!Q$1444,0,1-$B28))</f>
        <v>244358.77124999976</v>
      </c>
      <c r="S307" s="54">
        <f ca="1">SUM(F307:Q307)</f>
        <v>2676523.7124999999</v>
      </c>
      <c r="T307" s="54"/>
      <c r="U307" s="54"/>
      <c r="V307" s="54"/>
      <c r="W307" s="54"/>
      <c r="X307" s="54"/>
    </row>
    <row r="308" spans="1:24" outlineLevel="1" x14ac:dyDescent="0.2">
      <c r="S308" s="11"/>
    </row>
    <row r="309" spans="1:24" outlineLevel="1" collapsed="1" x14ac:dyDescent="0.2">
      <c r="A309" t="str">
        <f ca="1">Language!A$753</f>
        <v>Поступления собственного капитала</v>
      </c>
      <c r="C309" s="5" t="str">
        <f t="shared" ref="C309:C322" ca="1" si="35">CUR_Report</f>
        <v>руб.</v>
      </c>
      <c r="D309" s="205" t="s">
        <v>2210</v>
      </c>
      <c r="F309" s="43">
        <f ca="1">SUMPRODUCT($B12:OFFSET($B13,-1,0),F310:OFFSET(F311,-1,0))</f>
        <v>0</v>
      </c>
      <c r="G309" s="43">
        <f ca="1">SUMPRODUCT($B12:OFFSET($B13,-1,0),G310:OFFSET(G311,-1,0))</f>
        <v>0</v>
      </c>
      <c r="H309" s="43">
        <f ca="1">SUMPRODUCT($B12:OFFSET($B13,-1,0),H310:OFFSET(H311,-1,0))</f>
        <v>0</v>
      </c>
      <c r="I309" s="43">
        <f ca="1">SUMPRODUCT($B12:OFFSET($B13,-1,0),I310:OFFSET(I311,-1,0))</f>
        <v>0</v>
      </c>
      <c r="J309" s="43">
        <f ca="1">SUMPRODUCT($B12:OFFSET($B13,-1,0),J310:OFFSET(J311,-1,0))</f>
        <v>0</v>
      </c>
      <c r="K309" s="43">
        <f ca="1">SUMPRODUCT($B12:OFFSET($B13,-1,0),K310:OFFSET(K311,-1,0))</f>
        <v>0</v>
      </c>
      <c r="L309" s="43">
        <f ca="1">SUMPRODUCT($B12:OFFSET($B13,-1,0),L310:OFFSET(L311,-1,0))</f>
        <v>0</v>
      </c>
      <c r="M309" s="43">
        <f ca="1">SUMPRODUCT($B12:OFFSET($B13,-1,0),M310:OFFSET(M311,-1,0))</f>
        <v>0</v>
      </c>
      <c r="N309" s="43">
        <f ca="1">SUMPRODUCT($B12:OFFSET($B13,-1,0),N310:OFFSET(N311,-1,0))</f>
        <v>0</v>
      </c>
      <c r="O309" s="43">
        <f ca="1">SUMPRODUCT($B12:OFFSET($B13,-1,0),O310:OFFSET(O311,-1,0))</f>
        <v>0</v>
      </c>
      <c r="P309" s="43">
        <f ca="1">SUMPRODUCT($B12:OFFSET($B13,-1,0),P310:OFFSET(P311,-1,0))</f>
        <v>0</v>
      </c>
      <c r="Q309" s="43">
        <f ca="1">SUMPRODUCT($B12:OFFSET($B13,-1,0),Q310:OFFSET(Q311,-1,0))</f>
        <v>0</v>
      </c>
      <c r="S309" s="54">
        <f t="shared" ref="S309:S322" ca="1" si="36">SUM(F309:Q309)</f>
        <v>0</v>
      </c>
    </row>
    <row r="310" spans="1:24" s="181" customFormat="1" hidden="1" outlineLevel="2" x14ac:dyDescent="0.2">
      <c r="A310" s="181" t="str">
        <f>"        " &amp; A12</f>
        <v xml:space="preserve">        Наименование проекта</v>
      </c>
      <c r="C310" s="209" t="str">
        <f t="shared" ca="1" si="35"/>
        <v>руб.</v>
      </c>
      <c r="D310" s="181" t="str">
        <f>"[" &amp; F12 &amp; "];int_sum"</f>
        <v>[Проект];int_sum</v>
      </c>
      <c r="F310" s="54">
        <f ca="1">IF(OR(F$33&lt;$B28,F$33&gt;$C28),0,OFFSET(Проект!F$1446,0,1-$B28))</f>
        <v>0</v>
      </c>
      <c r="G310" s="54">
        <f ca="1">IF(OR(G$33&lt;$B28,G$33&gt;$C28),0,OFFSET(Проект!G$1446,0,1-$B28))</f>
        <v>0</v>
      </c>
      <c r="H310" s="54">
        <f ca="1">IF(OR(H$33&lt;$B28,H$33&gt;$C28),0,OFFSET(Проект!H$1446,0,1-$B28))</f>
        <v>0</v>
      </c>
      <c r="I310" s="54">
        <f ca="1">IF(OR(I$33&lt;$B28,I$33&gt;$C28),0,OFFSET(Проект!I$1446,0,1-$B28))</f>
        <v>0</v>
      </c>
      <c r="J310" s="54">
        <f ca="1">IF(OR(J$33&lt;$B28,J$33&gt;$C28),0,OFFSET(Проект!J$1446,0,1-$B28))</f>
        <v>0</v>
      </c>
      <c r="K310" s="54">
        <f ca="1">IF(OR(K$33&lt;$B28,K$33&gt;$C28),0,OFFSET(Проект!K$1446,0,1-$B28))</f>
        <v>0</v>
      </c>
      <c r="L310" s="54">
        <f ca="1">IF(OR(L$33&lt;$B28,L$33&gt;$C28),0,OFFSET(Проект!L$1446,0,1-$B28))</f>
        <v>0</v>
      </c>
      <c r="M310" s="54">
        <f ca="1">IF(OR(M$33&lt;$B28,M$33&gt;$C28),0,OFFSET(Проект!M$1446,0,1-$B28))</f>
        <v>0</v>
      </c>
      <c r="N310" s="54">
        <f ca="1">IF(OR(N$33&lt;$B28,N$33&gt;$C28),0,OFFSET(Проект!N$1446,0,1-$B28))</f>
        <v>0</v>
      </c>
      <c r="O310" s="54">
        <f ca="1">IF(OR(O$33&lt;$B28,O$33&gt;$C28),0,OFFSET(Проект!O$1446,0,1-$B28))</f>
        <v>0</v>
      </c>
      <c r="P310" s="54">
        <f ca="1">IF(OR(P$33&lt;$B28,P$33&gt;$C28),0,OFFSET(Проект!P$1446,0,1-$B28))</f>
        <v>0</v>
      </c>
      <c r="Q310" s="54">
        <f ca="1">IF(OR(Q$33&lt;$B28,Q$33&gt;$C28),0,OFFSET(Проект!Q$1446,0,1-$B28))</f>
        <v>0</v>
      </c>
      <c r="S310" s="54">
        <f t="shared" ca="1" si="36"/>
        <v>0</v>
      </c>
    </row>
    <row r="311" spans="1:24" outlineLevel="1" collapsed="1" x14ac:dyDescent="0.2">
      <c r="A311" t="str">
        <f ca="1">Language!A$754</f>
        <v>Целевое финансирование</v>
      </c>
      <c r="C311" s="5" t="str">
        <f t="shared" ca="1" si="35"/>
        <v>руб.</v>
      </c>
      <c r="D311" s="205" t="s">
        <v>2210</v>
      </c>
      <c r="F311" s="43">
        <f ca="1">SUMPRODUCT($B12:OFFSET($B13,-1,0),F312:OFFSET(F313,-1,0))</f>
        <v>0</v>
      </c>
      <c r="G311" s="43">
        <f ca="1">SUMPRODUCT($B12:OFFSET($B13,-1,0),G312:OFFSET(G313,-1,0))</f>
        <v>0</v>
      </c>
      <c r="H311" s="43">
        <f ca="1">SUMPRODUCT($B12:OFFSET($B13,-1,0),H312:OFFSET(H313,-1,0))</f>
        <v>0</v>
      </c>
      <c r="I311" s="43">
        <f ca="1">SUMPRODUCT($B12:OFFSET($B13,-1,0),I312:OFFSET(I313,-1,0))</f>
        <v>0</v>
      </c>
      <c r="J311" s="43">
        <f ca="1">SUMPRODUCT($B12:OFFSET($B13,-1,0),J312:OFFSET(J313,-1,0))</f>
        <v>0</v>
      </c>
      <c r="K311" s="43">
        <f ca="1">SUMPRODUCT($B12:OFFSET($B13,-1,0),K312:OFFSET(K313,-1,0))</f>
        <v>0</v>
      </c>
      <c r="L311" s="43">
        <f ca="1">SUMPRODUCT($B12:OFFSET($B13,-1,0),L312:OFFSET(L313,-1,0))</f>
        <v>0</v>
      </c>
      <c r="M311" s="43">
        <f ca="1">SUMPRODUCT($B12:OFFSET($B13,-1,0),M312:OFFSET(M313,-1,0))</f>
        <v>0</v>
      </c>
      <c r="N311" s="43">
        <f ca="1">SUMPRODUCT($B12:OFFSET($B13,-1,0),N312:OFFSET(N313,-1,0))</f>
        <v>0</v>
      </c>
      <c r="O311" s="43">
        <f ca="1">SUMPRODUCT($B12:OFFSET($B13,-1,0),O312:OFFSET(O313,-1,0))</f>
        <v>0</v>
      </c>
      <c r="P311" s="43">
        <f ca="1">SUMPRODUCT($B12:OFFSET($B13,-1,0),P312:OFFSET(P313,-1,0))</f>
        <v>0</v>
      </c>
      <c r="Q311" s="43">
        <f ca="1">SUMPRODUCT($B12:OFFSET($B13,-1,0),Q312:OFFSET(Q313,-1,0))</f>
        <v>0</v>
      </c>
      <c r="S311" s="54">
        <f t="shared" ca="1" si="36"/>
        <v>0</v>
      </c>
    </row>
    <row r="312" spans="1:24" s="181" customFormat="1" hidden="1" outlineLevel="2" x14ac:dyDescent="0.2">
      <c r="A312" s="181" t="str">
        <f>"        " &amp; A12</f>
        <v xml:space="preserve">        Наименование проекта</v>
      </c>
      <c r="C312" s="209" t="str">
        <f t="shared" ca="1" si="35"/>
        <v>руб.</v>
      </c>
      <c r="D312" s="181" t="str">
        <f>"[" &amp; F12 &amp; "];int_sum"</f>
        <v>[Проект];int_sum</v>
      </c>
      <c r="F312" s="54">
        <f ca="1">IF(OR(F$33&lt;$B28,F$33&gt;$C28),0,OFFSET(Проект!F$1447,0,1-$B28))</f>
        <v>0</v>
      </c>
      <c r="G312" s="54">
        <f ca="1">IF(OR(G$33&lt;$B28,G$33&gt;$C28),0,OFFSET(Проект!G$1447,0,1-$B28))</f>
        <v>0</v>
      </c>
      <c r="H312" s="54">
        <f ca="1">IF(OR(H$33&lt;$B28,H$33&gt;$C28),0,OFFSET(Проект!H$1447,0,1-$B28))</f>
        <v>0</v>
      </c>
      <c r="I312" s="54">
        <f ca="1">IF(OR(I$33&lt;$B28,I$33&gt;$C28),0,OFFSET(Проект!I$1447,0,1-$B28))</f>
        <v>0</v>
      </c>
      <c r="J312" s="54">
        <f ca="1">IF(OR(J$33&lt;$B28,J$33&gt;$C28),0,OFFSET(Проект!J$1447,0,1-$B28))</f>
        <v>0</v>
      </c>
      <c r="K312" s="54">
        <f ca="1">IF(OR(K$33&lt;$B28,K$33&gt;$C28),0,OFFSET(Проект!K$1447,0,1-$B28))</f>
        <v>0</v>
      </c>
      <c r="L312" s="54">
        <f ca="1">IF(OR(L$33&lt;$B28,L$33&gt;$C28),0,OFFSET(Проект!L$1447,0,1-$B28))</f>
        <v>0</v>
      </c>
      <c r="M312" s="54">
        <f ca="1">IF(OR(M$33&lt;$B28,M$33&gt;$C28),0,OFFSET(Проект!M$1447,0,1-$B28))</f>
        <v>0</v>
      </c>
      <c r="N312" s="54">
        <f ca="1">IF(OR(N$33&lt;$B28,N$33&gt;$C28),0,OFFSET(Проект!N$1447,0,1-$B28))</f>
        <v>0</v>
      </c>
      <c r="O312" s="54">
        <f ca="1">IF(OR(O$33&lt;$B28,O$33&gt;$C28),0,OFFSET(Проект!O$1447,0,1-$B28))</f>
        <v>0</v>
      </c>
      <c r="P312" s="54">
        <f ca="1">IF(OR(P$33&lt;$B28,P$33&gt;$C28),0,OFFSET(Проект!P$1447,0,1-$B28))</f>
        <v>0</v>
      </c>
      <c r="Q312" s="54">
        <f ca="1">IF(OR(Q$33&lt;$B28,Q$33&gt;$C28),0,OFFSET(Проект!Q$1447,0,1-$B28))</f>
        <v>0</v>
      </c>
      <c r="S312" s="54">
        <f t="shared" ca="1" si="36"/>
        <v>0</v>
      </c>
    </row>
    <row r="313" spans="1:24" outlineLevel="1" collapsed="1" x14ac:dyDescent="0.2">
      <c r="A313" t="str">
        <f ca="1">Language!A$650</f>
        <v>Средства от инвесторов строительства</v>
      </c>
      <c r="C313" s="5" t="str">
        <f t="shared" ca="1" si="35"/>
        <v>руб.</v>
      </c>
      <c r="D313" s="205" t="s">
        <v>2210</v>
      </c>
      <c r="F313" s="43">
        <f ca="1">SUMPRODUCT($B12:OFFSET($B13,-1,0),F314:OFFSET(F315,-1,0))</f>
        <v>0</v>
      </c>
      <c r="G313" s="43">
        <f ca="1">SUMPRODUCT($B12:OFFSET($B13,-1,0),G314:OFFSET(G315,-1,0))</f>
        <v>0</v>
      </c>
      <c r="H313" s="43">
        <f ca="1">SUMPRODUCT($B12:OFFSET($B13,-1,0),H314:OFFSET(H315,-1,0))</f>
        <v>0</v>
      </c>
      <c r="I313" s="43">
        <f ca="1">SUMPRODUCT($B12:OFFSET($B13,-1,0),I314:OFFSET(I315,-1,0))</f>
        <v>0</v>
      </c>
      <c r="J313" s="43">
        <f ca="1">SUMPRODUCT($B12:OFFSET($B13,-1,0),J314:OFFSET(J315,-1,0))</f>
        <v>0</v>
      </c>
      <c r="K313" s="43">
        <f ca="1">SUMPRODUCT($B12:OFFSET($B13,-1,0),K314:OFFSET(K315,-1,0))</f>
        <v>0</v>
      </c>
      <c r="L313" s="43">
        <f ca="1">SUMPRODUCT($B12:OFFSET($B13,-1,0),L314:OFFSET(L315,-1,0))</f>
        <v>0</v>
      </c>
      <c r="M313" s="43">
        <f ca="1">SUMPRODUCT($B12:OFFSET($B13,-1,0),M314:OFFSET(M315,-1,0))</f>
        <v>0</v>
      </c>
      <c r="N313" s="43">
        <f ca="1">SUMPRODUCT($B12:OFFSET($B13,-1,0),N314:OFFSET(N315,-1,0))</f>
        <v>0</v>
      </c>
      <c r="O313" s="43">
        <f ca="1">SUMPRODUCT($B12:OFFSET($B13,-1,0),O314:OFFSET(O315,-1,0))</f>
        <v>0</v>
      </c>
      <c r="P313" s="43">
        <f ca="1">SUMPRODUCT($B12:OFFSET($B13,-1,0),P314:OFFSET(P315,-1,0))</f>
        <v>0</v>
      </c>
      <c r="Q313" s="43">
        <f ca="1">SUMPRODUCT($B12:OFFSET($B13,-1,0),Q314:OFFSET(Q315,-1,0))</f>
        <v>0</v>
      </c>
      <c r="S313" s="54">
        <f t="shared" ca="1" si="36"/>
        <v>0</v>
      </c>
    </row>
    <row r="314" spans="1:24" s="181" customFormat="1" hidden="1" outlineLevel="2" x14ac:dyDescent="0.2">
      <c r="A314" s="181" t="str">
        <f>"        " &amp; A12</f>
        <v xml:space="preserve">        Наименование проекта</v>
      </c>
      <c r="C314" s="209" t="str">
        <f t="shared" ca="1" si="35"/>
        <v>руб.</v>
      </c>
      <c r="D314" s="181" t="str">
        <f>"[" &amp; F12 &amp; "];int_sum"</f>
        <v>[Проект];int_sum</v>
      </c>
      <c r="F314" s="54">
        <f ca="1">IF(OR(F$33&lt;$B28,F$33&gt;$C28),0,OFFSET(Проект!F$1448,0,1-$B28))</f>
        <v>0</v>
      </c>
      <c r="G314" s="54">
        <f ca="1">IF(OR(G$33&lt;$B28,G$33&gt;$C28),0,OFFSET(Проект!G$1448,0,1-$B28))</f>
        <v>0</v>
      </c>
      <c r="H314" s="54">
        <f ca="1">IF(OR(H$33&lt;$B28,H$33&gt;$C28),0,OFFSET(Проект!H$1448,0,1-$B28))</f>
        <v>0</v>
      </c>
      <c r="I314" s="54">
        <f ca="1">IF(OR(I$33&lt;$B28,I$33&gt;$C28),0,OFFSET(Проект!I$1448,0,1-$B28))</f>
        <v>0</v>
      </c>
      <c r="J314" s="54">
        <f ca="1">IF(OR(J$33&lt;$B28,J$33&gt;$C28),0,OFFSET(Проект!J$1448,0,1-$B28))</f>
        <v>0</v>
      </c>
      <c r="K314" s="54">
        <f ca="1">IF(OR(K$33&lt;$B28,K$33&gt;$C28),0,OFFSET(Проект!K$1448,0,1-$B28))</f>
        <v>0</v>
      </c>
      <c r="L314" s="54">
        <f ca="1">IF(OR(L$33&lt;$B28,L$33&gt;$C28),0,OFFSET(Проект!L$1448,0,1-$B28))</f>
        <v>0</v>
      </c>
      <c r="M314" s="54">
        <f ca="1">IF(OR(M$33&lt;$B28,M$33&gt;$C28),0,OFFSET(Проект!M$1448,0,1-$B28))</f>
        <v>0</v>
      </c>
      <c r="N314" s="54">
        <f ca="1">IF(OR(N$33&lt;$B28,N$33&gt;$C28),0,OFFSET(Проект!N$1448,0,1-$B28))</f>
        <v>0</v>
      </c>
      <c r="O314" s="54">
        <f ca="1">IF(OR(O$33&lt;$B28,O$33&gt;$C28),0,OFFSET(Проект!O$1448,0,1-$B28))</f>
        <v>0</v>
      </c>
      <c r="P314" s="54">
        <f ca="1">IF(OR(P$33&lt;$B28,P$33&gt;$C28),0,OFFSET(Проект!P$1448,0,1-$B28))</f>
        <v>0</v>
      </c>
      <c r="Q314" s="54">
        <f ca="1">IF(OR(Q$33&lt;$B28,Q$33&gt;$C28),0,OFFSET(Проект!Q$1448,0,1-$B28))</f>
        <v>0</v>
      </c>
      <c r="S314" s="54">
        <f t="shared" ca="1" si="36"/>
        <v>0</v>
      </c>
    </row>
    <row r="315" spans="1:24" outlineLevel="1" collapsed="1" x14ac:dyDescent="0.2">
      <c r="A315" t="str">
        <f ca="1">Language!A$755</f>
        <v>Поступления кредитов</v>
      </c>
      <c r="C315" s="5" t="str">
        <f t="shared" ca="1" si="35"/>
        <v>руб.</v>
      </c>
      <c r="D315" s="205" t="s">
        <v>2210</v>
      </c>
      <c r="F315" s="43">
        <f ca="1">SUMPRODUCT($B12:OFFSET($B13,-1,0),F316:OFFSET(F317,-1,0))</f>
        <v>2359067.6844783714</v>
      </c>
      <c r="G315" s="43">
        <f ca="1">SUMPRODUCT($B12:OFFSET($B13,-1,0),G316:OFFSET(G317,-1,0))</f>
        <v>2982103.1201237948</v>
      </c>
      <c r="H315" s="43">
        <f ca="1">SUMPRODUCT($B12:OFFSET($B13,-1,0),H316:OFFSET(H317,-1,0))</f>
        <v>2393268.0173260393</v>
      </c>
      <c r="I315" s="43">
        <f ca="1">SUMPRODUCT($B12:OFFSET($B13,-1,0),I316:OFFSET(I317,-1,0))</f>
        <v>1809034.9566888495</v>
      </c>
      <c r="J315" s="43">
        <f ca="1">SUMPRODUCT($B12:OFFSET($B13,-1,0),J316:OFFSET(J317,-1,0))</f>
        <v>1144435.2062421832</v>
      </c>
      <c r="K315" s="43">
        <f ca="1">SUMPRODUCT($B12:OFFSET($B13,-1,0),K316:OFFSET(K317,-1,0))</f>
        <v>0</v>
      </c>
      <c r="L315" s="43">
        <f ca="1">SUMPRODUCT($B12:OFFSET($B13,-1,0),L316:OFFSET(L317,-1,0))</f>
        <v>0</v>
      </c>
      <c r="M315" s="43">
        <f ca="1">SUMPRODUCT($B12:OFFSET($B13,-1,0),M316:OFFSET(M317,-1,0))</f>
        <v>0</v>
      </c>
      <c r="N315" s="43">
        <f ca="1">SUMPRODUCT($B12:OFFSET($B13,-1,0),N316:OFFSET(N317,-1,0))</f>
        <v>0</v>
      </c>
      <c r="O315" s="43">
        <f ca="1">SUMPRODUCT($B12:OFFSET($B13,-1,0),O316:OFFSET(O317,-1,0))</f>
        <v>0</v>
      </c>
      <c r="P315" s="43">
        <f ca="1">SUMPRODUCT($B12:OFFSET($B13,-1,0),P316:OFFSET(P317,-1,0))</f>
        <v>0</v>
      </c>
      <c r="Q315" s="43">
        <f ca="1">SUMPRODUCT($B12:OFFSET($B13,-1,0),Q316:OFFSET(Q317,-1,0))</f>
        <v>0</v>
      </c>
      <c r="S315" s="54">
        <f t="shared" ca="1" si="36"/>
        <v>10687908.984859239</v>
      </c>
    </row>
    <row r="316" spans="1:24" s="181" customFormat="1" hidden="1" outlineLevel="2" x14ac:dyDescent="0.2">
      <c r="A316" s="181" t="str">
        <f>"        " &amp; A12</f>
        <v xml:space="preserve">        Наименование проекта</v>
      </c>
      <c r="C316" s="209" t="str">
        <f t="shared" ca="1" si="35"/>
        <v>руб.</v>
      </c>
      <c r="D316" s="181" t="str">
        <f>"[" &amp; F12 &amp; "];int_sum"</f>
        <v>[Проект];int_sum</v>
      </c>
      <c r="F316" s="54">
        <f ca="1">IF(OR(F$33&lt;$B28,F$33&gt;$C28),0,OFFSET(Проект!F$1449,0,1-$B28))</f>
        <v>2359067.6844783714</v>
      </c>
      <c r="G316" s="54">
        <f ca="1">IF(OR(G$33&lt;$B28,G$33&gt;$C28),0,OFFSET(Проект!G$1449,0,1-$B28))</f>
        <v>2982103.1201237948</v>
      </c>
      <c r="H316" s="54">
        <f ca="1">IF(OR(H$33&lt;$B28,H$33&gt;$C28),0,OFFSET(Проект!H$1449,0,1-$B28))</f>
        <v>2393268.0173260393</v>
      </c>
      <c r="I316" s="54">
        <f ca="1">IF(OR(I$33&lt;$B28,I$33&gt;$C28),0,OFFSET(Проект!I$1449,0,1-$B28))</f>
        <v>1809034.9566888495</v>
      </c>
      <c r="J316" s="54">
        <f ca="1">IF(OR(J$33&lt;$B28,J$33&gt;$C28),0,OFFSET(Проект!J$1449,0,1-$B28))</f>
        <v>1144435.2062421832</v>
      </c>
      <c r="K316" s="54">
        <f ca="1">IF(OR(K$33&lt;$B28,K$33&gt;$C28),0,OFFSET(Проект!K$1449,0,1-$B28))</f>
        <v>0</v>
      </c>
      <c r="L316" s="54">
        <f ca="1">IF(OR(L$33&lt;$B28,L$33&gt;$C28),0,OFFSET(Проект!L$1449,0,1-$B28))</f>
        <v>0</v>
      </c>
      <c r="M316" s="54">
        <f ca="1">IF(OR(M$33&lt;$B28,M$33&gt;$C28),0,OFFSET(Проект!M$1449,0,1-$B28))</f>
        <v>0</v>
      </c>
      <c r="N316" s="54">
        <f ca="1">IF(OR(N$33&lt;$B28,N$33&gt;$C28),0,OFFSET(Проект!N$1449,0,1-$B28))</f>
        <v>0</v>
      </c>
      <c r="O316" s="54">
        <f ca="1">IF(OR(O$33&lt;$B28,O$33&gt;$C28),0,OFFSET(Проект!O$1449,0,1-$B28))</f>
        <v>0</v>
      </c>
      <c r="P316" s="54">
        <f ca="1">IF(OR(P$33&lt;$B28,P$33&gt;$C28),0,OFFSET(Проект!P$1449,0,1-$B28))</f>
        <v>0</v>
      </c>
      <c r="Q316" s="54">
        <f ca="1">IF(OR(Q$33&lt;$B28,Q$33&gt;$C28),0,OFFSET(Проект!Q$1449,0,1-$B28))</f>
        <v>0</v>
      </c>
      <c r="S316" s="54">
        <f t="shared" ca="1" si="36"/>
        <v>10687908.984859239</v>
      </c>
    </row>
    <row r="317" spans="1:24" outlineLevel="1" collapsed="1" x14ac:dyDescent="0.2">
      <c r="A317" t="str">
        <f ca="1">Language!A$756</f>
        <v>Возврат кредитов</v>
      </c>
      <c r="C317" s="5" t="str">
        <f t="shared" ca="1" si="35"/>
        <v>руб.</v>
      </c>
      <c r="D317" s="205" t="s">
        <v>2210</v>
      </c>
      <c r="F317" s="43">
        <f ca="1">SUMPRODUCT($B12:OFFSET($B13,-1,0),F318:OFFSET(F319,-1,0))</f>
        <v>0</v>
      </c>
      <c r="G317" s="43">
        <f ca="1">SUMPRODUCT($B12:OFFSET($B13,-1,0),G318:OFFSET(G319,-1,0))</f>
        <v>0</v>
      </c>
      <c r="H317" s="43">
        <f ca="1">SUMPRODUCT($B12:OFFSET($B13,-1,0),H318:OFFSET(H319,-1,0))</f>
        <v>0</v>
      </c>
      <c r="I317" s="43">
        <f ca="1">SUMPRODUCT($B12:OFFSET($B13,-1,0),I318:OFFSET(I319,-1,0))</f>
        <v>0</v>
      </c>
      <c r="J317" s="43">
        <f ca="1">SUMPRODUCT($B12:OFFSET($B13,-1,0),J318:OFFSET(J319,-1,0))</f>
        <v>0</v>
      </c>
      <c r="K317" s="43">
        <f ca="1">SUMPRODUCT($B12:OFFSET($B13,-1,0),K318:OFFSET(K319,-1,0))</f>
        <v>-23659.363592692334</v>
      </c>
      <c r="L317" s="43">
        <f ca="1">SUMPRODUCT($B12:OFFSET($B13,-1,0),L318:OFFSET(L319,-1,0))</f>
        <v>-1202620.5457013601</v>
      </c>
      <c r="M317" s="43">
        <f ca="1">SUMPRODUCT($B12:OFFSET($B13,-1,0),M318:OFFSET(M319,-1,0))</f>
        <v>-2406104.568837841</v>
      </c>
      <c r="N317" s="43">
        <f ca="1">SUMPRODUCT($B12:OFFSET($B13,-1,0),N318:OFFSET(N319,-1,0))</f>
        <v>-4335106.8980769133</v>
      </c>
      <c r="O317" s="43">
        <f ca="1">SUMPRODUCT($B12:OFFSET($B13,-1,0),O318:OFFSET(O319,-1,0))</f>
        <v>-3558056.5059945099</v>
      </c>
      <c r="P317" s="43">
        <f ca="1">SUMPRODUCT($B12:OFFSET($B13,-1,0),P318:OFFSET(P319,-1,0))</f>
        <v>0</v>
      </c>
      <c r="Q317" s="43">
        <f ca="1">SUMPRODUCT($B12:OFFSET($B13,-1,0),Q318:OFFSET(Q319,-1,0))</f>
        <v>0</v>
      </c>
      <c r="S317" s="54">
        <f t="shared" ca="1" si="36"/>
        <v>-11525547.882203316</v>
      </c>
    </row>
    <row r="318" spans="1:24" s="181" customFormat="1" hidden="1" outlineLevel="2" x14ac:dyDescent="0.2">
      <c r="A318" s="181" t="str">
        <f>"        " &amp; A12</f>
        <v xml:space="preserve">        Наименование проекта</v>
      </c>
      <c r="C318" s="209" t="str">
        <f t="shared" ca="1" si="35"/>
        <v>руб.</v>
      </c>
      <c r="D318" s="181" t="str">
        <f>"[" &amp; F12 &amp; "];int_sum"</f>
        <v>[Проект];int_sum</v>
      </c>
      <c r="F318" s="54">
        <f ca="1">IF(OR(F$33&lt;$B28,F$33&gt;$C28),0,OFFSET(Проект!F$1450,0,1-$B28))</f>
        <v>0</v>
      </c>
      <c r="G318" s="54">
        <f ca="1">IF(OR(G$33&lt;$B28,G$33&gt;$C28),0,OFFSET(Проект!G$1450,0,1-$B28))</f>
        <v>0</v>
      </c>
      <c r="H318" s="54">
        <f ca="1">IF(OR(H$33&lt;$B28,H$33&gt;$C28),0,OFFSET(Проект!H$1450,0,1-$B28))</f>
        <v>0</v>
      </c>
      <c r="I318" s="54">
        <f ca="1">IF(OR(I$33&lt;$B28,I$33&gt;$C28),0,OFFSET(Проект!I$1450,0,1-$B28))</f>
        <v>0</v>
      </c>
      <c r="J318" s="54">
        <f ca="1">IF(OR(J$33&lt;$B28,J$33&gt;$C28),0,OFFSET(Проект!J$1450,0,1-$B28))</f>
        <v>0</v>
      </c>
      <c r="K318" s="54">
        <f ca="1">IF(OR(K$33&lt;$B28,K$33&gt;$C28),0,OFFSET(Проект!K$1450,0,1-$B28))</f>
        <v>-23659.363592692334</v>
      </c>
      <c r="L318" s="54">
        <f ca="1">IF(OR(L$33&lt;$B28,L$33&gt;$C28),0,OFFSET(Проект!L$1450,0,1-$B28))</f>
        <v>-1202620.5457013601</v>
      </c>
      <c r="M318" s="54">
        <f ca="1">IF(OR(M$33&lt;$B28,M$33&gt;$C28),0,OFFSET(Проект!M$1450,0,1-$B28))</f>
        <v>-2406104.568837841</v>
      </c>
      <c r="N318" s="54">
        <f ca="1">IF(OR(N$33&lt;$B28,N$33&gt;$C28),0,OFFSET(Проект!N$1450,0,1-$B28))</f>
        <v>-4335106.8980769133</v>
      </c>
      <c r="O318" s="54">
        <f ca="1">IF(OR(O$33&lt;$B28,O$33&gt;$C28),0,OFFSET(Проект!O$1450,0,1-$B28))</f>
        <v>-3558056.5059945099</v>
      </c>
      <c r="P318" s="54">
        <f ca="1">IF(OR(P$33&lt;$B28,P$33&gt;$C28),0,OFFSET(Проект!P$1450,0,1-$B28))</f>
        <v>0</v>
      </c>
      <c r="Q318" s="54">
        <f ca="1">IF(OR(Q$33&lt;$B28,Q$33&gt;$C28),0,OFFSET(Проект!Q$1450,0,1-$B28))</f>
        <v>0</v>
      </c>
      <c r="S318" s="54">
        <f t="shared" ca="1" si="36"/>
        <v>-11525547.882203316</v>
      </c>
    </row>
    <row r="319" spans="1:24" outlineLevel="1" collapsed="1" x14ac:dyDescent="0.2">
      <c r="A319" t="str">
        <f ca="1">Language!A$757</f>
        <v>Лизинговые платежи</v>
      </c>
      <c r="C319" s="5" t="str">
        <f t="shared" ca="1" si="35"/>
        <v>руб.</v>
      </c>
      <c r="D319" s="205" t="s">
        <v>2210</v>
      </c>
      <c r="F319" s="43">
        <f ca="1">SUMPRODUCT($B12:OFFSET($B13,-1,0),F320:OFFSET(F321,-1,0))</f>
        <v>0</v>
      </c>
      <c r="G319" s="43">
        <f ca="1">SUMPRODUCT($B12:OFFSET($B13,-1,0),G320:OFFSET(G321,-1,0))</f>
        <v>0</v>
      </c>
      <c r="H319" s="43">
        <f ca="1">SUMPRODUCT($B12:OFFSET($B13,-1,0),H320:OFFSET(H321,-1,0))</f>
        <v>0</v>
      </c>
      <c r="I319" s="43">
        <f ca="1">SUMPRODUCT($B12:OFFSET($B13,-1,0),I320:OFFSET(I321,-1,0))</f>
        <v>0</v>
      </c>
      <c r="J319" s="43">
        <f ca="1">SUMPRODUCT($B12:OFFSET($B13,-1,0),J320:OFFSET(J321,-1,0))</f>
        <v>0</v>
      </c>
      <c r="K319" s="43">
        <f ca="1">SUMPRODUCT($B12:OFFSET($B13,-1,0),K320:OFFSET(K321,-1,0))</f>
        <v>0</v>
      </c>
      <c r="L319" s="43">
        <f ca="1">SUMPRODUCT($B12:OFFSET($B13,-1,0),L320:OFFSET(L321,-1,0))</f>
        <v>0</v>
      </c>
      <c r="M319" s="43">
        <f ca="1">SUMPRODUCT($B12:OFFSET($B13,-1,0),M320:OFFSET(M321,-1,0))</f>
        <v>0</v>
      </c>
      <c r="N319" s="43">
        <f ca="1">SUMPRODUCT($B12:OFFSET($B13,-1,0),N320:OFFSET(N321,-1,0))</f>
        <v>0</v>
      </c>
      <c r="O319" s="43">
        <f ca="1">SUMPRODUCT($B12:OFFSET($B13,-1,0),O320:OFFSET(O321,-1,0))</f>
        <v>0</v>
      </c>
      <c r="P319" s="43">
        <f ca="1">SUMPRODUCT($B12:OFFSET($B13,-1,0),P320:OFFSET(P321,-1,0))</f>
        <v>0</v>
      </c>
      <c r="Q319" s="43">
        <f ca="1">SUMPRODUCT($B12:OFFSET($B13,-1,0),Q320:OFFSET(Q321,-1,0))</f>
        <v>0</v>
      </c>
      <c r="S319" s="54">
        <f t="shared" ca="1" si="36"/>
        <v>0</v>
      </c>
    </row>
    <row r="320" spans="1:24" s="181" customFormat="1" hidden="1" outlineLevel="2" x14ac:dyDescent="0.2">
      <c r="A320" s="181" t="str">
        <f>"        " &amp; A12</f>
        <v xml:space="preserve">        Наименование проекта</v>
      </c>
      <c r="C320" s="209" t="str">
        <f t="shared" ca="1" si="35"/>
        <v>руб.</v>
      </c>
      <c r="D320" s="181" t="str">
        <f>"[" &amp; F12 &amp; "];int_sum"</f>
        <v>[Проект];int_sum</v>
      </c>
      <c r="F320" s="54">
        <f ca="1">IF(OR(F$33&lt;$B28,F$33&gt;$C28),0,OFFSET(Проект!F$1451,0,1-$B28))</f>
        <v>0</v>
      </c>
      <c r="G320" s="54">
        <f ca="1">IF(OR(G$33&lt;$B28,G$33&gt;$C28),0,OFFSET(Проект!G$1451,0,1-$B28))</f>
        <v>0</v>
      </c>
      <c r="H320" s="54">
        <f ca="1">IF(OR(H$33&lt;$B28,H$33&gt;$C28),0,OFFSET(Проект!H$1451,0,1-$B28))</f>
        <v>0</v>
      </c>
      <c r="I320" s="54">
        <f ca="1">IF(OR(I$33&lt;$B28,I$33&gt;$C28),0,OFFSET(Проект!I$1451,0,1-$B28))</f>
        <v>0</v>
      </c>
      <c r="J320" s="54">
        <f ca="1">IF(OR(J$33&lt;$B28,J$33&gt;$C28),0,OFFSET(Проект!J$1451,0,1-$B28))</f>
        <v>0</v>
      </c>
      <c r="K320" s="54">
        <f ca="1">IF(OR(K$33&lt;$B28,K$33&gt;$C28),0,OFFSET(Проект!K$1451,0,1-$B28))</f>
        <v>0</v>
      </c>
      <c r="L320" s="54">
        <f ca="1">IF(OR(L$33&lt;$B28,L$33&gt;$C28),0,OFFSET(Проект!L$1451,0,1-$B28))</f>
        <v>0</v>
      </c>
      <c r="M320" s="54">
        <f ca="1">IF(OR(M$33&lt;$B28,M$33&gt;$C28),0,OFFSET(Проект!M$1451,0,1-$B28))</f>
        <v>0</v>
      </c>
      <c r="N320" s="54">
        <f ca="1">IF(OR(N$33&lt;$B28,N$33&gt;$C28),0,OFFSET(Проект!N$1451,0,1-$B28))</f>
        <v>0</v>
      </c>
      <c r="O320" s="54">
        <f ca="1">IF(OR(O$33&lt;$B28,O$33&gt;$C28),0,OFFSET(Проект!O$1451,0,1-$B28))</f>
        <v>0</v>
      </c>
      <c r="P320" s="54">
        <f ca="1">IF(OR(P$33&lt;$B28,P$33&gt;$C28),0,OFFSET(Проект!P$1451,0,1-$B28))</f>
        <v>0</v>
      </c>
      <c r="Q320" s="54">
        <f ca="1">IF(OR(Q$33&lt;$B28,Q$33&gt;$C28),0,OFFSET(Проект!Q$1451,0,1-$B28))</f>
        <v>0</v>
      </c>
      <c r="S320" s="54">
        <f t="shared" ca="1" si="36"/>
        <v>0</v>
      </c>
    </row>
    <row r="321" spans="1:19" outlineLevel="1" collapsed="1" x14ac:dyDescent="0.2">
      <c r="A321" t="str">
        <f ca="1">Language!A$758</f>
        <v>Выплата дивидендов</v>
      </c>
      <c r="C321" s="5" t="str">
        <f t="shared" ca="1" si="35"/>
        <v>руб.</v>
      </c>
      <c r="D321" s="205" t="s">
        <v>2210</v>
      </c>
      <c r="F321" s="43">
        <f ca="1">SUMPRODUCT($B12:OFFSET($B13,-1,0),F322:OFFSET(F323,-1,0))</f>
        <v>0</v>
      </c>
      <c r="G321" s="43">
        <f ca="1">SUMPRODUCT($B12:OFFSET($B13,-1,0),G322:OFFSET(G323,-1,0))</f>
        <v>0</v>
      </c>
      <c r="H321" s="43">
        <f ca="1">SUMPRODUCT($B12:OFFSET($B13,-1,0),H322:OFFSET(H323,-1,0))</f>
        <v>0</v>
      </c>
      <c r="I321" s="43">
        <f ca="1">SUMPRODUCT($B12:OFFSET($B13,-1,0),I322:OFFSET(I323,-1,0))</f>
        <v>0</v>
      </c>
      <c r="J321" s="43">
        <f ca="1">SUMPRODUCT($B12:OFFSET($B13,-1,0),J322:OFFSET(J323,-1,0))</f>
        <v>0</v>
      </c>
      <c r="K321" s="43">
        <f ca="1">SUMPRODUCT($B12:OFFSET($B13,-1,0),K322:OFFSET(K323,-1,0))</f>
        <v>0</v>
      </c>
      <c r="L321" s="43">
        <f ca="1">SUMPRODUCT($B12:OFFSET($B13,-1,0),L322:OFFSET(L323,-1,0))</f>
        <v>0</v>
      </c>
      <c r="M321" s="43">
        <f ca="1">SUMPRODUCT($B12:OFFSET($B13,-1,0),M322:OFFSET(M323,-1,0))</f>
        <v>0</v>
      </c>
      <c r="N321" s="43">
        <f ca="1">SUMPRODUCT($B12:OFFSET($B13,-1,0),N322:OFFSET(N323,-1,0))</f>
        <v>0</v>
      </c>
      <c r="O321" s="43">
        <f ca="1">SUMPRODUCT($B12:OFFSET($B13,-1,0),O322:OFFSET(O323,-1,0))</f>
        <v>0</v>
      </c>
      <c r="P321" s="43">
        <f ca="1">SUMPRODUCT($B12:OFFSET($B13,-1,0),P322:OFFSET(P323,-1,0))</f>
        <v>0</v>
      </c>
      <c r="Q321" s="43">
        <f ca="1">SUMPRODUCT($B12:OFFSET($B13,-1,0),Q322:OFFSET(Q323,-1,0))</f>
        <v>0</v>
      </c>
      <c r="S321" s="54">
        <f t="shared" ca="1" si="36"/>
        <v>0</v>
      </c>
    </row>
    <row r="322" spans="1:19" s="181" customFormat="1" hidden="1" outlineLevel="2" x14ac:dyDescent="0.2">
      <c r="A322" s="181" t="str">
        <f>"        " &amp; A12</f>
        <v xml:space="preserve">        Наименование проекта</v>
      </c>
      <c r="C322" s="209" t="str">
        <f t="shared" ca="1" si="35"/>
        <v>руб.</v>
      </c>
      <c r="D322" s="181" t="str">
        <f>"[" &amp; F12 &amp; "];int_sum"</f>
        <v>[Проект];int_sum</v>
      </c>
      <c r="F322" s="54">
        <f ca="1">IF(OR(F$33&lt;$B28,F$33&gt;$C28),0,OFFSET(Проект!F$1452,0,1-$B28))</f>
        <v>0</v>
      </c>
      <c r="G322" s="54">
        <f ca="1">IF(OR(G$33&lt;$B28,G$33&gt;$C28),0,OFFSET(Проект!G$1452,0,1-$B28))</f>
        <v>0</v>
      </c>
      <c r="H322" s="54">
        <f ca="1">IF(OR(H$33&lt;$B28,H$33&gt;$C28),0,OFFSET(Проект!H$1452,0,1-$B28))</f>
        <v>0</v>
      </c>
      <c r="I322" s="54">
        <f ca="1">IF(OR(I$33&lt;$B28,I$33&gt;$C28),0,OFFSET(Проект!I$1452,0,1-$B28))</f>
        <v>0</v>
      </c>
      <c r="J322" s="54">
        <f ca="1">IF(OR(J$33&lt;$B28,J$33&gt;$C28),0,OFFSET(Проект!J$1452,0,1-$B28))</f>
        <v>0</v>
      </c>
      <c r="K322" s="54">
        <f ca="1">IF(OR(K$33&lt;$B28,K$33&gt;$C28),0,OFFSET(Проект!K$1452,0,1-$B28))</f>
        <v>0</v>
      </c>
      <c r="L322" s="54">
        <f ca="1">IF(OR(L$33&lt;$B28,L$33&gt;$C28),0,OFFSET(Проект!L$1452,0,1-$B28))</f>
        <v>0</v>
      </c>
      <c r="M322" s="54">
        <f ca="1">IF(OR(M$33&lt;$B28,M$33&gt;$C28),0,OFFSET(Проект!M$1452,0,1-$B28))</f>
        <v>0</v>
      </c>
      <c r="N322" s="54">
        <f ca="1">IF(OR(N$33&lt;$B28,N$33&gt;$C28),0,OFFSET(Проект!N$1452,0,1-$B28))</f>
        <v>0</v>
      </c>
      <c r="O322" s="54">
        <f ca="1">IF(OR(O$33&lt;$B28,O$33&gt;$C28),0,OFFSET(Проект!O$1452,0,1-$B28))</f>
        <v>0</v>
      </c>
      <c r="P322" s="54">
        <f ca="1">IF(OR(P$33&lt;$B28,P$33&gt;$C28),0,OFFSET(Проект!P$1452,0,1-$B28))</f>
        <v>0</v>
      </c>
      <c r="Q322" s="54">
        <f ca="1">IF(OR(Q$33&lt;$B28,Q$33&gt;$C28),0,OFFSET(Проект!Q$1452,0,1-$B28))</f>
        <v>0</v>
      </c>
      <c r="S322" s="54">
        <f t="shared" ca="1" si="36"/>
        <v>0</v>
      </c>
    </row>
    <row r="323" spans="1:19" outlineLevel="1" x14ac:dyDescent="0.2">
      <c r="D323" s="205"/>
      <c r="S323" s="11"/>
    </row>
    <row r="324" spans="1:19" ht="10.5" outlineLevel="1" collapsed="1" x14ac:dyDescent="0.25">
      <c r="A324" s="35" t="str">
        <f ca="1">Language!A$759</f>
        <v>Денежные потоки от финансовой деятельности</v>
      </c>
      <c r="C324" s="5" t="str">
        <f ca="1">CUR_Report</f>
        <v>руб.</v>
      </c>
      <c r="D324" s="205" t="s">
        <v>2210</v>
      </c>
      <c r="F324" s="58">
        <f ca="1">SUMPRODUCT($B12:OFFSET($B13,-1,0),F325:OFFSET(F326,-1,0))</f>
        <v>2359067.6844783714</v>
      </c>
      <c r="G324" s="58">
        <f ca="1">SUMPRODUCT($B12:OFFSET($B13,-1,0),G325:OFFSET(G326,-1,0))</f>
        <v>2982103.1201237948</v>
      </c>
      <c r="H324" s="58">
        <f ca="1">SUMPRODUCT($B12:OFFSET($B13,-1,0),H325:OFFSET(H326,-1,0))</f>
        <v>2393268.0173260393</v>
      </c>
      <c r="I324" s="58">
        <f ca="1">SUMPRODUCT($B12:OFFSET($B13,-1,0),I325:OFFSET(I326,-1,0))</f>
        <v>1809034.9566888495</v>
      </c>
      <c r="J324" s="58">
        <f ca="1">SUMPRODUCT($B12:OFFSET($B13,-1,0),J325:OFFSET(J326,-1,0))</f>
        <v>1144435.2062421832</v>
      </c>
      <c r="K324" s="58">
        <f ca="1">SUMPRODUCT($B12:OFFSET($B13,-1,0),K325:OFFSET(K326,-1,0))</f>
        <v>-23659.363592692334</v>
      </c>
      <c r="L324" s="58">
        <f ca="1">SUMPRODUCT($B12:OFFSET($B13,-1,0),L325:OFFSET(L326,-1,0))</f>
        <v>-1202620.5457013601</v>
      </c>
      <c r="M324" s="58">
        <f ca="1">SUMPRODUCT($B12:OFFSET($B13,-1,0),M325:OFFSET(M326,-1,0))</f>
        <v>-2406104.568837841</v>
      </c>
      <c r="N324" s="58">
        <f ca="1">SUMPRODUCT($B12:OFFSET($B13,-1,0),N325:OFFSET(N326,-1,0))</f>
        <v>-4335106.8980769133</v>
      </c>
      <c r="O324" s="58">
        <f ca="1">SUMPRODUCT($B12:OFFSET($B13,-1,0),O325:OFFSET(O326,-1,0))</f>
        <v>-3558056.5059945099</v>
      </c>
      <c r="P324" s="58">
        <f ca="1">SUMPRODUCT($B12:OFFSET($B13,-1,0),P325:OFFSET(P326,-1,0))</f>
        <v>0</v>
      </c>
      <c r="Q324" s="58">
        <f ca="1">SUMPRODUCT($B12:OFFSET($B13,-1,0),Q325:OFFSET(Q326,-1,0))</f>
        <v>0</v>
      </c>
      <c r="S324" s="57">
        <f ca="1">SUM(F324:Q324)</f>
        <v>-837638.89734407701</v>
      </c>
    </row>
    <row r="325" spans="1:19" s="181" customFormat="1" hidden="1" outlineLevel="2" x14ac:dyDescent="0.2">
      <c r="A325" s="181" t="str">
        <f>"        " &amp; A12</f>
        <v xml:space="preserve">        Наименование проекта</v>
      </c>
      <c r="C325" s="209" t="str">
        <f ca="1">CUR_Report</f>
        <v>руб.</v>
      </c>
      <c r="D325" s="181" t="str">
        <f>"[" &amp; F12 &amp; "];int_sum"</f>
        <v>[Проект];int_sum</v>
      </c>
      <c r="F325" s="54">
        <f ca="1">IF(OR(F$33&lt;$B28,F$33&gt;$C28),0,OFFSET(Проект!F$1454,0,1-$B28))</f>
        <v>2359067.6844783714</v>
      </c>
      <c r="G325" s="54">
        <f ca="1">IF(OR(G$33&lt;$B28,G$33&gt;$C28),0,OFFSET(Проект!G$1454,0,1-$B28))</f>
        <v>2982103.1201237948</v>
      </c>
      <c r="H325" s="54">
        <f ca="1">IF(OR(H$33&lt;$B28,H$33&gt;$C28),0,OFFSET(Проект!H$1454,0,1-$B28))</f>
        <v>2393268.0173260393</v>
      </c>
      <c r="I325" s="54">
        <f ca="1">IF(OR(I$33&lt;$B28,I$33&gt;$C28),0,OFFSET(Проект!I$1454,0,1-$B28))</f>
        <v>1809034.9566888495</v>
      </c>
      <c r="J325" s="54">
        <f ca="1">IF(OR(J$33&lt;$B28,J$33&gt;$C28),0,OFFSET(Проект!J$1454,0,1-$B28))</f>
        <v>1144435.2062421832</v>
      </c>
      <c r="K325" s="54">
        <f ca="1">IF(OR(K$33&lt;$B28,K$33&gt;$C28),0,OFFSET(Проект!K$1454,0,1-$B28))</f>
        <v>-23659.363592692334</v>
      </c>
      <c r="L325" s="54">
        <f ca="1">IF(OR(L$33&lt;$B28,L$33&gt;$C28),0,OFFSET(Проект!L$1454,0,1-$B28))</f>
        <v>-1202620.5457013601</v>
      </c>
      <c r="M325" s="54">
        <f ca="1">IF(OR(M$33&lt;$B28,M$33&gt;$C28),0,OFFSET(Проект!M$1454,0,1-$B28))</f>
        <v>-2406104.568837841</v>
      </c>
      <c r="N325" s="54">
        <f ca="1">IF(OR(N$33&lt;$B28,N$33&gt;$C28),0,OFFSET(Проект!N$1454,0,1-$B28))</f>
        <v>-4335106.8980769133</v>
      </c>
      <c r="O325" s="54">
        <f ca="1">IF(OR(O$33&lt;$B28,O$33&gt;$C28),0,OFFSET(Проект!O$1454,0,1-$B28))</f>
        <v>-3558056.5059945099</v>
      </c>
      <c r="P325" s="54">
        <f ca="1">IF(OR(P$33&lt;$B28,P$33&gt;$C28),0,OFFSET(Проект!P$1454,0,1-$B28))</f>
        <v>0</v>
      </c>
      <c r="Q325" s="54">
        <f ca="1">IF(OR(Q$33&lt;$B28,Q$33&gt;$C28),0,OFFSET(Проект!Q$1454,0,1-$B28))</f>
        <v>0</v>
      </c>
      <c r="S325" s="54">
        <f ca="1">SUM(F325:Q325)</f>
        <v>-837638.89734407701</v>
      </c>
    </row>
    <row r="326" spans="1:19" outlineLevel="1" x14ac:dyDescent="0.2">
      <c r="D326" s="205"/>
      <c r="S326" s="11"/>
    </row>
    <row r="327" spans="1:19" outlineLevel="1" collapsed="1" x14ac:dyDescent="0.2">
      <c r="A327" s="23" t="str">
        <f ca="1">Language!A$760</f>
        <v>Суммарный денежный поток за период</v>
      </c>
      <c r="B327" s="180"/>
      <c r="C327" s="293" t="str">
        <f t="shared" ref="C327:C332" ca="1" si="37">CUR_Report</f>
        <v>руб.</v>
      </c>
      <c r="D327" s="205" t="s">
        <v>2210</v>
      </c>
      <c r="E327" s="180"/>
      <c r="F327" s="109">
        <f t="shared" ref="F327:M327" ca="1" si="38">F324+F306+F286</f>
        <v>41283.684478371404</v>
      </c>
      <c r="G327" s="109">
        <f t="shared" ca="1" si="38"/>
        <v>10903.120123794768</v>
      </c>
      <c r="H327" s="109">
        <f t="shared" ca="1" si="38"/>
        <v>-10304.61429896066</v>
      </c>
      <c r="I327" s="109">
        <f t="shared" ca="1" si="38"/>
        <v>-10224.078561150935</v>
      </c>
      <c r="J327" s="109">
        <f t="shared" ca="1" si="38"/>
        <v>-11630.495632816572</v>
      </c>
      <c r="K327" s="109">
        <f t="shared" ca="1" si="38"/>
        <v>219969.23265730808</v>
      </c>
      <c r="L327" s="109">
        <f t="shared" ca="1" si="38"/>
        <v>138285.77352272742</v>
      </c>
      <c r="M327" s="109">
        <f t="shared" ca="1" si="38"/>
        <v>254423.49284090893</v>
      </c>
      <c r="N327" s="109">
        <f t="shared" ref="N327" ca="1" si="39">N324+N306+N286</f>
        <v>439737.28869318264</v>
      </c>
      <c r="O327" s="109">
        <f t="shared" ref="O327:Q327" ca="1" si="40">O324+O306+O286</f>
        <v>3956262.8802554905</v>
      </c>
      <c r="P327" s="109">
        <f t="shared" ref="P327:Q327" ca="1" si="41">P324+P306+P286</f>
        <v>9308412.3693749998</v>
      </c>
      <c r="Q327" s="109">
        <f t="shared" ca="1" si="41"/>
        <v>10463747.89625</v>
      </c>
      <c r="R327" s="23"/>
      <c r="S327" s="54">
        <f ca="1">SUM(F327:Q327)</f>
        <v>24800866.549703855</v>
      </c>
    </row>
    <row r="328" spans="1:19" s="181" customFormat="1" hidden="1" outlineLevel="2" x14ac:dyDescent="0.2">
      <c r="A328" s="181" t="str">
        <f>"        " &amp; A12</f>
        <v xml:space="preserve">        Наименование проекта</v>
      </c>
      <c r="C328" s="209" t="str">
        <f t="shared" ca="1" si="37"/>
        <v>руб.</v>
      </c>
      <c r="D328" s="181" t="str">
        <f>"[" &amp; F12 &amp; "];int_sum"</f>
        <v>[Проект];int_sum</v>
      </c>
      <c r="F328" s="54">
        <f ca="1">IF(OR(F$33&lt;$B28,F$33&gt;$C28),0,OFFSET(Проект!F$1456,0,1-$B28))</f>
        <v>41283.684478371404</v>
      </c>
      <c r="G328" s="54">
        <f ca="1">IF(OR(G$33&lt;$B28,G$33&gt;$C28),0,OFFSET(Проект!G$1456,0,1-$B28))</f>
        <v>10903.120123794768</v>
      </c>
      <c r="H328" s="54">
        <f ca="1">IF(OR(H$33&lt;$B28,H$33&gt;$C28),0,OFFSET(Проект!H$1456,0,1-$B28))</f>
        <v>-10304.61429896066</v>
      </c>
      <c r="I328" s="54">
        <f ca="1">IF(OR(I$33&lt;$B28,I$33&gt;$C28),0,OFFSET(Проект!I$1456,0,1-$B28))</f>
        <v>-10224.078561150702</v>
      </c>
      <c r="J328" s="54">
        <f ca="1">IF(OR(J$33&lt;$B28,J$33&gt;$C28),0,OFFSET(Проект!J$1456,0,1-$B28))</f>
        <v>-11630.495632816572</v>
      </c>
      <c r="K328" s="54">
        <f ca="1">IF(OR(K$33&lt;$B28,K$33&gt;$C28),0,OFFSET(Проект!K$1456,0,1-$B28))</f>
        <v>219969.23265730808</v>
      </c>
      <c r="L328" s="54">
        <f ca="1">IF(OR(L$33&lt;$B28,L$33&gt;$C28),0,OFFSET(Проект!L$1456,0,1-$B28))</f>
        <v>138285.77352272742</v>
      </c>
      <c r="M328" s="54">
        <f ca="1">IF(OR(M$33&lt;$B28,M$33&gt;$C28),0,OFFSET(Проект!M$1456,0,1-$B28))</f>
        <v>254423.49284090986</v>
      </c>
      <c r="N328" s="54">
        <f ca="1">IF(OR(N$33&lt;$B28,N$33&gt;$C28),0,OFFSET(Проект!N$1456,0,1-$B28))</f>
        <v>439737.2886931831</v>
      </c>
      <c r="O328" s="54">
        <f ca="1">IF(OR(O$33&lt;$B28,O$33&gt;$C28),0,OFFSET(Проект!O$1456,0,1-$B28))</f>
        <v>3956262.8802554905</v>
      </c>
      <c r="P328" s="54">
        <f ca="1">IF(OR(P$33&lt;$B28,P$33&gt;$C28),0,OFFSET(Проект!P$1456,0,1-$B28))</f>
        <v>9308412.3693749998</v>
      </c>
      <c r="Q328" s="54">
        <f ca="1">IF(OR(Q$33&lt;$B28,Q$33&gt;$C28),0,OFFSET(Проект!Q$1456,0,1-$B28))</f>
        <v>10463747.89625</v>
      </c>
      <c r="S328" s="54">
        <f ca="1">SUM(F328:Q328)</f>
        <v>24800866.549703859</v>
      </c>
    </row>
    <row r="329" spans="1:19" ht="10.5" outlineLevel="1" collapsed="1" x14ac:dyDescent="0.25">
      <c r="A329" s="23" t="str">
        <f ca="1">Language!A$761</f>
        <v>Денежные средства на начало периода</v>
      </c>
      <c r="B329" s="180"/>
      <c r="C329" s="293" t="str">
        <f t="shared" ca="1" si="37"/>
        <v>руб.</v>
      </c>
      <c r="D329" s="205" t="s">
        <v>675</v>
      </c>
      <c r="E329" s="180"/>
      <c r="F329" s="210">
        <f ca="1">IF($B41=2,SUMPRODUCT($B12:OFFSET($B13,-1,0),F330:OFFSET(F331,-1,0)),SUMPRODUCT($B12:OFFSET($B13,-1,0),F330:OFFSET(F331,-1,0))+SUMPRODUCT($B12:OFFSET($B13,-1,0),F45:OFFSET(F46,-1,0))-F44)</f>
        <v>0</v>
      </c>
      <c r="G329" s="210">
        <f ca="1">IF($B41=2,SUMPRODUCT($B12:OFFSET($B13,-1,0),G330:OFFSET(G331,-1,0)),SUMPRODUCT($B12:OFFSET($B13,-1,0),G330:OFFSET(G331,-1,0))+SUMPRODUCT($B12:OFFSET($B13,-1,0),G45:OFFSET(G46,-1,0))-G44)</f>
        <v>41283.684478371404</v>
      </c>
      <c r="H329" s="210">
        <f ca="1">IF($B41=2,SUMPRODUCT($B12:OFFSET($B13,-1,0),H330:OFFSET(H331,-1,0)),SUMPRODUCT($B12:OFFSET($B13,-1,0),H330:OFFSET(H331,-1,0))+SUMPRODUCT($B12:OFFSET($B13,-1,0),H45:OFFSET(H46,-1,0))-H44)</f>
        <v>52186.804602166172</v>
      </c>
      <c r="I329" s="210">
        <f ca="1">IF($B41=2,SUMPRODUCT($B12:OFFSET($B13,-1,0),I330:OFFSET(I331,-1,0)),SUMPRODUCT($B12:OFFSET($B13,-1,0),I330:OFFSET(I331,-1,0))+SUMPRODUCT($B12:OFFSET($B13,-1,0),I45:OFFSET(I46,-1,0))-I44)</f>
        <v>41882.190303205512</v>
      </c>
      <c r="J329" s="210">
        <f ca="1">IF($B41=2,SUMPRODUCT($B12:OFFSET($B13,-1,0),J330:OFFSET(J331,-1,0)),SUMPRODUCT($B12:OFFSET($B13,-1,0),J330:OFFSET(J331,-1,0))+SUMPRODUCT($B12:OFFSET($B13,-1,0),J45:OFFSET(J46,-1,0))-J44)</f>
        <v>31658.111742054811</v>
      </c>
      <c r="K329" s="210">
        <f ca="1">IF($B41=2,SUMPRODUCT($B12:OFFSET($B13,-1,0),K330:OFFSET(K331,-1,0)),SUMPRODUCT($B12:OFFSET($B13,-1,0),K330:OFFSET(K331,-1,0))+SUMPRODUCT($B12:OFFSET($B13,-1,0),K45:OFFSET(K46,-1,0))-K44)</f>
        <v>20027.616109238239</v>
      </c>
      <c r="L329" s="210">
        <f ca="1">IF($B41=2,SUMPRODUCT($B12:OFFSET($B13,-1,0),L330:OFFSET(L331,-1,0)),SUMPRODUCT($B12:OFFSET($B13,-1,0),L330:OFFSET(L331,-1,0))+SUMPRODUCT($B12:OFFSET($B13,-1,0),L45:OFFSET(L46,-1,0))-L44)</f>
        <v>239996.84876654632</v>
      </c>
      <c r="M329" s="210">
        <f ca="1">IF($B41=2,SUMPRODUCT($B12:OFFSET($B13,-1,0),M330:OFFSET(M331,-1,0)),SUMPRODUCT($B12:OFFSET($B13,-1,0),M330:OFFSET(M331,-1,0))+SUMPRODUCT($B12:OFFSET($B13,-1,0),M45:OFFSET(M46,-1,0))-M44)</f>
        <v>378282.62228927377</v>
      </c>
      <c r="N329" s="210">
        <f ca="1">IF($B41=2,SUMPRODUCT($B12:OFFSET($B13,-1,0),N330:OFFSET(N331,-1,0)),SUMPRODUCT($B12:OFFSET($B13,-1,0),N330:OFFSET(N331,-1,0))+SUMPRODUCT($B12:OFFSET($B13,-1,0),N45:OFFSET(N46,-1,0))-N44)</f>
        <v>632706.11513018364</v>
      </c>
      <c r="O329" s="210">
        <f ca="1">IF($B41=2,SUMPRODUCT($B12:OFFSET($B13,-1,0),O330:OFFSET(O331,-1,0)),SUMPRODUCT($B12:OFFSET($B13,-1,0),O330:OFFSET(O331,-1,0))+SUMPRODUCT($B12:OFFSET($B13,-1,0),O45:OFFSET(O46,-1,0))-O44)</f>
        <v>1072443.4038233669</v>
      </c>
      <c r="P329" s="210">
        <f ca="1">IF($B41=2,SUMPRODUCT($B12:OFFSET($B13,-1,0),P330:OFFSET(P331,-1,0)),SUMPRODUCT($B12:OFFSET($B13,-1,0),P330:OFFSET(P331,-1,0))+SUMPRODUCT($B12:OFFSET($B13,-1,0),P45:OFFSET(P46,-1,0))-P44)</f>
        <v>5028706.2840788569</v>
      </c>
      <c r="Q329" s="210">
        <f ca="1">IF($B41=2,SUMPRODUCT($B12:OFFSET($B13,-1,0),Q330:OFFSET(Q331,-1,0)),SUMPRODUCT($B12:OFFSET($B13,-1,0),Q330:OFFSET(Q331,-1,0))+SUMPRODUCT($B12:OFFSET($B13,-1,0),Q45:OFFSET(Q46,-1,0))-Q44)</f>
        <v>14337118.653453857</v>
      </c>
      <c r="R329" s="35"/>
      <c r="S329" s="51"/>
    </row>
    <row r="330" spans="1:19" s="181" customFormat="1" hidden="1" outlineLevel="2" x14ac:dyDescent="0.2">
      <c r="A330" s="181" t="str">
        <f>"        " &amp; A12</f>
        <v xml:space="preserve">        Наименование проекта</v>
      </c>
      <c r="C330" s="209" t="str">
        <f t="shared" ca="1" si="37"/>
        <v>руб.</v>
      </c>
      <c r="D330" s="181" t="str">
        <f>"[" &amp; F12 &amp; "];int_end"</f>
        <v>[Проект];int_end</v>
      </c>
      <c r="F330" s="54">
        <f ca="1">IF(F$33&lt;$B28,0,IF(F$33&gt;$C28,IF(LIFE_PRJ=1,E330,0),OFFSET(Проект!F$1457,0,1-$B28)))</f>
        <v>0</v>
      </c>
      <c r="G330" s="54">
        <f ca="1">IF(G$33&lt;$B28,0,IF(G$33&gt;$C28,IF(LIFE_PRJ=1,F330,0),OFFSET(Проект!G$1457,0,1-$B28)))</f>
        <v>41283.684478371404</v>
      </c>
      <c r="H330" s="54">
        <f ca="1">IF(H$33&lt;$B28,0,IF(H$33&gt;$C28,IF(LIFE_PRJ=1,G330,0),OFFSET(Проект!H$1457,0,1-$B28)))</f>
        <v>52186.804602166172</v>
      </c>
      <c r="I330" s="54">
        <f ca="1">IF(I$33&lt;$B28,0,IF(I$33&gt;$C28,IF(LIFE_PRJ=1,H330,0),OFFSET(Проект!I$1457,0,1-$B28)))</f>
        <v>41882.190303205512</v>
      </c>
      <c r="J330" s="54">
        <f ca="1">IF(J$33&lt;$B28,0,IF(J$33&gt;$C28,IF(LIFE_PRJ=1,I330,0),OFFSET(Проект!J$1457,0,1-$B28)))</f>
        <v>31658.111742054811</v>
      </c>
      <c r="K330" s="54">
        <f ca="1">IF(K$33&lt;$B28,0,IF(K$33&gt;$C28,IF(LIFE_PRJ=1,J330,0),OFFSET(Проект!K$1457,0,1-$B28)))</f>
        <v>20027.616109238239</v>
      </c>
      <c r="L330" s="54">
        <f ca="1">IF(L$33&lt;$B28,0,IF(L$33&gt;$C28,IF(LIFE_PRJ=1,K330,0),OFFSET(Проект!L$1457,0,1-$B28)))</f>
        <v>239996.84876654632</v>
      </c>
      <c r="M330" s="54">
        <f ca="1">IF(M$33&lt;$B28,0,IF(M$33&gt;$C28,IF(LIFE_PRJ=1,L330,0),OFFSET(Проект!M$1457,0,1-$B28)))</f>
        <v>378282.62228927377</v>
      </c>
      <c r="N330" s="54">
        <f ca="1">IF(N$33&lt;$B28,0,IF(N$33&gt;$C28,IF(LIFE_PRJ=1,M330,0),OFFSET(Проект!N$1457,0,1-$B28)))</f>
        <v>632706.11513018364</v>
      </c>
      <c r="O330" s="54">
        <f ca="1">IF(O$33&lt;$B28,0,IF(O$33&gt;$C28,IF(LIFE_PRJ=1,N330,0),OFFSET(Проект!O$1457,0,1-$B28)))</f>
        <v>1072443.4038233669</v>
      </c>
      <c r="P330" s="54">
        <f ca="1">IF(P$33&lt;$B28,0,IF(P$33&gt;$C28,IF(LIFE_PRJ=1,O330,0),OFFSET(Проект!P$1457,0,1-$B28)))</f>
        <v>5028706.2840788569</v>
      </c>
      <c r="Q330" s="54">
        <f ca="1">IF(Q$33&lt;$B28,0,IF(Q$33&gt;$C28,IF(LIFE_PRJ=1,P330,0),OFFSET(Проект!Q$1457,0,1-$B28)))</f>
        <v>14337118.653453857</v>
      </c>
    </row>
    <row r="331" spans="1:19" ht="10.5" outlineLevel="1" collapsed="1" x14ac:dyDescent="0.25">
      <c r="A331" s="35" t="str">
        <f ca="1">Language!A$762</f>
        <v>Денежные средства на конец периода</v>
      </c>
      <c r="C331" s="5" t="str">
        <f t="shared" ca="1" si="37"/>
        <v>руб.</v>
      </c>
      <c r="D331" s="205" t="s">
        <v>2211</v>
      </c>
      <c r="F331" s="58">
        <f ca="1">IF($B41=2,SUMPRODUCT($B12:OFFSET($B13,-1,0),F332:OFFSET(F333,-1,0)),SUMPRODUCT($B12:OFFSET($B13,-1,0),F332:OFFSET(F333,-1,0))+SUMPRODUCT($B12:OFFSET($B13,-1,0),F45:OFFSET(F46,-1,0))-F44)</f>
        <v>41283.684478371404</v>
      </c>
      <c r="G331" s="58">
        <f ca="1">IF($B41=2,SUMPRODUCT($B12:OFFSET($B13,-1,0),G332:OFFSET(G333,-1,0)),SUMPRODUCT($B12:OFFSET($B13,-1,0),G332:OFFSET(G333,-1,0))+SUMPRODUCT($B12:OFFSET($B13,-1,0),G45:OFFSET(G46,-1,0))-G44)</f>
        <v>52186.804602166172</v>
      </c>
      <c r="H331" s="58">
        <f ca="1">IF($B41=2,SUMPRODUCT($B12:OFFSET($B13,-1,0),H332:OFFSET(H333,-1,0)),SUMPRODUCT($B12:OFFSET($B13,-1,0),H332:OFFSET(H333,-1,0))+SUMPRODUCT($B12:OFFSET($B13,-1,0),H45:OFFSET(H46,-1,0))-H44)</f>
        <v>41882.190303205512</v>
      </c>
      <c r="I331" s="58">
        <f ca="1">IF($B41=2,SUMPRODUCT($B12:OFFSET($B13,-1,0),I332:OFFSET(I333,-1,0)),SUMPRODUCT($B12:OFFSET($B13,-1,0),I332:OFFSET(I333,-1,0))+SUMPRODUCT($B12:OFFSET($B13,-1,0),I45:OFFSET(I46,-1,0))-I44)</f>
        <v>31658.111742054811</v>
      </c>
      <c r="J331" s="58">
        <f ca="1">IF($B41=2,SUMPRODUCT($B12:OFFSET($B13,-1,0),J332:OFFSET(J333,-1,0)),SUMPRODUCT($B12:OFFSET($B13,-1,0),J332:OFFSET(J333,-1,0))+SUMPRODUCT($B12:OFFSET($B13,-1,0),J45:OFFSET(J46,-1,0))-J44)</f>
        <v>20027.616109238239</v>
      </c>
      <c r="K331" s="58">
        <f ca="1">IF($B41=2,SUMPRODUCT($B12:OFFSET($B13,-1,0),K332:OFFSET(K333,-1,0)),SUMPRODUCT($B12:OFFSET($B13,-1,0),K332:OFFSET(K333,-1,0))+SUMPRODUCT($B12:OFFSET($B13,-1,0),K45:OFFSET(K46,-1,0))-K44)</f>
        <v>239996.84876654632</v>
      </c>
      <c r="L331" s="58">
        <f ca="1">IF($B41=2,SUMPRODUCT($B12:OFFSET($B13,-1,0),L332:OFFSET(L333,-1,0)),SUMPRODUCT($B12:OFFSET($B13,-1,0),L332:OFFSET(L333,-1,0))+SUMPRODUCT($B12:OFFSET($B13,-1,0),L45:OFFSET(L46,-1,0))-L44)</f>
        <v>378282.62228927377</v>
      </c>
      <c r="M331" s="58">
        <f ca="1">IF($B41=2,SUMPRODUCT($B12:OFFSET($B13,-1,0),M332:OFFSET(M333,-1,0)),SUMPRODUCT($B12:OFFSET($B13,-1,0),M332:OFFSET(M333,-1,0))+SUMPRODUCT($B12:OFFSET($B13,-1,0),M45:OFFSET(M46,-1,0))-M44)</f>
        <v>632706.11513018364</v>
      </c>
      <c r="N331" s="58">
        <f ca="1">IF($B41=2,SUMPRODUCT($B12:OFFSET($B13,-1,0),N332:OFFSET(N333,-1,0)),SUMPRODUCT($B12:OFFSET($B13,-1,0),N332:OFFSET(N333,-1,0))+SUMPRODUCT($B12:OFFSET($B13,-1,0),N45:OFFSET(N46,-1,0))-N44)</f>
        <v>1072443.4038233669</v>
      </c>
      <c r="O331" s="58">
        <f ca="1">IF($B41=2,SUMPRODUCT($B12:OFFSET($B13,-1,0),O332:OFFSET(O333,-1,0)),SUMPRODUCT($B12:OFFSET($B13,-1,0),O332:OFFSET(O333,-1,0))+SUMPRODUCT($B12:OFFSET($B13,-1,0),O45:OFFSET(O46,-1,0))-O44)</f>
        <v>5028706.2840788569</v>
      </c>
      <c r="P331" s="58">
        <f ca="1">IF($B41=2,SUMPRODUCT($B12:OFFSET($B13,-1,0),P332:OFFSET(P333,-1,0)),SUMPRODUCT($B12:OFFSET($B13,-1,0),P332:OFFSET(P333,-1,0))+SUMPRODUCT($B12:OFFSET($B13,-1,0),P45:OFFSET(P46,-1,0))-P44)</f>
        <v>14337118.653453857</v>
      </c>
      <c r="Q331" s="58">
        <f ca="1">IF($B41=2,SUMPRODUCT($B12:OFFSET($B13,-1,0),Q332:OFFSET(Q333,-1,0)),SUMPRODUCT($B12:OFFSET($B13,-1,0),Q332:OFFSET(Q333,-1,0))+SUMPRODUCT($B12:OFFSET($B13,-1,0),Q45:OFFSET(Q46,-1,0))-Q44)</f>
        <v>24800866.549703859</v>
      </c>
    </row>
    <row r="332" spans="1:19" s="181" customFormat="1" hidden="1" outlineLevel="2" x14ac:dyDescent="0.2">
      <c r="A332" s="181" t="str">
        <f>"        " &amp; A12</f>
        <v xml:space="preserve">        Наименование проекта</v>
      </c>
      <c r="C332" s="209" t="str">
        <f t="shared" ca="1" si="37"/>
        <v>руб.</v>
      </c>
      <c r="D332" s="181" t="str">
        <f>"[" &amp; F12 &amp; "];int_end"</f>
        <v>[Проект];int_end</v>
      </c>
      <c r="F332" s="54">
        <f ca="1">IF(F$33&lt;$B28,0,IF(F$33&gt;$C28,IF(LIFE_PRJ=1,E332,0),OFFSET(Проект!F$1458,0,1-$B28)))</f>
        <v>41283.684478371404</v>
      </c>
      <c r="G332" s="54">
        <f ca="1">IF(G$33&lt;$B28,0,IF(G$33&gt;$C28,IF(LIFE_PRJ=1,F332,0),OFFSET(Проект!G$1458,0,1-$B28)))</f>
        <v>52186.804602166172</v>
      </c>
      <c r="H332" s="54">
        <f ca="1">IF(H$33&lt;$B28,0,IF(H$33&gt;$C28,IF(LIFE_PRJ=1,G332,0),OFFSET(Проект!H$1458,0,1-$B28)))</f>
        <v>41882.190303205512</v>
      </c>
      <c r="I332" s="54">
        <f ca="1">IF(I$33&lt;$B28,0,IF(I$33&gt;$C28,IF(LIFE_PRJ=1,H332,0),OFFSET(Проект!I$1458,0,1-$B28)))</f>
        <v>31658.111742054811</v>
      </c>
      <c r="J332" s="54">
        <f ca="1">IF(J$33&lt;$B28,0,IF(J$33&gt;$C28,IF(LIFE_PRJ=1,I332,0),OFFSET(Проект!J$1458,0,1-$B28)))</f>
        <v>20027.616109238239</v>
      </c>
      <c r="K332" s="54">
        <f ca="1">IF(K$33&lt;$B28,0,IF(K$33&gt;$C28,IF(LIFE_PRJ=1,J332,0),OFFSET(Проект!K$1458,0,1-$B28)))</f>
        <v>239996.84876654632</v>
      </c>
      <c r="L332" s="54">
        <f ca="1">IF(L$33&lt;$B28,0,IF(L$33&gt;$C28,IF(LIFE_PRJ=1,K332,0),OFFSET(Проект!L$1458,0,1-$B28)))</f>
        <v>378282.62228927377</v>
      </c>
      <c r="M332" s="54">
        <f ca="1">IF(M$33&lt;$B28,0,IF(M$33&gt;$C28,IF(LIFE_PRJ=1,L332,0),OFFSET(Проект!M$1458,0,1-$B28)))</f>
        <v>632706.11513018364</v>
      </c>
      <c r="N332" s="54">
        <f ca="1">IF(N$33&lt;$B28,0,IF(N$33&gt;$C28,IF(LIFE_PRJ=1,M332,0),OFFSET(Проект!N$1458,0,1-$B28)))</f>
        <v>1072443.4038233669</v>
      </c>
      <c r="O332" s="54">
        <f ca="1">IF(O$33&lt;$B28,0,IF(O$33&gt;$C28,IF(LIFE_PRJ=1,N332,0),OFFSET(Проект!O$1458,0,1-$B28)))</f>
        <v>5028706.2840788569</v>
      </c>
      <c r="P332" s="54">
        <f ca="1">IF(P$33&lt;$B28,0,IF(P$33&gt;$C28,IF(LIFE_PRJ=1,O332,0),OFFSET(Проект!P$1458,0,1-$B28)))</f>
        <v>14337118.653453857</v>
      </c>
      <c r="Q332" s="54">
        <f ca="1">IF(Q$33&lt;$B28,0,IF(Q$33&gt;$C28,IF(LIFE_PRJ=1,P332,0),OFFSET(Проект!Q$1458,0,1-$B28)))</f>
        <v>24800866.549703859</v>
      </c>
    </row>
    <row r="333" spans="1:19" outlineLevel="1" x14ac:dyDescent="0.2">
      <c r="A333" s="63"/>
      <c r="B333" s="63"/>
      <c r="C333" s="63"/>
      <c r="D333" s="63"/>
      <c r="E333" s="63"/>
      <c r="F333" s="63"/>
      <c r="G333" s="63"/>
      <c r="H333" s="63"/>
      <c r="I333" s="63"/>
      <c r="J333" s="63"/>
      <c r="K333" s="63"/>
      <c r="L333" s="63"/>
      <c r="M333" s="63"/>
      <c r="N333" s="63"/>
      <c r="O333" s="63"/>
      <c r="P333" s="63"/>
      <c r="Q333" s="63"/>
      <c r="R333" s="63"/>
      <c r="S333" s="204"/>
    </row>
    <row r="334" spans="1:19" outlineLevel="1" collapsed="1" x14ac:dyDescent="0.2">
      <c r="A334" s="22" t="str">
        <f ca="1">Language!A$763 &amp; ", " &amp; CUR_Report</f>
        <v>График: Движение денежных средств, руб.</v>
      </c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206"/>
    </row>
    <row r="335" spans="1:19" hidden="1" outlineLevel="2" x14ac:dyDescent="0.2"/>
    <row r="336" spans="1:19" hidden="1" outlineLevel="2" x14ac:dyDescent="0.2"/>
    <row r="337" hidden="1" outlineLevel="2" x14ac:dyDescent="0.2"/>
    <row r="338" hidden="1" outlineLevel="2" x14ac:dyDescent="0.2"/>
    <row r="339" hidden="1" outlineLevel="2" x14ac:dyDescent="0.2"/>
    <row r="340" hidden="1" outlineLevel="2" x14ac:dyDescent="0.2"/>
    <row r="341" hidden="1" outlineLevel="2" x14ac:dyDescent="0.2"/>
    <row r="342" hidden="1" outlineLevel="2" x14ac:dyDescent="0.2"/>
    <row r="343" hidden="1" outlineLevel="2" x14ac:dyDescent="0.2"/>
    <row r="344" hidden="1" outlineLevel="2" x14ac:dyDescent="0.2"/>
    <row r="345" hidden="1" outlineLevel="2" x14ac:dyDescent="0.2"/>
    <row r="346" hidden="1" outlineLevel="2" x14ac:dyDescent="0.2"/>
    <row r="347" hidden="1" outlineLevel="2" x14ac:dyDescent="0.2"/>
    <row r="348" hidden="1" outlineLevel="2" x14ac:dyDescent="0.2"/>
    <row r="349" hidden="1" outlineLevel="2" x14ac:dyDescent="0.2"/>
    <row r="350" hidden="1" outlineLevel="2" x14ac:dyDescent="0.2"/>
    <row r="351" hidden="1" outlineLevel="2" x14ac:dyDescent="0.2"/>
    <row r="352" hidden="1" outlineLevel="2" x14ac:dyDescent="0.2"/>
    <row r="353" spans="1:1" hidden="1" outlineLevel="2" x14ac:dyDescent="0.2"/>
    <row r="354" spans="1:1" hidden="1" outlineLevel="2" x14ac:dyDescent="0.2"/>
    <row r="355" spans="1:1" hidden="1" outlineLevel="2" x14ac:dyDescent="0.2"/>
    <row r="356" spans="1:1" hidden="1" outlineLevel="2" x14ac:dyDescent="0.2"/>
    <row r="357" spans="1:1" hidden="1" outlineLevel="2" x14ac:dyDescent="0.2"/>
    <row r="358" spans="1:1" outlineLevel="1" x14ac:dyDescent="0.2"/>
    <row r="359" spans="1:1" outlineLevel="1" collapsed="1" x14ac:dyDescent="0.2">
      <c r="A359" s="11" t="str">
        <f ca="1">Language!A$764 &amp; ", " &amp; CUR_Report</f>
        <v>График: Остаток денежных средств, руб.</v>
      </c>
    </row>
    <row r="360" spans="1:1" hidden="1" outlineLevel="2" x14ac:dyDescent="0.2"/>
    <row r="361" spans="1:1" hidden="1" outlineLevel="2" x14ac:dyDescent="0.2"/>
    <row r="362" spans="1:1" hidden="1" outlineLevel="2" x14ac:dyDescent="0.2"/>
    <row r="363" spans="1:1" hidden="1" outlineLevel="2" x14ac:dyDescent="0.2"/>
    <row r="364" spans="1:1" hidden="1" outlineLevel="2" x14ac:dyDescent="0.2"/>
    <row r="365" spans="1:1" hidden="1" outlineLevel="2" x14ac:dyDescent="0.2"/>
    <row r="366" spans="1:1" hidden="1" outlineLevel="2" x14ac:dyDescent="0.2"/>
    <row r="367" spans="1:1" hidden="1" outlineLevel="2" x14ac:dyDescent="0.2"/>
    <row r="368" spans="1:1" hidden="1" outlineLevel="2" x14ac:dyDescent="0.2"/>
    <row r="369" spans="1:1" hidden="1" outlineLevel="2" x14ac:dyDescent="0.2"/>
    <row r="370" spans="1:1" hidden="1" outlineLevel="2" x14ac:dyDescent="0.2"/>
    <row r="371" spans="1:1" hidden="1" outlineLevel="2" x14ac:dyDescent="0.2"/>
    <row r="372" spans="1:1" hidden="1" outlineLevel="2" x14ac:dyDescent="0.2"/>
    <row r="373" spans="1:1" hidden="1" outlineLevel="2" x14ac:dyDescent="0.2"/>
    <row r="374" spans="1:1" hidden="1" outlineLevel="2" x14ac:dyDescent="0.2"/>
    <row r="375" spans="1:1" hidden="1" outlineLevel="2" x14ac:dyDescent="0.2"/>
    <row r="376" spans="1:1" hidden="1" outlineLevel="2" x14ac:dyDescent="0.2"/>
    <row r="377" spans="1:1" hidden="1" outlineLevel="2" x14ac:dyDescent="0.2"/>
    <row r="378" spans="1:1" hidden="1" outlineLevel="2" x14ac:dyDescent="0.2"/>
    <row r="379" spans="1:1" hidden="1" outlineLevel="2" x14ac:dyDescent="0.2"/>
    <row r="380" spans="1:1" hidden="1" outlineLevel="2" x14ac:dyDescent="0.2"/>
    <row r="381" spans="1:1" hidden="1" outlineLevel="2" x14ac:dyDescent="0.2"/>
    <row r="382" spans="1:1" hidden="1" outlineLevel="2" x14ac:dyDescent="0.2"/>
    <row r="383" spans="1:1" outlineLevel="1" x14ac:dyDescent="0.2"/>
    <row r="384" spans="1:1" outlineLevel="1" collapsed="1" x14ac:dyDescent="0.2">
      <c r="A384" s="11" t="str">
        <f ca="1">Language!A$1006 &amp; ", " &amp; CUR_Report</f>
        <v>График: Движение денег по кредитам, руб.</v>
      </c>
    </row>
    <row r="385" hidden="1" outlineLevel="2" x14ac:dyDescent="0.2"/>
    <row r="386" hidden="1" outlineLevel="2" x14ac:dyDescent="0.2"/>
    <row r="387" hidden="1" outlineLevel="2" x14ac:dyDescent="0.2"/>
    <row r="388" hidden="1" outlineLevel="2" x14ac:dyDescent="0.2"/>
    <row r="389" hidden="1" outlineLevel="2" x14ac:dyDescent="0.2"/>
    <row r="390" hidden="1" outlineLevel="2" x14ac:dyDescent="0.2"/>
    <row r="391" hidden="1" outlineLevel="2" x14ac:dyDescent="0.2"/>
    <row r="392" hidden="1" outlineLevel="2" x14ac:dyDescent="0.2"/>
    <row r="393" hidden="1" outlineLevel="2" x14ac:dyDescent="0.2"/>
    <row r="394" hidden="1" outlineLevel="2" x14ac:dyDescent="0.2"/>
    <row r="395" hidden="1" outlineLevel="2" x14ac:dyDescent="0.2"/>
    <row r="396" hidden="1" outlineLevel="2" x14ac:dyDescent="0.2"/>
    <row r="397" hidden="1" outlineLevel="2" x14ac:dyDescent="0.2"/>
    <row r="398" hidden="1" outlineLevel="2" x14ac:dyDescent="0.2"/>
    <row r="399" hidden="1" outlineLevel="2" x14ac:dyDescent="0.2"/>
    <row r="400" hidden="1" outlineLevel="2" x14ac:dyDescent="0.2"/>
    <row r="401" spans="1:1" hidden="1" outlineLevel="2" x14ac:dyDescent="0.2"/>
    <row r="402" spans="1:1" hidden="1" outlineLevel="2" x14ac:dyDescent="0.2"/>
    <row r="403" spans="1:1" hidden="1" outlineLevel="2" x14ac:dyDescent="0.2"/>
    <row r="404" spans="1:1" hidden="1" outlineLevel="2" x14ac:dyDescent="0.2"/>
    <row r="405" spans="1:1" hidden="1" outlineLevel="2" x14ac:dyDescent="0.2"/>
    <row r="406" spans="1:1" hidden="1" outlineLevel="2" x14ac:dyDescent="0.2"/>
    <row r="407" spans="1:1" hidden="1" outlineLevel="2" x14ac:dyDescent="0.2"/>
    <row r="408" spans="1:1" outlineLevel="1" x14ac:dyDescent="0.2"/>
    <row r="409" spans="1:1" outlineLevel="1" collapsed="1" x14ac:dyDescent="0.2">
      <c r="A409" s="11" t="str">
        <f ca="1">Language!A$1008 &amp; ", " &amp; CUR_Report</f>
        <v>График: Поступления от продаж, руб.</v>
      </c>
    </row>
    <row r="410" spans="1:1" hidden="1" outlineLevel="2" x14ac:dyDescent="0.2"/>
    <row r="411" spans="1:1" hidden="1" outlineLevel="2" x14ac:dyDescent="0.2"/>
    <row r="412" spans="1:1" hidden="1" outlineLevel="2" x14ac:dyDescent="0.2"/>
    <row r="413" spans="1:1" hidden="1" outlineLevel="2" x14ac:dyDescent="0.2"/>
    <row r="414" spans="1:1" hidden="1" outlineLevel="2" x14ac:dyDescent="0.2"/>
    <row r="415" spans="1:1" hidden="1" outlineLevel="2" x14ac:dyDescent="0.2"/>
    <row r="416" spans="1:1" hidden="1" outlineLevel="2" x14ac:dyDescent="0.2"/>
    <row r="417" hidden="1" outlineLevel="2" x14ac:dyDescent="0.2"/>
    <row r="418" hidden="1" outlineLevel="2" x14ac:dyDescent="0.2"/>
    <row r="419" hidden="1" outlineLevel="2" x14ac:dyDescent="0.2"/>
    <row r="420" hidden="1" outlineLevel="2" x14ac:dyDescent="0.2"/>
    <row r="421" hidden="1" outlineLevel="2" x14ac:dyDescent="0.2"/>
    <row r="422" hidden="1" outlineLevel="2" x14ac:dyDescent="0.2"/>
    <row r="423" hidden="1" outlineLevel="2" x14ac:dyDescent="0.2"/>
    <row r="424" hidden="1" outlineLevel="2" x14ac:dyDescent="0.2"/>
    <row r="425" hidden="1" outlineLevel="2" x14ac:dyDescent="0.2"/>
    <row r="426" hidden="1" outlineLevel="2" x14ac:dyDescent="0.2"/>
    <row r="427" hidden="1" outlineLevel="2" x14ac:dyDescent="0.2"/>
    <row r="428" hidden="1" outlineLevel="2" x14ac:dyDescent="0.2"/>
    <row r="429" hidden="1" outlineLevel="2" x14ac:dyDescent="0.2"/>
    <row r="430" hidden="1" outlineLevel="2" x14ac:dyDescent="0.2"/>
    <row r="431" hidden="1" outlineLevel="2" x14ac:dyDescent="0.2"/>
    <row r="432" hidden="1" outlineLevel="2" x14ac:dyDescent="0.2"/>
    <row r="433" spans="1:19" outlineLevel="1" x14ac:dyDescent="0.2"/>
    <row r="434" spans="1:19" outlineLevel="1" x14ac:dyDescent="0.2"/>
    <row r="435" spans="1:19" s="4" customFormat="1" ht="16" customHeight="1" thickBot="1" x14ac:dyDescent="0.25">
      <c r="A435" s="166" t="str">
        <f ca="1">Language!A971</f>
        <v xml:space="preserve">         СВОДНЫЙ БАЛАНС</v>
      </c>
      <c r="B435" s="166"/>
      <c r="C435" s="166"/>
      <c r="D435" s="166"/>
      <c r="E435" s="166"/>
      <c r="F435" s="178" t="str">
        <f>IF(Проект!ShowRealDates,F36,F34)</f>
        <v>4/ 2020</v>
      </c>
      <c r="G435" s="178" t="str">
        <f>IF(Проект!ShowRealDates,G36,G34)</f>
        <v>5/ 2020</v>
      </c>
      <c r="H435" s="178" t="str">
        <f>IF(Проект!ShowRealDates,H36,H34)</f>
        <v>6/ 2020</v>
      </c>
      <c r="I435" s="178" t="str">
        <f>IF(Проект!ShowRealDates,I36,I34)</f>
        <v>7/ 2020</v>
      </c>
      <c r="J435" s="178" t="str">
        <f>IF(Проект!ShowRealDates,J36,J34)</f>
        <v>8/ 2020</v>
      </c>
      <c r="K435" s="178" t="str">
        <f>IF(Проект!ShowRealDates,K36,K34)</f>
        <v>9/ 2020</v>
      </c>
      <c r="L435" s="178" t="str">
        <f>IF(Проект!ShowRealDates,L36,L34)</f>
        <v>10/ 2020</v>
      </c>
      <c r="M435" s="178" t="str">
        <f>IF(Проект!ShowRealDates,M36,M34)</f>
        <v>11/ 2020</v>
      </c>
      <c r="N435" s="178" t="str">
        <f>IF(Проект!ShowRealDates,N36,N34)</f>
        <v>12/ 2020</v>
      </c>
      <c r="O435" s="178" t="str">
        <f>IF(Проект!ShowRealDates,O36,O34)</f>
        <v>1/ 2021</v>
      </c>
      <c r="P435" s="178" t="str">
        <f>IF(Проект!ShowRealDates,P36,P34)</f>
        <v>2/ 2021</v>
      </c>
      <c r="Q435" s="178" t="str">
        <f>IF(Проект!ShowRealDates,Q36,Q34)</f>
        <v>3/ 2021</v>
      </c>
      <c r="R435" s="167"/>
      <c r="S435" s="110"/>
    </row>
    <row r="436" spans="1:19" ht="10.5" outlineLevel="1" thickTop="1" x14ac:dyDescent="0.2"/>
    <row r="437" spans="1:19" outlineLevel="1" collapsed="1" x14ac:dyDescent="0.2">
      <c r="A437" t="str">
        <f ca="1">Language!A$766</f>
        <v>Денежные средства</v>
      </c>
      <c r="C437" s="5" t="str">
        <f t="shared" ref="C437:C456" ca="1" si="42">CUR_Report</f>
        <v>руб.</v>
      </c>
      <c r="D437" s="16" t="s">
        <v>2211</v>
      </c>
      <c r="F437" s="106">
        <f t="shared" ref="F437:M437" ca="1" si="43">F331+F115</f>
        <v>733387.6844783714</v>
      </c>
      <c r="G437" s="106">
        <f t="shared" ca="1" si="43"/>
        <v>648530.80460216617</v>
      </c>
      <c r="H437" s="106">
        <f t="shared" ca="1" si="43"/>
        <v>638229.29567820544</v>
      </c>
      <c r="I437" s="106">
        <f t="shared" ca="1" si="43"/>
        <v>628017.63861705491</v>
      </c>
      <c r="J437" s="106">
        <f t="shared" ca="1" si="43"/>
        <v>616402.66985923832</v>
      </c>
      <c r="K437" s="106">
        <f t="shared" ca="1" si="43"/>
        <v>836402.95626654627</v>
      </c>
      <c r="L437" s="106">
        <f t="shared" ca="1" si="43"/>
        <v>974719.78353927389</v>
      </c>
      <c r="M437" s="106">
        <f t="shared" ca="1" si="43"/>
        <v>1229174.3301301836</v>
      </c>
      <c r="N437" s="106">
        <f t="shared" ref="N437" ca="1" si="44">N331+N115</f>
        <v>1668958.1994483669</v>
      </c>
      <c r="O437" s="106">
        <f t="shared" ref="O437:Q437" ca="1" si="45">O331+O115</f>
        <v>5625283.1872038571</v>
      </c>
      <c r="P437" s="106">
        <f t="shared" ref="P437:Q437" ca="1" si="46">P331+P115</f>
        <v>14933742.137203857</v>
      </c>
      <c r="Q437" s="106">
        <f t="shared" ca="1" si="46"/>
        <v>25397521.08720386</v>
      </c>
      <c r="S437" s="11"/>
    </row>
    <row r="438" spans="1:19" s="181" customFormat="1" hidden="1" outlineLevel="2" x14ac:dyDescent="0.2">
      <c r="A438" s="11" t="str">
        <f>"        " &amp; A12</f>
        <v xml:space="preserve">        Наименование проекта</v>
      </c>
      <c r="B438" s="11"/>
      <c r="C438" s="36" t="str">
        <f t="shared" ca="1" si="42"/>
        <v>руб.</v>
      </c>
      <c r="D438" s="11" t="str">
        <f>"[" &amp; F12 &amp; "];int_end"</f>
        <v>[Проект];int_end</v>
      </c>
      <c r="E438" s="11"/>
      <c r="F438" s="54">
        <f ca="1">IF(F$33&lt;$B28,0,IF(F$33&gt;$C28,IF(LIFE_PRJ=1,E438,0),OFFSET(Проект!F$1563,0,1-$B28)))</f>
        <v>733387.6844783714</v>
      </c>
      <c r="G438" s="54">
        <f ca="1">IF(G$33&lt;$B28,0,IF(G$33&gt;$C28,IF(LIFE_PRJ=1,F438,0),OFFSET(Проект!G$1563,0,1-$B28)))</f>
        <v>648530.80460216617</v>
      </c>
      <c r="H438" s="54">
        <f ca="1">IF(H$33&lt;$B28,0,IF(H$33&gt;$C28,IF(LIFE_PRJ=1,G438,0),OFFSET(Проект!H$1563,0,1-$B28)))</f>
        <v>638229.29567820544</v>
      </c>
      <c r="I438" s="54">
        <f ca="1">IF(I$33&lt;$B28,0,IF(I$33&gt;$C28,IF(LIFE_PRJ=1,H438,0),OFFSET(Проект!I$1563,0,1-$B28)))</f>
        <v>628017.63861705491</v>
      </c>
      <c r="J438" s="54">
        <f ca="1">IF(J$33&lt;$B28,0,IF(J$33&gt;$C28,IF(LIFE_PRJ=1,I438,0),OFFSET(Проект!J$1563,0,1-$B28)))</f>
        <v>616402.66985923832</v>
      </c>
      <c r="K438" s="54">
        <f ca="1">IF(K$33&lt;$B28,0,IF(K$33&gt;$C28,IF(LIFE_PRJ=1,J438,0),OFFSET(Проект!K$1563,0,1-$B28)))</f>
        <v>836402.95626654627</v>
      </c>
      <c r="L438" s="54">
        <f ca="1">IF(L$33&lt;$B28,0,IF(L$33&gt;$C28,IF(LIFE_PRJ=1,K438,0),OFFSET(Проект!L$1563,0,1-$B28)))</f>
        <v>974719.78353927389</v>
      </c>
      <c r="M438" s="54">
        <f ca="1">IF(M$33&lt;$B28,0,IF(M$33&gt;$C28,IF(LIFE_PRJ=1,L438,0),OFFSET(Проект!M$1563,0,1-$B28)))</f>
        <v>1229174.3301301836</v>
      </c>
      <c r="N438" s="54">
        <f ca="1">IF(N$33&lt;$B28,0,IF(N$33&gt;$C28,IF(LIFE_PRJ=1,M438,0),OFFSET(Проект!N$1563,0,1-$B28)))</f>
        <v>1668958.1994483669</v>
      </c>
      <c r="O438" s="54">
        <f ca="1">IF(O$33&lt;$B28,0,IF(O$33&gt;$C28,IF(LIFE_PRJ=1,N438,0),OFFSET(Проект!O$1563,0,1-$B28)))</f>
        <v>5625283.1872038571</v>
      </c>
      <c r="P438" s="54">
        <f ca="1">IF(P$33&lt;$B28,0,IF(P$33&gt;$C28,IF(LIFE_PRJ=1,O438,0),OFFSET(Проект!P$1563,0,1-$B28)))</f>
        <v>14933742.137203857</v>
      </c>
      <c r="Q438" s="54">
        <f ca="1">IF(Q$33&lt;$B28,0,IF(Q$33&gt;$C28,IF(LIFE_PRJ=1,P438,0),OFFSET(Проект!Q$1563,0,1-$B28)))</f>
        <v>25397521.08720386</v>
      </c>
    </row>
    <row r="439" spans="1:19" outlineLevel="1" collapsed="1" x14ac:dyDescent="0.2">
      <c r="A439" t="str">
        <f ca="1">Language!A$767</f>
        <v>Дебиторская задолженность</v>
      </c>
      <c r="C439" s="5" t="str">
        <f t="shared" ca="1" si="42"/>
        <v>руб.</v>
      </c>
      <c r="D439" s="16" t="s">
        <v>2211</v>
      </c>
      <c r="F439" s="106">
        <f ca="1">SUMPRODUCT($B12:OFFSET($B13,-1,0),F440:OFFSET(F441,-1,0))</f>
        <v>0</v>
      </c>
      <c r="G439" s="106">
        <f ca="1">SUMPRODUCT($B12:OFFSET($B13,-1,0),G440:OFFSET(G441,-1,0))</f>
        <v>0</v>
      </c>
      <c r="H439" s="106">
        <f ca="1">SUMPRODUCT($B12:OFFSET($B13,-1,0),H440:OFFSET(H441,-1,0))</f>
        <v>0</v>
      </c>
      <c r="I439" s="106">
        <f ca="1">SUMPRODUCT($B12:OFFSET($B13,-1,0),I440:OFFSET(I441,-1,0))</f>
        <v>0</v>
      </c>
      <c r="J439" s="106">
        <f ca="1">SUMPRODUCT($B12:OFFSET($B13,-1,0),J440:OFFSET(J441,-1,0))</f>
        <v>0</v>
      </c>
      <c r="K439" s="106">
        <f ca="1">SUMPRODUCT($B12:OFFSET($B13,-1,0),K440:OFFSET(K441,-1,0))</f>
        <v>0</v>
      </c>
      <c r="L439" s="106">
        <f ca="1">SUMPRODUCT($B12:OFFSET($B13,-1,0),L440:OFFSET(L441,-1,0))</f>
        <v>0</v>
      </c>
      <c r="M439" s="106">
        <f ca="1">SUMPRODUCT($B12:OFFSET($B13,-1,0),M440:OFFSET(M441,-1,0))</f>
        <v>0</v>
      </c>
      <c r="N439" s="106">
        <f ca="1">SUMPRODUCT($B12:OFFSET($B13,-1,0),N440:OFFSET(N441,-1,0))</f>
        <v>0</v>
      </c>
      <c r="O439" s="106">
        <f ca="1">SUMPRODUCT($B12:OFFSET($B13,-1,0),O440:OFFSET(O441,-1,0))</f>
        <v>0</v>
      </c>
      <c r="P439" s="106">
        <f ca="1">SUMPRODUCT($B12:OFFSET($B13,-1,0),P440:OFFSET(P441,-1,0))</f>
        <v>0</v>
      </c>
      <c r="Q439" s="106">
        <f ca="1">SUMPRODUCT($B12:OFFSET($B13,-1,0),Q440:OFFSET(Q441,-1,0))</f>
        <v>0</v>
      </c>
      <c r="S439" s="11"/>
    </row>
    <row r="440" spans="1:19" s="181" customFormat="1" hidden="1" outlineLevel="2" x14ac:dyDescent="0.2">
      <c r="A440" s="181" t="str">
        <f>"        " &amp; A12</f>
        <v xml:space="preserve">        Наименование проекта</v>
      </c>
      <c r="C440" s="209" t="str">
        <f t="shared" ca="1" si="42"/>
        <v>руб.</v>
      </c>
      <c r="D440" s="90" t="str">
        <f>"[" &amp; F12 &amp; "];int_end"</f>
        <v>[Проект];int_end</v>
      </c>
      <c r="F440" s="94">
        <f ca="1">IF(F$33&lt;$B28,0,IF(F$33&gt;$C28,IF(LIFE_PRJ=1,E440,0),OFFSET(Проект!F$1564,0,1-$B28)))</f>
        <v>0</v>
      </c>
      <c r="G440" s="94">
        <f ca="1">IF(G$33&lt;$B28,0,IF(G$33&gt;$C28,IF(LIFE_PRJ=1,F440,0),OFFSET(Проект!G$1564,0,1-$B28)))</f>
        <v>0</v>
      </c>
      <c r="H440" s="94">
        <f ca="1">IF(H$33&lt;$B28,0,IF(H$33&gt;$C28,IF(LIFE_PRJ=1,G440,0),OFFSET(Проект!H$1564,0,1-$B28)))</f>
        <v>0</v>
      </c>
      <c r="I440" s="94">
        <f ca="1">IF(I$33&lt;$B28,0,IF(I$33&gt;$C28,IF(LIFE_PRJ=1,H440,0),OFFSET(Проект!I$1564,0,1-$B28)))</f>
        <v>0</v>
      </c>
      <c r="J440" s="94">
        <f ca="1">IF(J$33&lt;$B28,0,IF(J$33&gt;$C28,IF(LIFE_PRJ=1,I440,0),OFFSET(Проект!J$1564,0,1-$B28)))</f>
        <v>0</v>
      </c>
      <c r="K440" s="94">
        <f ca="1">IF(K$33&lt;$B28,0,IF(K$33&gt;$C28,IF(LIFE_PRJ=1,J440,0),OFFSET(Проект!K$1564,0,1-$B28)))</f>
        <v>0</v>
      </c>
      <c r="L440" s="94">
        <f ca="1">IF(L$33&lt;$B28,0,IF(L$33&gt;$C28,IF(LIFE_PRJ=1,K440,0),OFFSET(Проект!L$1564,0,1-$B28)))</f>
        <v>0</v>
      </c>
      <c r="M440" s="94">
        <f ca="1">IF(M$33&lt;$B28,0,IF(M$33&gt;$C28,IF(LIFE_PRJ=1,L440,0),OFFSET(Проект!M$1564,0,1-$B28)))</f>
        <v>0</v>
      </c>
      <c r="N440" s="94">
        <f ca="1">IF(N$33&lt;$B28,0,IF(N$33&gt;$C28,IF(LIFE_PRJ=1,M440,0),OFFSET(Проект!N$1564,0,1-$B28)))</f>
        <v>0</v>
      </c>
      <c r="O440" s="94">
        <f ca="1">IF(O$33&lt;$B28,0,IF(O$33&gt;$C28,IF(LIFE_PRJ=1,N440,0),OFFSET(Проект!O$1564,0,1-$B28)))</f>
        <v>0</v>
      </c>
      <c r="P440" s="94">
        <f ca="1">IF(P$33&lt;$B28,0,IF(P$33&gt;$C28,IF(LIFE_PRJ=1,O440,0),OFFSET(Проект!P$1564,0,1-$B28)))</f>
        <v>0</v>
      </c>
      <c r="Q440" s="94">
        <f ca="1">IF(Q$33&lt;$B28,0,IF(Q$33&gt;$C28,IF(LIFE_PRJ=1,P440,0),OFFSET(Проект!Q$1564,0,1-$B28)))</f>
        <v>0</v>
      </c>
    </row>
    <row r="441" spans="1:19" outlineLevel="1" collapsed="1" x14ac:dyDescent="0.2">
      <c r="A441" t="str">
        <f ca="1">Language!A$768</f>
        <v>Авансы уплаченные</v>
      </c>
      <c r="C441" s="5" t="str">
        <f t="shared" ca="1" si="42"/>
        <v>руб.</v>
      </c>
      <c r="D441" s="16" t="s">
        <v>2211</v>
      </c>
      <c r="F441" s="106">
        <f ca="1">SUMPRODUCT($B12:OFFSET($B13,-1,0),F442:OFFSET(F443,-1,0))</f>
        <v>0</v>
      </c>
      <c r="G441" s="106">
        <f ca="1">SUMPRODUCT($B12:OFFSET($B13,-1,0),G442:OFFSET(G443,-1,0))</f>
        <v>0</v>
      </c>
      <c r="H441" s="106">
        <f ca="1">SUMPRODUCT($B12:OFFSET($B13,-1,0),H442:OFFSET(H443,-1,0))</f>
        <v>0</v>
      </c>
      <c r="I441" s="106">
        <f ca="1">SUMPRODUCT($B12:OFFSET($B13,-1,0),I442:OFFSET(I443,-1,0))</f>
        <v>0</v>
      </c>
      <c r="J441" s="106">
        <f ca="1">SUMPRODUCT($B12:OFFSET($B13,-1,0),J442:OFFSET(J443,-1,0))</f>
        <v>0</v>
      </c>
      <c r="K441" s="106">
        <f ca="1">SUMPRODUCT($B12:OFFSET($B13,-1,0),K442:OFFSET(K443,-1,0))</f>
        <v>0</v>
      </c>
      <c r="L441" s="106">
        <f ca="1">SUMPRODUCT($B12:OFFSET($B13,-1,0),L442:OFFSET(L443,-1,0))</f>
        <v>0</v>
      </c>
      <c r="M441" s="106">
        <f ca="1">SUMPRODUCT($B12:OFFSET($B13,-1,0),M442:OFFSET(M443,-1,0))</f>
        <v>0</v>
      </c>
      <c r="N441" s="106">
        <f ca="1">SUMPRODUCT($B12:OFFSET($B13,-1,0),N442:OFFSET(N443,-1,0))</f>
        <v>0</v>
      </c>
      <c r="O441" s="106">
        <f ca="1">SUMPRODUCT($B12:OFFSET($B13,-1,0),O442:OFFSET(O443,-1,0))</f>
        <v>0</v>
      </c>
      <c r="P441" s="106">
        <f ca="1">SUMPRODUCT($B12:OFFSET($B13,-1,0),P442:OFFSET(P443,-1,0))</f>
        <v>0</v>
      </c>
      <c r="Q441" s="106">
        <f ca="1">SUMPRODUCT($B12:OFFSET($B13,-1,0),Q442:OFFSET(Q443,-1,0))</f>
        <v>0</v>
      </c>
      <c r="S441" s="11"/>
    </row>
    <row r="442" spans="1:19" s="181" customFormat="1" hidden="1" outlineLevel="2" x14ac:dyDescent="0.2">
      <c r="A442" s="181" t="str">
        <f>"        " &amp; A12</f>
        <v xml:space="preserve">        Наименование проекта</v>
      </c>
      <c r="C442" s="209" t="str">
        <f t="shared" ca="1" si="42"/>
        <v>руб.</v>
      </c>
      <c r="D442" s="90" t="str">
        <f>"[" &amp; F12 &amp; "];int_end"</f>
        <v>[Проект];int_end</v>
      </c>
      <c r="F442" s="94">
        <f ca="1">IF(F$33&lt;$B28,0,IF(F$33&gt;$C28,IF(LIFE_PRJ=1,E442,0),OFFSET(Проект!F$1565,0,1-$B28)))</f>
        <v>0</v>
      </c>
      <c r="G442" s="94">
        <f ca="1">IF(G$33&lt;$B28,0,IF(G$33&gt;$C28,IF(LIFE_PRJ=1,F442,0),OFFSET(Проект!G$1565,0,1-$B28)))</f>
        <v>0</v>
      </c>
      <c r="H442" s="94">
        <f ca="1">IF(H$33&lt;$B28,0,IF(H$33&gt;$C28,IF(LIFE_PRJ=1,G442,0),OFFSET(Проект!H$1565,0,1-$B28)))</f>
        <v>0</v>
      </c>
      <c r="I442" s="94">
        <f ca="1">IF(I$33&lt;$B28,0,IF(I$33&gt;$C28,IF(LIFE_PRJ=1,H442,0),OFFSET(Проект!I$1565,0,1-$B28)))</f>
        <v>0</v>
      </c>
      <c r="J442" s="94">
        <f ca="1">IF(J$33&lt;$B28,0,IF(J$33&gt;$C28,IF(LIFE_PRJ=1,I442,0),OFFSET(Проект!J$1565,0,1-$B28)))</f>
        <v>0</v>
      </c>
      <c r="K442" s="94">
        <f ca="1">IF(K$33&lt;$B28,0,IF(K$33&gt;$C28,IF(LIFE_PRJ=1,J442,0),OFFSET(Проект!K$1565,0,1-$B28)))</f>
        <v>0</v>
      </c>
      <c r="L442" s="94">
        <f ca="1">IF(L$33&lt;$B28,0,IF(L$33&gt;$C28,IF(LIFE_PRJ=1,K442,0),OFFSET(Проект!L$1565,0,1-$B28)))</f>
        <v>0</v>
      </c>
      <c r="M442" s="94">
        <f ca="1">IF(M$33&lt;$B28,0,IF(M$33&gt;$C28,IF(LIFE_PRJ=1,L442,0),OFFSET(Проект!M$1565,0,1-$B28)))</f>
        <v>0</v>
      </c>
      <c r="N442" s="94">
        <f ca="1">IF(N$33&lt;$B28,0,IF(N$33&gt;$C28,IF(LIFE_PRJ=1,M442,0),OFFSET(Проект!N$1565,0,1-$B28)))</f>
        <v>0</v>
      </c>
      <c r="O442" s="94">
        <f ca="1">IF(O$33&lt;$B28,0,IF(O$33&gt;$C28,IF(LIFE_PRJ=1,N442,0),OFFSET(Проект!O$1565,0,1-$B28)))</f>
        <v>0</v>
      </c>
      <c r="P442" s="94">
        <f ca="1">IF(P$33&lt;$B28,0,IF(P$33&gt;$C28,IF(LIFE_PRJ=1,O442,0),OFFSET(Проект!P$1565,0,1-$B28)))</f>
        <v>0</v>
      </c>
      <c r="Q442" s="94">
        <f ca="1">IF(Q$33&lt;$B28,0,IF(Q$33&gt;$C28,IF(LIFE_PRJ=1,P442,0),OFFSET(Проект!Q$1565,0,1-$B28)))</f>
        <v>0</v>
      </c>
    </row>
    <row r="443" spans="1:19" outlineLevel="1" collapsed="1" x14ac:dyDescent="0.2">
      <c r="A443" t="str">
        <f ca="1">Language!A$769</f>
        <v>Готовая продукция</v>
      </c>
      <c r="C443" s="5" t="str">
        <f t="shared" ca="1" si="42"/>
        <v>руб.</v>
      </c>
      <c r="D443" s="16" t="s">
        <v>2211</v>
      </c>
      <c r="F443" s="106">
        <f ca="1">SUMPRODUCT($B12:OFFSET($B13,-1,0),F444:OFFSET(F445,-1,0))</f>
        <v>0</v>
      </c>
      <c r="G443" s="106">
        <f ca="1">SUMPRODUCT($B12:OFFSET($B13,-1,0),G444:OFFSET(G445,-1,0))</f>
        <v>0</v>
      </c>
      <c r="H443" s="106">
        <f ca="1">SUMPRODUCT($B12:OFFSET($B13,-1,0),H444:OFFSET(H445,-1,0))</f>
        <v>0</v>
      </c>
      <c r="I443" s="106">
        <f ca="1">SUMPRODUCT($B12:OFFSET($B13,-1,0),I444:OFFSET(I445,-1,0))</f>
        <v>0</v>
      </c>
      <c r="J443" s="106">
        <f ca="1">SUMPRODUCT($B12:OFFSET($B13,-1,0),J444:OFFSET(J445,-1,0))</f>
        <v>0</v>
      </c>
      <c r="K443" s="106">
        <f ca="1">SUMPRODUCT($B12:OFFSET($B13,-1,0),K444:OFFSET(K445,-1,0))</f>
        <v>0</v>
      </c>
      <c r="L443" s="106">
        <f ca="1">SUMPRODUCT($B12:OFFSET($B13,-1,0),L444:OFFSET(L445,-1,0))</f>
        <v>0</v>
      </c>
      <c r="M443" s="106">
        <f ca="1">SUMPRODUCT($B12:OFFSET($B13,-1,0),M444:OFFSET(M445,-1,0))</f>
        <v>0</v>
      </c>
      <c r="N443" s="106">
        <f ca="1">SUMPRODUCT($B12:OFFSET($B13,-1,0),N444:OFFSET(N445,-1,0))</f>
        <v>0</v>
      </c>
      <c r="O443" s="106">
        <f ca="1">SUMPRODUCT($B12:OFFSET($B13,-1,0),O444:OFFSET(O445,-1,0))</f>
        <v>0</v>
      </c>
      <c r="P443" s="106">
        <f ca="1">SUMPRODUCT($B12:OFFSET($B13,-1,0),P444:OFFSET(P445,-1,0))</f>
        <v>0</v>
      </c>
      <c r="Q443" s="106">
        <f ca="1">SUMPRODUCT($B12:OFFSET($B13,-1,0),Q444:OFFSET(Q445,-1,0))</f>
        <v>0</v>
      </c>
      <c r="S443" s="11"/>
    </row>
    <row r="444" spans="1:19" s="181" customFormat="1" hidden="1" outlineLevel="2" x14ac:dyDescent="0.2">
      <c r="A444" s="181" t="str">
        <f>"        " &amp; A12</f>
        <v xml:space="preserve">        Наименование проекта</v>
      </c>
      <c r="C444" s="209" t="str">
        <f t="shared" ca="1" si="42"/>
        <v>руб.</v>
      </c>
      <c r="D444" s="90" t="str">
        <f>"[" &amp; F12 &amp; "];int_end"</f>
        <v>[Проект];int_end</v>
      </c>
      <c r="F444" s="94">
        <f ca="1">IF(F$33&lt;$B28,0,IF(F$33&gt;$C28,IF(LIFE_PRJ=1,E444,0),OFFSET(Проект!F$1566,0,1-$B28)))</f>
        <v>0</v>
      </c>
      <c r="G444" s="94">
        <f ca="1">IF(G$33&lt;$B28,0,IF(G$33&gt;$C28,IF(LIFE_PRJ=1,F444,0),OFFSET(Проект!G$1566,0,1-$B28)))</f>
        <v>0</v>
      </c>
      <c r="H444" s="94">
        <f ca="1">IF(H$33&lt;$B28,0,IF(H$33&gt;$C28,IF(LIFE_PRJ=1,G444,0),OFFSET(Проект!H$1566,0,1-$B28)))</f>
        <v>0</v>
      </c>
      <c r="I444" s="94">
        <f ca="1">IF(I$33&lt;$B28,0,IF(I$33&gt;$C28,IF(LIFE_PRJ=1,H444,0),OFFSET(Проект!I$1566,0,1-$B28)))</f>
        <v>0</v>
      </c>
      <c r="J444" s="94">
        <f ca="1">IF(J$33&lt;$B28,0,IF(J$33&gt;$C28,IF(LIFE_PRJ=1,I444,0),OFFSET(Проект!J$1566,0,1-$B28)))</f>
        <v>0</v>
      </c>
      <c r="K444" s="94">
        <f ca="1">IF(K$33&lt;$B28,0,IF(K$33&gt;$C28,IF(LIFE_PRJ=1,J444,0),OFFSET(Проект!K$1566,0,1-$B28)))</f>
        <v>0</v>
      </c>
      <c r="L444" s="94">
        <f ca="1">IF(L$33&lt;$B28,0,IF(L$33&gt;$C28,IF(LIFE_PRJ=1,K444,0),OFFSET(Проект!L$1566,0,1-$B28)))</f>
        <v>0</v>
      </c>
      <c r="M444" s="94">
        <f ca="1">IF(M$33&lt;$B28,0,IF(M$33&gt;$C28,IF(LIFE_PRJ=1,L444,0),OFFSET(Проект!M$1566,0,1-$B28)))</f>
        <v>0</v>
      </c>
      <c r="N444" s="94">
        <f ca="1">IF(N$33&lt;$B28,0,IF(N$33&gt;$C28,IF(LIFE_PRJ=1,M444,0),OFFSET(Проект!N$1566,0,1-$B28)))</f>
        <v>0</v>
      </c>
      <c r="O444" s="94">
        <f ca="1">IF(O$33&lt;$B28,0,IF(O$33&gt;$C28,IF(LIFE_PRJ=1,N444,0),OFFSET(Проект!O$1566,0,1-$B28)))</f>
        <v>0</v>
      </c>
      <c r="P444" s="94">
        <f ca="1">IF(P$33&lt;$B28,0,IF(P$33&gt;$C28,IF(LIFE_PRJ=1,O444,0),OFFSET(Проект!P$1566,0,1-$B28)))</f>
        <v>0</v>
      </c>
      <c r="Q444" s="94">
        <f ca="1">IF(Q$33&lt;$B28,0,IF(Q$33&gt;$C28,IF(LIFE_PRJ=1,P444,0),OFFSET(Проект!Q$1566,0,1-$B28)))</f>
        <v>0</v>
      </c>
    </row>
    <row r="445" spans="1:19" outlineLevel="1" collapsed="1" x14ac:dyDescent="0.2">
      <c r="A445" t="str">
        <f ca="1">Language!A$770</f>
        <v>Незавершенное производство</v>
      </c>
      <c r="C445" s="5" t="str">
        <f t="shared" ca="1" si="42"/>
        <v>руб.</v>
      </c>
      <c r="D445" s="16" t="s">
        <v>2211</v>
      </c>
      <c r="F445" s="106">
        <f ca="1">SUMPRODUCT($B12:OFFSET($B13,-1,0),F446:OFFSET(F447,-1,0))</f>
        <v>0</v>
      </c>
      <c r="G445" s="106">
        <f ca="1">SUMPRODUCT($B12:OFFSET($B13,-1,0),G446:OFFSET(G447,-1,0))</f>
        <v>0</v>
      </c>
      <c r="H445" s="106">
        <f ca="1">SUMPRODUCT($B12:OFFSET($B13,-1,0),H446:OFFSET(H447,-1,0))</f>
        <v>26.6175</v>
      </c>
      <c r="I445" s="106">
        <f ca="1">SUMPRODUCT($B12:OFFSET($B13,-1,0),I446:OFFSET(I447,-1,0))</f>
        <v>133.08750000000001</v>
      </c>
      <c r="J445" s="106">
        <f ca="1">SUMPRODUCT($B12:OFFSET($B13,-1,0),J446:OFFSET(J447,-1,0))</f>
        <v>266.17500000000001</v>
      </c>
      <c r="K445" s="106">
        <f ca="1">SUMPRODUCT($B12:OFFSET($B13,-1,0),K446:OFFSET(K447,-1,0))</f>
        <v>532.35</v>
      </c>
      <c r="L445" s="106">
        <f ca="1">SUMPRODUCT($B12:OFFSET($B13,-1,0),L446:OFFSET(L447,-1,0))</f>
        <v>798.52499999999998</v>
      </c>
      <c r="M445" s="106">
        <f ca="1">SUMPRODUCT($B12:OFFSET($B13,-1,0),M446:OFFSET(M447,-1,0))</f>
        <v>1064.7</v>
      </c>
      <c r="N445" s="106">
        <f ca="1">SUMPRODUCT($B12:OFFSET($B13,-1,0),N446:OFFSET(N447,-1,0))</f>
        <v>1463.9625000000001</v>
      </c>
      <c r="O445" s="106">
        <f ca="1">SUMPRODUCT($B12:OFFSET($B13,-1,0),O446:OFFSET(O447,-1,0))</f>
        <v>1996.3125</v>
      </c>
      <c r="P445" s="106">
        <f ca="1">SUMPRODUCT($B12:OFFSET($B13,-1,0),P446:OFFSET(P447,-1,0))</f>
        <v>2395.5750000000003</v>
      </c>
      <c r="Q445" s="106">
        <f ca="1">SUMPRODUCT($B12:OFFSET($B13,-1,0),Q446:OFFSET(Q447,-1,0))</f>
        <v>2661.7500000000005</v>
      </c>
      <c r="S445" s="11"/>
    </row>
    <row r="446" spans="1:19" s="181" customFormat="1" hidden="1" outlineLevel="2" x14ac:dyDescent="0.2">
      <c r="A446" s="181" t="str">
        <f>"        " &amp; A12</f>
        <v xml:space="preserve">        Наименование проекта</v>
      </c>
      <c r="C446" s="209" t="str">
        <f t="shared" ca="1" si="42"/>
        <v>руб.</v>
      </c>
      <c r="D446" s="90" t="str">
        <f>"[" &amp; F12 &amp; "];int_end"</f>
        <v>[Проект];int_end</v>
      </c>
      <c r="F446" s="94">
        <f ca="1">IF(F$33&lt;$B28,0,IF(F$33&gt;$C28,IF(LIFE_PRJ=1,E446,0),OFFSET(Проект!F$1567,0,1-$B28)))</f>
        <v>0</v>
      </c>
      <c r="G446" s="94">
        <f ca="1">IF(G$33&lt;$B28,0,IF(G$33&gt;$C28,IF(LIFE_PRJ=1,F446,0),OFFSET(Проект!G$1567,0,1-$B28)))</f>
        <v>0</v>
      </c>
      <c r="H446" s="94">
        <f ca="1">IF(H$33&lt;$B28,0,IF(H$33&gt;$C28,IF(LIFE_PRJ=1,G446,0),OFFSET(Проект!H$1567,0,1-$B28)))</f>
        <v>26.6175</v>
      </c>
      <c r="I446" s="94">
        <f ca="1">IF(I$33&lt;$B28,0,IF(I$33&gt;$C28,IF(LIFE_PRJ=1,H446,0),OFFSET(Проект!I$1567,0,1-$B28)))</f>
        <v>133.08750000000001</v>
      </c>
      <c r="J446" s="94">
        <f ca="1">IF(J$33&lt;$B28,0,IF(J$33&gt;$C28,IF(LIFE_PRJ=1,I446,0),OFFSET(Проект!J$1567,0,1-$B28)))</f>
        <v>266.17500000000001</v>
      </c>
      <c r="K446" s="94">
        <f ca="1">IF(K$33&lt;$B28,0,IF(K$33&gt;$C28,IF(LIFE_PRJ=1,J446,0),OFFSET(Проект!K$1567,0,1-$B28)))</f>
        <v>532.35</v>
      </c>
      <c r="L446" s="94">
        <f ca="1">IF(L$33&lt;$B28,0,IF(L$33&gt;$C28,IF(LIFE_PRJ=1,K446,0),OFFSET(Проект!L$1567,0,1-$B28)))</f>
        <v>798.52499999999998</v>
      </c>
      <c r="M446" s="94">
        <f ca="1">IF(M$33&lt;$B28,0,IF(M$33&gt;$C28,IF(LIFE_PRJ=1,L446,0),OFFSET(Проект!M$1567,0,1-$B28)))</f>
        <v>1064.7</v>
      </c>
      <c r="N446" s="94">
        <f ca="1">IF(N$33&lt;$B28,0,IF(N$33&gt;$C28,IF(LIFE_PRJ=1,M446,0),OFFSET(Проект!N$1567,0,1-$B28)))</f>
        <v>1463.9625000000001</v>
      </c>
      <c r="O446" s="94">
        <f ca="1">IF(O$33&lt;$B28,0,IF(O$33&gt;$C28,IF(LIFE_PRJ=1,N446,0),OFFSET(Проект!O$1567,0,1-$B28)))</f>
        <v>1996.3125</v>
      </c>
      <c r="P446" s="94">
        <f ca="1">IF(P$33&lt;$B28,0,IF(P$33&gt;$C28,IF(LIFE_PRJ=1,O446,0),OFFSET(Проект!P$1567,0,1-$B28)))</f>
        <v>2395.5750000000003</v>
      </c>
      <c r="Q446" s="94">
        <f ca="1">IF(Q$33&lt;$B28,0,IF(Q$33&gt;$C28,IF(LIFE_PRJ=1,P446,0),OFFSET(Проект!Q$1567,0,1-$B28)))</f>
        <v>2661.7500000000005</v>
      </c>
    </row>
    <row r="447" spans="1:19" outlineLevel="1" collapsed="1" x14ac:dyDescent="0.2">
      <c r="A447" t="str">
        <f ca="1">Language!A$771</f>
        <v>Материалы и комплектующие</v>
      </c>
      <c r="C447" s="5" t="str">
        <f t="shared" ca="1" si="42"/>
        <v>руб.</v>
      </c>
      <c r="D447" s="16" t="s">
        <v>2211</v>
      </c>
      <c r="F447" s="106">
        <f ca="1">SUMPRODUCT($B12:OFFSET($B13,-1,0),F448:OFFSET(F449,-1,0))</f>
        <v>0</v>
      </c>
      <c r="G447" s="106">
        <f ca="1">SUMPRODUCT($B12:OFFSET($B13,-1,0),G448:OFFSET(G449,-1,0))</f>
        <v>0</v>
      </c>
      <c r="H447" s="106">
        <f ca="1">SUMPRODUCT($B12:OFFSET($B13,-1,0),H448:OFFSET(H449,-1,0))</f>
        <v>0</v>
      </c>
      <c r="I447" s="106">
        <f ca="1">SUMPRODUCT($B12:OFFSET($B13,-1,0),I448:OFFSET(I449,-1,0))</f>
        <v>0</v>
      </c>
      <c r="J447" s="106">
        <f ca="1">SUMPRODUCT($B12:OFFSET($B13,-1,0),J448:OFFSET(J449,-1,0))</f>
        <v>0</v>
      </c>
      <c r="K447" s="106">
        <f ca="1">SUMPRODUCT($B12:OFFSET($B13,-1,0),K448:OFFSET(K449,-1,0))</f>
        <v>0</v>
      </c>
      <c r="L447" s="106">
        <f ca="1">SUMPRODUCT($B12:OFFSET($B13,-1,0),L448:OFFSET(L449,-1,0))</f>
        <v>0</v>
      </c>
      <c r="M447" s="106">
        <f ca="1">SUMPRODUCT($B12:OFFSET($B13,-1,0),M448:OFFSET(M449,-1,0))</f>
        <v>0</v>
      </c>
      <c r="N447" s="106">
        <f ca="1">SUMPRODUCT($B12:OFFSET($B13,-1,0),N448:OFFSET(N449,-1,0))</f>
        <v>0</v>
      </c>
      <c r="O447" s="106">
        <f ca="1">SUMPRODUCT($B12:OFFSET($B13,-1,0),O448:OFFSET(O449,-1,0))</f>
        <v>0</v>
      </c>
      <c r="P447" s="106">
        <f ca="1">SUMPRODUCT($B12:OFFSET($B13,-1,0),P448:OFFSET(P449,-1,0))</f>
        <v>0</v>
      </c>
      <c r="Q447" s="106">
        <f ca="1">SUMPRODUCT($B12:OFFSET($B13,-1,0),Q448:OFFSET(Q449,-1,0))</f>
        <v>0</v>
      </c>
      <c r="S447" s="11"/>
    </row>
    <row r="448" spans="1:19" s="181" customFormat="1" hidden="1" outlineLevel="2" x14ac:dyDescent="0.2">
      <c r="A448" s="181" t="str">
        <f>"        " &amp; A12</f>
        <v xml:space="preserve">        Наименование проекта</v>
      </c>
      <c r="C448" s="209" t="str">
        <f t="shared" ca="1" si="42"/>
        <v>руб.</v>
      </c>
      <c r="D448" s="90" t="str">
        <f>"[" &amp; F12 &amp; "];int_end"</f>
        <v>[Проект];int_end</v>
      </c>
      <c r="F448" s="94">
        <f ca="1">IF(F$33&lt;$B28,0,IF(F$33&gt;$C28,IF(LIFE_PRJ=1,E448,0),OFFSET(Проект!F$1568,0,1-$B28)))</f>
        <v>0</v>
      </c>
      <c r="G448" s="94">
        <f ca="1">IF(G$33&lt;$B28,0,IF(G$33&gt;$C28,IF(LIFE_PRJ=1,F448,0),OFFSET(Проект!G$1568,0,1-$B28)))</f>
        <v>0</v>
      </c>
      <c r="H448" s="94">
        <f ca="1">IF(H$33&lt;$B28,0,IF(H$33&gt;$C28,IF(LIFE_PRJ=1,G448,0),OFFSET(Проект!H$1568,0,1-$B28)))</f>
        <v>0</v>
      </c>
      <c r="I448" s="94">
        <f ca="1">IF(I$33&lt;$B28,0,IF(I$33&gt;$C28,IF(LIFE_PRJ=1,H448,0),OFFSET(Проект!I$1568,0,1-$B28)))</f>
        <v>0</v>
      </c>
      <c r="J448" s="94">
        <f ca="1">IF(J$33&lt;$B28,0,IF(J$33&gt;$C28,IF(LIFE_PRJ=1,I448,0),OFFSET(Проект!J$1568,0,1-$B28)))</f>
        <v>0</v>
      </c>
      <c r="K448" s="94">
        <f ca="1">IF(K$33&lt;$B28,0,IF(K$33&gt;$C28,IF(LIFE_PRJ=1,J448,0),OFFSET(Проект!K$1568,0,1-$B28)))</f>
        <v>0</v>
      </c>
      <c r="L448" s="94">
        <f ca="1">IF(L$33&lt;$B28,0,IF(L$33&gt;$C28,IF(LIFE_PRJ=1,K448,0),OFFSET(Проект!L$1568,0,1-$B28)))</f>
        <v>0</v>
      </c>
      <c r="M448" s="94">
        <f ca="1">IF(M$33&lt;$B28,0,IF(M$33&gt;$C28,IF(LIFE_PRJ=1,L448,0),OFFSET(Проект!M$1568,0,1-$B28)))</f>
        <v>0</v>
      </c>
      <c r="N448" s="94">
        <f ca="1">IF(N$33&lt;$B28,0,IF(N$33&gt;$C28,IF(LIFE_PRJ=1,M448,0),OFFSET(Проект!N$1568,0,1-$B28)))</f>
        <v>0</v>
      </c>
      <c r="O448" s="94">
        <f ca="1">IF(O$33&lt;$B28,0,IF(O$33&gt;$C28,IF(LIFE_PRJ=1,N448,0),OFFSET(Проект!O$1568,0,1-$B28)))</f>
        <v>0</v>
      </c>
      <c r="P448" s="94">
        <f ca="1">IF(P$33&lt;$B28,0,IF(P$33&gt;$C28,IF(LIFE_PRJ=1,O448,0),OFFSET(Проект!P$1568,0,1-$B28)))</f>
        <v>0</v>
      </c>
      <c r="Q448" s="94">
        <f ca="1">IF(Q$33&lt;$B28,0,IF(Q$33&gt;$C28,IF(LIFE_PRJ=1,P448,0),OFFSET(Проект!Q$1568,0,1-$B28)))</f>
        <v>0</v>
      </c>
    </row>
    <row r="449" spans="1:19" outlineLevel="1" collapsed="1" x14ac:dyDescent="0.2">
      <c r="A449" t="str">
        <f ca="1">Language!A$772</f>
        <v>НДС на приобретенные товары</v>
      </c>
      <c r="C449" s="5" t="str">
        <f t="shared" ca="1" si="42"/>
        <v>руб.</v>
      </c>
      <c r="D449" s="16" t="s">
        <v>2211</v>
      </c>
      <c r="F449" s="106">
        <f ca="1">SUMPRODUCT($B12:OFFSET($B13,-1,0),F450:OFFSET(F451,-1,0))</f>
        <v>0</v>
      </c>
      <c r="G449" s="106">
        <f ca="1">SUMPRODUCT($B12:OFFSET($B13,-1,0),G450:OFFSET(G451,-1,0))</f>
        <v>0</v>
      </c>
      <c r="H449" s="106">
        <f ca="1">SUMPRODUCT($B12:OFFSET($B13,-1,0),H450:OFFSET(H451,-1,0))</f>
        <v>0</v>
      </c>
      <c r="I449" s="106">
        <f ca="1">SUMPRODUCT($B12:OFFSET($B13,-1,0),I450:OFFSET(I451,-1,0))</f>
        <v>0</v>
      </c>
      <c r="J449" s="106">
        <f ca="1">SUMPRODUCT($B12:OFFSET($B13,-1,0),J450:OFFSET(J451,-1,0))</f>
        <v>0</v>
      </c>
      <c r="K449" s="106">
        <f ca="1">SUMPRODUCT($B12:OFFSET($B13,-1,0),K450:OFFSET(K451,-1,0))</f>
        <v>0</v>
      </c>
      <c r="L449" s="106">
        <f ca="1">SUMPRODUCT($B12:OFFSET($B13,-1,0),L450:OFFSET(L451,-1,0))</f>
        <v>0</v>
      </c>
      <c r="M449" s="106">
        <f ca="1">SUMPRODUCT($B12:OFFSET($B13,-1,0),M450:OFFSET(M451,-1,0))</f>
        <v>0</v>
      </c>
      <c r="N449" s="106">
        <f ca="1">SUMPRODUCT($B12:OFFSET($B13,-1,0),N450:OFFSET(N451,-1,0))</f>
        <v>0</v>
      </c>
      <c r="O449" s="106">
        <f ca="1">SUMPRODUCT($B12:OFFSET($B13,-1,0),O450:OFFSET(O451,-1,0))</f>
        <v>0</v>
      </c>
      <c r="P449" s="106">
        <f ca="1">SUMPRODUCT($B12:OFFSET($B13,-1,0),P450:OFFSET(P451,-1,0))</f>
        <v>0</v>
      </c>
      <c r="Q449" s="106">
        <f ca="1">SUMPRODUCT($B12:OFFSET($B13,-1,0),Q450:OFFSET(Q451,-1,0))</f>
        <v>0</v>
      </c>
      <c r="S449" s="11"/>
    </row>
    <row r="450" spans="1:19" s="181" customFormat="1" hidden="1" outlineLevel="2" x14ac:dyDescent="0.2">
      <c r="A450" s="181" t="str">
        <f>"        " &amp; A12</f>
        <v xml:space="preserve">        Наименование проекта</v>
      </c>
      <c r="C450" s="209" t="str">
        <f t="shared" ca="1" si="42"/>
        <v>руб.</v>
      </c>
      <c r="D450" s="90" t="str">
        <f>"[" &amp; F12 &amp; "];int_end"</f>
        <v>[Проект];int_end</v>
      </c>
      <c r="F450" s="94">
        <f ca="1">IF(F$33&lt;$B28,0,IF(F$33&gt;$C28,IF(LIFE_PRJ=1,E450,0),OFFSET(Проект!F$1569,0,1-$B28)))</f>
        <v>0</v>
      </c>
      <c r="G450" s="94">
        <f ca="1">IF(G$33&lt;$B28,0,IF(G$33&gt;$C28,IF(LIFE_PRJ=1,F450,0),OFFSET(Проект!G$1569,0,1-$B28)))</f>
        <v>0</v>
      </c>
      <c r="H450" s="94">
        <f ca="1">IF(H$33&lt;$B28,0,IF(H$33&gt;$C28,IF(LIFE_PRJ=1,G450,0),OFFSET(Проект!H$1569,0,1-$B28)))</f>
        <v>0</v>
      </c>
      <c r="I450" s="94">
        <f ca="1">IF(I$33&lt;$B28,0,IF(I$33&gt;$C28,IF(LIFE_PRJ=1,H450,0),OFFSET(Проект!I$1569,0,1-$B28)))</f>
        <v>0</v>
      </c>
      <c r="J450" s="94">
        <f ca="1">IF(J$33&lt;$B28,0,IF(J$33&gt;$C28,IF(LIFE_PRJ=1,I450,0),OFFSET(Проект!J$1569,0,1-$B28)))</f>
        <v>0</v>
      </c>
      <c r="K450" s="94">
        <f ca="1">IF(K$33&lt;$B28,0,IF(K$33&gt;$C28,IF(LIFE_PRJ=1,J450,0),OFFSET(Проект!K$1569,0,1-$B28)))</f>
        <v>0</v>
      </c>
      <c r="L450" s="94">
        <f ca="1">IF(L$33&lt;$B28,0,IF(L$33&gt;$C28,IF(LIFE_PRJ=1,K450,0),OFFSET(Проект!L$1569,0,1-$B28)))</f>
        <v>0</v>
      </c>
      <c r="M450" s="94">
        <f ca="1">IF(M$33&lt;$B28,0,IF(M$33&gt;$C28,IF(LIFE_PRJ=1,L450,0),OFFSET(Проект!M$1569,0,1-$B28)))</f>
        <v>0</v>
      </c>
      <c r="N450" s="94">
        <f ca="1">IF(N$33&lt;$B28,0,IF(N$33&gt;$C28,IF(LIFE_PRJ=1,M450,0),OFFSET(Проект!N$1569,0,1-$B28)))</f>
        <v>0</v>
      </c>
      <c r="O450" s="94">
        <f ca="1">IF(O$33&lt;$B28,0,IF(O$33&gt;$C28,IF(LIFE_PRJ=1,N450,0),OFFSET(Проект!O$1569,0,1-$B28)))</f>
        <v>0</v>
      </c>
      <c r="P450" s="94">
        <f ca="1">IF(P$33&lt;$B28,0,IF(P$33&gt;$C28,IF(LIFE_PRJ=1,O450,0),OFFSET(Проект!P$1569,0,1-$B28)))</f>
        <v>0</v>
      </c>
      <c r="Q450" s="94">
        <f ca="1">IF(Q$33&lt;$B28,0,IF(Q$33&gt;$C28,IF(LIFE_PRJ=1,P450,0),OFFSET(Проект!Q$1569,0,1-$B28)))</f>
        <v>0</v>
      </c>
    </row>
    <row r="451" spans="1:19" outlineLevel="1" collapsed="1" x14ac:dyDescent="0.2">
      <c r="A451" t="str">
        <f ca="1">Language!A$773</f>
        <v>Расходы будущих периодов</v>
      </c>
      <c r="C451" s="5" t="str">
        <f t="shared" ca="1" si="42"/>
        <v>руб.</v>
      </c>
      <c r="D451" s="16" t="s">
        <v>2211</v>
      </c>
      <c r="F451" s="106">
        <f ca="1">SUMPRODUCT($B12:OFFSET($B13,-1,0),F452:OFFSET(F453,-1,0))</f>
        <v>0</v>
      </c>
      <c r="G451" s="106">
        <f ca="1">SUMPRODUCT($B12:OFFSET($B13,-1,0),G452:OFFSET(G453,-1,0))</f>
        <v>0</v>
      </c>
      <c r="H451" s="106">
        <f ca="1">SUMPRODUCT($B12:OFFSET($B13,-1,0),H452:OFFSET(H453,-1,0))</f>
        <v>0</v>
      </c>
      <c r="I451" s="106">
        <f ca="1">SUMPRODUCT($B12:OFFSET($B13,-1,0),I452:OFFSET(I453,-1,0))</f>
        <v>0</v>
      </c>
      <c r="J451" s="106">
        <f ca="1">SUMPRODUCT($B12:OFFSET($B13,-1,0),J452:OFFSET(J453,-1,0))</f>
        <v>0</v>
      </c>
      <c r="K451" s="106">
        <f ca="1">SUMPRODUCT($B12:OFFSET($B13,-1,0),K452:OFFSET(K453,-1,0))</f>
        <v>0</v>
      </c>
      <c r="L451" s="106">
        <f ca="1">SUMPRODUCT($B12:OFFSET($B13,-1,0),L452:OFFSET(L453,-1,0))</f>
        <v>0</v>
      </c>
      <c r="M451" s="106">
        <f ca="1">SUMPRODUCT($B12:OFFSET($B13,-1,0),M452:OFFSET(M453,-1,0))</f>
        <v>0</v>
      </c>
      <c r="N451" s="106">
        <f ca="1">SUMPRODUCT($B12:OFFSET($B13,-1,0),N452:OFFSET(N453,-1,0))</f>
        <v>0</v>
      </c>
      <c r="O451" s="106">
        <f ca="1">SUMPRODUCT($B12:OFFSET($B13,-1,0),O452:OFFSET(O453,-1,0))</f>
        <v>0</v>
      </c>
      <c r="P451" s="106">
        <f ca="1">SUMPRODUCT($B12:OFFSET($B13,-1,0),P452:OFFSET(P453,-1,0))</f>
        <v>0</v>
      </c>
      <c r="Q451" s="106">
        <f ca="1">SUMPRODUCT($B12:OFFSET($B13,-1,0),Q452:OFFSET(Q453,-1,0))</f>
        <v>0</v>
      </c>
      <c r="S451" s="11"/>
    </row>
    <row r="452" spans="1:19" s="181" customFormat="1" hidden="1" outlineLevel="2" x14ac:dyDescent="0.2">
      <c r="A452" s="181" t="str">
        <f>"        " &amp; A12</f>
        <v xml:space="preserve">        Наименование проекта</v>
      </c>
      <c r="C452" s="209" t="str">
        <f t="shared" ca="1" si="42"/>
        <v>руб.</v>
      </c>
      <c r="D452" s="90" t="str">
        <f>"[" &amp; F12 &amp; "];int_end"</f>
        <v>[Проект];int_end</v>
      </c>
      <c r="F452" s="94">
        <f ca="1">IF(F$33&lt;$B28,0,IF(F$33&gt;$C28,IF(LIFE_PRJ=1,E452,0),OFFSET(Проект!F$1570,0,1-$B28)))</f>
        <v>0</v>
      </c>
      <c r="G452" s="94">
        <f ca="1">IF(G$33&lt;$B28,0,IF(G$33&gt;$C28,IF(LIFE_PRJ=1,F452,0),OFFSET(Проект!G$1570,0,1-$B28)))</f>
        <v>0</v>
      </c>
      <c r="H452" s="94">
        <f ca="1">IF(H$33&lt;$B28,0,IF(H$33&gt;$C28,IF(LIFE_PRJ=1,G452,0),OFFSET(Проект!H$1570,0,1-$B28)))</f>
        <v>0</v>
      </c>
      <c r="I452" s="94">
        <f ca="1">IF(I$33&lt;$B28,0,IF(I$33&gt;$C28,IF(LIFE_PRJ=1,H452,0),OFFSET(Проект!I$1570,0,1-$B28)))</f>
        <v>0</v>
      </c>
      <c r="J452" s="94">
        <f ca="1">IF(J$33&lt;$B28,0,IF(J$33&gt;$C28,IF(LIFE_PRJ=1,I452,0),OFFSET(Проект!J$1570,0,1-$B28)))</f>
        <v>0</v>
      </c>
      <c r="K452" s="94">
        <f ca="1">IF(K$33&lt;$B28,0,IF(K$33&gt;$C28,IF(LIFE_PRJ=1,J452,0),OFFSET(Проект!K$1570,0,1-$B28)))</f>
        <v>0</v>
      </c>
      <c r="L452" s="94">
        <f ca="1">IF(L$33&lt;$B28,0,IF(L$33&gt;$C28,IF(LIFE_PRJ=1,K452,0),OFFSET(Проект!L$1570,0,1-$B28)))</f>
        <v>0</v>
      </c>
      <c r="M452" s="94">
        <f ca="1">IF(M$33&lt;$B28,0,IF(M$33&gt;$C28,IF(LIFE_PRJ=1,L452,0),OFFSET(Проект!M$1570,0,1-$B28)))</f>
        <v>0</v>
      </c>
      <c r="N452" s="94">
        <f ca="1">IF(N$33&lt;$B28,0,IF(N$33&gt;$C28,IF(LIFE_PRJ=1,M452,0),OFFSET(Проект!N$1570,0,1-$B28)))</f>
        <v>0</v>
      </c>
      <c r="O452" s="94">
        <f ca="1">IF(O$33&lt;$B28,0,IF(O$33&gt;$C28,IF(LIFE_PRJ=1,N452,0),OFFSET(Проект!O$1570,0,1-$B28)))</f>
        <v>0</v>
      </c>
      <c r="P452" s="94">
        <f ca="1">IF(P$33&lt;$B28,0,IF(P$33&gt;$C28,IF(LIFE_PRJ=1,O452,0),OFFSET(Проект!P$1570,0,1-$B28)))</f>
        <v>0</v>
      </c>
      <c r="Q452" s="94">
        <f ca="1">IF(Q$33&lt;$B28,0,IF(Q$33&gt;$C28,IF(LIFE_PRJ=1,P452,0),OFFSET(Проект!Q$1570,0,1-$B28)))</f>
        <v>0</v>
      </c>
    </row>
    <row r="453" spans="1:19" outlineLevel="1" collapsed="1" x14ac:dyDescent="0.2">
      <c r="A453" t="str">
        <f ca="1">Language!A$774</f>
        <v>Прочие оборотные активы</v>
      </c>
      <c r="C453" s="5" t="str">
        <f t="shared" ca="1" si="42"/>
        <v>руб.</v>
      </c>
      <c r="D453" s="16" t="s">
        <v>2211</v>
      </c>
      <c r="F453" s="106">
        <f ca="1">SUMPRODUCT($B12:OFFSET($B13,-1,0),F454:OFFSET(F455,-1,0))</f>
        <v>0</v>
      </c>
      <c r="G453" s="106">
        <f ca="1">SUMPRODUCT($B12:OFFSET($B13,-1,0),G454:OFFSET(G455,-1,0))</f>
        <v>0</v>
      </c>
      <c r="H453" s="106">
        <f ca="1">SUMPRODUCT($B12:OFFSET($B13,-1,0),H454:OFFSET(H455,-1,0))</f>
        <v>0</v>
      </c>
      <c r="I453" s="106">
        <f ca="1">SUMPRODUCT($B12:OFFSET($B13,-1,0),I454:OFFSET(I455,-1,0))</f>
        <v>0</v>
      </c>
      <c r="J453" s="106">
        <f ca="1">SUMPRODUCT($B12:OFFSET($B13,-1,0),J454:OFFSET(J455,-1,0))</f>
        <v>0</v>
      </c>
      <c r="K453" s="106">
        <f ca="1">SUMPRODUCT($B12:OFFSET($B13,-1,0),K454:OFFSET(K455,-1,0))</f>
        <v>0</v>
      </c>
      <c r="L453" s="106">
        <f ca="1">SUMPRODUCT($B12:OFFSET($B13,-1,0),L454:OFFSET(L455,-1,0))</f>
        <v>0</v>
      </c>
      <c r="M453" s="106">
        <f ca="1">SUMPRODUCT($B12:OFFSET($B13,-1,0),M454:OFFSET(M455,-1,0))</f>
        <v>0</v>
      </c>
      <c r="N453" s="106">
        <f ca="1">SUMPRODUCT($B12:OFFSET($B13,-1,0),N454:OFFSET(N455,-1,0))</f>
        <v>0</v>
      </c>
      <c r="O453" s="106">
        <f ca="1">SUMPRODUCT($B12:OFFSET($B13,-1,0),O454:OFFSET(O455,-1,0))</f>
        <v>0</v>
      </c>
      <c r="P453" s="106">
        <f ca="1">SUMPRODUCT($B12:OFFSET($B13,-1,0),P454:OFFSET(P455,-1,0))</f>
        <v>0</v>
      </c>
      <c r="Q453" s="106">
        <f ca="1">SUMPRODUCT($B12:OFFSET($B13,-1,0),Q454:OFFSET(Q455,-1,0))</f>
        <v>0</v>
      </c>
      <c r="S453" s="11"/>
    </row>
    <row r="454" spans="1:19" s="181" customFormat="1" hidden="1" outlineLevel="2" x14ac:dyDescent="0.2">
      <c r="A454" s="181" t="str">
        <f>"        " &amp; A12</f>
        <v xml:space="preserve">        Наименование проекта</v>
      </c>
      <c r="C454" s="209" t="str">
        <f t="shared" ca="1" si="42"/>
        <v>руб.</v>
      </c>
      <c r="D454" s="90" t="str">
        <f>"[" &amp; F12 &amp; "];int_end"</f>
        <v>[Проект];int_end</v>
      </c>
      <c r="F454" s="94">
        <f ca="1">IF(F$33&lt;$B28,0,IF(F$33&gt;$C28,IF(LIFE_PRJ=1,E454,0),OFFSET(Проект!F$1571,0,1-$B28)))</f>
        <v>0</v>
      </c>
      <c r="G454" s="94">
        <f ca="1">IF(G$33&lt;$B28,0,IF(G$33&gt;$C28,IF(LIFE_PRJ=1,F454,0),OFFSET(Проект!G$1571,0,1-$B28)))</f>
        <v>0</v>
      </c>
      <c r="H454" s="94">
        <f ca="1">IF(H$33&lt;$B28,0,IF(H$33&gt;$C28,IF(LIFE_PRJ=1,G454,0),OFFSET(Проект!H$1571,0,1-$B28)))</f>
        <v>0</v>
      </c>
      <c r="I454" s="94">
        <f ca="1">IF(I$33&lt;$B28,0,IF(I$33&gt;$C28,IF(LIFE_PRJ=1,H454,0),OFFSET(Проект!I$1571,0,1-$B28)))</f>
        <v>0</v>
      </c>
      <c r="J454" s="94">
        <f ca="1">IF(J$33&lt;$B28,0,IF(J$33&gt;$C28,IF(LIFE_PRJ=1,I454,0),OFFSET(Проект!J$1571,0,1-$B28)))</f>
        <v>0</v>
      </c>
      <c r="K454" s="94">
        <f ca="1">IF(K$33&lt;$B28,0,IF(K$33&gt;$C28,IF(LIFE_PRJ=1,J454,0),OFFSET(Проект!K$1571,0,1-$B28)))</f>
        <v>0</v>
      </c>
      <c r="L454" s="94">
        <f ca="1">IF(L$33&lt;$B28,0,IF(L$33&gt;$C28,IF(LIFE_PRJ=1,K454,0),OFFSET(Проект!L$1571,0,1-$B28)))</f>
        <v>0</v>
      </c>
      <c r="M454" s="94">
        <f ca="1">IF(M$33&lt;$B28,0,IF(M$33&gt;$C28,IF(LIFE_PRJ=1,L454,0),OFFSET(Проект!M$1571,0,1-$B28)))</f>
        <v>0</v>
      </c>
      <c r="N454" s="94">
        <f ca="1">IF(N$33&lt;$B28,0,IF(N$33&gt;$C28,IF(LIFE_PRJ=1,M454,0),OFFSET(Проект!N$1571,0,1-$B28)))</f>
        <v>0</v>
      </c>
      <c r="O454" s="94">
        <f ca="1">IF(O$33&lt;$B28,0,IF(O$33&gt;$C28,IF(LIFE_PRJ=1,N454,0),OFFSET(Проект!O$1571,0,1-$B28)))</f>
        <v>0</v>
      </c>
      <c r="P454" s="94">
        <f ca="1">IF(P$33&lt;$B28,0,IF(P$33&gt;$C28,IF(LIFE_PRJ=1,O454,0),OFFSET(Проект!P$1571,0,1-$B28)))</f>
        <v>0</v>
      </c>
      <c r="Q454" s="94">
        <f ca="1">IF(Q$33&lt;$B28,0,IF(Q$33&gt;$C28,IF(LIFE_PRJ=1,P454,0),OFFSET(Проект!Q$1571,0,1-$B28)))</f>
        <v>0</v>
      </c>
    </row>
    <row r="455" spans="1:19" ht="10.5" outlineLevel="1" collapsed="1" x14ac:dyDescent="0.25">
      <c r="A455" s="35" t="str">
        <f ca="1">Language!A$775</f>
        <v>Суммарные оборотные активы</v>
      </c>
      <c r="C455" s="5" t="str">
        <f t="shared" ca="1" si="42"/>
        <v>руб.</v>
      </c>
      <c r="D455" s="16" t="s">
        <v>2211</v>
      </c>
      <c r="F455" s="160">
        <f t="shared" ref="F455:M455" ca="1" si="47">F437+F439+F441+F443+F445+F447+F449+F451+F453</f>
        <v>733387.6844783714</v>
      </c>
      <c r="G455" s="160">
        <f t="shared" ca="1" si="47"/>
        <v>648530.80460216617</v>
      </c>
      <c r="H455" s="160">
        <f t="shared" ca="1" si="47"/>
        <v>638255.91317820549</v>
      </c>
      <c r="I455" s="160">
        <f t="shared" ca="1" si="47"/>
        <v>628150.72611705493</v>
      </c>
      <c r="J455" s="160">
        <f t="shared" ca="1" si="47"/>
        <v>616668.84485923836</v>
      </c>
      <c r="K455" s="160">
        <f t="shared" ca="1" si="47"/>
        <v>836935.30626654625</v>
      </c>
      <c r="L455" s="160">
        <f t="shared" ca="1" si="47"/>
        <v>975518.30853927392</v>
      </c>
      <c r="M455" s="160">
        <f t="shared" ca="1" si="47"/>
        <v>1230239.0301301836</v>
      </c>
      <c r="N455" s="160">
        <f t="shared" ref="N455" ca="1" si="48">N437+N439+N441+N443+N445+N447+N449+N451+N453</f>
        <v>1670422.1619483668</v>
      </c>
      <c r="O455" s="160">
        <f t="shared" ref="O455:Q455" ca="1" si="49">O437+O439+O441+O443+O445+O447+O449+O451+O453</f>
        <v>5627279.4997038571</v>
      </c>
      <c r="P455" s="160">
        <f t="shared" ref="P455:Q455" ca="1" si="50">P437+P439+P441+P443+P445+P447+P449+P451+P453</f>
        <v>14936137.712203857</v>
      </c>
      <c r="Q455" s="160">
        <f t="shared" ca="1" si="50"/>
        <v>25400182.83720386</v>
      </c>
      <c r="S455" s="11"/>
    </row>
    <row r="456" spans="1:19" s="181" customFormat="1" hidden="1" outlineLevel="2" x14ac:dyDescent="0.2">
      <c r="A456" s="181" t="str">
        <f>"        " &amp; A12</f>
        <v xml:space="preserve">        Наименование проекта</v>
      </c>
      <c r="C456" s="209" t="str">
        <f t="shared" ca="1" si="42"/>
        <v>руб.</v>
      </c>
      <c r="D456" s="90" t="str">
        <f>"[" &amp; F12 &amp; "];int_end"</f>
        <v>[Проект];int_end</v>
      </c>
      <c r="F456" s="94">
        <f ca="1">IF(F$33&lt;$B28,0,IF(F$33&gt;$C28,IF(LIFE_PRJ=1,E456,0),OFFSET(Проект!F$1572,0,1-$B28)))</f>
        <v>733387.6844783714</v>
      </c>
      <c r="G456" s="94">
        <f ca="1">IF(G$33&lt;$B28,0,IF(G$33&gt;$C28,IF(LIFE_PRJ=1,F456,0),OFFSET(Проект!G$1572,0,1-$B28)))</f>
        <v>648530.80460216617</v>
      </c>
      <c r="H456" s="94">
        <f ca="1">IF(H$33&lt;$B28,0,IF(H$33&gt;$C28,IF(LIFE_PRJ=1,G456,0),OFFSET(Проект!H$1572,0,1-$B28)))</f>
        <v>638255.91317820549</v>
      </c>
      <c r="I456" s="94">
        <f ca="1">IF(I$33&lt;$B28,0,IF(I$33&gt;$C28,IF(LIFE_PRJ=1,H456,0),OFFSET(Проект!I$1572,0,1-$B28)))</f>
        <v>628150.72611705493</v>
      </c>
      <c r="J456" s="94">
        <f ca="1">IF(J$33&lt;$B28,0,IF(J$33&gt;$C28,IF(LIFE_PRJ=1,I456,0),OFFSET(Проект!J$1572,0,1-$B28)))</f>
        <v>616668.84485923836</v>
      </c>
      <c r="K456" s="94">
        <f ca="1">IF(K$33&lt;$B28,0,IF(K$33&gt;$C28,IF(LIFE_PRJ=1,J456,0),OFFSET(Проект!K$1572,0,1-$B28)))</f>
        <v>836935.30626654625</v>
      </c>
      <c r="L456" s="94">
        <f ca="1">IF(L$33&lt;$B28,0,IF(L$33&gt;$C28,IF(LIFE_PRJ=1,K456,0),OFFSET(Проект!L$1572,0,1-$B28)))</f>
        <v>975518.30853927392</v>
      </c>
      <c r="M456" s="94">
        <f ca="1">IF(M$33&lt;$B28,0,IF(M$33&gt;$C28,IF(LIFE_PRJ=1,L456,0),OFFSET(Проект!M$1572,0,1-$B28)))</f>
        <v>1230239.0301301836</v>
      </c>
      <c r="N456" s="94">
        <f ca="1">IF(N$33&lt;$B28,0,IF(N$33&gt;$C28,IF(LIFE_PRJ=1,M456,0),OFFSET(Проект!N$1572,0,1-$B28)))</f>
        <v>1670422.1619483668</v>
      </c>
      <c r="O456" s="94">
        <f ca="1">IF(O$33&lt;$B28,0,IF(O$33&gt;$C28,IF(LIFE_PRJ=1,N456,0),OFFSET(Проект!O$1572,0,1-$B28)))</f>
        <v>5627279.4997038571</v>
      </c>
      <c r="P456" s="94">
        <f ca="1">IF(P$33&lt;$B28,0,IF(P$33&gt;$C28,IF(LIFE_PRJ=1,O456,0),OFFSET(Проект!P$1572,0,1-$B28)))</f>
        <v>14936137.712203857</v>
      </c>
      <c r="Q456" s="94">
        <f ca="1">IF(Q$33&lt;$B28,0,IF(Q$33&gt;$C28,IF(LIFE_PRJ=1,P456,0),OFFSET(Проект!Q$1572,0,1-$B28)))</f>
        <v>25400182.83720386</v>
      </c>
    </row>
    <row r="457" spans="1:19" outlineLevel="1" x14ac:dyDescent="0.2"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S457" s="11"/>
    </row>
    <row r="458" spans="1:19" outlineLevel="1" collapsed="1" x14ac:dyDescent="0.2">
      <c r="A458" t="str">
        <f ca="1">Language!A$776</f>
        <v>Внеоборотные активы</v>
      </c>
      <c r="C458" s="5" t="str">
        <f t="shared" ref="C458:C473" ca="1" si="51">CUR_Report</f>
        <v>руб.</v>
      </c>
      <c r="D458" s="16" t="s">
        <v>2211</v>
      </c>
      <c r="F458" s="210">
        <f ca="1">SUMPRODUCT($B12:OFFSET($B13,-1,0),F459:OFFSET(F460,-1,0))</f>
        <v>0</v>
      </c>
      <c r="G458" s="210">
        <f ca="1">SUMPRODUCT($B12:OFFSET($B13,-1,0),G459:OFFSET(G460,-1,0))</f>
        <v>0</v>
      </c>
      <c r="H458" s="210">
        <f ca="1">SUMPRODUCT($B12:OFFSET($B13,-1,0),H459:OFFSET(H460,-1,0))</f>
        <v>0</v>
      </c>
      <c r="I458" s="210">
        <f ca="1">SUMPRODUCT($B12:OFFSET($B13,-1,0),I459:OFFSET(I460,-1,0))</f>
        <v>0</v>
      </c>
      <c r="J458" s="210">
        <f ca="1">SUMPRODUCT($B12:OFFSET($B13,-1,0),J459:OFFSET(J460,-1,0))</f>
        <v>0</v>
      </c>
      <c r="K458" s="210">
        <f ca="1">SUMPRODUCT($B12:OFFSET($B13,-1,0),K459:OFFSET(K460,-1,0))</f>
        <v>0</v>
      </c>
      <c r="L458" s="210">
        <f ca="1">SUMPRODUCT($B12:OFFSET($B13,-1,0),L459:OFFSET(L460,-1,0))</f>
        <v>0</v>
      </c>
      <c r="M458" s="210">
        <f ca="1">SUMPRODUCT($B12:OFFSET($B13,-1,0),M459:OFFSET(M460,-1,0))</f>
        <v>0</v>
      </c>
      <c r="N458" s="210">
        <f ca="1">SUMPRODUCT($B12:OFFSET($B13,-1,0),N459:OFFSET(N460,-1,0))</f>
        <v>0</v>
      </c>
      <c r="O458" s="210">
        <f ca="1">SUMPRODUCT($B12:OFFSET($B13,-1,0),O459:OFFSET(O460,-1,0))</f>
        <v>0</v>
      </c>
      <c r="P458" s="210">
        <f ca="1">SUMPRODUCT($B12:OFFSET($B13,-1,0),P459:OFFSET(P460,-1,0))</f>
        <v>0</v>
      </c>
      <c r="Q458" s="210">
        <f ca="1">SUMPRODUCT($B12:OFFSET($B13,-1,0),Q459:OFFSET(Q460,-1,0))</f>
        <v>0</v>
      </c>
      <c r="S458" s="11"/>
    </row>
    <row r="459" spans="1:19" s="181" customFormat="1" hidden="1" outlineLevel="2" x14ac:dyDescent="0.2">
      <c r="A459" s="181" t="str">
        <f>"        " &amp; A12</f>
        <v xml:space="preserve">        Наименование проекта</v>
      </c>
      <c r="C459" s="209" t="str">
        <f t="shared" ca="1" si="51"/>
        <v>руб.</v>
      </c>
      <c r="D459" s="90" t="str">
        <f>"[" &amp; F12 &amp; "];int_end"</f>
        <v>[Проект];int_end</v>
      </c>
      <c r="F459" s="94">
        <f ca="1">IF(F$33&lt;$B28,0,IF(F$33&gt;$C28,IF(LIFE_PRJ=1,E459,0),OFFSET(Проект!F$1574,0,1-$B28)))</f>
        <v>0</v>
      </c>
      <c r="G459" s="94">
        <f ca="1">IF(G$33&lt;$B28,0,IF(G$33&gt;$C28,IF(LIFE_PRJ=1,F459,0),OFFSET(Проект!G$1574,0,1-$B28)))</f>
        <v>0</v>
      </c>
      <c r="H459" s="94">
        <f ca="1">IF(H$33&lt;$B28,0,IF(H$33&gt;$C28,IF(LIFE_PRJ=1,G459,0),OFFSET(Проект!H$1574,0,1-$B28)))</f>
        <v>0</v>
      </c>
      <c r="I459" s="94">
        <f ca="1">IF(I$33&lt;$B28,0,IF(I$33&gt;$C28,IF(LIFE_PRJ=1,H459,0),OFFSET(Проект!I$1574,0,1-$B28)))</f>
        <v>0</v>
      </c>
      <c r="J459" s="94">
        <f ca="1">IF(J$33&lt;$B28,0,IF(J$33&gt;$C28,IF(LIFE_PRJ=1,I459,0),OFFSET(Проект!J$1574,0,1-$B28)))</f>
        <v>0</v>
      </c>
      <c r="K459" s="94">
        <f ca="1">IF(K$33&lt;$B28,0,IF(K$33&gt;$C28,IF(LIFE_PRJ=1,J459,0),OFFSET(Проект!K$1574,0,1-$B28)))</f>
        <v>0</v>
      </c>
      <c r="L459" s="94">
        <f ca="1">IF(L$33&lt;$B28,0,IF(L$33&gt;$C28,IF(LIFE_PRJ=1,K459,0),OFFSET(Проект!L$1574,0,1-$B28)))</f>
        <v>0</v>
      </c>
      <c r="M459" s="94">
        <f ca="1">IF(M$33&lt;$B28,0,IF(M$33&gt;$C28,IF(LIFE_PRJ=1,L459,0),OFFSET(Проект!M$1574,0,1-$B28)))</f>
        <v>0</v>
      </c>
      <c r="N459" s="94">
        <f ca="1">IF(N$33&lt;$B28,0,IF(N$33&gt;$C28,IF(LIFE_PRJ=1,M459,0),OFFSET(Проект!N$1574,0,1-$B28)))</f>
        <v>0</v>
      </c>
      <c r="O459" s="94">
        <f ca="1">IF(O$33&lt;$B28,0,IF(O$33&gt;$C28,IF(LIFE_PRJ=1,N459,0),OFFSET(Проект!O$1574,0,1-$B28)))</f>
        <v>0</v>
      </c>
      <c r="P459" s="94">
        <f ca="1">IF(P$33&lt;$B28,0,IF(P$33&gt;$C28,IF(LIFE_PRJ=1,O459,0),OFFSET(Проект!P$1574,0,1-$B28)))</f>
        <v>0</v>
      </c>
      <c r="Q459" s="94">
        <f ca="1">IF(Q$33&lt;$B28,0,IF(Q$33&gt;$C28,IF(LIFE_PRJ=1,P459,0),OFFSET(Проект!Q$1574,0,1-$B28)))</f>
        <v>0</v>
      </c>
    </row>
    <row r="460" spans="1:19" outlineLevel="1" collapsed="1" x14ac:dyDescent="0.2">
      <c r="A460" t="str">
        <f ca="1">Language!A$777</f>
        <v xml:space="preserve">    земельные участки</v>
      </c>
      <c r="C460" s="5" t="str">
        <f t="shared" ca="1" si="51"/>
        <v>руб.</v>
      </c>
      <c r="D460" s="16" t="s">
        <v>2211</v>
      </c>
      <c r="F460" s="210">
        <f ca="1">SUMPRODUCT($B12:OFFSET($B13,-1,0),F461:OFFSET(F462,-1,0))</f>
        <v>0</v>
      </c>
      <c r="G460" s="210">
        <f ca="1">SUMPRODUCT($B12:OFFSET($B13,-1,0),G461:OFFSET(G462,-1,0))</f>
        <v>0</v>
      </c>
      <c r="H460" s="210">
        <f ca="1">SUMPRODUCT($B12:OFFSET($B13,-1,0),H461:OFFSET(H462,-1,0))</f>
        <v>0</v>
      </c>
      <c r="I460" s="210">
        <f ca="1">SUMPRODUCT($B12:OFFSET($B13,-1,0),I461:OFFSET(I462,-1,0))</f>
        <v>0</v>
      </c>
      <c r="J460" s="210">
        <f ca="1">SUMPRODUCT($B12:OFFSET($B13,-1,0),J461:OFFSET(J462,-1,0))</f>
        <v>0</v>
      </c>
      <c r="K460" s="210">
        <f ca="1">SUMPRODUCT($B12:OFFSET($B13,-1,0),K461:OFFSET(K462,-1,0))</f>
        <v>0</v>
      </c>
      <c r="L460" s="210">
        <f ca="1">SUMPRODUCT($B12:OFFSET($B13,-1,0),L461:OFFSET(L462,-1,0))</f>
        <v>0</v>
      </c>
      <c r="M460" s="210">
        <f ca="1">SUMPRODUCT($B12:OFFSET($B13,-1,0),M461:OFFSET(M462,-1,0))</f>
        <v>0</v>
      </c>
      <c r="N460" s="210">
        <f ca="1">SUMPRODUCT($B12:OFFSET($B13,-1,0),N461:OFFSET(N462,-1,0))</f>
        <v>0</v>
      </c>
      <c r="O460" s="210">
        <f ca="1">SUMPRODUCT($B12:OFFSET($B13,-1,0),O461:OFFSET(O462,-1,0))</f>
        <v>0</v>
      </c>
      <c r="P460" s="210">
        <f ca="1">SUMPRODUCT($B12:OFFSET($B13,-1,0),P461:OFFSET(P462,-1,0))</f>
        <v>0</v>
      </c>
      <c r="Q460" s="210">
        <f ca="1">SUMPRODUCT($B12:OFFSET($B13,-1,0),Q461:OFFSET(Q462,-1,0))</f>
        <v>0</v>
      </c>
      <c r="S460" s="11"/>
    </row>
    <row r="461" spans="1:19" s="181" customFormat="1" hidden="1" outlineLevel="2" x14ac:dyDescent="0.2">
      <c r="A461" s="181" t="str">
        <f>"        " &amp; A12</f>
        <v xml:space="preserve">        Наименование проекта</v>
      </c>
      <c r="C461" s="209" t="str">
        <f t="shared" ca="1" si="51"/>
        <v>руб.</v>
      </c>
      <c r="D461" s="90" t="str">
        <f>"[" &amp; F12 &amp; "];int_end"</f>
        <v>[Проект];int_end</v>
      </c>
      <c r="F461" s="94">
        <f ca="1">IF(F$33&lt;$B28,0,IF(F$33&gt;$C28,IF(LIFE_PRJ=1,E461,0),OFFSET(Проект!F$1575,0,1-$B28)))</f>
        <v>0</v>
      </c>
      <c r="G461" s="94">
        <f ca="1">IF(G$33&lt;$B28,0,IF(G$33&gt;$C28,IF(LIFE_PRJ=1,F461,0),OFFSET(Проект!G$1575,0,1-$B28)))</f>
        <v>0</v>
      </c>
      <c r="H461" s="94">
        <f ca="1">IF(H$33&lt;$B28,0,IF(H$33&gt;$C28,IF(LIFE_PRJ=1,G461,0),OFFSET(Проект!H$1575,0,1-$B28)))</f>
        <v>0</v>
      </c>
      <c r="I461" s="94">
        <f ca="1">IF(I$33&lt;$B28,0,IF(I$33&gt;$C28,IF(LIFE_PRJ=1,H461,0),OFFSET(Проект!I$1575,0,1-$B28)))</f>
        <v>0</v>
      </c>
      <c r="J461" s="94">
        <f ca="1">IF(J$33&lt;$B28,0,IF(J$33&gt;$C28,IF(LIFE_PRJ=1,I461,0),OFFSET(Проект!J$1575,0,1-$B28)))</f>
        <v>0</v>
      </c>
      <c r="K461" s="94">
        <f ca="1">IF(K$33&lt;$B28,0,IF(K$33&gt;$C28,IF(LIFE_PRJ=1,J461,0),OFFSET(Проект!K$1575,0,1-$B28)))</f>
        <v>0</v>
      </c>
      <c r="L461" s="94">
        <f ca="1">IF(L$33&lt;$B28,0,IF(L$33&gt;$C28,IF(LIFE_PRJ=1,K461,0),OFFSET(Проект!L$1575,0,1-$B28)))</f>
        <v>0</v>
      </c>
      <c r="M461" s="94">
        <f ca="1">IF(M$33&lt;$B28,0,IF(M$33&gt;$C28,IF(LIFE_PRJ=1,L461,0),OFFSET(Проект!M$1575,0,1-$B28)))</f>
        <v>0</v>
      </c>
      <c r="N461" s="94">
        <f ca="1">IF(N$33&lt;$B28,0,IF(N$33&gt;$C28,IF(LIFE_PRJ=1,M461,0),OFFSET(Проект!N$1575,0,1-$B28)))</f>
        <v>0</v>
      </c>
      <c r="O461" s="94">
        <f ca="1">IF(O$33&lt;$B28,0,IF(O$33&gt;$C28,IF(LIFE_PRJ=1,N461,0),OFFSET(Проект!O$1575,0,1-$B28)))</f>
        <v>0</v>
      </c>
      <c r="P461" s="94">
        <f ca="1">IF(P$33&lt;$B28,0,IF(P$33&gt;$C28,IF(LIFE_PRJ=1,O461,0),OFFSET(Проект!P$1575,0,1-$B28)))</f>
        <v>0</v>
      </c>
      <c r="Q461" s="94">
        <f ca="1">IF(Q$33&lt;$B28,0,IF(Q$33&gt;$C28,IF(LIFE_PRJ=1,P461,0),OFFSET(Проект!Q$1575,0,1-$B28)))</f>
        <v>0</v>
      </c>
    </row>
    <row r="462" spans="1:19" outlineLevel="1" collapsed="1" x14ac:dyDescent="0.2">
      <c r="A462" t="str">
        <f ca="1">Language!A$778</f>
        <v xml:space="preserve">    здания и сооружения</v>
      </c>
      <c r="C462" s="5" t="str">
        <f t="shared" ca="1" si="51"/>
        <v>руб.</v>
      </c>
      <c r="D462" s="16" t="s">
        <v>2211</v>
      </c>
      <c r="F462" s="210">
        <f ca="1">SUMPRODUCT($B12:OFFSET($B13,-1,0),F463:OFFSET(F464,-1,0))</f>
        <v>0</v>
      </c>
      <c r="G462" s="210">
        <f ca="1">SUMPRODUCT($B12:OFFSET($B13,-1,0),G463:OFFSET(G464,-1,0))</f>
        <v>0</v>
      </c>
      <c r="H462" s="210">
        <f ca="1">SUMPRODUCT($B12:OFFSET($B13,-1,0),H463:OFFSET(H464,-1,0))</f>
        <v>0</v>
      </c>
      <c r="I462" s="210">
        <f ca="1">SUMPRODUCT($B12:OFFSET($B13,-1,0),I463:OFFSET(I464,-1,0))</f>
        <v>0</v>
      </c>
      <c r="J462" s="210">
        <f ca="1">SUMPRODUCT($B12:OFFSET($B13,-1,0),J463:OFFSET(J464,-1,0))</f>
        <v>0</v>
      </c>
      <c r="K462" s="210">
        <f ca="1">SUMPRODUCT($B12:OFFSET($B13,-1,0),K463:OFFSET(K464,-1,0))</f>
        <v>0</v>
      </c>
      <c r="L462" s="210">
        <f ca="1">SUMPRODUCT($B12:OFFSET($B13,-1,0),L463:OFFSET(L464,-1,0))</f>
        <v>0</v>
      </c>
      <c r="M462" s="210">
        <f ca="1">SUMPRODUCT($B12:OFFSET($B13,-1,0),M463:OFFSET(M464,-1,0))</f>
        <v>0</v>
      </c>
      <c r="N462" s="210">
        <f ca="1">SUMPRODUCT($B12:OFFSET($B13,-1,0),N463:OFFSET(N464,-1,0))</f>
        <v>0</v>
      </c>
      <c r="O462" s="210">
        <f ca="1">SUMPRODUCT($B12:OFFSET($B13,-1,0),O463:OFFSET(O464,-1,0))</f>
        <v>0</v>
      </c>
      <c r="P462" s="210">
        <f ca="1">SUMPRODUCT($B12:OFFSET($B13,-1,0),P463:OFFSET(P464,-1,0))</f>
        <v>0</v>
      </c>
      <c r="Q462" s="210">
        <f ca="1">SUMPRODUCT($B12:OFFSET($B13,-1,0),Q463:OFFSET(Q464,-1,0))</f>
        <v>0</v>
      </c>
      <c r="S462" s="11"/>
    </row>
    <row r="463" spans="1:19" s="181" customFormat="1" hidden="1" outlineLevel="2" x14ac:dyDescent="0.2">
      <c r="A463" s="181" t="str">
        <f>"        " &amp; A12</f>
        <v xml:space="preserve">        Наименование проекта</v>
      </c>
      <c r="C463" s="209" t="str">
        <f t="shared" ca="1" si="51"/>
        <v>руб.</v>
      </c>
      <c r="D463" s="90" t="str">
        <f>"[" &amp; F12 &amp; "];int_end"</f>
        <v>[Проект];int_end</v>
      </c>
      <c r="F463" s="94">
        <f ca="1">IF(F$33&lt;$B28,0,IF(F$33&gt;$C28,IF(LIFE_PRJ=1,E463,0),OFFSET(Проект!F$1576,0,1-$B28)))</f>
        <v>0</v>
      </c>
      <c r="G463" s="94">
        <f ca="1">IF(G$33&lt;$B28,0,IF(G$33&gt;$C28,IF(LIFE_PRJ=1,F463,0),OFFSET(Проект!G$1576,0,1-$B28)))</f>
        <v>0</v>
      </c>
      <c r="H463" s="94">
        <f ca="1">IF(H$33&lt;$B28,0,IF(H$33&gt;$C28,IF(LIFE_PRJ=1,G463,0),OFFSET(Проект!H$1576,0,1-$B28)))</f>
        <v>0</v>
      </c>
      <c r="I463" s="94">
        <f ca="1">IF(I$33&lt;$B28,0,IF(I$33&gt;$C28,IF(LIFE_PRJ=1,H463,0),OFFSET(Проект!I$1576,0,1-$B28)))</f>
        <v>0</v>
      </c>
      <c r="J463" s="94">
        <f ca="1">IF(J$33&lt;$B28,0,IF(J$33&gt;$C28,IF(LIFE_PRJ=1,I463,0),OFFSET(Проект!J$1576,0,1-$B28)))</f>
        <v>0</v>
      </c>
      <c r="K463" s="94">
        <f ca="1">IF(K$33&lt;$B28,0,IF(K$33&gt;$C28,IF(LIFE_PRJ=1,J463,0),OFFSET(Проект!K$1576,0,1-$B28)))</f>
        <v>0</v>
      </c>
      <c r="L463" s="94">
        <f ca="1">IF(L$33&lt;$B28,0,IF(L$33&gt;$C28,IF(LIFE_PRJ=1,K463,0),OFFSET(Проект!L$1576,0,1-$B28)))</f>
        <v>0</v>
      </c>
      <c r="M463" s="94">
        <f ca="1">IF(M$33&lt;$B28,0,IF(M$33&gt;$C28,IF(LIFE_PRJ=1,L463,0),OFFSET(Проект!M$1576,0,1-$B28)))</f>
        <v>0</v>
      </c>
      <c r="N463" s="94">
        <f ca="1">IF(N$33&lt;$B28,0,IF(N$33&gt;$C28,IF(LIFE_PRJ=1,M463,0),OFFSET(Проект!N$1576,0,1-$B28)))</f>
        <v>0</v>
      </c>
      <c r="O463" s="94">
        <f ca="1">IF(O$33&lt;$B28,0,IF(O$33&gt;$C28,IF(LIFE_PRJ=1,N463,0),OFFSET(Проект!O$1576,0,1-$B28)))</f>
        <v>0</v>
      </c>
      <c r="P463" s="94">
        <f ca="1">IF(P$33&lt;$B28,0,IF(P$33&gt;$C28,IF(LIFE_PRJ=1,O463,0),OFFSET(Проект!P$1576,0,1-$B28)))</f>
        <v>0</v>
      </c>
      <c r="Q463" s="94">
        <f ca="1">IF(Q$33&lt;$B28,0,IF(Q$33&gt;$C28,IF(LIFE_PRJ=1,P463,0),OFFSET(Проект!Q$1576,0,1-$B28)))</f>
        <v>0</v>
      </c>
    </row>
    <row r="464" spans="1:19" outlineLevel="1" collapsed="1" x14ac:dyDescent="0.2">
      <c r="A464" t="str">
        <f ca="1">Language!A$780</f>
        <v xml:space="preserve">    оборудование и прочие активы</v>
      </c>
      <c r="C464" s="5" t="str">
        <f ca="1">CUR_Report</f>
        <v>руб.</v>
      </c>
      <c r="D464" s="16" t="s">
        <v>2211</v>
      </c>
      <c r="F464" s="210">
        <f ca="1">SUMPRODUCT($B12:OFFSET($B13,-1,0),F465:OFFSET(F466,-1,0))</f>
        <v>0</v>
      </c>
      <c r="G464" s="210">
        <f ca="1">SUMPRODUCT($B12:OFFSET($B13,-1,0),G465:OFFSET(G466,-1,0))</f>
        <v>0</v>
      </c>
      <c r="H464" s="210">
        <f ca="1">SUMPRODUCT($B12:OFFSET($B13,-1,0),H465:OFFSET(H466,-1,0))</f>
        <v>0</v>
      </c>
      <c r="I464" s="210">
        <f ca="1">SUMPRODUCT($B12:OFFSET($B13,-1,0),I465:OFFSET(I466,-1,0))</f>
        <v>0</v>
      </c>
      <c r="J464" s="210">
        <f ca="1">SUMPRODUCT($B12:OFFSET($B13,-1,0),J465:OFFSET(J466,-1,0))</f>
        <v>0</v>
      </c>
      <c r="K464" s="210">
        <f ca="1">SUMPRODUCT($B12:OFFSET($B13,-1,0),K465:OFFSET(K466,-1,0))</f>
        <v>0</v>
      </c>
      <c r="L464" s="210">
        <f ca="1">SUMPRODUCT($B12:OFFSET($B13,-1,0),L465:OFFSET(L466,-1,0))</f>
        <v>0</v>
      </c>
      <c r="M464" s="210">
        <f ca="1">SUMPRODUCT($B12:OFFSET($B13,-1,0),M465:OFFSET(M466,-1,0))</f>
        <v>0</v>
      </c>
      <c r="N464" s="210">
        <f ca="1">SUMPRODUCT($B12:OFFSET($B13,-1,0),N465:OFFSET(N466,-1,0))</f>
        <v>0</v>
      </c>
      <c r="O464" s="210">
        <f ca="1">SUMPRODUCT($B12:OFFSET($B13,-1,0),O465:OFFSET(O466,-1,0))</f>
        <v>0</v>
      </c>
      <c r="P464" s="210">
        <f ca="1">SUMPRODUCT($B12:OFFSET($B13,-1,0),P465:OFFSET(P466,-1,0))</f>
        <v>0</v>
      </c>
      <c r="Q464" s="210">
        <f ca="1">SUMPRODUCT($B12:OFFSET($B13,-1,0),Q465:OFFSET(Q466,-1,0))</f>
        <v>0</v>
      </c>
      <c r="S464" s="11"/>
    </row>
    <row r="465" spans="1:19" s="181" customFormat="1" hidden="1" outlineLevel="2" x14ac:dyDescent="0.2">
      <c r="A465" s="181" t="str">
        <f>"        " &amp; A12</f>
        <v xml:space="preserve">        Наименование проекта</v>
      </c>
      <c r="C465" s="209" t="str">
        <f ca="1">CUR_Report</f>
        <v>руб.</v>
      </c>
      <c r="D465" s="90" t="str">
        <f>"[" &amp; F12 &amp; "];int_end"</f>
        <v>[Проект];int_end</v>
      </c>
      <c r="F465" s="94">
        <f ca="1">IF(F$33&lt;$B28,0,IF(F$33&gt;$C28,IF(LIFE_PRJ=1,E465,0),OFFSET(Проект!F$1577,0,1-$B28)))</f>
        <v>0</v>
      </c>
      <c r="G465" s="94">
        <f ca="1">IF(G$33&lt;$B28,0,IF(G$33&gt;$C28,IF(LIFE_PRJ=1,F465,0),OFFSET(Проект!G$1577,0,1-$B28)))</f>
        <v>0</v>
      </c>
      <c r="H465" s="94">
        <f ca="1">IF(H$33&lt;$B28,0,IF(H$33&gt;$C28,IF(LIFE_PRJ=1,G465,0),OFFSET(Проект!H$1577,0,1-$B28)))</f>
        <v>0</v>
      </c>
      <c r="I465" s="94">
        <f ca="1">IF(I$33&lt;$B28,0,IF(I$33&gt;$C28,IF(LIFE_PRJ=1,H465,0),OFFSET(Проект!I$1577,0,1-$B28)))</f>
        <v>0</v>
      </c>
      <c r="J465" s="94">
        <f ca="1">IF(J$33&lt;$B28,0,IF(J$33&gt;$C28,IF(LIFE_PRJ=1,I465,0),OFFSET(Проект!J$1577,0,1-$B28)))</f>
        <v>0</v>
      </c>
      <c r="K465" s="94">
        <f ca="1">IF(K$33&lt;$B28,0,IF(K$33&gt;$C28,IF(LIFE_PRJ=1,J465,0),OFFSET(Проект!K$1577,0,1-$B28)))</f>
        <v>0</v>
      </c>
      <c r="L465" s="94">
        <f ca="1">IF(L$33&lt;$B28,0,IF(L$33&gt;$C28,IF(LIFE_PRJ=1,K465,0),OFFSET(Проект!L$1577,0,1-$B28)))</f>
        <v>0</v>
      </c>
      <c r="M465" s="94">
        <f ca="1">IF(M$33&lt;$B28,0,IF(M$33&gt;$C28,IF(LIFE_PRJ=1,L465,0),OFFSET(Проект!M$1577,0,1-$B28)))</f>
        <v>0</v>
      </c>
      <c r="N465" s="94">
        <f ca="1">IF(N$33&lt;$B28,0,IF(N$33&gt;$C28,IF(LIFE_PRJ=1,M465,0),OFFSET(Проект!N$1577,0,1-$B28)))</f>
        <v>0</v>
      </c>
      <c r="O465" s="94">
        <f ca="1">IF(O$33&lt;$B28,0,IF(O$33&gt;$C28,IF(LIFE_PRJ=1,N465,0),OFFSET(Проект!O$1577,0,1-$B28)))</f>
        <v>0</v>
      </c>
      <c r="P465" s="94">
        <f ca="1">IF(P$33&lt;$B28,0,IF(P$33&gt;$C28,IF(LIFE_PRJ=1,O465,0),OFFSET(Проект!P$1577,0,1-$B28)))</f>
        <v>0</v>
      </c>
      <c r="Q465" s="94">
        <f ca="1">IF(Q$33&lt;$B28,0,IF(Q$33&gt;$C28,IF(LIFE_PRJ=1,P465,0),OFFSET(Проект!Q$1577,0,1-$B28)))</f>
        <v>0</v>
      </c>
    </row>
    <row r="466" spans="1:19" outlineLevel="1" collapsed="1" x14ac:dyDescent="0.2">
      <c r="A466" t="str">
        <f ca="1">Language!A$779</f>
        <v xml:space="preserve">    нематериальные активы</v>
      </c>
      <c r="C466" s="5" t="str">
        <f t="shared" ca="1" si="51"/>
        <v>руб.</v>
      </c>
      <c r="D466" s="16" t="s">
        <v>2211</v>
      </c>
      <c r="F466" s="210">
        <f ca="1">SUMPRODUCT($B12:OFFSET($B13,-1,0),F467:OFFSET(F468,-1,0))</f>
        <v>0</v>
      </c>
      <c r="G466" s="210">
        <f ca="1">SUMPRODUCT($B12:OFFSET($B13,-1,0),G467:OFFSET(G468,-1,0))</f>
        <v>0</v>
      </c>
      <c r="H466" s="210">
        <f ca="1">SUMPRODUCT($B12:OFFSET($B13,-1,0),H467:OFFSET(H468,-1,0))</f>
        <v>0</v>
      </c>
      <c r="I466" s="210">
        <f ca="1">SUMPRODUCT($B12:OFFSET($B13,-1,0),I467:OFFSET(I468,-1,0))</f>
        <v>0</v>
      </c>
      <c r="J466" s="210">
        <f ca="1">SUMPRODUCT($B12:OFFSET($B13,-1,0),J467:OFFSET(J468,-1,0))</f>
        <v>0</v>
      </c>
      <c r="K466" s="210">
        <f ca="1">SUMPRODUCT($B12:OFFSET($B13,-1,0),K467:OFFSET(K468,-1,0))</f>
        <v>0</v>
      </c>
      <c r="L466" s="210">
        <f ca="1">SUMPRODUCT($B12:OFFSET($B13,-1,0),L467:OFFSET(L468,-1,0))</f>
        <v>0</v>
      </c>
      <c r="M466" s="210">
        <f ca="1">SUMPRODUCT($B12:OFFSET($B13,-1,0),M467:OFFSET(M468,-1,0))</f>
        <v>0</v>
      </c>
      <c r="N466" s="210">
        <f ca="1">SUMPRODUCT($B12:OFFSET($B13,-1,0),N467:OFFSET(N468,-1,0))</f>
        <v>0</v>
      </c>
      <c r="O466" s="210">
        <f ca="1">SUMPRODUCT($B12:OFFSET($B13,-1,0),O467:OFFSET(O468,-1,0))</f>
        <v>0</v>
      </c>
      <c r="P466" s="210">
        <f ca="1">SUMPRODUCT($B12:OFFSET($B13,-1,0),P467:OFFSET(P468,-1,0))</f>
        <v>0</v>
      </c>
      <c r="Q466" s="210">
        <f ca="1">SUMPRODUCT($B12:OFFSET($B13,-1,0),Q467:OFFSET(Q468,-1,0))</f>
        <v>0</v>
      </c>
      <c r="S466" s="11"/>
    </row>
    <row r="467" spans="1:19" s="181" customFormat="1" hidden="1" outlineLevel="2" x14ac:dyDescent="0.2">
      <c r="A467" s="181" t="str">
        <f>"        " &amp; A12</f>
        <v xml:space="preserve">        Наименование проекта</v>
      </c>
      <c r="C467" s="209" t="str">
        <f t="shared" ca="1" si="51"/>
        <v>руб.</v>
      </c>
      <c r="D467" s="90" t="str">
        <f>"[" &amp; F12 &amp; "];int_end"</f>
        <v>[Проект];int_end</v>
      </c>
      <c r="F467" s="94">
        <f ca="1">IF(F$33&lt;$B28,0,IF(F$33&gt;$C28,IF(LIFE_PRJ=1,E467,0),OFFSET(Проект!F$1578,0,1-$B28)))</f>
        <v>0</v>
      </c>
      <c r="G467" s="94">
        <f ca="1">IF(G$33&lt;$B28,0,IF(G$33&gt;$C28,IF(LIFE_PRJ=1,F467,0),OFFSET(Проект!G$1578,0,1-$B28)))</f>
        <v>0</v>
      </c>
      <c r="H467" s="94">
        <f ca="1">IF(H$33&lt;$B28,0,IF(H$33&gt;$C28,IF(LIFE_PRJ=1,G467,0),OFFSET(Проект!H$1578,0,1-$B28)))</f>
        <v>0</v>
      </c>
      <c r="I467" s="94">
        <f ca="1">IF(I$33&lt;$B28,0,IF(I$33&gt;$C28,IF(LIFE_PRJ=1,H467,0),OFFSET(Проект!I$1578,0,1-$B28)))</f>
        <v>0</v>
      </c>
      <c r="J467" s="94">
        <f ca="1">IF(J$33&lt;$B28,0,IF(J$33&gt;$C28,IF(LIFE_PRJ=1,I467,0),OFFSET(Проект!J$1578,0,1-$B28)))</f>
        <v>0</v>
      </c>
      <c r="K467" s="94">
        <f ca="1">IF(K$33&lt;$B28,0,IF(K$33&gt;$C28,IF(LIFE_PRJ=1,J467,0),OFFSET(Проект!K$1578,0,1-$B28)))</f>
        <v>0</v>
      </c>
      <c r="L467" s="94">
        <f ca="1">IF(L$33&lt;$B28,0,IF(L$33&gt;$C28,IF(LIFE_PRJ=1,K467,0),OFFSET(Проект!L$1578,0,1-$B28)))</f>
        <v>0</v>
      </c>
      <c r="M467" s="94">
        <f ca="1">IF(M$33&lt;$B28,0,IF(M$33&gt;$C28,IF(LIFE_PRJ=1,L467,0),OFFSET(Проект!M$1578,0,1-$B28)))</f>
        <v>0</v>
      </c>
      <c r="N467" s="94">
        <f ca="1">IF(N$33&lt;$B28,0,IF(N$33&gt;$C28,IF(LIFE_PRJ=1,M467,0),OFFSET(Проект!N$1578,0,1-$B28)))</f>
        <v>0</v>
      </c>
      <c r="O467" s="94">
        <f ca="1">IF(O$33&lt;$B28,0,IF(O$33&gt;$C28,IF(LIFE_PRJ=1,N467,0),OFFSET(Проект!O$1578,0,1-$B28)))</f>
        <v>0</v>
      </c>
      <c r="P467" s="94">
        <f ca="1">IF(P$33&lt;$B28,0,IF(P$33&gt;$C28,IF(LIFE_PRJ=1,O467,0),OFFSET(Проект!P$1578,0,1-$B28)))</f>
        <v>0</v>
      </c>
      <c r="Q467" s="94">
        <f ca="1">IF(Q$33&lt;$B28,0,IF(Q$33&gt;$C28,IF(LIFE_PRJ=1,P467,0),OFFSET(Проект!Q$1578,0,1-$B28)))</f>
        <v>0</v>
      </c>
    </row>
    <row r="468" spans="1:19" outlineLevel="1" collapsed="1" x14ac:dyDescent="0.2">
      <c r="A468" t="str">
        <f ca="1">Language!A$781</f>
        <v>Финансовые вложения</v>
      </c>
      <c r="C468" s="5" t="str">
        <f t="shared" ca="1" si="51"/>
        <v>руб.</v>
      </c>
      <c r="D468" s="16" t="s">
        <v>2211</v>
      </c>
      <c r="F468" s="210">
        <f ca="1">SUMPRODUCT($B12:OFFSET($B13,-1,0),F469:OFFSET(F470,-1,0))</f>
        <v>0</v>
      </c>
      <c r="G468" s="210">
        <f ca="1">SUMPRODUCT($B12:OFFSET($B13,-1,0),G469:OFFSET(G470,-1,0))</f>
        <v>0</v>
      </c>
      <c r="H468" s="210">
        <f ca="1">SUMPRODUCT($B12:OFFSET($B13,-1,0),H469:OFFSET(H470,-1,0))</f>
        <v>0</v>
      </c>
      <c r="I468" s="210">
        <f ca="1">SUMPRODUCT($B12:OFFSET($B13,-1,0),I469:OFFSET(I470,-1,0))</f>
        <v>0</v>
      </c>
      <c r="J468" s="210">
        <f ca="1">SUMPRODUCT($B12:OFFSET($B13,-1,0),J469:OFFSET(J470,-1,0))</f>
        <v>0</v>
      </c>
      <c r="K468" s="210">
        <f ca="1">SUMPRODUCT($B12:OFFSET($B13,-1,0),K469:OFFSET(K470,-1,0))</f>
        <v>0</v>
      </c>
      <c r="L468" s="210">
        <f ca="1">SUMPRODUCT($B12:OFFSET($B13,-1,0),L469:OFFSET(L470,-1,0))</f>
        <v>0</v>
      </c>
      <c r="M468" s="210">
        <f ca="1">SUMPRODUCT($B12:OFFSET($B13,-1,0),M469:OFFSET(M470,-1,0))</f>
        <v>0</v>
      </c>
      <c r="N468" s="210">
        <f ca="1">SUMPRODUCT($B12:OFFSET($B13,-1,0),N469:OFFSET(N470,-1,0))</f>
        <v>0</v>
      </c>
      <c r="O468" s="210">
        <f ca="1">SUMPRODUCT($B12:OFFSET($B13,-1,0),O469:OFFSET(O470,-1,0))</f>
        <v>0</v>
      </c>
      <c r="P468" s="210">
        <f ca="1">SUMPRODUCT($B12:OFFSET($B13,-1,0),P469:OFFSET(P470,-1,0))</f>
        <v>0</v>
      </c>
      <c r="Q468" s="210">
        <f ca="1">SUMPRODUCT($B12:OFFSET($B13,-1,0),Q469:OFFSET(Q470,-1,0))</f>
        <v>0</v>
      </c>
      <c r="S468" s="11"/>
    </row>
    <row r="469" spans="1:19" s="181" customFormat="1" hidden="1" outlineLevel="2" x14ac:dyDescent="0.2">
      <c r="A469" s="181" t="str">
        <f>"        " &amp; A12</f>
        <v xml:space="preserve">        Наименование проекта</v>
      </c>
      <c r="C469" s="209" t="str">
        <f t="shared" ca="1" si="51"/>
        <v>руб.</v>
      </c>
      <c r="D469" s="90" t="str">
        <f>"[" &amp; F12 &amp; "];int_end"</f>
        <v>[Проект];int_end</v>
      </c>
      <c r="F469" s="94">
        <f ca="1">IF(F$33&lt;$B28,0,IF(F$33&gt;$C28,IF(LIFE_PRJ=1,E469,0),OFFSET(Проект!F$1579,0,1-$B28)))</f>
        <v>0</v>
      </c>
      <c r="G469" s="94">
        <f ca="1">IF(G$33&lt;$B28,0,IF(G$33&gt;$C28,IF(LIFE_PRJ=1,F469,0),OFFSET(Проект!G$1579,0,1-$B28)))</f>
        <v>0</v>
      </c>
      <c r="H469" s="94">
        <f ca="1">IF(H$33&lt;$B28,0,IF(H$33&gt;$C28,IF(LIFE_PRJ=1,G469,0),OFFSET(Проект!H$1579,0,1-$B28)))</f>
        <v>0</v>
      </c>
      <c r="I469" s="94">
        <f ca="1">IF(I$33&lt;$B28,0,IF(I$33&gt;$C28,IF(LIFE_PRJ=1,H469,0),OFFSET(Проект!I$1579,0,1-$B28)))</f>
        <v>0</v>
      </c>
      <c r="J469" s="94">
        <f ca="1">IF(J$33&lt;$B28,0,IF(J$33&gt;$C28,IF(LIFE_PRJ=1,I469,0),OFFSET(Проект!J$1579,0,1-$B28)))</f>
        <v>0</v>
      </c>
      <c r="K469" s="94">
        <f ca="1">IF(K$33&lt;$B28,0,IF(K$33&gt;$C28,IF(LIFE_PRJ=1,J469,0),OFFSET(Проект!K$1579,0,1-$B28)))</f>
        <v>0</v>
      </c>
      <c r="L469" s="94">
        <f ca="1">IF(L$33&lt;$B28,0,IF(L$33&gt;$C28,IF(LIFE_PRJ=1,K469,0),OFFSET(Проект!L$1579,0,1-$B28)))</f>
        <v>0</v>
      </c>
      <c r="M469" s="94">
        <f ca="1">IF(M$33&lt;$B28,0,IF(M$33&gt;$C28,IF(LIFE_PRJ=1,L469,0),OFFSET(Проект!M$1579,0,1-$B28)))</f>
        <v>0</v>
      </c>
      <c r="N469" s="94">
        <f ca="1">IF(N$33&lt;$B28,0,IF(N$33&gt;$C28,IF(LIFE_PRJ=1,M469,0),OFFSET(Проект!N$1579,0,1-$B28)))</f>
        <v>0</v>
      </c>
      <c r="O469" s="94">
        <f ca="1">IF(O$33&lt;$B28,0,IF(O$33&gt;$C28,IF(LIFE_PRJ=1,N469,0),OFFSET(Проект!O$1579,0,1-$B28)))</f>
        <v>0</v>
      </c>
      <c r="P469" s="94">
        <f ca="1">IF(P$33&lt;$B28,0,IF(P$33&gt;$C28,IF(LIFE_PRJ=1,O469,0),OFFSET(Проект!P$1579,0,1-$B28)))</f>
        <v>0</v>
      </c>
      <c r="Q469" s="94">
        <f ca="1">IF(Q$33&lt;$B28,0,IF(Q$33&gt;$C28,IF(LIFE_PRJ=1,P469,0),OFFSET(Проект!Q$1579,0,1-$B28)))</f>
        <v>0</v>
      </c>
    </row>
    <row r="470" spans="1:19" outlineLevel="1" collapsed="1" x14ac:dyDescent="0.2">
      <c r="A470" t="str">
        <f ca="1">Language!A$782</f>
        <v>Незавершенные капиталовложения</v>
      </c>
      <c r="C470" s="5" t="str">
        <f t="shared" ca="1" si="51"/>
        <v>руб.</v>
      </c>
      <c r="D470" s="16" t="s">
        <v>2211</v>
      </c>
      <c r="F470" s="210">
        <f ca="1">SUMPRODUCT($B12:OFFSET($B13,-1,0),F471:OFFSET(F472,-1,0))</f>
        <v>0</v>
      </c>
      <c r="G470" s="210">
        <f ca="1">SUMPRODUCT($B12:OFFSET($B13,-1,0),G471:OFFSET(G472,-1,0))</f>
        <v>0</v>
      </c>
      <c r="H470" s="210">
        <f ca="1">SUMPRODUCT($B12:OFFSET($B13,-1,0),H471:OFFSET(H472,-1,0))</f>
        <v>0</v>
      </c>
      <c r="I470" s="210">
        <f ca="1">SUMPRODUCT($B12:OFFSET($B13,-1,0),I471:OFFSET(I472,-1,0))</f>
        <v>0</v>
      </c>
      <c r="J470" s="210">
        <f ca="1">SUMPRODUCT($B12:OFFSET($B13,-1,0),J471:OFFSET(J472,-1,0))</f>
        <v>0</v>
      </c>
      <c r="K470" s="210">
        <f ca="1">SUMPRODUCT($B12:OFFSET($B13,-1,0),K471:OFFSET(K472,-1,0))</f>
        <v>0</v>
      </c>
      <c r="L470" s="210">
        <f ca="1">SUMPRODUCT($B12:OFFSET($B13,-1,0),L471:OFFSET(L472,-1,0))</f>
        <v>0</v>
      </c>
      <c r="M470" s="210">
        <f ca="1">SUMPRODUCT($B12:OFFSET($B13,-1,0),M471:OFFSET(M472,-1,0))</f>
        <v>0</v>
      </c>
      <c r="N470" s="210">
        <f ca="1">SUMPRODUCT($B12:OFFSET($B13,-1,0),N471:OFFSET(N472,-1,0))</f>
        <v>0</v>
      </c>
      <c r="O470" s="210">
        <f ca="1">SUMPRODUCT($B12:OFFSET($B13,-1,0),O471:OFFSET(O472,-1,0))</f>
        <v>0</v>
      </c>
      <c r="P470" s="210">
        <f ca="1">SUMPRODUCT($B12:OFFSET($B13,-1,0),P471:OFFSET(P472,-1,0))</f>
        <v>0</v>
      </c>
      <c r="Q470" s="210">
        <f ca="1">SUMPRODUCT($B12:OFFSET($B13,-1,0),Q471:OFFSET(Q472,-1,0))</f>
        <v>0</v>
      </c>
      <c r="S470" s="11"/>
    </row>
    <row r="471" spans="1:19" s="181" customFormat="1" hidden="1" outlineLevel="2" x14ac:dyDescent="0.2">
      <c r="A471" s="181" t="str">
        <f>"        " &amp; A12</f>
        <v xml:space="preserve">        Наименование проекта</v>
      </c>
      <c r="C471" s="209" t="str">
        <f t="shared" ca="1" si="51"/>
        <v>руб.</v>
      </c>
      <c r="D471" s="90" t="str">
        <f>"[" &amp; F12 &amp; "];int_end"</f>
        <v>[Проект];int_end</v>
      </c>
      <c r="F471" s="94">
        <f ca="1">IF(F$33&lt;$B28,0,IF(F$33&gt;$C28,IF(LIFE_PRJ=1,E471,0),OFFSET(Проект!F$1580,0,1-$B28)))</f>
        <v>0</v>
      </c>
      <c r="G471" s="94">
        <f ca="1">IF(G$33&lt;$B28,0,IF(G$33&gt;$C28,IF(LIFE_PRJ=1,F471,0),OFFSET(Проект!G$1580,0,1-$B28)))</f>
        <v>0</v>
      </c>
      <c r="H471" s="94">
        <f ca="1">IF(H$33&lt;$B28,0,IF(H$33&gt;$C28,IF(LIFE_PRJ=1,G471,0),OFFSET(Проект!H$1580,0,1-$B28)))</f>
        <v>0</v>
      </c>
      <c r="I471" s="94">
        <f ca="1">IF(I$33&lt;$B28,0,IF(I$33&gt;$C28,IF(LIFE_PRJ=1,H471,0),OFFSET(Проект!I$1580,0,1-$B28)))</f>
        <v>0</v>
      </c>
      <c r="J471" s="94">
        <f ca="1">IF(J$33&lt;$B28,0,IF(J$33&gt;$C28,IF(LIFE_PRJ=1,I471,0),OFFSET(Проект!J$1580,0,1-$B28)))</f>
        <v>0</v>
      </c>
      <c r="K471" s="94">
        <f ca="1">IF(K$33&lt;$B28,0,IF(K$33&gt;$C28,IF(LIFE_PRJ=1,J471,0),OFFSET(Проект!K$1580,0,1-$B28)))</f>
        <v>0</v>
      </c>
      <c r="L471" s="94">
        <f ca="1">IF(L$33&lt;$B28,0,IF(L$33&gt;$C28,IF(LIFE_PRJ=1,K471,0),OFFSET(Проект!L$1580,0,1-$B28)))</f>
        <v>0</v>
      </c>
      <c r="M471" s="94">
        <f ca="1">IF(M$33&lt;$B28,0,IF(M$33&gt;$C28,IF(LIFE_PRJ=1,L471,0),OFFSET(Проект!M$1580,0,1-$B28)))</f>
        <v>0</v>
      </c>
      <c r="N471" s="94">
        <f ca="1">IF(N$33&lt;$B28,0,IF(N$33&gt;$C28,IF(LIFE_PRJ=1,M471,0),OFFSET(Проект!N$1580,0,1-$B28)))</f>
        <v>0</v>
      </c>
      <c r="O471" s="94">
        <f ca="1">IF(O$33&lt;$B28,0,IF(O$33&gt;$C28,IF(LIFE_PRJ=1,N471,0),OFFSET(Проект!O$1580,0,1-$B28)))</f>
        <v>0</v>
      </c>
      <c r="P471" s="94">
        <f ca="1">IF(P$33&lt;$B28,0,IF(P$33&gt;$C28,IF(LIFE_PRJ=1,O471,0),OFFSET(Проект!P$1580,0,1-$B28)))</f>
        <v>0</v>
      </c>
      <c r="Q471" s="94">
        <f ca="1">IF(Q$33&lt;$B28,0,IF(Q$33&gt;$C28,IF(LIFE_PRJ=1,P471,0),OFFSET(Проект!Q$1580,0,1-$B28)))</f>
        <v>0</v>
      </c>
    </row>
    <row r="472" spans="1:19" ht="10.5" outlineLevel="1" collapsed="1" x14ac:dyDescent="0.25">
      <c r="A472" s="35" t="str">
        <f ca="1">Language!A$783</f>
        <v>Суммарные внеоборотные активы</v>
      </c>
      <c r="C472" s="5" t="str">
        <f t="shared" ca="1" si="51"/>
        <v>руб.</v>
      </c>
      <c r="D472" s="16" t="s">
        <v>2211</v>
      </c>
      <c r="F472" s="160">
        <f ca="1">SUMPRODUCT($B12:OFFSET($B13,-1,0),F473:OFFSET(F474,-1,0))</f>
        <v>0</v>
      </c>
      <c r="G472" s="160">
        <f ca="1">SUMPRODUCT($B12:OFFSET($B13,-1,0),G473:OFFSET(G474,-1,0))</f>
        <v>0</v>
      </c>
      <c r="H472" s="160">
        <f ca="1">SUMPRODUCT($B12:OFFSET($B13,-1,0),H473:OFFSET(H474,-1,0))</f>
        <v>0</v>
      </c>
      <c r="I472" s="160">
        <f ca="1">SUMPRODUCT($B12:OFFSET($B13,-1,0),I473:OFFSET(I474,-1,0))</f>
        <v>0</v>
      </c>
      <c r="J472" s="160">
        <f ca="1">SUMPRODUCT($B12:OFFSET($B13,-1,0),J473:OFFSET(J474,-1,0))</f>
        <v>0</v>
      </c>
      <c r="K472" s="160">
        <f ca="1">SUMPRODUCT($B12:OFFSET($B13,-1,0),K473:OFFSET(K474,-1,0))</f>
        <v>0</v>
      </c>
      <c r="L472" s="160">
        <f ca="1">SUMPRODUCT($B12:OFFSET($B13,-1,0),L473:OFFSET(L474,-1,0))</f>
        <v>0</v>
      </c>
      <c r="M472" s="160">
        <f ca="1">SUMPRODUCT($B12:OFFSET($B13,-1,0),M473:OFFSET(M474,-1,0))</f>
        <v>0</v>
      </c>
      <c r="N472" s="160">
        <f ca="1">SUMPRODUCT($B12:OFFSET($B13,-1,0),N473:OFFSET(N474,-1,0))</f>
        <v>0</v>
      </c>
      <c r="O472" s="160">
        <f ca="1">SUMPRODUCT($B12:OFFSET($B13,-1,0),O473:OFFSET(O474,-1,0))</f>
        <v>0</v>
      </c>
      <c r="P472" s="160">
        <f ca="1">SUMPRODUCT($B12:OFFSET($B13,-1,0),P473:OFFSET(P474,-1,0))</f>
        <v>0</v>
      </c>
      <c r="Q472" s="160">
        <f ca="1">SUMPRODUCT($B12:OFFSET($B13,-1,0),Q473:OFFSET(Q474,-1,0))</f>
        <v>0</v>
      </c>
      <c r="S472" s="11"/>
    </row>
    <row r="473" spans="1:19" s="181" customFormat="1" hidden="1" outlineLevel="2" x14ac:dyDescent="0.2">
      <c r="A473" s="181" t="str">
        <f>"        " &amp; A12</f>
        <v xml:space="preserve">        Наименование проекта</v>
      </c>
      <c r="C473" s="209" t="str">
        <f t="shared" ca="1" si="51"/>
        <v>руб.</v>
      </c>
      <c r="D473" s="90" t="str">
        <f>"[" &amp; F12 &amp; "];int_end"</f>
        <v>[Проект];int_end</v>
      </c>
      <c r="F473" s="94">
        <f ca="1">IF(F$33&lt;$B28,0,IF(F$33&gt;$C28,IF(LIFE_PRJ=1,E473,0),OFFSET(Проект!F$1581,0,1-$B28)))</f>
        <v>0</v>
      </c>
      <c r="G473" s="94">
        <f ca="1">IF(G$33&lt;$B28,0,IF(G$33&gt;$C28,IF(LIFE_PRJ=1,F473,0),OFFSET(Проект!G$1581,0,1-$B28)))</f>
        <v>0</v>
      </c>
      <c r="H473" s="94">
        <f ca="1">IF(H$33&lt;$B28,0,IF(H$33&gt;$C28,IF(LIFE_PRJ=1,G473,0),OFFSET(Проект!H$1581,0,1-$B28)))</f>
        <v>0</v>
      </c>
      <c r="I473" s="94">
        <f ca="1">IF(I$33&lt;$B28,0,IF(I$33&gt;$C28,IF(LIFE_PRJ=1,H473,0),OFFSET(Проект!I$1581,0,1-$B28)))</f>
        <v>0</v>
      </c>
      <c r="J473" s="94">
        <f ca="1">IF(J$33&lt;$B28,0,IF(J$33&gt;$C28,IF(LIFE_PRJ=1,I473,0),OFFSET(Проект!J$1581,0,1-$B28)))</f>
        <v>0</v>
      </c>
      <c r="K473" s="94">
        <f ca="1">IF(K$33&lt;$B28,0,IF(K$33&gt;$C28,IF(LIFE_PRJ=1,J473,0),OFFSET(Проект!K$1581,0,1-$B28)))</f>
        <v>0</v>
      </c>
      <c r="L473" s="94">
        <f ca="1">IF(L$33&lt;$B28,0,IF(L$33&gt;$C28,IF(LIFE_PRJ=1,K473,0),OFFSET(Проект!L$1581,0,1-$B28)))</f>
        <v>0</v>
      </c>
      <c r="M473" s="94">
        <f ca="1">IF(M$33&lt;$B28,0,IF(M$33&gt;$C28,IF(LIFE_PRJ=1,L473,0),OFFSET(Проект!M$1581,0,1-$B28)))</f>
        <v>0</v>
      </c>
      <c r="N473" s="94">
        <f ca="1">IF(N$33&lt;$B28,0,IF(N$33&gt;$C28,IF(LIFE_PRJ=1,M473,0),OFFSET(Проект!N$1581,0,1-$B28)))</f>
        <v>0</v>
      </c>
      <c r="O473" s="94">
        <f ca="1">IF(O$33&lt;$B28,0,IF(O$33&gt;$C28,IF(LIFE_PRJ=1,N473,0),OFFSET(Проект!O$1581,0,1-$B28)))</f>
        <v>0</v>
      </c>
      <c r="P473" s="94">
        <f ca="1">IF(P$33&lt;$B28,0,IF(P$33&gt;$C28,IF(LIFE_PRJ=1,O473,0),OFFSET(Проект!P$1581,0,1-$B28)))</f>
        <v>0</v>
      </c>
      <c r="Q473" s="94">
        <f ca="1">IF(Q$33&lt;$B28,0,IF(Q$33&gt;$C28,IF(LIFE_PRJ=1,P473,0),OFFSET(Проект!Q$1581,0,1-$B28)))</f>
        <v>0</v>
      </c>
    </row>
    <row r="474" spans="1:19" outlineLevel="1" x14ac:dyDescent="0.2"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S474" s="11"/>
    </row>
    <row r="475" spans="1:19" ht="10.5" outlineLevel="1" collapsed="1" x14ac:dyDescent="0.25">
      <c r="A475" s="35" t="str">
        <f ca="1">Language!A$784</f>
        <v xml:space="preserve"> = ИТОГО АКТИВОВ</v>
      </c>
      <c r="C475" s="5" t="str">
        <f ca="1">CUR_Report</f>
        <v>руб.</v>
      </c>
      <c r="D475" s="16" t="s">
        <v>2211</v>
      </c>
      <c r="F475" s="160">
        <f t="shared" ref="F475:M475" ca="1" si="52">F455+F472</f>
        <v>733387.6844783714</v>
      </c>
      <c r="G475" s="160">
        <f t="shared" ca="1" si="52"/>
        <v>648530.80460216617</v>
      </c>
      <c r="H475" s="160">
        <f t="shared" ca="1" si="52"/>
        <v>638255.91317820549</v>
      </c>
      <c r="I475" s="160">
        <f t="shared" ca="1" si="52"/>
        <v>628150.72611705493</v>
      </c>
      <c r="J475" s="160">
        <f t="shared" ca="1" si="52"/>
        <v>616668.84485923836</v>
      </c>
      <c r="K475" s="160">
        <f t="shared" ca="1" si="52"/>
        <v>836935.30626654625</v>
      </c>
      <c r="L475" s="160">
        <f t="shared" ca="1" si="52"/>
        <v>975518.30853927392</v>
      </c>
      <c r="M475" s="160">
        <f t="shared" ca="1" si="52"/>
        <v>1230239.0301301836</v>
      </c>
      <c r="N475" s="160">
        <f t="shared" ref="N475" ca="1" si="53">N455+N472</f>
        <v>1670422.1619483668</v>
      </c>
      <c r="O475" s="160">
        <f t="shared" ref="O475:Q475" ca="1" si="54">O455+O472</f>
        <v>5627279.4997038571</v>
      </c>
      <c r="P475" s="160">
        <f t="shared" ref="P475:Q475" ca="1" si="55">P455+P472</f>
        <v>14936137.712203857</v>
      </c>
      <c r="Q475" s="160">
        <f t="shared" ca="1" si="55"/>
        <v>25400182.83720386</v>
      </c>
      <c r="S475" s="11"/>
    </row>
    <row r="476" spans="1:19" s="181" customFormat="1" hidden="1" outlineLevel="2" x14ac:dyDescent="0.2">
      <c r="A476" s="181" t="str">
        <f>"        " &amp; A12</f>
        <v xml:space="preserve">        Наименование проекта</v>
      </c>
      <c r="C476" s="209" t="str">
        <f ca="1">CUR_Report</f>
        <v>руб.</v>
      </c>
      <c r="D476" s="90" t="str">
        <f>"[" &amp; F12 &amp; "];int_end"</f>
        <v>[Проект];int_end</v>
      </c>
      <c r="F476" s="94">
        <f ca="1">IF(F$33&lt;$B28,0,IF(F$33&gt;$C28,IF(LIFE_PRJ=1,E476,0),OFFSET(Проект!F$1583,0,1-$B28)))</f>
        <v>733387.6844783714</v>
      </c>
      <c r="G476" s="94">
        <f ca="1">IF(G$33&lt;$B28,0,IF(G$33&gt;$C28,IF(LIFE_PRJ=1,F476,0),OFFSET(Проект!G$1583,0,1-$B28)))</f>
        <v>648530.80460216617</v>
      </c>
      <c r="H476" s="94">
        <f ca="1">IF(H$33&lt;$B28,0,IF(H$33&gt;$C28,IF(LIFE_PRJ=1,G476,0),OFFSET(Проект!H$1583,0,1-$B28)))</f>
        <v>638255.91317820549</v>
      </c>
      <c r="I476" s="94">
        <f ca="1">IF(I$33&lt;$B28,0,IF(I$33&gt;$C28,IF(LIFE_PRJ=1,H476,0),OFFSET(Проект!I$1583,0,1-$B28)))</f>
        <v>628150.72611705493</v>
      </c>
      <c r="J476" s="94">
        <f ca="1">IF(J$33&lt;$B28,0,IF(J$33&gt;$C28,IF(LIFE_PRJ=1,I476,0),OFFSET(Проект!J$1583,0,1-$B28)))</f>
        <v>616668.84485923836</v>
      </c>
      <c r="K476" s="94">
        <f ca="1">IF(K$33&lt;$B28,0,IF(K$33&gt;$C28,IF(LIFE_PRJ=1,J476,0),OFFSET(Проект!K$1583,0,1-$B28)))</f>
        <v>836935.30626654625</v>
      </c>
      <c r="L476" s="94">
        <f ca="1">IF(L$33&lt;$B28,0,IF(L$33&gt;$C28,IF(LIFE_PRJ=1,K476,0),OFFSET(Проект!L$1583,0,1-$B28)))</f>
        <v>975518.30853927392</v>
      </c>
      <c r="M476" s="94">
        <f ca="1">IF(M$33&lt;$B28,0,IF(M$33&gt;$C28,IF(LIFE_PRJ=1,L476,0),OFFSET(Проект!M$1583,0,1-$B28)))</f>
        <v>1230239.0301301836</v>
      </c>
      <c r="N476" s="94">
        <f ca="1">IF(N$33&lt;$B28,0,IF(N$33&gt;$C28,IF(LIFE_PRJ=1,M476,0),OFFSET(Проект!N$1583,0,1-$B28)))</f>
        <v>1670422.1619483668</v>
      </c>
      <c r="O476" s="94">
        <f ca="1">IF(O$33&lt;$B28,0,IF(O$33&gt;$C28,IF(LIFE_PRJ=1,N476,0),OFFSET(Проект!O$1583,0,1-$B28)))</f>
        <v>5627279.4997038571</v>
      </c>
      <c r="P476" s="94">
        <f ca="1">IF(P$33&lt;$B28,0,IF(P$33&gt;$C28,IF(LIFE_PRJ=1,O476,0),OFFSET(Проект!P$1583,0,1-$B28)))</f>
        <v>14936137.712203857</v>
      </c>
      <c r="Q476" s="94">
        <f ca="1">IF(Q$33&lt;$B28,0,IF(Q$33&gt;$C28,IF(LIFE_PRJ=1,P476,0),OFFSET(Проект!Q$1583,0,1-$B28)))</f>
        <v>25400182.83720386</v>
      </c>
    </row>
    <row r="477" spans="1:19" outlineLevel="1" x14ac:dyDescent="0.2"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S477" s="11"/>
    </row>
    <row r="478" spans="1:19" outlineLevel="1" collapsed="1" x14ac:dyDescent="0.2">
      <c r="A478" t="str">
        <f ca="1">Language!A$785</f>
        <v>Кредиторская задолженность</v>
      </c>
      <c r="C478" s="5" t="str">
        <f t="shared" ref="C478:C498" ca="1" si="56">CUR_Report</f>
        <v>руб.</v>
      </c>
      <c r="D478" s="16" t="s">
        <v>2211</v>
      </c>
      <c r="F478" s="210">
        <f ca="1">SUMPRODUCT($B12:OFFSET($B13,-1,0),F479:OFFSET(F480,-1,0))</f>
        <v>0</v>
      </c>
      <c r="G478" s="210">
        <f ca="1">SUMPRODUCT($B12:OFFSET($B13,-1,0),G479:OFFSET(G480,-1,0))</f>
        <v>0</v>
      </c>
      <c r="H478" s="210">
        <f ca="1">SUMPRODUCT($B12:OFFSET($B13,-1,0),H479:OFFSET(H480,-1,0))</f>
        <v>0</v>
      </c>
      <c r="I478" s="210">
        <f ca="1">SUMPRODUCT($B12:OFFSET($B13,-1,0),I479:OFFSET(I480,-1,0))</f>
        <v>0</v>
      </c>
      <c r="J478" s="210">
        <f ca="1">SUMPRODUCT($B12:OFFSET($B13,-1,0),J479:OFFSET(J480,-1,0))</f>
        <v>0</v>
      </c>
      <c r="K478" s="210">
        <f ca="1">SUMPRODUCT($B12:OFFSET($B13,-1,0),K479:OFFSET(K480,-1,0))</f>
        <v>0</v>
      </c>
      <c r="L478" s="210">
        <f ca="1">SUMPRODUCT($B12:OFFSET($B13,-1,0),L479:OFFSET(L480,-1,0))</f>
        <v>0</v>
      </c>
      <c r="M478" s="210">
        <f ca="1">SUMPRODUCT($B12:OFFSET($B13,-1,0),M479:OFFSET(M480,-1,0))</f>
        <v>0</v>
      </c>
      <c r="N478" s="210">
        <f ca="1">SUMPRODUCT($B12:OFFSET($B13,-1,0),N479:OFFSET(N480,-1,0))</f>
        <v>0</v>
      </c>
      <c r="O478" s="210">
        <f ca="1">SUMPRODUCT($B12:OFFSET($B13,-1,0),O479:OFFSET(O480,-1,0))</f>
        <v>0</v>
      </c>
      <c r="P478" s="210">
        <f ca="1">SUMPRODUCT($B12:OFFSET($B13,-1,0),P479:OFFSET(P480,-1,0))</f>
        <v>0</v>
      </c>
      <c r="Q478" s="210">
        <f ca="1">SUMPRODUCT($B12:OFFSET($B13,-1,0),Q479:OFFSET(Q480,-1,0))</f>
        <v>0</v>
      </c>
      <c r="S478" s="11"/>
    </row>
    <row r="479" spans="1:19" s="181" customFormat="1" hidden="1" outlineLevel="2" x14ac:dyDescent="0.2">
      <c r="A479" s="11" t="str">
        <f>"        " &amp; A12</f>
        <v xml:space="preserve">        Наименование проекта</v>
      </c>
      <c r="B479" s="11"/>
      <c r="C479" s="36" t="str">
        <f t="shared" ca="1" si="56"/>
        <v>руб.</v>
      </c>
      <c r="D479" s="90" t="str">
        <f>"[" &amp; F12 &amp; "];int_end"</f>
        <v>[Проект];int_end</v>
      </c>
      <c r="F479" s="94">
        <f ca="1">IF(F$33&lt;$B28,0,IF(F$33&gt;$C28,IF(LIFE_PRJ=1,E479,0),OFFSET(Проект!F$1585,0,1-$B28)))</f>
        <v>0</v>
      </c>
      <c r="G479" s="94">
        <f ca="1">IF(G$33&lt;$B28,0,IF(G$33&gt;$C28,IF(LIFE_PRJ=1,F479,0),OFFSET(Проект!G$1585,0,1-$B28)))</f>
        <v>0</v>
      </c>
      <c r="H479" s="94">
        <f ca="1">IF(H$33&lt;$B28,0,IF(H$33&gt;$C28,IF(LIFE_PRJ=1,G479,0),OFFSET(Проект!H$1585,0,1-$B28)))</f>
        <v>0</v>
      </c>
      <c r="I479" s="94">
        <f ca="1">IF(I$33&lt;$B28,0,IF(I$33&gt;$C28,IF(LIFE_PRJ=1,H479,0),OFFSET(Проект!I$1585,0,1-$B28)))</f>
        <v>0</v>
      </c>
      <c r="J479" s="94">
        <f ca="1">IF(J$33&lt;$B28,0,IF(J$33&gt;$C28,IF(LIFE_PRJ=1,I479,0),OFFSET(Проект!J$1585,0,1-$B28)))</f>
        <v>0</v>
      </c>
      <c r="K479" s="94">
        <f ca="1">IF(K$33&lt;$B28,0,IF(K$33&gt;$C28,IF(LIFE_PRJ=1,J479,0),OFFSET(Проект!K$1585,0,1-$B28)))</f>
        <v>0</v>
      </c>
      <c r="L479" s="94">
        <f ca="1">IF(L$33&lt;$B28,0,IF(L$33&gt;$C28,IF(LIFE_PRJ=1,K479,0),OFFSET(Проект!L$1585,0,1-$B28)))</f>
        <v>0</v>
      </c>
      <c r="M479" s="94">
        <f ca="1">IF(M$33&lt;$B28,0,IF(M$33&gt;$C28,IF(LIFE_PRJ=1,L479,0),OFFSET(Проект!M$1585,0,1-$B28)))</f>
        <v>0</v>
      </c>
      <c r="N479" s="94">
        <f ca="1">IF(N$33&lt;$B28,0,IF(N$33&gt;$C28,IF(LIFE_PRJ=1,M479,0),OFFSET(Проект!N$1585,0,1-$B28)))</f>
        <v>0</v>
      </c>
      <c r="O479" s="94">
        <f ca="1">IF(O$33&lt;$B28,0,IF(O$33&gt;$C28,IF(LIFE_PRJ=1,N479,0),OFFSET(Проект!O$1585,0,1-$B28)))</f>
        <v>0</v>
      </c>
      <c r="P479" s="94">
        <f ca="1">IF(P$33&lt;$B28,0,IF(P$33&gt;$C28,IF(LIFE_PRJ=1,O479,0),OFFSET(Проект!P$1585,0,1-$B28)))</f>
        <v>0</v>
      </c>
      <c r="Q479" s="94">
        <f ca="1">IF(Q$33&lt;$B28,0,IF(Q$33&gt;$C28,IF(LIFE_PRJ=1,P479,0),OFFSET(Проект!Q$1585,0,1-$B28)))</f>
        <v>0</v>
      </c>
    </row>
    <row r="480" spans="1:19" outlineLevel="1" collapsed="1" x14ac:dyDescent="0.2">
      <c r="A480" t="str">
        <f ca="1">Language!A$786</f>
        <v xml:space="preserve">    за поставленные товары</v>
      </c>
      <c r="C480" s="5" t="str">
        <f t="shared" ca="1" si="56"/>
        <v>руб.</v>
      </c>
      <c r="D480" s="16" t="s">
        <v>2211</v>
      </c>
      <c r="F480" s="210">
        <f ca="1">SUMPRODUCT($B12:OFFSET($B13,-1,0),F481:OFFSET(F482,-1,0))</f>
        <v>0</v>
      </c>
      <c r="G480" s="210">
        <f ca="1">SUMPRODUCT($B12:OFFSET($B13,-1,0),G481:OFFSET(G482,-1,0))</f>
        <v>0</v>
      </c>
      <c r="H480" s="210">
        <f ca="1">SUMPRODUCT($B12:OFFSET($B13,-1,0),H481:OFFSET(H482,-1,0))</f>
        <v>0</v>
      </c>
      <c r="I480" s="210">
        <f ca="1">SUMPRODUCT($B12:OFFSET($B13,-1,0),I481:OFFSET(I482,-1,0))</f>
        <v>0</v>
      </c>
      <c r="J480" s="210">
        <f ca="1">SUMPRODUCT($B12:OFFSET($B13,-1,0),J481:OFFSET(J482,-1,0))</f>
        <v>0</v>
      </c>
      <c r="K480" s="210">
        <f ca="1">SUMPRODUCT($B12:OFFSET($B13,-1,0),K481:OFFSET(K482,-1,0))</f>
        <v>0</v>
      </c>
      <c r="L480" s="210">
        <f ca="1">SUMPRODUCT($B12:OFFSET($B13,-1,0),L481:OFFSET(L482,-1,0))</f>
        <v>0</v>
      </c>
      <c r="M480" s="210">
        <f ca="1">SUMPRODUCT($B12:OFFSET($B13,-1,0),M481:OFFSET(M482,-1,0))</f>
        <v>0</v>
      </c>
      <c r="N480" s="210">
        <f ca="1">SUMPRODUCT($B12:OFFSET($B13,-1,0),N481:OFFSET(N482,-1,0))</f>
        <v>0</v>
      </c>
      <c r="O480" s="210">
        <f ca="1">SUMPRODUCT($B12:OFFSET($B13,-1,0),O481:OFFSET(O482,-1,0))</f>
        <v>0</v>
      </c>
      <c r="P480" s="210">
        <f ca="1">SUMPRODUCT($B12:OFFSET($B13,-1,0),P481:OFFSET(P482,-1,0))</f>
        <v>0</v>
      </c>
      <c r="Q480" s="210">
        <f ca="1">SUMPRODUCT($B12:OFFSET($B13,-1,0),Q481:OFFSET(Q482,-1,0))</f>
        <v>0</v>
      </c>
      <c r="S480" s="11"/>
    </row>
    <row r="481" spans="1:19" s="181" customFormat="1" hidden="1" outlineLevel="2" x14ac:dyDescent="0.2">
      <c r="A481" s="181" t="str">
        <f>"        " &amp; A12</f>
        <v xml:space="preserve">        Наименование проекта</v>
      </c>
      <c r="C481" s="209" t="str">
        <f t="shared" ca="1" si="56"/>
        <v>руб.</v>
      </c>
      <c r="D481" s="90" t="str">
        <f>"[" &amp; F12 &amp; "];int_end"</f>
        <v>[Проект];int_end</v>
      </c>
      <c r="F481" s="94">
        <f ca="1">IF(F$33&lt;$B28,0,IF(F$33&gt;$C28,IF(LIFE_PRJ=1,E481,0),OFFSET(Проект!F$1586,0,1-$B28)))</f>
        <v>0</v>
      </c>
      <c r="G481" s="94">
        <f ca="1">IF(G$33&lt;$B28,0,IF(G$33&gt;$C28,IF(LIFE_PRJ=1,F481,0),OFFSET(Проект!G$1586,0,1-$B28)))</f>
        <v>0</v>
      </c>
      <c r="H481" s="94">
        <f ca="1">IF(H$33&lt;$B28,0,IF(H$33&gt;$C28,IF(LIFE_PRJ=1,G481,0),OFFSET(Проект!H$1586,0,1-$B28)))</f>
        <v>0</v>
      </c>
      <c r="I481" s="94">
        <f ca="1">IF(I$33&lt;$B28,0,IF(I$33&gt;$C28,IF(LIFE_PRJ=1,H481,0),OFFSET(Проект!I$1586,0,1-$B28)))</f>
        <v>0</v>
      </c>
      <c r="J481" s="94">
        <f ca="1">IF(J$33&lt;$B28,0,IF(J$33&gt;$C28,IF(LIFE_PRJ=1,I481,0),OFFSET(Проект!J$1586,0,1-$B28)))</f>
        <v>0</v>
      </c>
      <c r="K481" s="94">
        <f ca="1">IF(K$33&lt;$B28,0,IF(K$33&gt;$C28,IF(LIFE_PRJ=1,J481,0),OFFSET(Проект!K$1586,0,1-$B28)))</f>
        <v>0</v>
      </c>
      <c r="L481" s="94">
        <f ca="1">IF(L$33&lt;$B28,0,IF(L$33&gt;$C28,IF(LIFE_PRJ=1,K481,0),OFFSET(Проект!L$1586,0,1-$B28)))</f>
        <v>0</v>
      </c>
      <c r="M481" s="94">
        <f ca="1">IF(M$33&lt;$B28,0,IF(M$33&gt;$C28,IF(LIFE_PRJ=1,L481,0),OFFSET(Проект!M$1586,0,1-$B28)))</f>
        <v>0</v>
      </c>
      <c r="N481" s="94">
        <f ca="1">IF(N$33&lt;$B28,0,IF(N$33&gt;$C28,IF(LIFE_PRJ=1,M481,0),OFFSET(Проект!N$1586,0,1-$B28)))</f>
        <v>0</v>
      </c>
      <c r="O481" s="94">
        <f ca="1">IF(O$33&lt;$B28,0,IF(O$33&gt;$C28,IF(LIFE_PRJ=1,N481,0),OFFSET(Проект!O$1586,0,1-$B28)))</f>
        <v>0</v>
      </c>
      <c r="P481" s="94">
        <f ca="1">IF(P$33&lt;$B28,0,IF(P$33&gt;$C28,IF(LIFE_PRJ=1,O481,0),OFFSET(Проект!P$1586,0,1-$B28)))</f>
        <v>0</v>
      </c>
      <c r="Q481" s="94">
        <f ca="1">IF(Q$33&lt;$B28,0,IF(Q$33&gt;$C28,IF(LIFE_PRJ=1,P481,0),OFFSET(Проект!Q$1586,0,1-$B28)))</f>
        <v>0</v>
      </c>
    </row>
    <row r="482" spans="1:19" ht="10.5" customHeight="1" outlineLevel="1" collapsed="1" x14ac:dyDescent="0.2">
      <c r="A482" t="str">
        <f ca="1">Language!A$787</f>
        <v xml:space="preserve">    за внеоборотные активы</v>
      </c>
      <c r="C482" s="5" t="str">
        <f t="shared" ca="1" si="56"/>
        <v>руб.</v>
      </c>
      <c r="D482" s="16" t="s">
        <v>2211</v>
      </c>
      <c r="F482" s="210">
        <f ca="1">SUMPRODUCT($B12:OFFSET($B13,-1,0),F483:OFFSET(F484,-1,0))</f>
        <v>0</v>
      </c>
      <c r="G482" s="210">
        <f ca="1">SUMPRODUCT($B12:OFFSET($B13,-1,0),G483:OFFSET(G484,-1,0))</f>
        <v>0</v>
      </c>
      <c r="H482" s="210">
        <f ca="1">SUMPRODUCT($B12:OFFSET($B13,-1,0),H483:OFFSET(H484,-1,0))</f>
        <v>0</v>
      </c>
      <c r="I482" s="210">
        <f ca="1">SUMPRODUCT($B12:OFFSET($B13,-1,0),I483:OFFSET(I484,-1,0))</f>
        <v>0</v>
      </c>
      <c r="J482" s="210">
        <f ca="1">SUMPRODUCT($B12:OFFSET($B13,-1,0),J483:OFFSET(J484,-1,0))</f>
        <v>0</v>
      </c>
      <c r="K482" s="210">
        <f ca="1">SUMPRODUCT($B12:OFFSET($B13,-1,0),K483:OFFSET(K484,-1,0))</f>
        <v>0</v>
      </c>
      <c r="L482" s="210">
        <f ca="1">SUMPRODUCT($B12:OFFSET($B13,-1,0),L483:OFFSET(L484,-1,0))</f>
        <v>0</v>
      </c>
      <c r="M482" s="210">
        <f ca="1">SUMPRODUCT($B12:OFFSET($B13,-1,0),M483:OFFSET(M484,-1,0))</f>
        <v>0</v>
      </c>
      <c r="N482" s="210">
        <f ca="1">SUMPRODUCT($B12:OFFSET($B13,-1,0),N483:OFFSET(N484,-1,0))</f>
        <v>0</v>
      </c>
      <c r="O482" s="210">
        <f ca="1">SUMPRODUCT($B12:OFFSET($B13,-1,0),O483:OFFSET(O484,-1,0))</f>
        <v>0</v>
      </c>
      <c r="P482" s="210">
        <f ca="1">SUMPRODUCT($B12:OFFSET($B13,-1,0),P483:OFFSET(P484,-1,0))</f>
        <v>0</v>
      </c>
      <c r="Q482" s="210">
        <f ca="1">SUMPRODUCT($B12:OFFSET($B13,-1,0),Q483:OFFSET(Q484,-1,0))</f>
        <v>0</v>
      </c>
      <c r="S482" s="11"/>
    </row>
    <row r="483" spans="1:19" s="181" customFormat="1" ht="10.5" hidden="1" customHeight="1" outlineLevel="2" x14ac:dyDescent="0.2">
      <c r="A483" s="181" t="str">
        <f>"        " &amp; A12</f>
        <v xml:space="preserve">        Наименование проекта</v>
      </c>
      <c r="C483" s="209" t="str">
        <f t="shared" ca="1" si="56"/>
        <v>руб.</v>
      </c>
      <c r="D483" s="90" t="str">
        <f>"[" &amp; F12 &amp; "];int_end"</f>
        <v>[Проект];int_end</v>
      </c>
      <c r="F483" s="94">
        <f ca="1">IF(F$33&lt;$B28,0,IF(F$33&gt;$C28,IF(LIFE_PRJ=1,E483,0),OFFSET(Проект!F$1587,0,1-$B28)))</f>
        <v>0</v>
      </c>
      <c r="G483" s="94">
        <f ca="1">IF(G$33&lt;$B28,0,IF(G$33&gt;$C28,IF(LIFE_PRJ=1,F483,0),OFFSET(Проект!G$1587,0,1-$B28)))</f>
        <v>0</v>
      </c>
      <c r="H483" s="94">
        <f ca="1">IF(H$33&lt;$B28,0,IF(H$33&gt;$C28,IF(LIFE_PRJ=1,G483,0),OFFSET(Проект!H$1587,0,1-$B28)))</f>
        <v>0</v>
      </c>
      <c r="I483" s="94">
        <f ca="1">IF(I$33&lt;$B28,0,IF(I$33&gt;$C28,IF(LIFE_PRJ=1,H483,0),OFFSET(Проект!I$1587,0,1-$B28)))</f>
        <v>0</v>
      </c>
      <c r="J483" s="94">
        <f ca="1">IF(J$33&lt;$B28,0,IF(J$33&gt;$C28,IF(LIFE_PRJ=1,I483,0),OFFSET(Проект!J$1587,0,1-$B28)))</f>
        <v>0</v>
      </c>
      <c r="K483" s="94">
        <f ca="1">IF(K$33&lt;$B28,0,IF(K$33&gt;$C28,IF(LIFE_PRJ=1,J483,0),OFFSET(Проект!K$1587,0,1-$B28)))</f>
        <v>0</v>
      </c>
      <c r="L483" s="94">
        <f ca="1">IF(L$33&lt;$B28,0,IF(L$33&gt;$C28,IF(LIFE_PRJ=1,K483,0),OFFSET(Проект!L$1587,0,1-$B28)))</f>
        <v>0</v>
      </c>
      <c r="M483" s="94">
        <f ca="1">IF(M$33&lt;$B28,0,IF(M$33&gt;$C28,IF(LIFE_PRJ=1,L483,0),OFFSET(Проект!M$1587,0,1-$B28)))</f>
        <v>0</v>
      </c>
      <c r="N483" s="94">
        <f ca="1">IF(N$33&lt;$B28,0,IF(N$33&gt;$C28,IF(LIFE_PRJ=1,M483,0),OFFSET(Проект!N$1587,0,1-$B28)))</f>
        <v>0</v>
      </c>
      <c r="O483" s="94">
        <f ca="1">IF(O$33&lt;$B28,0,IF(O$33&gt;$C28,IF(LIFE_PRJ=1,N483,0),OFFSET(Проект!O$1587,0,1-$B28)))</f>
        <v>0</v>
      </c>
      <c r="P483" s="94">
        <f ca="1">IF(P$33&lt;$B28,0,IF(P$33&gt;$C28,IF(LIFE_PRJ=1,O483,0),OFFSET(Проект!P$1587,0,1-$B28)))</f>
        <v>0</v>
      </c>
      <c r="Q483" s="94">
        <f ca="1">IF(Q$33&lt;$B28,0,IF(Q$33&gt;$C28,IF(LIFE_PRJ=1,P483,0),OFFSET(Проект!Q$1587,0,1-$B28)))</f>
        <v>0</v>
      </c>
    </row>
    <row r="484" spans="1:19" outlineLevel="1" collapsed="1" x14ac:dyDescent="0.2">
      <c r="A484" t="str">
        <f ca="1">Language!A$788</f>
        <v>Расчеты с бюджетом</v>
      </c>
      <c r="C484" s="5" t="str">
        <f t="shared" ca="1" si="56"/>
        <v>руб.</v>
      </c>
      <c r="D484" s="16" t="s">
        <v>2211</v>
      </c>
      <c r="F484" s="210">
        <f ca="1">SUMPRODUCT($B12:OFFSET($B13,-1,0),F485:OFFSET(F486,-1,0))</f>
        <v>396480</v>
      </c>
      <c r="G484" s="210">
        <f ca="1">SUMPRODUCT($B12:OFFSET($B13,-1,0),G485:OFFSET(G486,-1,0))</f>
        <v>245280.00000000003</v>
      </c>
      <c r="H484" s="210">
        <f ca="1">SUMPRODUCT($B12:OFFSET($B13,-1,0),H485:OFFSET(H486,-1,0))</f>
        <v>269745.60000000003</v>
      </c>
      <c r="I484" s="210">
        <f ca="1">SUMPRODUCT($B12:OFFSET($B13,-1,0),I485:OFFSET(I486,-1,0))</f>
        <v>367608</v>
      </c>
      <c r="J484" s="210">
        <f ca="1">SUMPRODUCT($B12:OFFSET($B13,-1,0),J485:OFFSET(J486,-1,0))</f>
        <v>489936</v>
      </c>
      <c r="K484" s="210">
        <f ca="1">SUMPRODUCT($B12:OFFSET($B13,-1,0),K485:OFFSET(K486,-1,0))</f>
        <v>734592</v>
      </c>
      <c r="L484" s="210">
        <f ca="1">SUMPRODUCT($B12:OFFSET($B13,-1,0),L485:OFFSET(L486,-1,0))</f>
        <v>979248</v>
      </c>
      <c r="M484" s="210">
        <f ca="1">SUMPRODUCT($B12:OFFSET($B13,-1,0),M485:OFFSET(M486,-1,0))</f>
        <v>1223904</v>
      </c>
      <c r="N484" s="210">
        <f ca="1">SUMPRODUCT($B12:OFFSET($B13,-1,0),N485:OFFSET(N486,-1,0))</f>
        <v>1590888</v>
      </c>
      <c r="O484" s="210">
        <f ca="1">SUMPRODUCT($B12:OFFSET($B13,-1,0),O485:OFFSET(O486,-1,0))</f>
        <v>2080200</v>
      </c>
      <c r="P484" s="210">
        <f ca="1">SUMPRODUCT($B12:OFFSET($B13,-1,0),P485:OFFSET(P486,-1,0))</f>
        <v>2447184</v>
      </c>
      <c r="Q484" s="210">
        <f ca="1">SUMPRODUCT($B12:OFFSET($B13,-1,0),Q485:OFFSET(Q486,-1,0))</f>
        <v>2691840</v>
      </c>
      <c r="S484" s="11"/>
    </row>
    <row r="485" spans="1:19" s="181" customFormat="1" hidden="1" outlineLevel="2" x14ac:dyDescent="0.2">
      <c r="A485" s="181" t="str">
        <f>"        " &amp; A12</f>
        <v xml:space="preserve">        Наименование проекта</v>
      </c>
      <c r="C485" s="209" t="str">
        <f t="shared" ca="1" si="56"/>
        <v>руб.</v>
      </c>
      <c r="D485" s="90" t="str">
        <f>"[" &amp; F12 &amp; "];int_end"</f>
        <v>[Проект];int_end</v>
      </c>
      <c r="F485" s="94">
        <f ca="1">IF(F$33&lt;$B28,0,IF(F$33&gt;$C28,IF(LIFE_PRJ=1,E485,0),OFFSET(Проект!F$1588,0,1-$B28)))</f>
        <v>396480</v>
      </c>
      <c r="G485" s="94">
        <f ca="1">IF(G$33&lt;$B28,0,IF(G$33&gt;$C28,IF(LIFE_PRJ=1,F485,0),OFFSET(Проект!G$1588,0,1-$B28)))</f>
        <v>245280.00000000003</v>
      </c>
      <c r="H485" s="94">
        <f ca="1">IF(H$33&lt;$B28,0,IF(H$33&gt;$C28,IF(LIFE_PRJ=1,G485,0),OFFSET(Проект!H$1588,0,1-$B28)))</f>
        <v>269745.60000000003</v>
      </c>
      <c r="I485" s="94">
        <f ca="1">IF(I$33&lt;$B28,0,IF(I$33&gt;$C28,IF(LIFE_PRJ=1,H485,0),OFFSET(Проект!I$1588,0,1-$B28)))</f>
        <v>367608</v>
      </c>
      <c r="J485" s="94">
        <f ca="1">IF(J$33&lt;$B28,0,IF(J$33&gt;$C28,IF(LIFE_PRJ=1,I485,0),OFFSET(Проект!J$1588,0,1-$B28)))</f>
        <v>489936</v>
      </c>
      <c r="K485" s="94">
        <f ca="1">IF(K$33&lt;$B28,0,IF(K$33&gt;$C28,IF(LIFE_PRJ=1,J485,0),OFFSET(Проект!K$1588,0,1-$B28)))</f>
        <v>734592</v>
      </c>
      <c r="L485" s="94">
        <f ca="1">IF(L$33&lt;$B28,0,IF(L$33&gt;$C28,IF(LIFE_PRJ=1,K485,0),OFFSET(Проект!L$1588,0,1-$B28)))</f>
        <v>979248</v>
      </c>
      <c r="M485" s="94">
        <f ca="1">IF(M$33&lt;$B28,0,IF(M$33&gt;$C28,IF(LIFE_PRJ=1,L485,0),OFFSET(Проект!M$1588,0,1-$B28)))</f>
        <v>1223904</v>
      </c>
      <c r="N485" s="94">
        <f ca="1">IF(N$33&lt;$B28,0,IF(N$33&gt;$C28,IF(LIFE_PRJ=1,M485,0),OFFSET(Проект!N$1588,0,1-$B28)))</f>
        <v>1590888</v>
      </c>
      <c r="O485" s="94">
        <f ca="1">IF(O$33&lt;$B28,0,IF(O$33&gt;$C28,IF(LIFE_PRJ=1,N485,0),OFFSET(Проект!O$1588,0,1-$B28)))</f>
        <v>2080200</v>
      </c>
      <c r="P485" s="94">
        <f ca="1">IF(P$33&lt;$B28,0,IF(P$33&gt;$C28,IF(LIFE_PRJ=1,O485,0),OFFSET(Проект!P$1588,0,1-$B28)))</f>
        <v>2447184</v>
      </c>
      <c r="Q485" s="94">
        <f ca="1">IF(Q$33&lt;$B28,0,IF(Q$33&gt;$C28,IF(LIFE_PRJ=1,P485,0),OFFSET(Проект!Q$1588,0,1-$B28)))</f>
        <v>2691840</v>
      </c>
    </row>
    <row r="486" spans="1:19" outlineLevel="1" collapsed="1" x14ac:dyDescent="0.2">
      <c r="A486" t="str">
        <f ca="1">Language!A$789</f>
        <v>Расчеты с персоналом</v>
      </c>
      <c r="C486" s="5" t="str">
        <f t="shared" ca="1" si="56"/>
        <v>руб.</v>
      </c>
      <c r="D486" s="16" t="s">
        <v>2211</v>
      </c>
      <c r="F486" s="210">
        <f ca="1">SUMPRODUCT($B12:OFFSET($B13,-1,0),F487:OFFSET(F488,-1,0))</f>
        <v>944000</v>
      </c>
      <c r="G486" s="210">
        <f ca="1">SUMPRODUCT($B12:OFFSET($B13,-1,0),G487:OFFSET(G488,-1,0))</f>
        <v>584000</v>
      </c>
      <c r="H486" s="210">
        <f ca="1">SUMPRODUCT($B12:OFFSET($B13,-1,0),H487:OFFSET(H488,-1,0))</f>
        <v>584000</v>
      </c>
      <c r="I486" s="210">
        <f ca="1">SUMPRODUCT($B12:OFFSET($B13,-1,0),I487:OFFSET(I488,-1,0))</f>
        <v>584000</v>
      </c>
      <c r="J486" s="210">
        <f ca="1">SUMPRODUCT($B12:OFFSET($B13,-1,0),J487:OFFSET(J488,-1,0))</f>
        <v>584000</v>
      </c>
      <c r="K486" s="210">
        <f ca="1">SUMPRODUCT($B12:OFFSET($B13,-1,0),K487:OFFSET(K488,-1,0))</f>
        <v>584000</v>
      </c>
      <c r="L486" s="210">
        <f ca="1">SUMPRODUCT($B12:OFFSET($B13,-1,0),L487:OFFSET(L488,-1,0))</f>
        <v>584000</v>
      </c>
      <c r="M486" s="210">
        <f ca="1">SUMPRODUCT($B12:OFFSET($B13,-1,0),M487:OFFSET(M488,-1,0))</f>
        <v>584000</v>
      </c>
      <c r="N486" s="210">
        <f ca="1">SUMPRODUCT($B12:OFFSET($B13,-1,0),N487:OFFSET(N488,-1,0))</f>
        <v>584000</v>
      </c>
      <c r="O486" s="210">
        <f ca="1">SUMPRODUCT($B12:OFFSET($B13,-1,0),O487:OFFSET(O488,-1,0))</f>
        <v>584000</v>
      </c>
      <c r="P486" s="210">
        <f ca="1">SUMPRODUCT($B12:OFFSET($B13,-1,0),P487:OFFSET(P488,-1,0))</f>
        <v>584000</v>
      </c>
      <c r="Q486" s="210">
        <f ca="1">SUMPRODUCT($B12:OFFSET($B13,-1,0),Q487:OFFSET(Q488,-1,0))</f>
        <v>584000</v>
      </c>
      <c r="S486" s="11"/>
    </row>
    <row r="487" spans="1:19" s="181" customFormat="1" hidden="1" outlineLevel="2" x14ac:dyDescent="0.2">
      <c r="A487" s="181" t="str">
        <f>"        " &amp; A12</f>
        <v xml:space="preserve">        Наименование проекта</v>
      </c>
      <c r="C487" s="209" t="str">
        <f t="shared" ca="1" si="56"/>
        <v>руб.</v>
      </c>
      <c r="D487" s="90" t="str">
        <f>"[" &amp; F12 &amp; "];int_end"</f>
        <v>[Проект];int_end</v>
      </c>
      <c r="F487" s="94">
        <f ca="1">IF(F$33&lt;$B28,0,IF(F$33&gt;$C28,IF(LIFE_PRJ=1,E487,0),OFFSET(Проект!F$1589,0,1-$B28)))</f>
        <v>944000</v>
      </c>
      <c r="G487" s="94">
        <f ca="1">IF(G$33&lt;$B28,0,IF(G$33&gt;$C28,IF(LIFE_PRJ=1,F487,0),OFFSET(Проект!G$1589,0,1-$B28)))</f>
        <v>584000</v>
      </c>
      <c r="H487" s="94">
        <f ca="1">IF(H$33&lt;$B28,0,IF(H$33&gt;$C28,IF(LIFE_PRJ=1,G487,0),OFFSET(Проект!H$1589,0,1-$B28)))</f>
        <v>584000</v>
      </c>
      <c r="I487" s="94">
        <f ca="1">IF(I$33&lt;$B28,0,IF(I$33&gt;$C28,IF(LIFE_PRJ=1,H487,0),OFFSET(Проект!I$1589,0,1-$B28)))</f>
        <v>584000</v>
      </c>
      <c r="J487" s="94">
        <f ca="1">IF(J$33&lt;$B28,0,IF(J$33&gt;$C28,IF(LIFE_PRJ=1,I487,0),OFFSET(Проект!J$1589,0,1-$B28)))</f>
        <v>584000</v>
      </c>
      <c r="K487" s="94">
        <f ca="1">IF(K$33&lt;$B28,0,IF(K$33&gt;$C28,IF(LIFE_PRJ=1,J487,0),OFFSET(Проект!K$1589,0,1-$B28)))</f>
        <v>584000</v>
      </c>
      <c r="L487" s="94">
        <f ca="1">IF(L$33&lt;$B28,0,IF(L$33&gt;$C28,IF(LIFE_PRJ=1,K487,0),OFFSET(Проект!L$1589,0,1-$B28)))</f>
        <v>584000</v>
      </c>
      <c r="M487" s="94">
        <f ca="1">IF(M$33&lt;$B28,0,IF(M$33&gt;$C28,IF(LIFE_PRJ=1,L487,0),OFFSET(Проект!M$1589,0,1-$B28)))</f>
        <v>584000</v>
      </c>
      <c r="N487" s="94">
        <f ca="1">IF(N$33&lt;$B28,0,IF(N$33&gt;$C28,IF(LIFE_PRJ=1,M487,0),OFFSET(Проект!N$1589,0,1-$B28)))</f>
        <v>584000</v>
      </c>
      <c r="O487" s="94">
        <f ca="1">IF(O$33&lt;$B28,0,IF(O$33&gt;$C28,IF(LIFE_PRJ=1,N487,0),OFFSET(Проект!O$1589,0,1-$B28)))</f>
        <v>584000</v>
      </c>
      <c r="P487" s="94">
        <f ca="1">IF(P$33&lt;$B28,0,IF(P$33&gt;$C28,IF(LIFE_PRJ=1,O487,0),OFFSET(Проект!P$1589,0,1-$B28)))</f>
        <v>584000</v>
      </c>
      <c r="Q487" s="94">
        <f ca="1">IF(Q$33&lt;$B28,0,IF(Q$33&gt;$C28,IF(LIFE_PRJ=1,P487,0),OFFSET(Проект!Q$1589,0,1-$B28)))</f>
        <v>584000</v>
      </c>
    </row>
    <row r="488" spans="1:19" outlineLevel="1" collapsed="1" x14ac:dyDescent="0.2">
      <c r="A488" t="str">
        <f ca="1">Language!A$790</f>
        <v>Авансы покупателей</v>
      </c>
      <c r="C488" s="5" t="str">
        <f t="shared" ca="1" si="56"/>
        <v>руб.</v>
      </c>
      <c r="D488" s="16" t="s">
        <v>2211</v>
      </c>
      <c r="F488" s="210">
        <f ca="1">SUMPRODUCT($B12:OFFSET($B13,-1,0),F489:OFFSET(F490,-1,0))</f>
        <v>0</v>
      </c>
      <c r="G488" s="210">
        <f ca="1">SUMPRODUCT($B12:OFFSET($B13,-1,0),G489:OFFSET(G490,-1,0))</f>
        <v>0</v>
      </c>
      <c r="H488" s="210">
        <f ca="1">SUMPRODUCT($B12:OFFSET($B13,-1,0),H489:OFFSET(H490,-1,0))</f>
        <v>0</v>
      </c>
      <c r="I488" s="210">
        <f ca="1">SUMPRODUCT($B12:OFFSET($B13,-1,0),I489:OFFSET(I490,-1,0))</f>
        <v>0</v>
      </c>
      <c r="J488" s="210">
        <f ca="1">SUMPRODUCT($B12:OFFSET($B13,-1,0),J489:OFFSET(J490,-1,0))</f>
        <v>0</v>
      </c>
      <c r="K488" s="210">
        <f ca="1">SUMPRODUCT($B12:OFFSET($B13,-1,0),K489:OFFSET(K490,-1,0))</f>
        <v>0</v>
      </c>
      <c r="L488" s="210">
        <f ca="1">SUMPRODUCT($B12:OFFSET($B13,-1,0),L489:OFFSET(L490,-1,0))</f>
        <v>0</v>
      </c>
      <c r="M488" s="210">
        <f ca="1">SUMPRODUCT($B12:OFFSET($B13,-1,0),M489:OFFSET(M490,-1,0))</f>
        <v>0</v>
      </c>
      <c r="N488" s="210">
        <f ca="1">SUMPRODUCT($B12:OFFSET($B13,-1,0),N489:OFFSET(N490,-1,0))</f>
        <v>0</v>
      </c>
      <c r="O488" s="210">
        <f ca="1">SUMPRODUCT($B12:OFFSET($B13,-1,0),O489:OFFSET(O490,-1,0))</f>
        <v>0</v>
      </c>
      <c r="P488" s="210">
        <f ca="1">SUMPRODUCT($B12:OFFSET($B13,-1,0),P489:OFFSET(P490,-1,0))</f>
        <v>0</v>
      </c>
      <c r="Q488" s="210">
        <f ca="1">SUMPRODUCT($B12:OFFSET($B13,-1,0),Q489:OFFSET(Q490,-1,0))</f>
        <v>0</v>
      </c>
      <c r="S488" s="11"/>
    </row>
    <row r="489" spans="1:19" s="181" customFormat="1" hidden="1" outlineLevel="2" x14ac:dyDescent="0.2">
      <c r="A489" s="181" t="str">
        <f>"        " &amp; A12</f>
        <v xml:space="preserve">        Наименование проекта</v>
      </c>
      <c r="C489" s="209" t="str">
        <f t="shared" ca="1" si="56"/>
        <v>руб.</v>
      </c>
      <c r="D489" s="90" t="str">
        <f>"[" &amp; F12 &amp; "];int_end"</f>
        <v>[Проект];int_end</v>
      </c>
      <c r="F489" s="94">
        <f ca="1">IF(F$33&lt;$B28,0,IF(F$33&gt;$C28,IF(LIFE_PRJ=1,E489,0),OFFSET(Проект!F$1590,0,1-$B28)))</f>
        <v>0</v>
      </c>
      <c r="G489" s="94">
        <f ca="1">IF(G$33&lt;$B28,0,IF(G$33&gt;$C28,IF(LIFE_PRJ=1,F489,0),OFFSET(Проект!G$1590,0,1-$B28)))</f>
        <v>0</v>
      </c>
      <c r="H489" s="94">
        <f ca="1">IF(H$33&lt;$B28,0,IF(H$33&gt;$C28,IF(LIFE_PRJ=1,G489,0),OFFSET(Проект!H$1590,0,1-$B28)))</f>
        <v>0</v>
      </c>
      <c r="I489" s="94">
        <f ca="1">IF(I$33&lt;$B28,0,IF(I$33&gt;$C28,IF(LIFE_PRJ=1,H489,0),OFFSET(Проект!I$1590,0,1-$B28)))</f>
        <v>0</v>
      </c>
      <c r="J489" s="94">
        <f ca="1">IF(J$33&lt;$B28,0,IF(J$33&gt;$C28,IF(LIFE_PRJ=1,I489,0),OFFSET(Проект!J$1590,0,1-$B28)))</f>
        <v>0</v>
      </c>
      <c r="K489" s="94">
        <f ca="1">IF(K$33&lt;$B28,0,IF(K$33&gt;$C28,IF(LIFE_PRJ=1,J489,0),OFFSET(Проект!K$1590,0,1-$B28)))</f>
        <v>0</v>
      </c>
      <c r="L489" s="94">
        <f ca="1">IF(L$33&lt;$B28,0,IF(L$33&gt;$C28,IF(LIFE_PRJ=1,K489,0),OFFSET(Проект!L$1590,0,1-$B28)))</f>
        <v>0</v>
      </c>
      <c r="M489" s="94">
        <f ca="1">IF(M$33&lt;$B28,0,IF(M$33&gt;$C28,IF(LIFE_PRJ=1,L489,0),OFFSET(Проект!M$1590,0,1-$B28)))</f>
        <v>0</v>
      </c>
      <c r="N489" s="94">
        <f ca="1">IF(N$33&lt;$B28,0,IF(N$33&gt;$C28,IF(LIFE_PRJ=1,M489,0),OFFSET(Проект!N$1590,0,1-$B28)))</f>
        <v>0</v>
      </c>
      <c r="O489" s="94">
        <f ca="1">IF(O$33&lt;$B28,0,IF(O$33&gt;$C28,IF(LIFE_PRJ=1,N489,0),OFFSET(Проект!O$1590,0,1-$B28)))</f>
        <v>0</v>
      </c>
      <c r="P489" s="94">
        <f ca="1">IF(P$33&lt;$B28,0,IF(P$33&gt;$C28,IF(LIFE_PRJ=1,O489,0),OFFSET(Проект!P$1590,0,1-$B28)))</f>
        <v>0</v>
      </c>
      <c r="Q489" s="94">
        <f ca="1">IF(Q$33&lt;$B28,0,IF(Q$33&gt;$C28,IF(LIFE_PRJ=1,P489,0),OFFSET(Проект!Q$1590,0,1-$B28)))</f>
        <v>0</v>
      </c>
    </row>
    <row r="490" spans="1:19" outlineLevel="1" collapsed="1" x14ac:dyDescent="0.2">
      <c r="A490" t="str">
        <f ca="1">Language!A$791</f>
        <v>Краткосрочные кредиты</v>
      </c>
      <c r="C490" s="5" t="str">
        <f t="shared" ca="1" si="56"/>
        <v>руб.</v>
      </c>
      <c r="D490" s="16" t="s">
        <v>2211</v>
      </c>
      <c r="F490" s="210">
        <f ca="1">SUMPRODUCT($B12:OFFSET($B13,-1,0),F491:OFFSET(F492,-1,0))</f>
        <v>0</v>
      </c>
      <c r="G490" s="210">
        <f ca="1">SUMPRODUCT($B12:OFFSET($B13,-1,0),G491:OFFSET(G492,-1,0))</f>
        <v>0</v>
      </c>
      <c r="H490" s="210">
        <f ca="1">SUMPRODUCT($B12:OFFSET($B13,-1,0),H491:OFFSET(H492,-1,0))</f>
        <v>0</v>
      </c>
      <c r="I490" s="210">
        <f ca="1">SUMPRODUCT($B12:OFFSET($B13,-1,0),I491:OFFSET(I492,-1,0))</f>
        <v>0</v>
      </c>
      <c r="J490" s="210">
        <f ca="1">SUMPRODUCT($B12:OFFSET($B13,-1,0),J491:OFFSET(J492,-1,0))</f>
        <v>0</v>
      </c>
      <c r="K490" s="210">
        <f ca="1">SUMPRODUCT($B12:OFFSET($B13,-1,0),K491:OFFSET(K492,-1,0))</f>
        <v>0</v>
      </c>
      <c r="L490" s="210">
        <f ca="1">SUMPRODUCT($B12:OFFSET($B13,-1,0),L491:OFFSET(L492,-1,0))</f>
        <v>0</v>
      </c>
      <c r="M490" s="210">
        <f ca="1">SUMPRODUCT($B12:OFFSET($B13,-1,0),M491:OFFSET(M492,-1,0))</f>
        <v>0</v>
      </c>
      <c r="N490" s="210">
        <f ca="1">SUMPRODUCT($B12:OFFSET($B13,-1,0),N491:OFFSET(N492,-1,0))</f>
        <v>0</v>
      </c>
      <c r="O490" s="210">
        <f ca="1">SUMPRODUCT($B12:OFFSET($B13,-1,0),O491:OFFSET(O492,-1,0))</f>
        <v>0</v>
      </c>
      <c r="P490" s="210">
        <f ca="1">SUMPRODUCT($B12:OFFSET($B13,-1,0),P491:OFFSET(P492,-1,0))</f>
        <v>0</v>
      </c>
      <c r="Q490" s="210">
        <f ca="1">SUMPRODUCT($B12:OFFSET($B13,-1,0),Q491:OFFSET(Q492,-1,0))</f>
        <v>0</v>
      </c>
      <c r="S490" s="11"/>
    </row>
    <row r="491" spans="1:19" s="181" customFormat="1" hidden="1" outlineLevel="2" x14ac:dyDescent="0.2">
      <c r="A491" s="181" t="str">
        <f>"        " &amp; A12</f>
        <v xml:space="preserve">        Наименование проекта</v>
      </c>
      <c r="C491" s="209" t="str">
        <f t="shared" ca="1" si="56"/>
        <v>руб.</v>
      </c>
      <c r="D491" s="90" t="str">
        <f>"[" &amp; F12 &amp; "];int_end"</f>
        <v>[Проект];int_end</v>
      </c>
      <c r="F491" s="94">
        <f ca="1">IF(F$33&lt;$B28,0,IF(F$33&gt;$C28,IF(LIFE_PRJ=1,E491,0),OFFSET(Проект!F$1591,0,1-$B28)))</f>
        <v>0</v>
      </c>
      <c r="G491" s="94">
        <f ca="1">IF(G$33&lt;$B28,0,IF(G$33&gt;$C28,IF(LIFE_PRJ=1,F491,0),OFFSET(Проект!G$1591,0,1-$B28)))</f>
        <v>0</v>
      </c>
      <c r="H491" s="94">
        <f ca="1">IF(H$33&lt;$B28,0,IF(H$33&gt;$C28,IF(LIFE_PRJ=1,G491,0),OFFSET(Проект!H$1591,0,1-$B28)))</f>
        <v>0</v>
      </c>
      <c r="I491" s="94">
        <f ca="1">IF(I$33&lt;$B28,0,IF(I$33&gt;$C28,IF(LIFE_PRJ=1,H491,0),OFFSET(Проект!I$1591,0,1-$B28)))</f>
        <v>0</v>
      </c>
      <c r="J491" s="94">
        <f ca="1">IF(J$33&lt;$B28,0,IF(J$33&gt;$C28,IF(LIFE_PRJ=1,I491,0),OFFSET(Проект!J$1591,0,1-$B28)))</f>
        <v>0</v>
      </c>
      <c r="K491" s="94">
        <f ca="1">IF(K$33&lt;$B28,0,IF(K$33&gt;$C28,IF(LIFE_PRJ=1,J491,0),OFFSET(Проект!K$1591,0,1-$B28)))</f>
        <v>0</v>
      </c>
      <c r="L491" s="94">
        <f ca="1">IF(L$33&lt;$B28,0,IF(L$33&gt;$C28,IF(LIFE_PRJ=1,K491,0),OFFSET(Проект!L$1591,0,1-$B28)))</f>
        <v>0</v>
      </c>
      <c r="M491" s="94">
        <f ca="1">IF(M$33&lt;$B28,0,IF(M$33&gt;$C28,IF(LIFE_PRJ=1,L491,0),OFFSET(Проект!M$1591,0,1-$B28)))</f>
        <v>0</v>
      </c>
      <c r="N491" s="94">
        <f ca="1">IF(N$33&lt;$B28,0,IF(N$33&gt;$C28,IF(LIFE_PRJ=1,M491,0),OFFSET(Проект!N$1591,0,1-$B28)))</f>
        <v>0</v>
      </c>
      <c r="O491" s="94">
        <f ca="1">IF(O$33&lt;$B28,0,IF(O$33&gt;$C28,IF(LIFE_PRJ=1,N491,0),OFFSET(Проект!O$1591,0,1-$B28)))</f>
        <v>0</v>
      </c>
      <c r="P491" s="94">
        <f ca="1">IF(P$33&lt;$B28,0,IF(P$33&gt;$C28,IF(LIFE_PRJ=1,O491,0),OFFSET(Проект!P$1591,0,1-$B28)))</f>
        <v>0</v>
      </c>
      <c r="Q491" s="94">
        <f ca="1">IF(Q$33&lt;$B28,0,IF(Q$33&gt;$C28,IF(LIFE_PRJ=1,P491,0),OFFSET(Проект!Q$1591,0,1-$B28)))</f>
        <v>0</v>
      </c>
    </row>
    <row r="492" spans="1:19" outlineLevel="1" collapsed="1" x14ac:dyDescent="0.2">
      <c r="A492" t="str">
        <f ca="1">Language!A$792</f>
        <v>Прочие краткосрочные обязательства</v>
      </c>
      <c r="C492" s="5" t="str">
        <f t="shared" ca="1" si="56"/>
        <v>руб.</v>
      </c>
      <c r="D492" s="16" t="s">
        <v>2211</v>
      </c>
      <c r="F492" s="210">
        <f ca="1">SUMPRODUCT($B12:OFFSET($B13,-1,0),F493:OFFSET(F494,-1,0))</f>
        <v>0</v>
      </c>
      <c r="G492" s="210">
        <f ca="1">SUMPRODUCT($B12:OFFSET($B13,-1,0),G493:OFFSET(G494,-1,0))</f>
        <v>0</v>
      </c>
      <c r="H492" s="210">
        <f ca="1">SUMPRODUCT($B12:OFFSET($B13,-1,0),H493:OFFSET(H494,-1,0))</f>
        <v>0</v>
      </c>
      <c r="I492" s="210">
        <f ca="1">SUMPRODUCT($B12:OFFSET($B13,-1,0),I493:OFFSET(I494,-1,0))</f>
        <v>0</v>
      </c>
      <c r="J492" s="210">
        <f ca="1">SUMPRODUCT($B12:OFFSET($B13,-1,0),J493:OFFSET(J494,-1,0))</f>
        <v>0</v>
      </c>
      <c r="K492" s="210">
        <f ca="1">SUMPRODUCT($B12:OFFSET($B13,-1,0),K493:OFFSET(K494,-1,0))</f>
        <v>0</v>
      </c>
      <c r="L492" s="210">
        <f ca="1">SUMPRODUCT($B12:OFFSET($B13,-1,0),L493:OFFSET(L494,-1,0))</f>
        <v>0</v>
      </c>
      <c r="M492" s="210">
        <f ca="1">SUMPRODUCT($B12:OFFSET($B13,-1,0),M493:OFFSET(M494,-1,0))</f>
        <v>0</v>
      </c>
      <c r="N492" s="210">
        <f ca="1">SUMPRODUCT($B12:OFFSET($B13,-1,0),N493:OFFSET(N494,-1,0))</f>
        <v>0</v>
      </c>
      <c r="O492" s="210">
        <f ca="1">SUMPRODUCT($B12:OFFSET($B13,-1,0),O493:OFFSET(O494,-1,0))</f>
        <v>0</v>
      </c>
      <c r="P492" s="210">
        <f ca="1">SUMPRODUCT($B12:OFFSET($B13,-1,0),P493:OFFSET(P494,-1,0))</f>
        <v>0</v>
      </c>
      <c r="Q492" s="210">
        <f ca="1">SUMPRODUCT($B12:OFFSET($B13,-1,0),Q493:OFFSET(Q494,-1,0))</f>
        <v>0</v>
      </c>
      <c r="S492" s="11"/>
    </row>
    <row r="493" spans="1:19" s="181" customFormat="1" hidden="1" outlineLevel="2" x14ac:dyDescent="0.2">
      <c r="A493" s="181" t="str">
        <f>"        " &amp; A12</f>
        <v xml:space="preserve">        Наименование проекта</v>
      </c>
      <c r="C493" s="209" t="str">
        <f t="shared" ca="1" si="56"/>
        <v>руб.</v>
      </c>
      <c r="D493" s="90" t="str">
        <f>"[" &amp; F12 &amp; "];int_end"</f>
        <v>[Проект];int_end</v>
      </c>
      <c r="F493" s="94">
        <f ca="1">IF(F$33&lt;$B28,0,IF(F$33&gt;$C28,IF(LIFE_PRJ=1,E493,0),OFFSET(Проект!F$1592,0,1-$B28)))</f>
        <v>0</v>
      </c>
      <c r="G493" s="94">
        <f ca="1">IF(G$33&lt;$B28,0,IF(G$33&gt;$C28,IF(LIFE_PRJ=1,F493,0),OFFSET(Проект!G$1592,0,1-$B28)))</f>
        <v>0</v>
      </c>
      <c r="H493" s="94">
        <f ca="1">IF(H$33&lt;$B28,0,IF(H$33&gt;$C28,IF(LIFE_PRJ=1,G493,0),OFFSET(Проект!H$1592,0,1-$B28)))</f>
        <v>0</v>
      </c>
      <c r="I493" s="94">
        <f ca="1">IF(I$33&lt;$B28,0,IF(I$33&gt;$C28,IF(LIFE_PRJ=1,H493,0),OFFSET(Проект!I$1592,0,1-$B28)))</f>
        <v>0</v>
      </c>
      <c r="J493" s="94">
        <f ca="1">IF(J$33&lt;$B28,0,IF(J$33&gt;$C28,IF(LIFE_PRJ=1,I493,0),OFFSET(Проект!J$1592,0,1-$B28)))</f>
        <v>0</v>
      </c>
      <c r="K493" s="94">
        <f ca="1">IF(K$33&lt;$B28,0,IF(K$33&gt;$C28,IF(LIFE_PRJ=1,J493,0),OFFSET(Проект!K$1592,0,1-$B28)))</f>
        <v>0</v>
      </c>
      <c r="L493" s="94">
        <f ca="1">IF(L$33&lt;$B28,0,IF(L$33&gt;$C28,IF(LIFE_PRJ=1,K493,0),OFFSET(Проект!L$1592,0,1-$B28)))</f>
        <v>0</v>
      </c>
      <c r="M493" s="94">
        <f ca="1">IF(M$33&lt;$B28,0,IF(M$33&gt;$C28,IF(LIFE_PRJ=1,L493,0),OFFSET(Проект!M$1592,0,1-$B28)))</f>
        <v>0</v>
      </c>
      <c r="N493" s="94">
        <f ca="1">IF(N$33&lt;$B28,0,IF(N$33&gt;$C28,IF(LIFE_PRJ=1,M493,0),OFFSET(Проект!N$1592,0,1-$B28)))</f>
        <v>0</v>
      </c>
      <c r="O493" s="94">
        <f ca="1">IF(O$33&lt;$B28,0,IF(O$33&gt;$C28,IF(LIFE_PRJ=1,N493,0),OFFSET(Проект!O$1592,0,1-$B28)))</f>
        <v>0</v>
      </c>
      <c r="P493" s="94">
        <f ca="1">IF(P$33&lt;$B28,0,IF(P$33&gt;$C28,IF(LIFE_PRJ=1,O493,0),OFFSET(Проект!P$1592,0,1-$B28)))</f>
        <v>0</v>
      </c>
      <c r="Q493" s="94">
        <f ca="1">IF(Q$33&lt;$B28,0,IF(Q$33&gt;$C28,IF(LIFE_PRJ=1,P493,0),OFFSET(Проект!Q$1592,0,1-$B28)))</f>
        <v>0</v>
      </c>
    </row>
    <row r="494" spans="1:19" ht="10.5" outlineLevel="1" collapsed="1" x14ac:dyDescent="0.25">
      <c r="A494" s="35" t="str">
        <f ca="1">Language!A$793</f>
        <v>Суммарные краткосрочные обязательства</v>
      </c>
      <c r="C494" s="5" t="str">
        <f t="shared" ca="1" si="56"/>
        <v>руб.</v>
      </c>
      <c r="D494" s="16" t="s">
        <v>2211</v>
      </c>
      <c r="F494" s="160">
        <f ca="1">SUMPRODUCT($B12:OFFSET($B13,-1,0),F495:OFFSET(F496,-1,0))</f>
        <v>1340480</v>
      </c>
      <c r="G494" s="160">
        <f ca="1">SUMPRODUCT($B12:OFFSET($B13,-1,0),G495:OFFSET(G496,-1,0))</f>
        <v>829280</v>
      </c>
      <c r="H494" s="160">
        <f ca="1">SUMPRODUCT($B12:OFFSET($B13,-1,0),H495:OFFSET(H496,-1,0))</f>
        <v>853745.60000000009</v>
      </c>
      <c r="I494" s="160">
        <f ca="1">SUMPRODUCT($B12:OFFSET($B13,-1,0),I495:OFFSET(I496,-1,0))</f>
        <v>951608</v>
      </c>
      <c r="J494" s="160">
        <f ca="1">SUMPRODUCT($B12:OFFSET($B13,-1,0),J495:OFFSET(J496,-1,0))</f>
        <v>1073936</v>
      </c>
      <c r="K494" s="160">
        <f ca="1">SUMPRODUCT($B12:OFFSET($B13,-1,0),K495:OFFSET(K496,-1,0))</f>
        <v>1318592</v>
      </c>
      <c r="L494" s="160">
        <f ca="1">SUMPRODUCT($B12:OFFSET($B13,-1,0),L495:OFFSET(L496,-1,0))</f>
        <v>1563248</v>
      </c>
      <c r="M494" s="160">
        <f ca="1">SUMPRODUCT($B12:OFFSET($B13,-1,0),M495:OFFSET(M496,-1,0))</f>
        <v>1807904</v>
      </c>
      <c r="N494" s="160">
        <f ca="1">SUMPRODUCT($B12:OFFSET($B13,-1,0),N495:OFFSET(N496,-1,0))</f>
        <v>2174888</v>
      </c>
      <c r="O494" s="160">
        <f ca="1">SUMPRODUCT($B12:OFFSET($B13,-1,0),O495:OFFSET(O496,-1,0))</f>
        <v>2664200</v>
      </c>
      <c r="P494" s="160">
        <f ca="1">SUMPRODUCT($B12:OFFSET($B13,-1,0),P495:OFFSET(P496,-1,0))</f>
        <v>3031184</v>
      </c>
      <c r="Q494" s="160">
        <f ca="1">SUMPRODUCT($B12:OFFSET($B13,-1,0),Q495:OFFSET(Q496,-1,0))</f>
        <v>3275840</v>
      </c>
      <c r="S494" s="11"/>
    </row>
    <row r="495" spans="1:19" s="181" customFormat="1" hidden="1" outlineLevel="2" x14ac:dyDescent="0.2">
      <c r="A495" s="181" t="str">
        <f>"        " &amp; A12</f>
        <v xml:space="preserve">        Наименование проекта</v>
      </c>
      <c r="C495" s="209" t="str">
        <f t="shared" ca="1" si="56"/>
        <v>руб.</v>
      </c>
      <c r="D495" s="90" t="str">
        <f>"[" &amp; F12 &amp; "];int_end"</f>
        <v>[Проект];int_end</v>
      </c>
      <c r="F495" s="94">
        <f ca="1">IF(F$33&lt;$B28,0,IF(F$33&gt;$C28,IF(LIFE_PRJ=1,E495,0),OFFSET(Проект!F$1593,0,1-$B28)))</f>
        <v>1340480</v>
      </c>
      <c r="G495" s="94">
        <f ca="1">IF(G$33&lt;$B28,0,IF(G$33&gt;$C28,IF(LIFE_PRJ=1,F495,0),OFFSET(Проект!G$1593,0,1-$B28)))</f>
        <v>829280</v>
      </c>
      <c r="H495" s="94">
        <f ca="1">IF(H$33&lt;$B28,0,IF(H$33&gt;$C28,IF(LIFE_PRJ=1,G495,0),OFFSET(Проект!H$1593,0,1-$B28)))</f>
        <v>853745.60000000009</v>
      </c>
      <c r="I495" s="94">
        <f ca="1">IF(I$33&lt;$B28,0,IF(I$33&gt;$C28,IF(LIFE_PRJ=1,H495,0),OFFSET(Проект!I$1593,0,1-$B28)))</f>
        <v>951608</v>
      </c>
      <c r="J495" s="94">
        <f ca="1">IF(J$33&lt;$B28,0,IF(J$33&gt;$C28,IF(LIFE_PRJ=1,I495,0),OFFSET(Проект!J$1593,0,1-$B28)))</f>
        <v>1073936</v>
      </c>
      <c r="K495" s="94">
        <f ca="1">IF(K$33&lt;$B28,0,IF(K$33&gt;$C28,IF(LIFE_PRJ=1,J495,0),OFFSET(Проект!K$1593,0,1-$B28)))</f>
        <v>1318592</v>
      </c>
      <c r="L495" s="94">
        <f ca="1">IF(L$33&lt;$B28,0,IF(L$33&gt;$C28,IF(LIFE_PRJ=1,K495,0),OFFSET(Проект!L$1593,0,1-$B28)))</f>
        <v>1563248</v>
      </c>
      <c r="M495" s="94">
        <f ca="1">IF(M$33&lt;$B28,0,IF(M$33&gt;$C28,IF(LIFE_PRJ=1,L495,0),OFFSET(Проект!M$1593,0,1-$B28)))</f>
        <v>1807904</v>
      </c>
      <c r="N495" s="94">
        <f ca="1">IF(N$33&lt;$B28,0,IF(N$33&gt;$C28,IF(LIFE_PRJ=1,M495,0),OFFSET(Проект!N$1593,0,1-$B28)))</f>
        <v>2174888</v>
      </c>
      <c r="O495" s="94">
        <f ca="1">IF(O$33&lt;$B28,0,IF(O$33&gt;$C28,IF(LIFE_PRJ=1,N495,0),OFFSET(Проект!O$1593,0,1-$B28)))</f>
        <v>2664200</v>
      </c>
      <c r="P495" s="94">
        <f ca="1">IF(P$33&lt;$B28,0,IF(P$33&gt;$C28,IF(LIFE_PRJ=1,O495,0),OFFSET(Проект!P$1593,0,1-$B28)))</f>
        <v>3031184</v>
      </c>
      <c r="Q495" s="94">
        <f ca="1">IF(Q$33&lt;$B28,0,IF(Q$33&gt;$C28,IF(LIFE_PRJ=1,P495,0),OFFSET(Проект!Q$1593,0,1-$B28)))</f>
        <v>3275840</v>
      </c>
    </row>
    <row r="496" spans="1:19" outlineLevel="1" x14ac:dyDescent="0.2">
      <c r="C496" s="5"/>
      <c r="D496" s="16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S496" s="11"/>
    </row>
    <row r="497" spans="1:19" ht="10.5" outlineLevel="1" collapsed="1" x14ac:dyDescent="0.25">
      <c r="A497" s="35" t="str">
        <f ca="1">Language!A$794</f>
        <v>Долгосрочные обязательства</v>
      </c>
      <c r="C497" s="5" t="str">
        <f t="shared" ca="1" si="56"/>
        <v>руб.</v>
      </c>
      <c r="D497" s="16" t="s">
        <v>2211</v>
      </c>
      <c r="F497" s="160">
        <f ca="1">SUMPRODUCT($B12:OFFSET($B13,-1,0),F498:OFFSET(F499,-1,0))</f>
        <v>2400351.3689567428</v>
      </c>
      <c r="G497" s="160">
        <f ca="1">SUMPRODUCT($B12:OFFSET($B13,-1,0),G498:OFFSET(G499,-1,0))</f>
        <v>5476647.4426394468</v>
      </c>
      <c r="H497" s="160">
        <f ca="1">SUMPRODUCT($B12:OFFSET($B13,-1,0),H498:OFFSET(H499,-1,0))</f>
        <v>8007638.9805148821</v>
      </c>
      <c r="I497" s="160">
        <f ca="1">SUMPRODUCT($B12:OFFSET($B13,-1,0),I498:OFFSET(I499,-1,0))</f>
        <v>9988465.7311047968</v>
      </c>
      <c r="J497" s="160">
        <f ca="1">SUMPRODUCT($B12:OFFSET($B13,-1,0),J498:OFFSET(J499,-1,0))</f>
        <v>11327726.703750553</v>
      </c>
      <c r="K497" s="160">
        <f ca="1">SUMPRODUCT($B12:OFFSET($B13,-1,0),K498:OFFSET(K499,-1,0))</f>
        <v>11501888.518610623</v>
      </c>
      <c r="L497" s="160">
        <f ca="1">SUMPRODUCT($B12:OFFSET($B13,-1,0),L498:OFFSET(L499,-1,0))</f>
        <v>10299267.972909262</v>
      </c>
      <c r="M497" s="160">
        <f ca="1">SUMPRODUCT($B12:OFFSET($B13,-1,0),M498:OFFSET(M499,-1,0))</f>
        <v>7893163.4040714214</v>
      </c>
      <c r="N497" s="160">
        <f ca="1">SUMPRODUCT($B12:OFFSET($B13,-1,0),N498:OFFSET(N499,-1,0))</f>
        <v>3558056.505994508</v>
      </c>
      <c r="O497" s="160">
        <f ca="1">SUMPRODUCT($B12:OFFSET($B13,-1,0),O498:OFFSET(O499,-1,0))</f>
        <v>-1.862645149230957E-9</v>
      </c>
      <c r="P497" s="160">
        <f ca="1">SUMPRODUCT($B12:OFFSET($B13,-1,0),P498:OFFSET(P499,-1,0))</f>
        <v>-1.862645149230957E-9</v>
      </c>
      <c r="Q497" s="160">
        <f ca="1">SUMPRODUCT($B12:OFFSET($B13,-1,0),Q498:OFFSET(Q499,-1,0))</f>
        <v>-1.862645149230957E-9</v>
      </c>
      <c r="S497" s="11"/>
    </row>
    <row r="498" spans="1:19" s="181" customFormat="1" hidden="1" outlineLevel="2" x14ac:dyDescent="0.2">
      <c r="A498" s="181" t="str">
        <f>"        " &amp; A12</f>
        <v xml:space="preserve">        Наименование проекта</v>
      </c>
      <c r="C498" s="209" t="str">
        <f t="shared" ca="1" si="56"/>
        <v>руб.</v>
      </c>
      <c r="D498" s="90" t="str">
        <f>"[" &amp; F12 &amp; "];int_end"</f>
        <v>[Проект];int_end</v>
      </c>
      <c r="F498" s="94">
        <f ca="1">IF(F$33&lt;$B28,0,IF(F$33&gt;$C28,IF(LIFE_PRJ=1,E498,0),OFFSET(Проект!F$1595,0,1-$B28)))</f>
        <v>2400351.3689567428</v>
      </c>
      <c r="G498" s="94">
        <f ca="1">IF(G$33&lt;$B28,0,IF(G$33&gt;$C28,IF(LIFE_PRJ=1,F498,0),OFFSET(Проект!G$1595,0,1-$B28)))</f>
        <v>5476647.4426394468</v>
      </c>
      <c r="H498" s="94">
        <f ca="1">IF(H$33&lt;$B28,0,IF(H$33&gt;$C28,IF(LIFE_PRJ=1,G498,0),OFFSET(Проект!H$1595,0,1-$B28)))</f>
        <v>8007638.9805148821</v>
      </c>
      <c r="I498" s="94">
        <f ca="1">IF(I$33&lt;$B28,0,IF(I$33&gt;$C28,IF(LIFE_PRJ=1,H498,0),OFFSET(Проект!I$1595,0,1-$B28)))</f>
        <v>9988465.7311047968</v>
      </c>
      <c r="J498" s="94">
        <f ca="1">IF(J$33&lt;$B28,0,IF(J$33&gt;$C28,IF(LIFE_PRJ=1,I498,0),OFFSET(Проект!J$1595,0,1-$B28)))</f>
        <v>11327726.703750553</v>
      </c>
      <c r="K498" s="94">
        <f ca="1">IF(K$33&lt;$B28,0,IF(K$33&gt;$C28,IF(LIFE_PRJ=1,J498,0),OFFSET(Проект!K$1595,0,1-$B28)))</f>
        <v>11501888.518610623</v>
      </c>
      <c r="L498" s="94">
        <f ca="1">IF(L$33&lt;$B28,0,IF(L$33&gt;$C28,IF(LIFE_PRJ=1,K498,0),OFFSET(Проект!L$1595,0,1-$B28)))</f>
        <v>10299267.972909262</v>
      </c>
      <c r="M498" s="94">
        <f ca="1">IF(M$33&lt;$B28,0,IF(M$33&gt;$C28,IF(LIFE_PRJ=1,L498,0),OFFSET(Проект!M$1595,0,1-$B28)))</f>
        <v>7893163.4040714214</v>
      </c>
      <c r="N498" s="94">
        <f ca="1">IF(N$33&lt;$B28,0,IF(N$33&gt;$C28,IF(LIFE_PRJ=1,M498,0),OFFSET(Проект!N$1595,0,1-$B28)))</f>
        <v>3558056.505994508</v>
      </c>
      <c r="O498" s="94">
        <f ca="1">IF(O$33&lt;$B28,0,IF(O$33&gt;$C28,IF(LIFE_PRJ=1,N498,0),OFFSET(Проект!O$1595,0,1-$B28)))</f>
        <v>-1.862645149230957E-9</v>
      </c>
      <c r="P498" s="94">
        <f ca="1">IF(P$33&lt;$B28,0,IF(P$33&gt;$C28,IF(LIFE_PRJ=1,O498,0),OFFSET(Проект!P$1595,0,1-$B28)))</f>
        <v>-1.862645149230957E-9</v>
      </c>
      <c r="Q498" s="94">
        <f ca="1">IF(Q$33&lt;$B28,0,IF(Q$33&gt;$C28,IF(LIFE_PRJ=1,P498,0),OFFSET(Проект!Q$1595,0,1-$B28)))</f>
        <v>-1.862645149230957E-9</v>
      </c>
    </row>
    <row r="499" spans="1:19" outlineLevel="1" x14ac:dyDescent="0.2"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S499" s="11"/>
    </row>
    <row r="500" spans="1:19" outlineLevel="1" collapsed="1" x14ac:dyDescent="0.2">
      <c r="A500" t="str">
        <f ca="1">Language!A$795</f>
        <v>Средства собственников</v>
      </c>
      <c r="C500" s="5" t="str">
        <f t="shared" ref="C500:C507" ca="1" si="57">CUR_Report</f>
        <v>руб.</v>
      </c>
      <c r="D500" s="16" t="s">
        <v>2211</v>
      </c>
      <c r="F500" s="210">
        <f ca="1">SUMPRODUCT($B12:OFFSET($B13,-1,0),F501:OFFSET(F502,-1,0))</f>
        <v>0</v>
      </c>
      <c r="G500" s="210">
        <f ca="1">SUMPRODUCT($B12:OFFSET($B13,-1,0),G501:OFFSET(G502,-1,0))</f>
        <v>0</v>
      </c>
      <c r="H500" s="210">
        <f ca="1">SUMPRODUCT($B12:OFFSET($B13,-1,0),H501:OFFSET(H502,-1,0))</f>
        <v>0</v>
      </c>
      <c r="I500" s="210">
        <f ca="1">SUMPRODUCT($B12:OFFSET($B13,-1,0),I501:OFFSET(I502,-1,0))</f>
        <v>0</v>
      </c>
      <c r="J500" s="210">
        <f ca="1">SUMPRODUCT($B12:OFFSET($B13,-1,0),J501:OFFSET(J502,-1,0))</f>
        <v>0</v>
      </c>
      <c r="K500" s="210">
        <f ca="1">SUMPRODUCT($B12:OFFSET($B13,-1,0),K501:OFFSET(K502,-1,0))</f>
        <v>0</v>
      </c>
      <c r="L500" s="210">
        <f ca="1">SUMPRODUCT($B12:OFFSET($B13,-1,0),L501:OFFSET(L502,-1,0))</f>
        <v>0</v>
      </c>
      <c r="M500" s="210">
        <f ca="1">SUMPRODUCT($B12:OFFSET($B13,-1,0),M501:OFFSET(M502,-1,0))</f>
        <v>0</v>
      </c>
      <c r="N500" s="210">
        <f ca="1">SUMPRODUCT($B12:OFFSET($B13,-1,0),N501:OFFSET(N502,-1,0))</f>
        <v>0</v>
      </c>
      <c r="O500" s="210">
        <f ca="1">SUMPRODUCT($B12:OFFSET($B13,-1,0),O501:OFFSET(O502,-1,0))</f>
        <v>0</v>
      </c>
      <c r="P500" s="210">
        <f ca="1">SUMPRODUCT($B12:OFFSET($B13,-1,0),P501:OFFSET(P502,-1,0))</f>
        <v>0</v>
      </c>
      <c r="Q500" s="210">
        <f ca="1">SUMPRODUCT($B12:OFFSET($B13,-1,0),Q501:OFFSET(Q502,-1,0))</f>
        <v>0</v>
      </c>
      <c r="S500" s="11"/>
    </row>
    <row r="501" spans="1:19" s="181" customFormat="1" hidden="1" outlineLevel="2" x14ac:dyDescent="0.2">
      <c r="A501" s="181" t="str">
        <f>"        " &amp; A12</f>
        <v xml:space="preserve">        Наименование проекта</v>
      </c>
      <c r="C501" s="209" t="str">
        <f t="shared" ca="1" si="57"/>
        <v>руб.</v>
      </c>
      <c r="D501" s="90" t="str">
        <f>"[" &amp; F12 &amp; "];int_end"</f>
        <v>[Проект];int_end</v>
      </c>
      <c r="F501" s="94">
        <f ca="1">IF(F$33&lt;$B28,0,IF(F$33&gt;$C28,IF(LIFE_PRJ=1,E501,0),OFFSET(Проект!F$1597,0,1-$B28)))</f>
        <v>0</v>
      </c>
      <c r="G501" s="94">
        <f ca="1">IF(G$33&lt;$B28,0,IF(G$33&gt;$C28,IF(LIFE_PRJ=1,F501,0),OFFSET(Проект!G$1597,0,1-$B28)))</f>
        <v>0</v>
      </c>
      <c r="H501" s="94">
        <f ca="1">IF(H$33&lt;$B28,0,IF(H$33&gt;$C28,IF(LIFE_PRJ=1,G501,0),OFFSET(Проект!H$1597,0,1-$B28)))</f>
        <v>0</v>
      </c>
      <c r="I501" s="94">
        <f ca="1">IF(I$33&lt;$B28,0,IF(I$33&gt;$C28,IF(LIFE_PRJ=1,H501,0),OFFSET(Проект!I$1597,0,1-$B28)))</f>
        <v>0</v>
      </c>
      <c r="J501" s="94">
        <f ca="1">IF(J$33&lt;$B28,0,IF(J$33&gt;$C28,IF(LIFE_PRJ=1,I501,0),OFFSET(Проект!J$1597,0,1-$B28)))</f>
        <v>0</v>
      </c>
      <c r="K501" s="94">
        <f ca="1">IF(K$33&lt;$B28,0,IF(K$33&gt;$C28,IF(LIFE_PRJ=1,J501,0),OFFSET(Проект!K$1597,0,1-$B28)))</f>
        <v>0</v>
      </c>
      <c r="L501" s="94">
        <f ca="1">IF(L$33&lt;$B28,0,IF(L$33&gt;$C28,IF(LIFE_PRJ=1,K501,0),OFFSET(Проект!L$1597,0,1-$B28)))</f>
        <v>0</v>
      </c>
      <c r="M501" s="94">
        <f ca="1">IF(M$33&lt;$B28,0,IF(M$33&gt;$C28,IF(LIFE_PRJ=1,L501,0),OFFSET(Проект!M$1597,0,1-$B28)))</f>
        <v>0</v>
      </c>
      <c r="N501" s="94">
        <f ca="1">IF(N$33&lt;$B28,0,IF(N$33&gt;$C28,IF(LIFE_PRJ=1,M501,0),OFFSET(Проект!N$1597,0,1-$B28)))</f>
        <v>0</v>
      </c>
      <c r="O501" s="94">
        <f ca="1">IF(O$33&lt;$B28,0,IF(O$33&gt;$C28,IF(LIFE_PRJ=1,N501,0),OFFSET(Проект!O$1597,0,1-$B28)))</f>
        <v>0</v>
      </c>
      <c r="P501" s="94">
        <f ca="1">IF(P$33&lt;$B28,0,IF(P$33&gt;$C28,IF(LIFE_PRJ=1,O501,0),OFFSET(Проект!P$1597,0,1-$B28)))</f>
        <v>0</v>
      </c>
      <c r="Q501" s="94">
        <f ca="1">IF(Q$33&lt;$B28,0,IF(Q$33&gt;$C28,IF(LIFE_PRJ=1,P501,0),OFFSET(Проект!Q$1597,0,1-$B28)))</f>
        <v>0</v>
      </c>
    </row>
    <row r="502" spans="1:19" outlineLevel="1" collapsed="1" x14ac:dyDescent="0.2">
      <c r="A502" t="str">
        <f ca="1">Language!A$796</f>
        <v>Нераспределенная прибыль</v>
      </c>
      <c r="C502" s="5" t="str">
        <f t="shared" ca="1" si="57"/>
        <v>руб.</v>
      </c>
      <c r="D502" s="16" t="s">
        <v>2211</v>
      </c>
      <c r="F502" s="210">
        <f t="shared" ref="F502:M502" ca="1" si="58">F186</f>
        <v>-3007443.6844783714</v>
      </c>
      <c r="G502" s="210">
        <f t="shared" ca="1" si="58"/>
        <v>-5657396.6380372802</v>
      </c>
      <c r="H502" s="210">
        <f t="shared" ca="1" si="58"/>
        <v>-8223128.6673366763</v>
      </c>
      <c r="I502" s="210">
        <f t="shared" ca="1" si="58"/>
        <v>-10311923.004987741</v>
      </c>
      <c r="J502" s="210">
        <f t="shared" ca="1" si="58"/>
        <v>-11784993.858891314</v>
      </c>
      <c r="K502" s="210">
        <f t="shared" ca="1" si="58"/>
        <v>-11983545.212344076</v>
      </c>
      <c r="L502" s="210">
        <f t="shared" ca="1" si="58"/>
        <v>-10886997.664369989</v>
      </c>
      <c r="M502" s="210">
        <f t="shared" ca="1" si="58"/>
        <v>-8470828.373941239</v>
      </c>
      <c r="N502" s="210">
        <f t="shared" ref="N502" ca="1" si="59">N186</f>
        <v>-4062522.344046142</v>
      </c>
      <c r="O502" s="210">
        <f t="shared" ref="O502:Q502" ca="1" si="60">O186</f>
        <v>2963079.499703858</v>
      </c>
      <c r="P502" s="210">
        <f t="shared" ref="P502:Q502" ca="1" si="61">P186</f>
        <v>11904953.712203858</v>
      </c>
      <c r="Q502" s="210">
        <f t="shared" ca="1" si="61"/>
        <v>22124342.83720386</v>
      </c>
      <c r="S502" s="11"/>
    </row>
    <row r="503" spans="1:19" s="181" customFormat="1" hidden="1" outlineLevel="2" x14ac:dyDescent="0.2">
      <c r="A503" s="181" t="str">
        <f>"        " &amp; A12</f>
        <v xml:space="preserve">        Наименование проекта</v>
      </c>
      <c r="C503" s="209" t="str">
        <f t="shared" ca="1" si="57"/>
        <v>руб.</v>
      </c>
      <c r="D503" s="90" t="str">
        <f>"[" &amp; F12 &amp; "];int_end"</f>
        <v>[Проект];int_end</v>
      </c>
      <c r="F503" s="94">
        <f ca="1">IF(F$33&lt;$B28,0,IF(F$33&gt;$C28,IF(LIFE_PRJ=1,E503,0),OFFSET(Проект!F$1598,0,1-$B28)))</f>
        <v>-3007443.6844783714</v>
      </c>
      <c r="G503" s="94">
        <f ca="1">IF(G$33&lt;$B28,0,IF(G$33&gt;$C28,IF(LIFE_PRJ=1,F503,0),OFFSET(Проект!G$1598,0,1-$B28)))</f>
        <v>-5657396.6380372802</v>
      </c>
      <c r="H503" s="94">
        <f ca="1">IF(H$33&lt;$B28,0,IF(H$33&gt;$C28,IF(LIFE_PRJ=1,G503,0),OFFSET(Проект!H$1598,0,1-$B28)))</f>
        <v>-8223128.6673366763</v>
      </c>
      <c r="I503" s="94">
        <f ca="1">IF(I$33&lt;$B28,0,IF(I$33&gt;$C28,IF(LIFE_PRJ=1,H503,0),OFFSET(Проект!I$1598,0,1-$B28)))</f>
        <v>-10311923.004987741</v>
      </c>
      <c r="J503" s="94">
        <f ca="1">IF(J$33&lt;$B28,0,IF(J$33&gt;$C28,IF(LIFE_PRJ=1,I503,0),OFFSET(Проект!J$1598,0,1-$B28)))</f>
        <v>-11784993.858891314</v>
      </c>
      <c r="K503" s="94">
        <f ca="1">IF(K$33&lt;$B28,0,IF(K$33&gt;$C28,IF(LIFE_PRJ=1,J503,0),OFFSET(Проект!K$1598,0,1-$B28)))</f>
        <v>-11983545.212344076</v>
      </c>
      <c r="L503" s="94">
        <f ca="1">IF(L$33&lt;$B28,0,IF(L$33&gt;$C28,IF(LIFE_PRJ=1,K503,0),OFFSET(Проект!L$1598,0,1-$B28)))</f>
        <v>-10886997.664369989</v>
      </c>
      <c r="M503" s="94">
        <f ca="1">IF(M$33&lt;$B28,0,IF(M$33&gt;$C28,IF(LIFE_PRJ=1,L503,0),OFFSET(Проект!M$1598,0,1-$B28)))</f>
        <v>-8470828.373941239</v>
      </c>
      <c r="N503" s="94">
        <f ca="1">IF(N$33&lt;$B28,0,IF(N$33&gt;$C28,IF(LIFE_PRJ=1,M503,0),OFFSET(Проект!N$1598,0,1-$B28)))</f>
        <v>-4062522.344046142</v>
      </c>
      <c r="O503" s="94">
        <f ca="1">IF(O$33&lt;$B28,0,IF(O$33&gt;$C28,IF(LIFE_PRJ=1,N503,0),OFFSET(Проект!O$1598,0,1-$B28)))</f>
        <v>2963079.499703858</v>
      </c>
      <c r="P503" s="94">
        <f ca="1">IF(P$33&lt;$B28,0,IF(P$33&gt;$C28,IF(LIFE_PRJ=1,O503,0),OFFSET(Проект!P$1598,0,1-$B28)))</f>
        <v>11904953.712203858</v>
      </c>
      <c r="Q503" s="94">
        <f ca="1">IF(Q$33&lt;$B28,0,IF(Q$33&gt;$C28,IF(LIFE_PRJ=1,P503,0),OFFSET(Проект!Q$1598,0,1-$B28)))</f>
        <v>22124342.83720386</v>
      </c>
    </row>
    <row r="504" spans="1:19" outlineLevel="1" collapsed="1" x14ac:dyDescent="0.2">
      <c r="A504" t="str">
        <f ca="1">Language!A$797</f>
        <v>Прочие источники финансирования</v>
      </c>
      <c r="C504" s="5" t="str">
        <f t="shared" ca="1" si="57"/>
        <v>руб.</v>
      </c>
      <c r="D504" s="16" t="s">
        <v>2211</v>
      </c>
      <c r="F504" s="210">
        <f ca="1">SUMPRODUCT($B12:OFFSET($B13,-1,0),F505:OFFSET(F506,-1,0))</f>
        <v>0</v>
      </c>
      <c r="G504" s="210">
        <f ca="1">SUMPRODUCT($B12:OFFSET($B13,-1,0),G505:OFFSET(G506,-1,0))</f>
        <v>0</v>
      </c>
      <c r="H504" s="210">
        <f ca="1">SUMPRODUCT($B12:OFFSET($B13,-1,0),H505:OFFSET(H506,-1,0))</f>
        <v>0</v>
      </c>
      <c r="I504" s="210">
        <f ca="1">SUMPRODUCT($B12:OFFSET($B13,-1,0),I505:OFFSET(I506,-1,0))</f>
        <v>0</v>
      </c>
      <c r="J504" s="210">
        <f ca="1">SUMPRODUCT($B12:OFFSET($B13,-1,0),J505:OFFSET(J506,-1,0))</f>
        <v>0</v>
      </c>
      <c r="K504" s="210">
        <f ca="1">SUMPRODUCT($B12:OFFSET($B13,-1,0),K505:OFFSET(K506,-1,0))</f>
        <v>0</v>
      </c>
      <c r="L504" s="210">
        <f ca="1">SUMPRODUCT($B12:OFFSET($B13,-1,0),L505:OFFSET(L506,-1,0))</f>
        <v>0</v>
      </c>
      <c r="M504" s="210">
        <f ca="1">SUMPRODUCT($B12:OFFSET($B13,-1,0),M505:OFFSET(M506,-1,0))</f>
        <v>0</v>
      </c>
      <c r="N504" s="210">
        <f ca="1">SUMPRODUCT($B12:OFFSET($B13,-1,0),N505:OFFSET(N506,-1,0))</f>
        <v>0</v>
      </c>
      <c r="O504" s="210">
        <f ca="1">SUMPRODUCT($B12:OFFSET($B13,-1,0),O505:OFFSET(O506,-1,0))</f>
        <v>0</v>
      </c>
      <c r="P504" s="210">
        <f ca="1">SUMPRODUCT($B12:OFFSET($B13,-1,0),P505:OFFSET(P506,-1,0))</f>
        <v>0</v>
      </c>
      <c r="Q504" s="210">
        <f ca="1">SUMPRODUCT($B12:OFFSET($B13,-1,0),Q505:OFFSET(Q506,-1,0))</f>
        <v>0</v>
      </c>
      <c r="S504" s="11"/>
    </row>
    <row r="505" spans="1:19" s="181" customFormat="1" hidden="1" outlineLevel="2" x14ac:dyDescent="0.2">
      <c r="A505" s="181" t="str">
        <f>"        " &amp; A12</f>
        <v xml:space="preserve">        Наименование проекта</v>
      </c>
      <c r="C505" s="209" t="str">
        <f t="shared" ca="1" si="57"/>
        <v>руб.</v>
      </c>
      <c r="D505" s="90" t="str">
        <f>"[" &amp; F12 &amp; "];int_end"</f>
        <v>[Проект];int_end</v>
      </c>
      <c r="F505" s="94">
        <f ca="1">IF(F$33&lt;$B28,0,IF(F$33&gt;$C28,IF(LIFE_PRJ=1,E505,0),OFFSET(Проект!F$1599,0,1-$B28)))</f>
        <v>0</v>
      </c>
      <c r="G505" s="94">
        <f ca="1">IF(G$33&lt;$B28,0,IF(G$33&gt;$C28,IF(LIFE_PRJ=1,F505,0),OFFSET(Проект!G$1599,0,1-$B28)))</f>
        <v>0</v>
      </c>
      <c r="H505" s="94">
        <f ca="1">IF(H$33&lt;$B28,0,IF(H$33&gt;$C28,IF(LIFE_PRJ=1,G505,0),OFFSET(Проект!H$1599,0,1-$B28)))</f>
        <v>0</v>
      </c>
      <c r="I505" s="94">
        <f ca="1">IF(I$33&lt;$B28,0,IF(I$33&gt;$C28,IF(LIFE_PRJ=1,H505,0),OFFSET(Проект!I$1599,0,1-$B28)))</f>
        <v>0</v>
      </c>
      <c r="J505" s="94">
        <f ca="1">IF(J$33&lt;$B28,0,IF(J$33&gt;$C28,IF(LIFE_PRJ=1,I505,0),OFFSET(Проект!J$1599,0,1-$B28)))</f>
        <v>0</v>
      </c>
      <c r="K505" s="94">
        <f ca="1">IF(K$33&lt;$B28,0,IF(K$33&gt;$C28,IF(LIFE_PRJ=1,J505,0),OFFSET(Проект!K$1599,0,1-$B28)))</f>
        <v>0</v>
      </c>
      <c r="L505" s="94">
        <f ca="1">IF(L$33&lt;$B28,0,IF(L$33&gt;$C28,IF(LIFE_PRJ=1,K505,0),OFFSET(Проект!L$1599,0,1-$B28)))</f>
        <v>0</v>
      </c>
      <c r="M505" s="94">
        <f ca="1">IF(M$33&lt;$B28,0,IF(M$33&gt;$C28,IF(LIFE_PRJ=1,L505,0),OFFSET(Проект!M$1599,0,1-$B28)))</f>
        <v>0</v>
      </c>
      <c r="N505" s="94">
        <f ca="1">IF(N$33&lt;$B28,0,IF(N$33&gt;$C28,IF(LIFE_PRJ=1,M505,0),OFFSET(Проект!N$1599,0,1-$B28)))</f>
        <v>0</v>
      </c>
      <c r="O505" s="94">
        <f ca="1">IF(O$33&lt;$B28,0,IF(O$33&gt;$C28,IF(LIFE_PRJ=1,N505,0),OFFSET(Проект!O$1599,0,1-$B28)))</f>
        <v>0</v>
      </c>
      <c r="P505" s="94">
        <f ca="1">IF(P$33&lt;$B28,0,IF(P$33&gt;$C28,IF(LIFE_PRJ=1,O505,0),OFFSET(Проект!P$1599,0,1-$B28)))</f>
        <v>0</v>
      </c>
      <c r="Q505" s="94">
        <f ca="1">IF(Q$33&lt;$B28,0,IF(Q$33&gt;$C28,IF(LIFE_PRJ=1,P505,0),OFFSET(Проект!Q$1599,0,1-$B28)))</f>
        <v>0</v>
      </c>
    </row>
    <row r="506" spans="1:19" ht="10.5" outlineLevel="1" collapsed="1" x14ac:dyDescent="0.25">
      <c r="A506" s="35" t="str">
        <f ca="1">Language!A$798</f>
        <v>Суммарный собственный капитал</v>
      </c>
      <c r="C506" s="5" t="str">
        <f t="shared" ca="1" si="57"/>
        <v>руб.</v>
      </c>
      <c r="D506" s="16" t="s">
        <v>2211</v>
      </c>
      <c r="F506" s="160">
        <f t="shared" ref="F506:M506" ca="1" si="62">F500+F502+F504</f>
        <v>-3007443.6844783714</v>
      </c>
      <c r="G506" s="160">
        <f t="shared" ca="1" si="62"/>
        <v>-5657396.6380372802</v>
      </c>
      <c r="H506" s="160">
        <f t="shared" ca="1" si="62"/>
        <v>-8223128.6673366763</v>
      </c>
      <c r="I506" s="160">
        <f t="shared" ca="1" si="62"/>
        <v>-10311923.004987741</v>
      </c>
      <c r="J506" s="160">
        <f t="shared" ca="1" si="62"/>
        <v>-11784993.858891314</v>
      </c>
      <c r="K506" s="160">
        <f t="shared" ca="1" si="62"/>
        <v>-11983545.212344076</v>
      </c>
      <c r="L506" s="160">
        <f t="shared" ca="1" si="62"/>
        <v>-10886997.664369989</v>
      </c>
      <c r="M506" s="160">
        <f t="shared" ca="1" si="62"/>
        <v>-8470828.373941239</v>
      </c>
      <c r="N506" s="160">
        <f t="shared" ref="N506" ca="1" si="63">N500+N502+N504</f>
        <v>-4062522.344046142</v>
      </c>
      <c r="O506" s="160">
        <f t="shared" ref="O506:Q506" ca="1" si="64">O500+O502+O504</f>
        <v>2963079.499703858</v>
      </c>
      <c r="P506" s="160">
        <f t="shared" ref="P506:Q506" ca="1" si="65">P500+P502+P504</f>
        <v>11904953.712203858</v>
      </c>
      <c r="Q506" s="160">
        <f t="shared" ca="1" si="65"/>
        <v>22124342.83720386</v>
      </c>
      <c r="S506" s="11"/>
    </row>
    <row r="507" spans="1:19" s="181" customFormat="1" hidden="1" outlineLevel="2" x14ac:dyDescent="0.2">
      <c r="A507" s="181" t="str">
        <f>"        " &amp; A12</f>
        <v xml:space="preserve">        Наименование проекта</v>
      </c>
      <c r="C507" s="209" t="str">
        <f t="shared" ca="1" si="57"/>
        <v>руб.</v>
      </c>
      <c r="D507" s="90" t="str">
        <f>"[" &amp; F12 &amp; "];int_end"</f>
        <v>[Проект];int_end</v>
      </c>
      <c r="F507" s="94">
        <f ca="1">IF(F$33&lt;$B28,0,IF(F$33&gt;$C28,IF(LIFE_PRJ=1,E507,0),OFFSET(Проект!F$1600,0,1-$B28)))</f>
        <v>-3007443.6844783714</v>
      </c>
      <c r="G507" s="94">
        <f ca="1">IF(G$33&lt;$B28,0,IF(G$33&gt;$C28,IF(LIFE_PRJ=1,F507,0),OFFSET(Проект!G$1600,0,1-$B28)))</f>
        <v>-5657396.6380372802</v>
      </c>
      <c r="H507" s="94">
        <f ca="1">IF(H$33&lt;$B28,0,IF(H$33&gt;$C28,IF(LIFE_PRJ=1,G507,0),OFFSET(Проект!H$1600,0,1-$B28)))</f>
        <v>-8223128.6673366763</v>
      </c>
      <c r="I507" s="94">
        <f ca="1">IF(I$33&lt;$B28,0,IF(I$33&gt;$C28,IF(LIFE_PRJ=1,H507,0),OFFSET(Проект!I$1600,0,1-$B28)))</f>
        <v>-10311923.004987741</v>
      </c>
      <c r="J507" s="94">
        <f ca="1">IF(J$33&lt;$B28,0,IF(J$33&gt;$C28,IF(LIFE_PRJ=1,I507,0),OFFSET(Проект!J$1600,0,1-$B28)))</f>
        <v>-11784993.858891314</v>
      </c>
      <c r="K507" s="94">
        <f ca="1">IF(K$33&lt;$B28,0,IF(K$33&gt;$C28,IF(LIFE_PRJ=1,J507,0),OFFSET(Проект!K$1600,0,1-$B28)))</f>
        <v>-11983545.212344076</v>
      </c>
      <c r="L507" s="94">
        <f ca="1">IF(L$33&lt;$B28,0,IF(L$33&gt;$C28,IF(LIFE_PRJ=1,K507,0),OFFSET(Проект!L$1600,0,1-$B28)))</f>
        <v>-10886997.664369989</v>
      </c>
      <c r="M507" s="94">
        <f ca="1">IF(M$33&lt;$B28,0,IF(M$33&gt;$C28,IF(LIFE_PRJ=1,L507,0),OFFSET(Проект!M$1600,0,1-$B28)))</f>
        <v>-8470828.373941239</v>
      </c>
      <c r="N507" s="94">
        <f ca="1">IF(N$33&lt;$B28,0,IF(N$33&gt;$C28,IF(LIFE_PRJ=1,M507,0),OFFSET(Проект!N$1600,0,1-$B28)))</f>
        <v>-4062522.344046142</v>
      </c>
      <c r="O507" s="94">
        <f ca="1">IF(O$33&lt;$B28,0,IF(O$33&gt;$C28,IF(LIFE_PRJ=1,N507,0),OFFSET(Проект!O$1600,0,1-$B28)))</f>
        <v>2963079.499703858</v>
      </c>
      <c r="P507" s="94">
        <f ca="1">IF(P$33&lt;$B28,0,IF(P$33&gt;$C28,IF(LIFE_PRJ=1,O507,0),OFFSET(Проект!P$1600,0,1-$B28)))</f>
        <v>11904953.712203858</v>
      </c>
      <c r="Q507" s="94">
        <f ca="1">IF(Q$33&lt;$B28,0,IF(Q$33&gt;$C28,IF(LIFE_PRJ=1,P507,0),OFFSET(Проект!Q$1600,0,1-$B28)))</f>
        <v>22124342.83720386</v>
      </c>
    </row>
    <row r="508" spans="1:19" ht="10.5" outlineLevel="1" x14ac:dyDescent="0.25">
      <c r="A508" s="35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S508" s="11"/>
    </row>
    <row r="509" spans="1:19" ht="10.5" outlineLevel="1" collapsed="1" x14ac:dyDescent="0.25">
      <c r="A509" s="35" t="str">
        <f ca="1">Language!A$799</f>
        <v xml:space="preserve"> = ИТОГО ПАССИВОВ</v>
      </c>
      <c r="C509" s="5" t="str">
        <f ca="1">CUR_Report</f>
        <v>руб.</v>
      </c>
      <c r="D509" s="16" t="s">
        <v>2211</v>
      </c>
      <c r="F509" s="160">
        <f t="shared" ref="F509:M509" ca="1" si="66">F494+F497+F506</f>
        <v>733387.6844783714</v>
      </c>
      <c r="G509" s="160">
        <f t="shared" ca="1" si="66"/>
        <v>648530.80460216664</v>
      </c>
      <c r="H509" s="160">
        <f t="shared" ca="1" si="66"/>
        <v>638255.91317820549</v>
      </c>
      <c r="I509" s="160">
        <f t="shared" ca="1" si="66"/>
        <v>628150.72611705586</v>
      </c>
      <c r="J509" s="160">
        <f t="shared" ca="1" si="66"/>
        <v>616668.84485923871</v>
      </c>
      <c r="K509" s="160">
        <f t="shared" ca="1" si="66"/>
        <v>836935.30626654625</v>
      </c>
      <c r="L509" s="160">
        <f t="shared" ca="1" si="66"/>
        <v>975518.30853927322</v>
      </c>
      <c r="M509" s="160">
        <f t="shared" ca="1" si="66"/>
        <v>1230239.0301301815</v>
      </c>
      <c r="N509" s="160">
        <f t="shared" ref="N509" ca="1" si="67">N494+N497+N506</f>
        <v>1670422.1619483661</v>
      </c>
      <c r="O509" s="160">
        <f t="shared" ref="O509:Q509" ca="1" si="68">O494+O497+O506</f>
        <v>5627279.4997038562</v>
      </c>
      <c r="P509" s="160">
        <f t="shared" ref="P509:Q509" ca="1" si="69">P494+P497+P506</f>
        <v>14936137.712203857</v>
      </c>
      <c r="Q509" s="160">
        <f t="shared" ca="1" si="69"/>
        <v>25400182.83720386</v>
      </c>
      <c r="S509" s="22"/>
    </row>
    <row r="510" spans="1:19" s="181" customFormat="1" hidden="1" outlineLevel="2" x14ac:dyDescent="0.2">
      <c r="A510" s="181" t="str">
        <f>"        " &amp; A12</f>
        <v xml:space="preserve">        Наименование проекта</v>
      </c>
      <c r="C510" s="209" t="str">
        <f ca="1">CUR_Report</f>
        <v>руб.</v>
      </c>
      <c r="D510" s="90" t="str">
        <f>"[" &amp; F12 &amp; "];int_end"</f>
        <v>[Проект];int_end</v>
      </c>
      <c r="F510" s="94">
        <f ca="1">IF(F$33&lt;$B28,0,IF(F$33&gt;$C28,IF(LIFE_PRJ=1,E510,0),OFFSET(Проект!F$1602,0,1-$B28)))</f>
        <v>733387.6844783714</v>
      </c>
      <c r="G510" s="94">
        <f ca="1">IF(G$33&lt;$B28,0,IF(G$33&gt;$C28,IF(LIFE_PRJ=1,F510,0),OFFSET(Проект!G$1602,0,1-$B28)))</f>
        <v>648530.80460216664</v>
      </c>
      <c r="H510" s="94">
        <f ca="1">IF(H$33&lt;$B28,0,IF(H$33&gt;$C28,IF(LIFE_PRJ=1,G510,0),OFFSET(Проект!H$1602,0,1-$B28)))</f>
        <v>638255.91317820549</v>
      </c>
      <c r="I510" s="94">
        <f ca="1">IF(I$33&lt;$B28,0,IF(I$33&gt;$C28,IF(LIFE_PRJ=1,H510,0),OFFSET(Проект!I$1602,0,1-$B28)))</f>
        <v>628150.72611705586</v>
      </c>
      <c r="J510" s="94">
        <f ca="1">IF(J$33&lt;$B28,0,IF(J$33&gt;$C28,IF(LIFE_PRJ=1,I510,0),OFFSET(Проект!J$1602,0,1-$B28)))</f>
        <v>616668.84485923871</v>
      </c>
      <c r="K510" s="94">
        <f ca="1">IF(K$33&lt;$B28,0,IF(K$33&gt;$C28,IF(LIFE_PRJ=1,J510,0),OFFSET(Проект!K$1602,0,1-$B28)))</f>
        <v>836935.30626654625</v>
      </c>
      <c r="L510" s="94">
        <f ca="1">IF(L$33&lt;$B28,0,IF(L$33&gt;$C28,IF(LIFE_PRJ=1,K510,0),OFFSET(Проект!L$1602,0,1-$B28)))</f>
        <v>975518.30853927322</v>
      </c>
      <c r="M510" s="94">
        <f ca="1">IF(M$33&lt;$B28,0,IF(M$33&gt;$C28,IF(LIFE_PRJ=1,L510,0),OFFSET(Проект!M$1602,0,1-$B28)))</f>
        <v>1230239.0301301815</v>
      </c>
      <c r="N510" s="94">
        <f ca="1">IF(N$33&lt;$B28,0,IF(N$33&gt;$C28,IF(LIFE_PRJ=1,M510,0),OFFSET(Проект!N$1602,0,1-$B28)))</f>
        <v>1670422.1619483661</v>
      </c>
      <c r="O510" s="94">
        <f ca="1">IF(O$33&lt;$B28,0,IF(O$33&gt;$C28,IF(LIFE_PRJ=1,N510,0),OFFSET(Проект!O$1602,0,1-$B28)))</f>
        <v>5627279.4997038562</v>
      </c>
      <c r="P510" s="94">
        <f ca="1">IF(P$33&lt;$B28,0,IF(P$33&gt;$C28,IF(LIFE_PRJ=1,O510,0),OFFSET(Проект!P$1602,0,1-$B28)))</f>
        <v>14936137.712203857</v>
      </c>
      <c r="Q510" s="94">
        <f ca="1">IF(Q$33&lt;$B28,0,IF(Q$33&gt;$C28,IF(LIFE_PRJ=1,P510,0),OFFSET(Проект!Q$1602,0,1-$B28)))</f>
        <v>25400182.83720386</v>
      </c>
      <c r="S510" s="206"/>
    </row>
    <row r="511" spans="1:19" s="11" customFormat="1" outlineLevel="1" x14ac:dyDescent="0.2">
      <c r="A511" s="64" t="str">
        <f ca="1">Language!A$800</f>
        <v>Контроль сходимости баланса</v>
      </c>
      <c r="B511" s="146" t="str">
        <f ca="1">IF(OR(MAX(F511:R511)&lt;&gt;0,MIN(F511:R511)&lt;&gt;0),Language!A801,"")</f>
        <v/>
      </c>
      <c r="C511" s="64"/>
      <c r="D511" s="64"/>
      <c r="E511" s="64"/>
      <c r="F511" s="147">
        <f t="shared" ref="F511:M511" ca="1" si="70">IF(AND(0&lt;=ABS(F475-F509),ABS(F475-F509)&lt;=1),0,F475-F509)</f>
        <v>0</v>
      </c>
      <c r="G511" s="147">
        <f t="shared" ca="1" si="70"/>
        <v>0</v>
      </c>
      <c r="H511" s="147">
        <f t="shared" ca="1" si="70"/>
        <v>0</v>
      </c>
      <c r="I511" s="147">
        <f t="shared" ca="1" si="70"/>
        <v>0</v>
      </c>
      <c r="J511" s="147">
        <f t="shared" ca="1" si="70"/>
        <v>0</v>
      </c>
      <c r="K511" s="147">
        <f t="shared" ca="1" si="70"/>
        <v>0</v>
      </c>
      <c r="L511" s="147">
        <f t="shared" ca="1" si="70"/>
        <v>0</v>
      </c>
      <c r="M511" s="147">
        <f t="shared" ca="1" si="70"/>
        <v>0</v>
      </c>
      <c r="N511" s="147">
        <f t="shared" ref="N511" ca="1" si="71">IF(AND(0&lt;=ABS(N475-N509),ABS(N475-N509)&lt;=1),0,N475-N509)</f>
        <v>0</v>
      </c>
      <c r="O511" s="147">
        <f t="shared" ref="O511:Q511" ca="1" si="72">IF(AND(0&lt;=ABS(O475-O509),ABS(O475-O509)&lt;=1),0,O475-O509)</f>
        <v>0</v>
      </c>
      <c r="P511" s="147">
        <f t="shared" ref="P511:Q511" ca="1" si="73">IF(AND(0&lt;=ABS(P475-P509),ABS(P475-P509)&lt;=1),0,P475-P509)</f>
        <v>0</v>
      </c>
      <c r="Q511" s="147">
        <f t="shared" ca="1" si="73"/>
        <v>0</v>
      </c>
      <c r="R511" s="64"/>
      <c r="S511" s="22"/>
    </row>
    <row r="512" spans="1:19" outlineLevel="1" x14ac:dyDescent="0.2"/>
    <row r="513" spans="1:1" outlineLevel="1" collapsed="1" x14ac:dyDescent="0.2">
      <c r="A513" s="11" t="str">
        <f ca="1">Language!A972</f>
        <v>График: Активы проектов</v>
      </c>
    </row>
    <row r="514" spans="1:1" hidden="1" outlineLevel="2" x14ac:dyDescent="0.2"/>
    <row r="515" spans="1:1" hidden="1" outlineLevel="2" x14ac:dyDescent="0.2"/>
    <row r="516" spans="1:1" hidden="1" outlineLevel="2" x14ac:dyDescent="0.2"/>
    <row r="517" spans="1:1" hidden="1" outlineLevel="2" x14ac:dyDescent="0.2"/>
    <row r="518" spans="1:1" hidden="1" outlineLevel="2" x14ac:dyDescent="0.2"/>
    <row r="519" spans="1:1" hidden="1" outlineLevel="2" x14ac:dyDescent="0.2"/>
    <row r="520" spans="1:1" hidden="1" outlineLevel="2" x14ac:dyDescent="0.2"/>
    <row r="521" spans="1:1" hidden="1" outlineLevel="2" x14ac:dyDescent="0.2"/>
    <row r="522" spans="1:1" hidden="1" outlineLevel="2" x14ac:dyDescent="0.2"/>
    <row r="523" spans="1:1" hidden="1" outlineLevel="2" x14ac:dyDescent="0.2"/>
    <row r="524" spans="1:1" hidden="1" outlineLevel="2" x14ac:dyDescent="0.2"/>
    <row r="525" spans="1:1" hidden="1" outlineLevel="2" x14ac:dyDescent="0.2"/>
    <row r="526" spans="1:1" hidden="1" outlineLevel="2" x14ac:dyDescent="0.2"/>
    <row r="527" spans="1:1" hidden="1" outlineLevel="2" x14ac:dyDescent="0.2"/>
    <row r="528" spans="1:1" hidden="1" outlineLevel="2" x14ac:dyDescent="0.2"/>
    <row r="529" spans="1:1" hidden="1" outlineLevel="2" x14ac:dyDescent="0.2"/>
    <row r="530" spans="1:1" hidden="1" outlineLevel="2" x14ac:dyDescent="0.2"/>
    <row r="531" spans="1:1" hidden="1" outlineLevel="2" x14ac:dyDescent="0.2"/>
    <row r="532" spans="1:1" hidden="1" outlineLevel="2" x14ac:dyDescent="0.2"/>
    <row r="533" spans="1:1" hidden="1" outlineLevel="2" x14ac:dyDescent="0.2"/>
    <row r="534" spans="1:1" hidden="1" outlineLevel="2" x14ac:dyDescent="0.2"/>
    <row r="535" spans="1:1" hidden="1" outlineLevel="2" x14ac:dyDescent="0.2"/>
    <row r="536" spans="1:1" hidden="1" outlineLevel="2" x14ac:dyDescent="0.2"/>
    <row r="537" spans="1:1" outlineLevel="1" x14ac:dyDescent="0.2"/>
    <row r="538" spans="1:1" outlineLevel="1" collapsed="1" x14ac:dyDescent="0.2">
      <c r="A538" s="11" t="str">
        <f ca="1">Language!A973</f>
        <v>График: Пассивы проектов</v>
      </c>
    </row>
    <row r="539" spans="1:1" hidden="1" outlineLevel="2" x14ac:dyDescent="0.2"/>
    <row r="540" spans="1:1" hidden="1" outlineLevel="2" x14ac:dyDescent="0.2"/>
    <row r="541" spans="1:1" hidden="1" outlineLevel="2" x14ac:dyDescent="0.2"/>
    <row r="542" spans="1:1" hidden="1" outlineLevel="2" x14ac:dyDescent="0.2"/>
    <row r="543" spans="1:1" hidden="1" outlineLevel="2" x14ac:dyDescent="0.2"/>
    <row r="544" spans="1:1" hidden="1" outlineLevel="2" x14ac:dyDescent="0.2"/>
    <row r="545" hidden="1" outlineLevel="2" x14ac:dyDescent="0.2"/>
    <row r="546" hidden="1" outlineLevel="2" x14ac:dyDescent="0.2"/>
    <row r="547" hidden="1" outlineLevel="2" x14ac:dyDescent="0.2"/>
    <row r="548" hidden="1" outlineLevel="2" x14ac:dyDescent="0.2"/>
    <row r="549" hidden="1" outlineLevel="2" x14ac:dyDescent="0.2"/>
    <row r="550" hidden="1" outlineLevel="2" x14ac:dyDescent="0.2"/>
    <row r="551" hidden="1" outlineLevel="2" x14ac:dyDescent="0.2"/>
    <row r="552" hidden="1" outlineLevel="2" x14ac:dyDescent="0.2"/>
    <row r="553" hidden="1" outlineLevel="2" x14ac:dyDescent="0.2"/>
    <row r="554" hidden="1" outlineLevel="2" x14ac:dyDescent="0.2"/>
    <row r="555" hidden="1" outlineLevel="2" x14ac:dyDescent="0.2"/>
    <row r="556" hidden="1" outlineLevel="2" x14ac:dyDescent="0.2"/>
    <row r="557" hidden="1" outlineLevel="2" x14ac:dyDescent="0.2"/>
    <row r="558" hidden="1" outlineLevel="2" x14ac:dyDescent="0.2"/>
    <row r="559" hidden="1" outlineLevel="2" x14ac:dyDescent="0.2"/>
    <row r="560" hidden="1" outlineLevel="2" x14ac:dyDescent="0.2"/>
    <row r="561" spans="1:19" hidden="1" outlineLevel="2" x14ac:dyDescent="0.2"/>
    <row r="562" spans="1:19" outlineLevel="1" x14ac:dyDescent="0.2"/>
    <row r="563" spans="1:19" outlineLevel="1" x14ac:dyDescent="0.2"/>
    <row r="564" spans="1:19" s="4" customFormat="1" ht="16" customHeight="1" thickBot="1" x14ac:dyDescent="0.25">
      <c r="A564" s="166" t="str">
        <f ca="1">Language!A974</f>
        <v xml:space="preserve">         СВОДНЫЕ ПОКАЗАТЕЛИ ФИНАНСОВОЙ СОСТОЯТЕЛЬНОСТИ</v>
      </c>
      <c r="B564" s="166"/>
      <c r="C564" s="166"/>
      <c r="D564" s="166"/>
      <c r="E564" s="166"/>
      <c r="F564" s="178" t="str">
        <f>IF(Проект!ShowRealDates,F36,F34)</f>
        <v>4/ 2020</v>
      </c>
      <c r="G564" s="178" t="str">
        <f>IF(Проект!ShowRealDates,G36,G34)</f>
        <v>5/ 2020</v>
      </c>
      <c r="H564" s="178" t="str">
        <f>IF(Проект!ShowRealDates,H36,H34)</f>
        <v>6/ 2020</v>
      </c>
      <c r="I564" s="178" t="str">
        <f>IF(Проект!ShowRealDates,I36,I34)</f>
        <v>7/ 2020</v>
      </c>
      <c r="J564" s="178" t="str">
        <f>IF(Проект!ShowRealDates,J36,J34)</f>
        <v>8/ 2020</v>
      </c>
      <c r="K564" s="178" t="str">
        <f>IF(Проект!ShowRealDates,K36,K34)</f>
        <v>9/ 2020</v>
      </c>
      <c r="L564" s="178" t="str">
        <f>IF(Проект!ShowRealDates,L36,L34)</f>
        <v>10/ 2020</v>
      </c>
      <c r="M564" s="178" t="str">
        <f>IF(Проект!ShowRealDates,M36,M34)</f>
        <v>11/ 2020</v>
      </c>
      <c r="N564" s="178" t="str">
        <f>IF(Проект!ShowRealDates,N36,N34)</f>
        <v>12/ 2020</v>
      </c>
      <c r="O564" s="178" t="str">
        <f>IF(Проект!ShowRealDates,O36,O34)</f>
        <v>1/ 2021</v>
      </c>
      <c r="P564" s="178" t="str">
        <f>IF(Проект!ShowRealDates,P36,P34)</f>
        <v>2/ 2021</v>
      </c>
      <c r="Q564" s="178" t="str">
        <f>IF(Проект!ShowRealDates,Q36,Q34)</f>
        <v>3/ 2021</v>
      </c>
      <c r="R564" s="167"/>
      <c r="S564" s="110"/>
    </row>
    <row r="565" spans="1:19" ht="10.5" outlineLevel="1" thickTop="1" x14ac:dyDescent="0.2"/>
    <row r="566" spans="1:19" outlineLevel="1" x14ac:dyDescent="0.2">
      <c r="A566" t="str">
        <f ca="1">Language!A$805</f>
        <v>Рентабельность активов</v>
      </c>
      <c r="C566" s="17" t="s">
        <v>177</v>
      </c>
      <c r="D566" s="16" t="s">
        <v>176</v>
      </c>
      <c r="F566" s="158">
        <f t="shared" ref="F566:M566" ca="1" si="74">IF(F475&gt;0,F169/IF(F$33=PRJ_Len,F475,(F475+OFFSET(F475,0,1))/2)*360/PRJ_Step,"-")</f>
        <v>-52.23075673262403</v>
      </c>
      <c r="G566" s="158">
        <f t="shared" ca="1" si="74"/>
        <v>-49.424562755137828</v>
      </c>
      <c r="H566" s="158">
        <f t="shared" ca="1" si="74"/>
        <v>-48.623851764905986</v>
      </c>
      <c r="I566" s="158">
        <f t="shared" ca="1" si="74"/>
        <v>-40.271751242076405</v>
      </c>
      <c r="J566" s="158">
        <f t="shared" ca="1" si="74"/>
        <v>-24.321408594152043</v>
      </c>
      <c r="K566" s="158">
        <f t="shared" ca="1" si="74"/>
        <v>-2.6291610686968214</v>
      </c>
      <c r="L566" s="158">
        <f t="shared" ca="1" si="74"/>
        <v>11.931113495581961</v>
      </c>
      <c r="M566" s="158">
        <f t="shared" ca="1" si="74"/>
        <v>19.991325815179746</v>
      </c>
      <c r="N566" s="158">
        <f t="shared" ref="N566" ca="1" si="75">IF(N475&gt;0,N169/IF(N$33=PRJ_Len,N475,(N475+OFFSET(N475,0,1))/2)*360/PRJ_Step,"-")</f>
        <v>14.497625365179564</v>
      </c>
      <c r="O566" s="158">
        <f t="shared" ref="O566:Q566" ca="1" si="76">IF(O475&gt;0,O169/IF(O$33=PRJ_Len,O475,(O475+OFFSET(O475,0,1))/2)*360/PRJ_Step,"-")</f>
        <v>8.1997287956770126</v>
      </c>
      <c r="P566" s="158">
        <f t="shared" ref="P566:Q566" ca="1" si="77">IF(P475&gt;0,P169/IF(P$33=PRJ_Len,P475,(P475+OFFSET(P475,0,1))/2)*360/PRJ_Step,"-")</f>
        <v>5.3203906101730736</v>
      </c>
      <c r="Q566" s="158">
        <f t="shared" ca="1" si="77"/>
        <v>4.8280231006990588</v>
      </c>
      <c r="S566" s="11"/>
    </row>
    <row r="567" spans="1:19" outlineLevel="1" x14ac:dyDescent="0.2">
      <c r="A567" t="str">
        <f ca="1">Language!A$806</f>
        <v>Рентабельность собственного капитала</v>
      </c>
      <c r="C567" s="17" t="s">
        <v>177</v>
      </c>
      <c r="D567" s="16" t="s">
        <v>176</v>
      </c>
      <c r="F567" s="158" t="str">
        <f t="shared" ref="F567:M567" ca="1" si="78">IF(F506&gt;0,F169/IF(F$33=PRJ_Len,F506,(F506+OFFSET(F506,0,1))/2)*360/PRJ_Step,"-")</f>
        <v>-</v>
      </c>
      <c r="G567" s="158" t="str">
        <f t="shared" ca="1" si="78"/>
        <v>-</v>
      </c>
      <c r="H567" s="158" t="str">
        <f t="shared" ca="1" si="78"/>
        <v>-</v>
      </c>
      <c r="I567" s="158" t="str">
        <f t="shared" ca="1" si="78"/>
        <v>-</v>
      </c>
      <c r="J567" s="158" t="str">
        <f t="shared" ca="1" si="78"/>
        <v>-</v>
      </c>
      <c r="K567" s="158" t="str">
        <f t="shared" ca="1" si="78"/>
        <v>-</v>
      </c>
      <c r="L567" s="158" t="str">
        <f t="shared" ca="1" si="78"/>
        <v>-</v>
      </c>
      <c r="M567" s="158" t="str">
        <f t="shared" ca="1" si="78"/>
        <v>-</v>
      </c>
      <c r="N567" s="158" t="str">
        <f t="shared" ref="N567" ca="1" si="79">IF(N506&gt;0,N169/IF(N$33=PRJ_Len,N506,(N506+OFFSET(N506,0,1))/2)*360/PRJ_Step,"-")</f>
        <v>-</v>
      </c>
      <c r="O567" s="158">
        <f t="shared" ref="O567:Q567" ca="1" si="80">IF(O506&gt;0,O169/IF(O$33=PRJ_Len,O506,(O506+OFFSET(O506,0,1))/2)*360/PRJ_Step,"-")</f>
        <v>11.340736319781538</v>
      </c>
      <c r="P567" s="158">
        <f t="shared" ref="P567:Q567" ca="1" si="81">IF(P506&gt;0,P169/IF(P$33=PRJ_Len,P506,(P506+OFFSET(P506,0,1))/2)*360/PRJ_Step,"-")</f>
        <v>6.3064771494295027</v>
      </c>
      <c r="Q567" s="158">
        <f t="shared" ca="1" si="81"/>
        <v>5.5428841616838129</v>
      </c>
      <c r="S567" s="11"/>
    </row>
    <row r="568" spans="1:19" outlineLevel="1" x14ac:dyDescent="0.2">
      <c r="A568" t="str">
        <f ca="1">Language!A$807</f>
        <v>Рентабельность внеоборотных активов</v>
      </c>
      <c r="C568" s="17" t="s">
        <v>177</v>
      </c>
      <c r="D568" s="16" t="s">
        <v>176</v>
      </c>
      <c r="F568" s="158" t="str">
        <f t="shared" ref="F568:M568" ca="1" si="82">IF(F472&gt;0,F169/IF(F$33=PRJ_Len,F472,(F472+OFFSET(F472,0,1))/2)*360/PRJ_Step,"-")</f>
        <v>-</v>
      </c>
      <c r="G568" s="158" t="str">
        <f t="shared" ca="1" si="82"/>
        <v>-</v>
      </c>
      <c r="H568" s="158" t="str">
        <f t="shared" ca="1" si="82"/>
        <v>-</v>
      </c>
      <c r="I568" s="158" t="str">
        <f t="shared" ca="1" si="82"/>
        <v>-</v>
      </c>
      <c r="J568" s="158" t="str">
        <f t="shared" ca="1" si="82"/>
        <v>-</v>
      </c>
      <c r="K568" s="158" t="str">
        <f t="shared" ca="1" si="82"/>
        <v>-</v>
      </c>
      <c r="L568" s="158" t="str">
        <f t="shared" ca="1" si="82"/>
        <v>-</v>
      </c>
      <c r="M568" s="158" t="str">
        <f t="shared" ca="1" si="82"/>
        <v>-</v>
      </c>
      <c r="N568" s="158" t="str">
        <f t="shared" ref="N568" ca="1" si="83">IF(N472&gt;0,N169/IF(N$33=PRJ_Len,N472,(N472+OFFSET(N472,0,1))/2)*360/PRJ_Step,"-")</f>
        <v>-</v>
      </c>
      <c r="O568" s="158" t="str">
        <f t="shared" ref="O568:Q568" ca="1" si="84">IF(O472&gt;0,O169/IF(O$33=PRJ_Len,O472,(O472+OFFSET(O472,0,1))/2)*360/PRJ_Step,"-")</f>
        <v>-</v>
      </c>
      <c r="P568" s="158" t="str">
        <f t="shared" ref="P568:Q568" ca="1" si="85">IF(P472&gt;0,P169/IF(P$33=PRJ_Len,P472,(P472+OFFSET(P472,0,1))/2)*360/PRJ_Step,"-")</f>
        <v>-</v>
      </c>
      <c r="Q568" s="158" t="str">
        <f t="shared" ca="1" si="85"/>
        <v>-</v>
      </c>
      <c r="S568" s="11"/>
    </row>
    <row r="569" spans="1:19" outlineLevel="1" x14ac:dyDescent="0.2">
      <c r="A569" t="str">
        <f ca="1">Language!A$808</f>
        <v>Прямые расходы к выручке от реализации</v>
      </c>
      <c r="C569" s="17" t="s">
        <v>177</v>
      </c>
      <c r="D569" s="16" t="s">
        <v>176</v>
      </c>
      <c r="F569" s="158" t="str">
        <f t="shared" ref="F569:M569" ca="1" si="86">IF(F124&gt;0,F126/F124,"-")</f>
        <v>-</v>
      </c>
      <c r="G569" s="158" t="str">
        <f t="shared" ca="1" si="86"/>
        <v>-</v>
      </c>
      <c r="H569" s="158">
        <f t="shared" ca="1" si="86"/>
        <v>15.139886026706886</v>
      </c>
      <c r="I569" s="158">
        <f t="shared" ca="1" si="86"/>
        <v>3.0280555381842258</v>
      </c>
      <c r="J569" s="158">
        <f t="shared" ca="1" si="86"/>
        <v>1.5140767271188933</v>
      </c>
      <c r="K569" s="158">
        <f t="shared" ca="1" si="86"/>
        <v>0.75708732158622716</v>
      </c>
      <c r="L569" s="158">
        <f t="shared" ca="1" si="86"/>
        <v>0.50475751974200511</v>
      </c>
      <c r="M569" s="158">
        <f t="shared" ca="1" si="86"/>
        <v>0.37859261881989409</v>
      </c>
      <c r="N569" s="158">
        <f t="shared" ref="N569" ca="1" si="87">IF(N124&gt;0,N126/N124,"-")</f>
        <v>0.27536679079271226</v>
      </c>
      <c r="O569" s="158">
        <f t="shared" ref="O569:Q569" ca="1" si="88">IF(O124&gt;0,O126/O124,"-")</f>
        <v>0.20196175752893858</v>
      </c>
      <c r="P569" s="158">
        <f t="shared" ref="P569:Q569" ca="1" si="89">IF(P124&gt;0,P126/P124,"-")</f>
        <v>0.16831778394970898</v>
      </c>
      <c r="Q569" s="158">
        <f t="shared" ca="1" si="89"/>
        <v>0.15149579716009418</v>
      </c>
      <c r="S569" s="11"/>
    </row>
    <row r="570" spans="1:19" outlineLevel="1" x14ac:dyDescent="0.2">
      <c r="A570" t="str">
        <f ca="1">Language!A$809</f>
        <v>Прибыльность продаж</v>
      </c>
      <c r="C570" s="17" t="s">
        <v>177</v>
      </c>
      <c r="D570" s="16" t="s">
        <v>176</v>
      </c>
      <c r="F570" s="158" t="str">
        <f t="shared" ref="F570:M570" ca="1" si="90">IF(F124&gt;0,F169/F124,"-")</f>
        <v>-</v>
      </c>
      <c r="G570" s="158" t="str">
        <f t="shared" ca="1" si="90"/>
        <v>-</v>
      </c>
      <c r="H570" s="158">
        <f t="shared" ca="1" si="90"/>
        <v>-18.876780674657123</v>
      </c>
      <c r="I570" s="158">
        <f t="shared" ca="1" si="90"/>
        <v>-3.0735643579327023</v>
      </c>
      <c r="J570" s="158">
        <f t="shared" ca="1" si="90"/>
        <v>-1.0837778501350592</v>
      </c>
      <c r="K570" s="158">
        <f t="shared" ca="1" si="90"/>
        <v>-7.3039785702163754E-2</v>
      </c>
      <c r="L570" s="158">
        <f t="shared" ca="1" si="90"/>
        <v>0.2689198420576045</v>
      </c>
      <c r="M570" s="158">
        <f t="shared" ca="1" si="90"/>
        <v>0.44441018437844859</v>
      </c>
      <c r="N570" s="158">
        <f t="shared" ref="N570" ca="1" si="91">IF(N124&gt;0,N169/N124,"-")</f>
        <v>0.58969260392411271</v>
      </c>
      <c r="O570" s="158">
        <f t="shared" ref="O570:Q570" ca="1" si="92">IF(O124&gt;0,O169/O124,"-")</f>
        <v>0.68918990030900529</v>
      </c>
      <c r="P570" s="158">
        <f t="shared" ref="P570:Q570" ca="1" si="93">IF(P124&gt;0,P169/P124,"-")</f>
        <v>0.73097526424857762</v>
      </c>
      <c r="Q570" s="158">
        <f t="shared" ca="1" si="93"/>
        <v>0.75186794621836373</v>
      </c>
      <c r="S570" s="11"/>
    </row>
    <row r="571" spans="1:19" outlineLevel="1" x14ac:dyDescent="0.2">
      <c r="S571" s="11"/>
    </row>
    <row r="572" spans="1:19" outlineLevel="1" x14ac:dyDescent="0.2">
      <c r="A572" s="119" t="str">
        <f ca="1">Language!A$810</f>
        <v>Доля постоянных  затрат</v>
      </c>
      <c r="C572" s="17" t="s">
        <v>177</v>
      </c>
      <c r="D572" s="16" t="s">
        <v>176</v>
      </c>
      <c r="F572" s="291">
        <f t="shared" ref="F572:M572" ca="1" si="94">IF((F126+F143+F145+F147+F149+F151)&gt;0,(F133+F135+F137+F139+F143+F145+F147+F149+F151)/(F126+F143+F145+F147+F149+F151),0)</f>
        <v>1</v>
      </c>
      <c r="G572" s="291">
        <f t="shared" ca="1" si="94"/>
        <v>1</v>
      </c>
      <c r="H572" s="291">
        <f t="shared" ca="1" si="94"/>
        <v>0.99999505893236806</v>
      </c>
      <c r="I572" s="291">
        <f t="shared" ca="1" si="94"/>
        <v>0.99997560371658978</v>
      </c>
      <c r="J572" s="291">
        <f t="shared" ca="1" si="94"/>
        <v>0.99995161719278902</v>
      </c>
      <c r="K572" s="291">
        <f t="shared" ca="1" si="94"/>
        <v>0.99990334431584738</v>
      </c>
      <c r="L572" s="291">
        <f t="shared" ca="1" si="94"/>
        <v>0.99985409186607277</v>
      </c>
      <c r="M572" s="291">
        <f t="shared" ca="1" si="94"/>
        <v>0.99980242521037654</v>
      </c>
      <c r="N572" s="291">
        <f t="shared" ref="N572" ca="1" si="95">IF((N126+N143+N145+N147+N149+N151)&gt;0,(N133+N135+N137+N139+N143+N145+N147+N149+N151)/(N126+N143+N145+N147+N149+N151),0)</f>
        <v>0.99972048533756985</v>
      </c>
      <c r="O572" s="291">
        <f t="shared" ref="O572:Q572" ca="1" si="96">IF((O126+O143+O145+O147+O149+O151)&gt;0,(O133+O135+O137+O139+O143+O145+O147+O149+O151)/(O126+O143+O145+O147+O149+O151),0)</f>
        <v>0.99960960083472894</v>
      </c>
      <c r="P572" s="291">
        <f t="shared" ref="P572:Q572" ca="1" si="97">IF((P126+P143+P145+P147+P149+P151)&gt;0,(P133+P135+P137+P139+P143+P145+P147+P149+P151)/(P126+P143+P145+P147+P149+P151),0)</f>
        <v>0.99953155757758083</v>
      </c>
      <c r="Q572" s="291">
        <f t="shared" ca="1" si="97"/>
        <v>0.99947953550927282</v>
      </c>
      <c r="S572" s="11"/>
    </row>
    <row r="573" spans="1:19" outlineLevel="1" x14ac:dyDescent="0.2">
      <c r="A573" s="119" t="str">
        <f ca="1">Language!A$811</f>
        <v>Точка безубыточности</v>
      </c>
      <c r="C573" s="5" t="str">
        <f ca="1">CUR_Report</f>
        <v>руб.</v>
      </c>
      <c r="D573" s="16" t="s">
        <v>176</v>
      </c>
      <c r="F573" s="144" t="str">
        <f t="shared" ref="F573:M573" ca="1" si="98">IF((F124-(F126+F143+F145+F147+F149)*(1-F572))=0,"-",F572*(F126+F143+F145+F147+F149)/(F124-(F126+F143+F145+F147+F149)*(1-F572))*F124)</f>
        <v>-</v>
      </c>
      <c r="G573" s="144" t="str">
        <f t="shared" ca="1" si="98"/>
        <v>-</v>
      </c>
      <c r="H573" s="144">
        <f t="shared" ca="1" si="98"/>
        <v>2555998.1568150981</v>
      </c>
      <c r="I573" s="144">
        <f t="shared" ca="1" si="98"/>
        <v>2555998.701587854</v>
      </c>
      <c r="J573" s="144">
        <f t="shared" ca="1" si="98"/>
        <v>2556001.9736587452</v>
      </c>
      <c r="K573" s="144">
        <f t="shared" ca="1" si="98"/>
        <v>2556011.4167512041</v>
      </c>
      <c r="L573" s="144">
        <f t="shared" ca="1" si="98"/>
        <v>2556020.0886768443</v>
      </c>
      <c r="M573" s="144">
        <f t="shared" ca="1" si="98"/>
        <v>2556024.7364676329</v>
      </c>
      <c r="N573" s="144">
        <f t="shared" ref="N573" ca="1" si="99">IF((N124-(N126+N143+N145+N147+N149)*(1-N572))=0,"-",N572*(N126+N143+N145+N147+N149)/(N124-(N126+N143+N145+N147+N149)*(1-N572))*N124)</f>
        <v>2556021.7290363442</v>
      </c>
      <c r="O573" s="144">
        <f t="shared" ref="O573:Q573" ca="1" si="100">IF((O124-(O126+O143+O145+O147+O149)*(1-O572))=0,"-",O572*(O126+O143+O145+O147+O149)/(O124-(O126+O143+O145+O147+O149)*(1-O572))*O124)</f>
        <v>2556010.2744389339</v>
      </c>
      <c r="P573" s="144">
        <f t="shared" ref="P573:Q573" ca="1" si="101">IF((P124-(P126+P143+P145+P147+P149)*(1-P572))=0,"-",P572*(P126+P143+P145+P147+P149)/(P124-(P126+P143+P145+P147+P149)*(1-P572))*P124)</f>
        <v>2556010.2744389339</v>
      </c>
      <c r="Q573" s="144">
        <f t="shared" ca="1" si="101"/>
        <v>2556010.2744389339</v>
      </c>
      <c r="S573" s="11"/>
    </row>
    <row r="574" spans="1:19" outlineLevel="1" x14ac:dyDescent="0.2">
      <c r="A574" s="119" t="str">
        <f ca="1">Language!A$812</f>
        <v>"Запас прочности"</v>
      </c>
      <c r="C574" s="17" t="s">
        <v>177</v>
      </c>
      <c r="D574" s="16" t="s">
        <v>176</v>
      </c>
      <c r="F574" s="158" t="str">
        <f t="shared" ref="F574:M574" ca="1" si="102">IF(ISERR((F124-F573)/F124),"-",(F124-F573)/F124)</f>
        <v>-</v>
      </c>
      <c r="G574" s="158" t="str">
        <f t="shared" ca="1" si="102"/>
        <v>-</v>
      </c>
      <c r="H574" s="158">
        <f t="shared" ca="1" si="102"/>
        <v>-17.805165956556049</v>
      </c>
      <c r="I574" s="158">
        <f t="shared" ca="1" si="102"/>
        <v>-2.7610339929191494</v>
      </c>
      <c r="J574" s="158">
        <f t="shared" ca="1" si="102"/>
        <v>-0.88051940381014215</v>
      </c>
      <c r="K574" s="158">
        <f t="shared" ca="1" si="102"/>
        <v>5.9736824326366962E-2</v>
      </c>
      <c r="L574" s="158">
        <f t="shared" ca="1" si="102"/>
        <v>0.37315575616126045</v>
      </c>
      <c r="M574" s="158">
        <f t="shared" ca="1" si="102"/>
        <v>0.52986596224477023</v>
      </c>
      <c r="N574" s="158">
        <f t="shared" ref="N574" ca="1" si="103">IF(ISERR((N124-N573)/N124),"-",(N124-N573)/N124)</f>
        <v>0.65808473847766813</v>
      </c>
      <c r="O574" s="158">
        <f t="shared" ref="O574:Q574" ca="1" si="104">IF(ISERR((O124-O573)/O124),"-",(O124-O573)/O124)</f>
        <v>0.74926326521101294</v>
      </c>
      <c r="P574" s="158">
        <f t="shared" ref="P574:Q574" ca="1" si="105">IF(ISERR((P124-P573)/P124),"-",(P124-P573)/P124)</f>
        <v>0.79105272100917745</v>
      </c>
      <c r="Q574" s="158">
        <f t="shared" ca="1" si="105"/>
        <v>0.81194744890825965</v>
      </c>
      <c r="S574" s="11"/>
    </row>
    <row r="575" spans="1:19" outlineLevel="1" x14ac:dyDescent="0.2">
      <c r="S575" s="11"/>
    </row>
    <row r="576" spans="1:19" outlineLevel="1" x14ac:dyDescent="0.2">
      <c r="A576" t="str">
        <f ca="1">Language!A$813</f>
        <v>Рентабельность по EBITDA</v>
      </c>
      <c r="C576" s="17" t="s">
        <v>177</v>
      </c>
      <c r="D576" s="16" t="s">
        <v>176</v>
      </c>
      <c r="F576" s="61">
        <f t="shared" ref="F576:M576" ca="1" si="106">IF((F126+F143+F145+F147+F149)&gt;0,F173/(F126+F143+F145+F147+F149),"-")</f>
        <v>-1</v>
      </c>
      <c r="G576" s="61">
        <f t="shared" ca="1" si="106"/>
        <v>-0.99999999999999978</v>
      </c>
      <c r="H576" s="61">
        <f t="shared" ca="1" si="106"/>
        <v>-0.94681844452531783</v>
      </c>
      <c r="I576" s="61">
        <f t="shared" ca="1" si="106"/>
        <v>-0.73409776118731918</v>
      </c>
      <c r="J576" s="61">
        <f t="shared" ca="1" si="106"/>
        <v>-0.46820936812757058</v>
      </c>
      <c r="K576" s="61">
        <f t="shared" ca="1" si="106"/>
        <v>6.3525885058669504E-2</v>
      </c>
      <c r="L576" s="61">
        <f t="shared" ca="1" si="106"/>
        <v>0.59520576820866222</v>
      </c>
      <c r="M576" s="61">
        <f t="shared" ca="1" si="106"/>
        <v>1.12683028997055</v>
      </c>
      <c r="N576" s="61">
        <f t="shared" ref="N576" ca="1" si="107">IF((N126+N143+N145+N147+N149)&gt;0,N173/(N126+N143+N145+N147+N149),"-")</f>
        <v>1.9241632889240654</v>
      </c>
      <c r="O576" s="61">
        <f t="shared" ref="O576:Q576" ca="1" si="108">IF((O126+O143+O145+O147+O149)&gt;0,O173/(O126+O143+O145+O147+O149),"-")</f>
        <v>2.9870802700211394</v>
      </c>
      <c r="P576" s="61">
        <f t="shared" ref="P576:Q576" ca="1" si="109">IF((P126+P143+P145+P147+P149)&gt;0,P173/(P126+P143+P145+P147+P149),"-")</f>
        <v>3.7841227805173534</v>
      </c>
      <c r="Q576" s="61">
        <f t="shared" ca="1" si="109"/>
        <v>4.3154153154607773</v>
      </c>
      <c r="S576" s="11"/>
    </row>
    <row r="577" spans="1:19" outlineLevel="1" x14ac:dyDescent="0.2">
      <c r="A577" t="str">
        <f ca="1">Language!A$814</f>
        <v>Рентабельность по EBIT</v>
      </c>
      <c r="C577" s="17" t="s">
        <v>177</v>
      </c>
      <c r="D577" s="16" t="s">
        <v>176</v>
      </c>
      <c r="F577" s="61">
        <f t="shared" ref="F577:M577" ca="1" si="110">IF((F126+F143+F145+F147+F149)&gt;0,F175/(F126+F143+F145+F147+F149),"-")</f>
        <v>-1</v>
      </c>
      <c r="G577" s="61">
        <f t="shared" ca="1" si="110"/>
        <v>-0.99999999999999978</v>
      </c>
      <c r="H577" s="61">
        <f t="shared" ca="1" si="110"/>
        <v>-0.94681844452531783</v>
      </c>
      <c r="I577" s="61">
        <f t="shared" ca="1" si="110"/>
        <v>-0.73409776118731918</v>
      </c>
      <c r="J577" s="61">
        <f t="shared" ca="1" si="110"/>
        <v>-0.46820936812757058</v>
      </c>
      <c r="K577" s="61">
        <f t="shared" ca="1" si="110"/>
        <v>6.3525885058669504E-2</v>
      </c>
      <c r="L577" s="61">
        <f t="shared" ca="1" si="110"/>
        <v>0.59520576820866222</v>
      </c>
      <c r="M577" s="61">
        <f t="shared" ca="1" si="110"/>
        <v>1.12683028997055</v>
      </c>
      <c r="N577" s="61">
        <f t="shared" ref="N577" ca="1" si="111">IF((N126+N143+N145+N147+N149)&gt;0,N175/(N126+N143+N145+N147+N149),"-")</f>
        <v>1.9241632889240654</v>
      </c>
      <c r="O577" s="61">
        <f t="shared" ref="O577:Q577" ca="1" si="112">IF((O126+O143+O145+O147+O149)&gt;0,O175/(O126+O143+O145+O147+O149),"-")</f>
        <v>2.9870802700211394</v>
      </c>
      <c r="P577" s="61">
        <f t="shared" ref="P577:Q577" ca="1" si="113">IF((P126+P143+P145+P147+P149)&gt;0,P175/(P126+P143+P145+P147+P149),"-")</f>
        <v>3.7841227805173534</v>
      </c>
      <c r="Q577" s="61">
        <f t="shared" ca="1" si="113"/>
        <v>4.3154153154607773</v>
      </c>
      <c r="S577" s="11"/>
    </row>
    <row r="578" spans="1:19" outlineLevel="1" x14ac:dyDescent="0.2">
      <c r="A578" t="str">
        <f ca="1">Language!A$815</f>
        <v xml:space="preserve">Рентабельность по чистой прибыли </v>
      </c>
      <c r="C578" s="17" t="s">
        <v>177</v>
      </c>
      <c r="D578" s="16" t="s">
        <v>176</v>
      </c>
      <c r="F578" s="61">
        <f t="shared" ref="F578:M578" ca="1" si="114">IF((F126+F143+F145+F147+F149)&gt;0,F169/(F126+F143+F145+F147+F149),"-")</f>
        <v>-1.0139182257458705</v>
      </c>
      <c r="G578" s="61">
        <f t="shared" ca="1" si="114"/>
        <v>-1.0368551638490737</v>
      </c>
      <c r="H578" s="61">
        <f t="shared" ca="1" si="114"/>
        <v>-1.0038965586326851</v>
      </c>
      <c r="I578" s="61">
        <f t="shared" ca="1" si="114"/>
        <v>-0.81726764390916395</v>
      </c>
      <c r="J578" s="61">
        <f t="shared" ca="1" si="114"/>
        <v>-0.5763429077326665</v>
      </c>
      <c r="K578" s="61">
        <f t="shared" ca="1" si="114"/>
        <v>-7.7679702733389241E-2</v>
      </c>
      <c r="L578" s="61">
        <f t="shared" ca="1" si="114"/>
        <v>0.42898248323605304</v>
      </c>
      <c r="M578" s="61">
        <f t="shared" ca="1" si="114"/>
        <v>0.9451850413074816</v>
      </c>
      <c r="N578" s="61">
        <f t="shared" ref="N578" ca="1" si="115">IF((N126+N143+N145+N147+N149)&gt;0,N169/(N126+N143+N145+N147+N149),"-")</f>
        <v>1.7243574641449295</v>
      </c>
      <c r="O578" s="61">
        <f t="shared" ref="O578:Q578" ca="1" si="116">IF((O126+O143+O145+O147+O149)&gt;0,O169/(O126+O143+O145+O147+O149),"-")</f>
        <v>2.747855453819871</v>
      </c>
      <c r="P578" s="61">
        <f t="shared" ref="P578:Q578" ca="1" si="117">IF((P126+P143+P145+P147+P149)&gt;0,P169/(P126+P143+P145+P147+P149),"-")</f>
        <v>3.497075413686312</v>
      </c>
      <c r="Q578" s="61">
        <f t="shared" ca="1" si="117"/>
        <v>3.9964903965331304</v>
      </c>
      <c r="S578" s="11"/>
    </row>
    <row r="579" spans="1:19" outlineLevel="1" x14ac:dyDescent="0.2">
      <c r="S579" s="11"/>
    </row>
    <row r="580" spans="1:19" outlineLevel="1" x14ac:dyDescent="0.2">
      <c r="A580" t="str">
        <f ca="1">Language!A$816</f>
        <v>Эффективная ставка налога на прибыль</v>
      </c>
      <c r="B580" s="156"/>
      <c r="C580" s="5" t="s">
        <v>177</v>
      </c>
      <c r="D580" s="16" t="s">
        <v>176</v>
      </c>
      <c r="F580" s="163">
        <f t="shared" ref="F580:M580" ca="1" si="118">IF(F165&gt;0,F167/F165,0)</f>
        <v>0</v>
      </c>
      <c r="G580" s="163">
        <f t="shared" ca="1" si="118"/>
        <v>0</v>
      </c>
      <c r="H580" s="163">
        <f t="shared" ca="1" si="118"/>
        <v>0</v>
      </c>
      <c r="I580" s="163">
        <f t="shared" ca="1" si="118"/>
        <v>0</v>
      </c>
      <c r="J580" s="163">
        <f t="shared" ca="1" si="118"/>
        <v>0</v>
      </c>
      <c r="K580" s="163">
        <f t="shared" ca="1" si="118"/>
        <v>0</v>
      </c>
      <c r="L580" s="163">
        <f t="shared" ca="1" si="118"/>
        <v>0.18241526453576512</v>
      </c>
      <c r="M580" s="163">
        <f t="shared" ca="1" si="118"/>
        <v>0.11895080999193948</v>
      </c>
      <c r="N580" s="163">
        <f t="shared" ref="N580" ca="1" si="119">IF(N165&gt;0,N167/N165,0)</f>
        <v>9.2351366842723506E-2</v>
      </c>
      <c r="O580" s="163">
        <f t="shared" ref="O580:Q580" ca="1" si="120">IF(O165&gt;0,O167/O165,0)</f>
        <v>8.008650406959951E-2</v>
      </c>
      <c r="P580" s="163">
        <f t="shared" ref="P580:Q580" ca="1" si="121">IF(P165&gt;0,P167/P165,0)</f>
        <v>7.5855722311366697E-2</v>
      </c>
      <c r="Q580" s="163">
        <f t="shared" ca="1" si="121"/>
        <v>7.39036444035963E-2</v>
      </c>
      <c r="S580" s="11"/>
    </row>
    <row r="581" spans="1:19" outlineLevel="1" x14ac:dyDescent="0.2">
      <c r="S581" s="11"/>
    </row>
    <row r="582" spans="1:19" outlineLevel="1" x14ac:dyDescent="0.2">
      <c r="A582" t="str">
        <f ca="1">Language!A$817</f>
        <v>Коэффициент общей ликвидности</v>
      </c>
      <c r="C582" s="5" t="str">
        <f ca="1">Language!A$197</f>
        <v>разы</v>
      </c>
      <c r="D582" s="16" t="s">
        <v>176</v>
      </c>
      <c r="F582" s="164">
        <f t="shared" ref="F582:M582" ca="1" si="122">IF(F494&gt;0,F455/F494,"-")</f>
        <v>0.54710826306873017</v>
      </c>
      <c r="G582" s="164">
        <f t="shared" ca="1" si="122"/>
        <v>0.78204081203232467</v>
      </c>
      <c r="H582" s="164">
        <f t="shared" ca="1" si="122"/>
        <v>0.7475949664375493</v>
      </c>
      <c r="I582" s="164">
        <f t="shared" ca="1" si="122"/>
        <v>0.66009399470901353</v>
      </c>
      <c r="J582" s="164">
        <f t="shared" ca="1" si="122"/>
        <v>0.57421377517769989</v>
      </c>
      <c r="K582" s="164">
        <f t="shared" ca="1" si="122"/>
        <v>0.63471893221447295</v>
      </c>
      <c r="L582" s="164">
        <f t="shared" ca="1" si="122"/>
        <v>0.62403298039675981</v>
      </c>
      <c r="M582" s="164">
        <f t="shared" ca="1" si="122"/>
        <v>0.68047807302278418</v>
      </c>
      <c r="N582" s="164">
        <f t="shared" ref="N582" ca="1" si="123">IF(N494&gt;0,N455/N494,"-")</f>
        <v>0.76804973954905575</v>
      </c>
      <c r="O582" s="164">
        <f t="shared" ref="O582:Q582" ca="1" si="124">IF(O494&gt;0,O455/O494,"-")</f>
        <v>2.1121835822024839</v>
      </c>
      <c r="P582" s="164">
        <f t="shared" ref="P582:Q582" ca="1" si="125">IF(P494&gt;0,P455/P494,"-")</f>
        <v>4.9274929242843246</v>
      </c>
      <c r="Q582" s="164">
        <f t="shared" ca="1" si="125"/>
        <v>7.7537922600627196</v>
      </c>
      <c r="S582" s="11"/>
    </row>
    <row r="583" spans="1:19" outlineLevel="1" x14ac:dyDescent="0.2">
      <c r="A583" t="str">
        <f ca="1">Language!A$818</f>
        <v>Чистый оборотный капитал</v>
      </c>
      <c r="C583" s="5" t="str">
        <f ca="1">CUR_Report</f>
        <v>руб.</v>
      </c>
      <c r="D583" s="16" t="s">
        <v>176</v>
      </c>
      <c r="F583" s="131">
        <f t="shared" ref="F583:M583" ca="1" si="126">F455-F494</f>
        <v>-607092.3155216286</v>
      </c>
      <c r="G583" s="131">
        <f t="shared" ca="1" si="126"/>
        <v>-180749.19539783383</v>
      </c>
      <c r="H583" s="131">
        <f t="shared" ca="1" si="126"/>
        <v>-215489.6868217946</v>
      </c>
      <c r="I583" s="131">
        <f t="shared" ca="1" si="126"/>
        <v>-323457.27388294507</v>
      </c>
      <c r="J583" s="131">
        <f t="shared" ca="1" si="126"/>
        <v>-457267.15514076164</v>
      </c>
      <c r="K583" s="131">
        <f t="shared" ca="1" si="126"/>
        <v>-481656.69373345375</v>
      </c>
      <c r="L583" s="131">
        <f t="shared" ca="1" si="126"/>
        <v>-587729.69146072608</v>
      </c>
      <c r="M583" s="131">
        <f t="shared" ca="1" si="126"/>
        <v>-577664.96986981644</v>
      </c>
      <c r="N583" s="131">
        <f t="shared" ref="N583" ca="1" si="127">N455-N494</f>
        <v>-504465.83805163321</v>
      </c>
      <c r="O583" s="131">
        <f t="shared" ref="O583:Q583" ca="1" si="128">O455-O494</f>
        <v>2963079.4997038571</v>
      </c>
      <c r="P583" s="131">
        <f t="shared" ref="P583:Q583" ca="1" si="129">P455-P494</f>
        <v>11904953.712203857</v>
      </c>
      <c r="Q583" s="131">
        <f t="shared" ca="1" si="129"/>
        <v>22124342.83720386</v>
      </c>
      <c r="S583" s="11"/>
    </row>
    <row r="584" spans="1:19" outlineLevel="1" x14ac:dyDescent="0.2">
      <c r="S584" s="11"/>
    </row>
    <row r="585" spans="1:19" outlineLevel="1" x14ac:dyDescent="0.2">
      <c r="A585" t="str">
        <f ca="1">Language!A$819</f>
        <v>Коэффициент общей платежеспособности</v>
      </c>
      <c r="C585" s="5" t="str">
        <f ca="1">Language!A$197</f>
        <v>разы</v>
      </c>
      <c r="D585" s="16" t="s">
        <v>176</v>
      </c>
      <c r="F585" s="164">
        <f t="shared" ref="F585:M585" ca="1" si="130">IF(F509&gt;0,F506/F509,"-")</f>
        <v>-4.100755641427825</v>
      </c>
      <c r="G585" s="164">
        <f t="shared" ca="1" si="130"/>
        <v>-8.7234046523167716</v>
      </c>
      <c r="H585" s="164">
        <f t="shared" ca="1" si="130"/>
        <v>-12.883748505187326</v>
      </c>
      <c r="I585" s="164">
        <f t="shared" ca="1" si="130"/>
        <v>-16.416319485502139</v>
      </c>
      <c r="J585" s="164">
        <f t="shared" ca="1" si="130"/>
        <v>-19.110733349244139</v>
      </c>
      <c r="K585" s="164">
        <f t="shared" ca="1" si="130"/>
        <v>-14.318365018917687</v>
      </c>
      <c r="L585" s="164">
        <f t="shared" ca="1" si="130"/>
        <v>-11.160218695097603</v>
      </c>
      <c r="M585" s="164">
        <f t="shared" ca="1" si="130"/>
        <v>-6.8855142508727534</v>
      </c>
      <c r="N585" s="164">
        <f t="shared" ref="N585" ca="1" si="131">IF(N509&gt;0,N506/N509,"-")</f>
        <v>-2.432033312649331</v>
      </c>
      <c r="O585" s="164">
        <f t="shared" ref="O585:Q585" ca="1" si="132">IF(O509&gt;0,O506/O509,"-")</f>
        <v>0.5265563048467371</v>
      </c>
      <c r="P585" s="164">
        <f t="shared" ref="P585:Q585" ca="1" si="133">IF(P509&gt;0,P506/P509,"-")</f>
        <v>0.79705703988499577</v>
      </c>
      <c r="Q585" s="164">
        <f t="shared" ca="1" si="133"/>
        <v>0.87103084962042676</v>
      </c>
      <c r="S585" s="11"/>
    </row>
    <row r="586" spans="1:19" outlineLevel="1" x14ac:dyDescent="0.2">
      <c r="A586" t="str">
        <f ca="1">Language!A$820</f>
        <v>Коэффициент автономии</v>
      </c>
      <c r="C586" s="5" t="str">
        <f ca="1">Language!A$197</f>
        <v>разы</v>
      </c>
      <c r="D586" s="16" t="s">
        <v>176</v>
      </c>
      <c r="F586" s="164">
        <f t="shared" ref="F586:M586" ca="1" si="134">IF((F494+F497)&gt;0,F506/(F494+F497),"-")</f>
        <v>-0.80395061628161513</v>
      </c>
      <c r="G586" s="164">
        <f t="shared" ca="1" si="134"/>
        <v>-0.89715536524937978</v>
      </c>
      <c r="H586" s="164">
        <f t="shared" ca="1" si="134"/>
        <v>-0.92797334238470441</v>
      </c>
      <c r="I586" s="164">
        <f t="shared" ca="1" si="134"/>
        <v>-0.94258258750751389</v>
      </c>
      <c r="J586" s="164">
        <f t="shared" ca="1" si="134"/>
        <v>-0.95027530907829449</v>
      </c>
      <c r="K586" s="164">
        <f t="shared" ca="1" si="134"/>
        <v>-0.9347188816322739</v>
      </c>
      <c r="L586" s="164">
        <f t="shared" ca="1" si="134"/>
        <v>-0.91776463688081944</v>
      </c>
      <c r="M586" s="164">
        <f t="shared" ca="1" si="134"/>
        <v>-0.87318518891912189</v>
      </c>
      <c r="N586" s="164">
        <f t="shared" ref="N586" ca="1" si="135">IF((N494+N497)&gt;0,N506/(N494+N497),"-")</f>
        <v>-0.70862753682654145</v>
      </c>
      <c r="O586" s="164">
        <f t="shared" ref="O586:Q586" ca="1" si="136">IF((O494+O497)&gt;0,O506/(O494+O497),"-")</f>
        <v>1.1121835822024848</v>
      </c>
      <c r="P586" s="164">
        <f t="shared" ref="P586:Q586" ca="1" si="137">IF((P494+P497)&gt;0,P506/(P494+P497),"-")</f>
        <v>3.9274929242843277</v>
      </c>
      <c r="Q586" s="164">
        <f t="shared" ca="1" si="137"/>
        <v>6.753792260062724</v>
      </c>
      <c r="S586" s="11"/>
    </row>
    <row r="587" spans="1:19" outlineLevel="1" x14ac:dyDescent="0.2">
      <c r="A587" t="str">
        <f ca="1">Language!A$821</f>
        <v>Доля долгосрочных кредитов в валюте баланса</v>
      </c>
      <c r="C587" s="5" t="s">
        <v>177</v>
      </c>
      <c r="D587" s="16" t="s">
        <v>176</v>
      </c>
      <c r="F587" s="61">
        <f t="shared" ref="F587:M587" ca="1" si="138">IF(F509&gt;0,F497/F509,"-")</f>
        <v>3.2729638358517219</v>
      </c>
      <c r="G587" s="61">
        <f t="shared" ca="1" si="138"/>
        <v>8.4446990085521527</v>
      </c>
      <c r="H587" s="61">
        <f t="shared" ca="1" si="138"/>
        <v>12.546125801860128</v>
      </c>
      <c r="I587" s="61">
        <f t="shared" ca="1" si="138"/>
        <v>15.90138372178439</v>
      </c>
      <c r="J587" s="61">
        <f t="shared" ca="1" si="138"/>
        <v>18.369221662781143</v>
      </c>
      <c r="K587" s="61">
        <f t="shared" ca="1" si="138"/>
        <v>13.74286451114002</v>
      </c>
      <c r="L587" s="61">
        <f t="shared" ca="1" si="138"/>
        <v>10.55773928869796</v>
      </c>
      <c r="M587" s="61">
        <f t="shared" ca="1" si="138"/>
        <v>6.4159591841564172</v>
      </c>
      <c r="N587" s="61">
        <f t="shared" ref="N587" ca="1" si="139">IF(N509&gt;0,N497/N509,"-")</f>
        <v>2.1300343033310942</v>
      </c>
      <c r="O587" s="61">
        <f t="shared" ref="O587:Q587" ca="1" si="140">IF(O509&gt;0,O497/O509,"-")</f>
        <v>-3.3100277839922141E-16</v>
      </c>
      <c r="P587" s="61">
        <f t="shared" ref="P587:Q587" ca="1" si="141">IF(P509&gt;0,P497/P509,"-")</f>
        <v>-1.2470728277425075E-16</v>
      </c>
      <c r="Q587" s="61">
        <f t="shared" ca="1" si="141"/>
        <v>-7.3331958323651316E-17</v>
      </c>
      <c r="S587" s="11"/>
    </row>
    <row r="588" spans="1:19" outlineLevel="1" x14ac:dyDescent="0.2">
      <c r="A588" t="str">
        <f ca="1">Language!A$822</f>
        <v>Общий коэффициент покрытия долга</v>
      </c>
      <c r="C588" s="5" t="str">
        <f ca="1">Language!A$197</f>
        <v>разы</v>
      </c>
      <c r="D588" s="16" t="s">
        <v>176</v>
      </c>
      <c r="F588" s="164" t="str">
        <f t="shared" ref="F588:M588" ca="1" si="142">IF((-F317-F279)&gt;0,(F327-F317-F279)/(-F317-F279),"-")</f>
        <v>-</v>
      </c>
      <c r="G588" s="164" t="str">
        <f t="shared" ca="1" si="142"/>
        <v>-</v>
      </c>
      <c r="H588" s="164" t="str">
        <f t="shared" ca="1" si="142"/>
        <v>-</v>
      </c>
      <c r="I588" s="164" t="str">
        <f t="shared" ca="1" si="142"/>
        <v>-</v>
      </c>
      <c r="J588" s="164" t="str">
        <f t="shared" ca="1" si="142"/>
        <v>-</v>
      </c>
      <c r="K588" s="164">
        <f t="shared" ca="1" si="142"/>
        <v>10.29734359910044</v>
      </c>
      <c r="L588" s="164">
        <f t="shared" ca="1" si="142"/>
        <v>1.1000000000000001</v>
      </c>
      <c r="M588" s="164">
        <f t="shared" ca="1" si="142"/>
        <v>1.0999999999999999</v>
      </c>
      <c r="N588" s="164">
        <f t="shared" ref="N588" ca="1" si="143">IF((-N317-N279)&gt;0,(N327-N317-N279)/(-N317-N279),"-")</f>
        <v>1.1000000000000003</v>
      </c>
      <c r="O588" s="164">
        <f t="shared" ref="O588:Q588" ca="1" si="144">IF((-O317-O279)&gt;0,(O327-O317-O279)/(-O317-O279),"-")</f>
        <v>2.1119168213293111</v>
      </c>
      <c r="P588" s="164" t="str">
        <f t="shared" ref="P588:Q588" ca="1" si="145">IF((-P317-P279)&gt;0,(P327-P317-P279)/(-P317-P279),"-")</f>
        <v>-</v>
      </c>
      <c r="Q588" s="164" t="str">
        <f t="shared" ca="1" si="145"/>
        <v>-</v>
      </c>
      <c r="S588" s="11"/>
    </row>
    <row r="589" spans="1:19" outlineLevel="1" x14ac:dyDescent="0.2">
      <c r="A589" t="str">
        <f ca="1">Language!A$823</f>
        <v>Покрытие процентов по кредитам</v>
      </c>
      <c r="C589" s="5" t="str">
        <f ca="1">Language!A$197</f>
        <v>разы</v>
      </c>
      <c r="D589" s="16" t="s">
        <v>176</v>
      </c>
      <c r="F589" s="213">
        <f t="shared" ref="F589:M589" ca="1" si="146">IF(F151&gt;0,(F165+F151)/F151,"-")</f>
        <v>-71.848238292635187</v>
      </c>
      <c r="G589" s="213">
        <f t="shared" ca="1" si="146"/>
        <v>-27.133239838387659</v>
      </c>
      <c r="H589" s="213">
        <f t="shared" ca="1" si="146"/>
        <v>-17.570370689747897</v>
      </c>
      <c r="I589" s="213">
        <f t="shared" ca="1" si="146"/>
        <v>-10.921514358424567</v>
      </c>
      <c r="J589" s="213">
        <f t="shared" ca="1" si="146"/>
        <v>-6.1423758755867457</v>
      </c>
      <c r="K589" s="213">
        <f t="shared" ca="1" si="146"/>
        <v>0.82081112987997706</v>
      </c>
      <c r="L589" s="213">
        <f t="shared" ca="1" si="146"/>
        <v>8.4413252420431668</v>
      </c>
      <c r="M589" s="213">
        <f t="shared" ca="1" si="146"/>
        <v>20.853544861107714</v>
      </c>
      <c r="N589" s="213">
        <f t="shared" ref="N589" ca="1" si="147">IF(N151&gt;0,(N165+N151)/N151,"-")</f>
        <v>79.001524093880718</v>
      </c>
      <c r="O589" s="213" t="str">
        <f t="shared" ref="O589:Q589" ca="1" si="148">IF(O151&gt;0,(O165+O151)/O151,"-")</f>
        <v>-</v>
      </c>
      <c r="P589" s="213" t="str">
        <f t="shared" ref="P589:Q589" ca="1" si="149">IF(P151&gt;0,(P165+P151)/P151,"-")</f>
        <v>-</v>
      </c>
      <c r="Q589" s="213" t="str">
        <f t="shared" ca="1" si="149"/>
        <v>-</v>
      </c>
      <c r="S589" s="11"/>
    </row>
    <row r="590" spans="1:19" outlineLevel="1" x14ac:dyDescent="0.2">
      <c r="A590" s="63"/>
      <c r="B590" s="63"/>
      <c r="C590" s="63"/>
      <c r="D590" s="63"/>
      <c r="E590" s="63"/>
      <c r="F590" s="63"/>
      <c r="G590" s="63"/>
      <c r="H590" s="63"/>
      <c r="I590" s="63"/>
      <c r="J590" s="63"/>
      <c r="K590" s="63"/>
      <c r="L590" s="63"/>
      <c r="M590" s="63"/>
      <c r="N590" s="63"/>
      <c r="O590" s="63"/>
      <c r="P590" s="63"/>
      <c r="Q590" s="63"/>
      <c r="R590" s="63"/>
      <c r="S590" s="11"/>
    </row>
    <row r="591" spans="1:19" outlineLevel="1" collapsed="1" x14ac:dyDescent="0.2">
      <c r="A591" s="22" t="str">
        <f ca="1">Language!A$824</f>
        <v>График: Рентабельность активов</v>
      </c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11"/>
    </row>
    <row r="592" spans="1:19" hidden="1" outlineLevel="2" x14ac:dyDescent="0.2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11"/>
    </row>
    <row r="593" spans="1:19" hidden="1" outlineLevel="2" x14ac:dyDescent="0.2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11"/>
    </row>
    <row r="594" spans="1:19" hidden="1" outlineLevel="2" x14ac:dyDescent="0.2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11"/>
    </row>
    <row r="595" spans="1:19" hidden="1" outlineLevel="2" x14ac:dyDescent="0.2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11"/>
    </row>
    <row r="596" spans="1:19" hidden="1" outlineLevel="2" x14ac:dyDescent="0.2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11"/>
    </row>
    <row r="597" spans="1:19" hidden="1" outlineLevel="2" x14ac:dyDescent="0.2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11"/>
    </row>
    <row r="598" spans="1:19" hidden="1" outlineLevel="2" x14ac:dyDescent="0.2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11"/>
    </row>
    <row r="599" spans="1:19" hidden="1" outlineLevel="2" x14ac:dyDescent="0.2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11"/>
    </row>
    <row r="600" spans="1:19" hidden="1" outlineLevel="2" x14ac:dyDescent="0.2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11"/>
    </row>
    <row r="601" spans="1:19" hidden="1" outlineLevel="2" x14ac:dyDescent="0.2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11"/>
    </row>
    <row r="602" spans="1:19" hidden="1" outlineLevel="2" x14ac:dyDescent="0.2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11"/>
    </row>
    <row r="603" spans="1:19" hidden="1" outlineLevel="2" x14ac:dyDescent="0.2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11"/>
    </row>
    <row r="604" spans="1:19" hidden="1" outlineLevel="2" x14ac:dyDescent="0.2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11"/>
    </row>
    <row r="605" spans="1:19" hidden="1" outlineLevel="2" x14ac:dyDescent="0.2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11"/>
    </row>
    <row r="606" spans="1:19" hidden="1" outlineLevel="2" x14ac:dyDescent="0.2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11"/>
    </row>
    <row r="607" spans="1:19" hidden="1" outlineLevel="2" x14ac:dyDescent="0.2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11"/>
    </row>
    <row r="608" spans="1:19" hidden="1" outlineLevel="2" x14ac:dyDescent="0.2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11"/>
    </row>
    <row r="609" spans="1:19" hidden="1" outlineLevel="2" x14ac:dyDescent="0.2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11"/>
    </row>
    <row r="610" spans="1:19" hidden="1" outlineLevel="2" x14ac:dyDescent="0.2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11"/>
    </row>
    <row r="611" spans="1:19" hidden="1" outlineLevel="2" x14ac:dyDescent="0.2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11"/>
    </row>
    <row r="612" spans="1:19" hidden="1" outlineLevel="2" x14ac:dyDescent="0.2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11"/>
    </row>
    <row r="613" spans="1:19" hidden="1" outlineLevel="2" x14ac:dyDescent="0.2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11"/>
    </row>
    <row r="614" spans="1:19" hidden="1" outlineLevel="2" x14ac:dyDescent="0.2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11"/>
    </row>
    <row r="615" spans="1:19" outlineLevel="1" x14ac:dyDescent="0.2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11"/>
    </row>
    <row r="616" spans="1:19" outlineLevel="1" collapsed="1" x14ac:dyDescent="0.2">
      <c r="A616" s="22" t="str">
        <f ca="1">Language!A$825</f>
        <v>График: Прибыльность продаж</v>
      </c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11"/>
    </row>
    <row r="617" spans="1:19" hidden="1" outlineLevel="2" x14ac:dyDescent="0.2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11"/>
    </row>
    <row r="618" spans="1:19" hidden="1" outlineLevel="2" x14ac:dyDescent="0.2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11"/>
    </row>
    <row r="619" spans="1:19" hidden="1" outlineLevel="2" x14ac:dyDescent="0.2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11"/>
    </row>
    <row r="620" spans="1:19" hidden="1" outlineLevel="2" x14ac:dyDescent="0.2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11"/>
    </row>
    <row r="621" spans="1:19" hidden="1" outlineLevel="2" x14ac:dyDescent="0.2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11"/>
    </row>
    <row r="622" spans="1:19" hidden="1" outlineLevel="2" x14ac:dyDescent="0.2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11"/>
    </row>
    <row r="623" spans="1:19" hidden="1" outlineLevel="2" x14ac:dyDescent="0.2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11"/>
    </row>
    <row r="624" spans="1:19" hidden="1" outlineLevel="2" x14ac:dyDescent="0.2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11"/>
    </row>
    <row r="625" spans="1:19" hidden="1" outlineLevel="2" x14ac:dyDescent="0.2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11"/>
    </row>
    <row r="626" spans="1:19" hidden="1" outlineLevel="2" x14ac:dyDescent="0.2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11"/>
    </row>
    <row r="627" spans="1:19" hidden="1" outlineLevel="2" x14ac:dyDescent="0.2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11"/>
    </row>
    <row r="628" spans="1:19" hidden="1" outlineLevel="2" x14ac:dyDescent="0.2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11"/>
    </row>
    <row r="629" spans="1:19" hidden="1" outlineLevel="2" x14ac:dyDescent="0.2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11"/>
    </row>
    <row r="630" spans="1:19" hidden="1" outlineLevel="2" x14ac:dyDescent="0.2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11"/>
    </row>
    <row r="631" spans="1:19" hidden="1" outlineLevel="2" x14ac:dyDescent="0.2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11"/>
    </row>
    <row r="632" spans="1:19" hidden="1" outlineLevel="2" x14ac:dyDescent="0.2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11"/>
    </row>
    <row r="633" spans="1:19" hidden="1" outlineLevel="2" x14ac:dyDescent="0.2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11"/>
    </row>
    <row r="634" spans="1:19" hidden="1" outlineLevel="2" x14ac:dyDescent="0.2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11"/>
    </row>
    <row r="635" spans="1:19" hidden="1" outlineLevel="2" x14ac:dyDescent="0.2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11"/>
    </row>
    <row r="636" spans="1:19" hidden="1" outlineLevel="2" x14ac:dyDescent="0.2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11"/>
    </row>
    <row r="637" spans="1:19" hidden="1" outlineLevel="2" x14ac:dyDescent="0.2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11"/>
    </row>
    <row r="638" spans="1:19" hidden="1" outlineLevel="2" x14ac:dyDescent="0.2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11"/>
    </row>
    <row r="639" spans="1:19" hidden="1" outlineLevel="2" x14ac:dyDescent="0.2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11"/>
    </row>
    <row r="640" spans="1:19" outlineLevel="1" x14ac:dyDescent="0.2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11"/>
    </row>
    <row r="641" spans="1:19" outlineLevel="1" collapsed="1" x14ac:dyDescent="0.2">
      <c r="A641" s="22" t="str">
        <f ca="1">Language!A$826</f>
        <v>График: Рентабельность по EBITDA</v>
      </c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11"/>
    </row>
    <row r="642" spans="1:19" hidden="1" outlineLevel="2" x14ac:dyDescent="0.2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11"/>
    </row>
    <row r="643" spans="1:19" hidden="1" outlineLevel="2" x14ac:dyDescent="0.2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11"/>
    </row>
    <row r="644" spans="1:19" hidden="1" outlineLevel="2" x14ac:dyDescent="0.2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11"/>
    </row>
    <row r="645" spans="1:19" hidden="1" outlineLevel="2" x14ac:dyDescent="0.2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11"/>
    </row>
    <row r="646" spans="1:19" hidden="1" outlineLevel="2" x14ac:dyDescent="0.2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11"/>
    </row>
    <row r="647" spans="1:19" hidden="1" outlineLevel="2" x14ac:dyDescent="0.2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11"/>
    </row>
    <row r="648" spans="1:19" hidden="1" outlineLevel="2" x14ac:dyDescent="0.2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11"/>
    </row>
    <row r="649" spans="1:19" hidden="1" outlineLevel="2" x14ac:dyDescent="0.2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11"/>
    </row>
    <row r="650" spans="1:19" hidden="1" outlineLevel="2" x14ac:dyDescent="0.2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11"/>
    </row>
    <row r="651" spans="1:19" hidden="1" outlineLevel="2" x14ac:dyDescent="0.2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11"/>
    </row>
    <row r="652" spans="1:19" hidden="1" outlineLevel="2" x14ac:dyDescent="0.2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11"/>
    </row>
    <row r="653" spans="1:19" hidden="1" outlineLevel="2" x14ac:dyDescent="0.2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11"/>
    </row>
    <row r="654" spans="1:19" hidden="1" outlineLevel="2" x14ac:dyDescent="0.2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11"/>
    </row>
    <row r="655" spans="1:19" hidden="1" outlineLevel="2" x14ac:dyDescent="0.2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11"/>
    </row>
    <row r="656" spans="1:19" hidden="1" outlineLevel="2" x14ac:dyDescent="0.2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11"/>
    </row>
    <row r="657" spans="1:19" hidden="1" outlineLevel="2" x14ac:dyDescent="0.2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11"/>
    </row>
    <row r="658" spans="1:19" hidden="1" outlineLevel="2" x14ac:dyDescent="0.2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11"/>
    </row>
    <row r="659" spans="1:19" hidden="1" outlineLevel="2" x14ac:dyDescent="0.2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11"/>
    </row>
    <row r="660" spans="1:19" hidden="1" outlineLevel="2" x14ac:dyDescent="0.2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11"/>
    </row>
    <row r="661" spans="1:19" hidden="1" outlineLevel="2" x14ac:dyDescent="0.2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11"/>
    </row>
    <row r="662" spans="1:19" hidden="1" outlineLevel="2" x14ac:dyDescent="0.2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11"/>
    </row>
    <row r="663" spans="1:19" hidden="1" outlineLevel="2" x14ac:dyDescent="0.2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11"/>
    </row>
    <row r="664" spans="1:19" hidden="1" outlineLevel="2" x14ac:dyDescent="0.2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11"/>
    </row>
    <row r="665" spans="1:19" outlineLevel="1" x14ac:dyDescent="0.2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11"/>
    </row>
    <row r="666" spans="1:19" outlineLevel="1" x14ac:dyDescent="0.2">
      <c r="S666" s="11"/>
    </row>
    <row r="667" spans="1:19" s="4" customFormat="1" ht="16" customHeight="1" thickBot="1" x14ac:dyDescent="0.25">
      <c r="A667" s="166" t="str">
        <f ca="1">Language!A$827</f>
        <v xml:space="preserve">         ЭФФЕКТИВНОСТЬ ПОЛНЫХ ИНВЕСТИЦИОННЫХ ЗАТРАТ</v>
      </c>
      <c r="B667" s="166"/>
      <c r="C667" s="166"/>
      <c r="D667" s="166"/>
      <c r="E667" s="166"/>
      <c r="F667" s="178" t="str">
        <f>IF(Проект!ShowRealDates,F36,F34)</f>
        <v>4/ 2020</v>
      </c>
      <c r="G667" s="178" t="str">
        <f>IF(Проект!ShowRealDates,G36,G34)</f>
        <v>5/ 2020</v>
      </c>
      <c r="H667" s="178" t="str">
        <f>IF(Проект!ShowRealDates,H36,H34)</f>
        <v>6/ 2020</v>
      </c>
      <c r="I667" s="178" t="str">
        <f>IF(Проект!ShowRealDates,I36,I34)</f>
        <v>7/ 2020</v>
      </c>
      <c r="J667" s="178" t="str">
        <f>IF(Проект!ShowRealDates,J36,J34)</f>
        <v>8/ 2020</v>
      </c>
      <c r="K667" s="178" t="str">
        <f>IF(Проект!ShowRealDates,K36,K34)</f>
        <v>9/ 2020</v>
      </c>
      <c r="L667" s="178" t="str">
        <f>IF(Проект!ShowRealDates,L36,L34)</f>
        <v>10/ 2020</v>
      </c>
      <c r="M667" s="178" t="str">
        <f>IF(Проект!ShowRealDates,M36,M34)</f>
        <v>11/ 2020</v>
      </c>
      <c r="N667" s="178" t="str">
        <f>IF(Проект!ShowRealDates,N36,N34)</f>
        <v>12/ 2020</v>
      </c>
      <c r="O667" s="178" t="str">
        <f>IF(Проект!ShowRealDates,O36,O34)</f>
        <v>1/ 2021</v>
      </c>
      <c r="P667" s="178" t="str">
        <f>IF(Проект!ShowRealDates,P36,P34)</f>
        <v>2/ 2021</v>
      </c>
      <c r="Q667" s="178" t="str">
        <f>IF(Проект!ShowRealDates,Q36,Q34)</f>
        <v>3/ 2021</v>
      </c>
      <c r="R667" s="166"/>
      <c r="S667" s="167" t="str">
        <f ca="1">Language!A$371</f>
        <v>ИТОГО</v>
      </c>
    </row>
    <row r="668" spans="1:19" ht="10.5" outlineLevel="1" thickTop="1" x14ac:dyDescent="0.2">
      <c r="S668" s="11"/>
    </row>
    <row r="669" spans="1:19" outlineLevel="1" collapsed="1" x14ac:dyDescent="0.2">
      <c r="A669" s="23" t="str">
        <f ca="1">Language!A104</f>
        <v>Предполагаемый темп годового роста цен</v>
      </c>
      <c r="C669" s="5" t="s">
        <v>177</v>
      </c>
      <c r="D669" s="16" t="s">
        <v>176</v>
      </c>
      <c r="F669" s="257">
        <f>Проект!F80</f>
        <v>8.0000000000000002E-3</v>
      </c>
      <c r="G669" s="257">
        <f t="shared" ref="G669:Q669" si="150">F669</f>
        <v>8.0000000000000002E-3</v>
      </c>
      <c r="H669" s="257">
        <f t="shared" si="150"/>
        <v>8.0000000000000002E-3</v>
      </c>
      <c r="I669" s="257">
        <f t="shared" si="150"/>
        <v>8.0000000000000002E-3</v>
      </c>
      <c r="J669" s="257">
        <f t="shared" si="150"/>
        <v>8.0000000000000002E-3</v>
      </c>
      <c r="K669" s="257">
        <f t="shared" si="150"/>
        <v>8.0000000000000002E-3</v>
      </c>
      <c r="L669" s="257">
        <f t="shared" si="150"/>
        <v>8.0000000000000002E-3</v>
      </c>
      <c r="M669" s="257">
        <f t="shared" si="150"/>
        <v>8.0000000000000002E-3</v>
      </c>
      <c r="N669" s="257">
        <f t="shared" si="150"/>
        <v>8.0000000000000002E-3</v>
      </c>
      <c r="O669" s="257">
        <f t="shared" si="150"/>
        <v>8.0000000000000002E-3</v>
      </c>
      <c r="P669" s="257">
        <f t="shared" si="150"/>
        <v>8.0000000000000002E-3</v>
      </c>
      <c r="Q669" s="257">
        <f t="shared" si="150"/>
        <v>8.0000000000000002E-3</v>
      </c>
      <c r="S669" s="11"/>
    </row>
    <row r="670" spans="1:19" hidden="1" outlineLevel="2" x14ac:dyDescent="0.2">
      <c r="A670" t="str">
        <f ca="1">Language!A106</f>
        <v>То же, в пересчете на период, равный шагу проекта</v>
      </c>
      <c r="C670" s="5" t="s">
        <v>177</v>
      </c>
      <c r="D670" s="16" t="s">
        <v>176</v>
      </c>
      <c r="F670" s="30">
        <f t="shared" ref="F670:M670" si="151">POWER(1+F669,PRJ_Step/360)-1</f>
        <v>6.6423464362252993E-4</v>
      </c>
      <c r="G670" s="30">
        <f t="shared" si="151"/>
        <v>6.6423464362252993E-4</v>
      </c>
      <c r="H670" s="30">
        <f t="shared" si="151"/>
        <v>6.6423464362252993E-4</v>
      </c>
      <c r="I670" s="30">
        <f t="shared" si="151"/>
        <v>6.6423464362252993E-4</v>
      </c>
      <c r="J670" s="30">
        <f t="shared" si="151"/>
        <v>6.6423464362252993E-4</v>
      </c>
      <c r="K670" s="30">
        <f t="shared" si="151"/>
        <v>6.6423464362252993E-4</v>
      </c>
      <c r="L670" s="30">
        <f t="shared" si="151"/>
        <v>6.6423464362252993E-4</v>
      </c>
      <c r="M670" s="30">
        <f t="shared" si="151"/>
        <v>6.6423464362252993E-4</v>
      </c>
      <c r="N670" s="30">
        <f t="shared" ref="N670" si="152">POWER(1+N669,PRJ_Step/360)-1</f>
        <v>6.6423464362252993E-4</v>
      </c>
      <c r="O670" s="30">
        <f t="shared" ref="O670:Q670" si="153">POWER(1+O669,PRJ_Step/360)-1</f>
        <v>6.6423464362252993E-4</v>
      </c>
      <c r="P670" s="30">
        <f t="shared" ref="P670:Q670" si="154">POWER(1+P669,PRJ_Step/360)-1</f>
        <v>6.6423464362252993E-4</v>
      </c>
      <c r="Q670" s="30">
        <f t="shared" si="154"/>
        <v>6.6423464362252993E-4</v>
      </c>
      <c r="S670" s="11"/>
    </row>
    <row r="671" spans="1:19" outlineLevel="1" x14ac:dyDescent="0.2">
      <c r="C671" s="5"/>
      <c r="D671" s="16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S671" s="11"/>
    </row>
    <row r="672" spans="1:19" outlineLevel="1" x14ac:dyDescent="0.2">
      <c r="A672" t="str">
        <f ca="1">Language!A$833</f>
        <v>Учитывать ранее осуществленные инвестиции</v>
      </c>
      <c r="B672" s="255">
        <v>2</v>
      </c>
      <c r="C672" s="36" t="str">
        <f ca="1">CHOOSE(B672,Language!A828,Language!A829)</f>
        <v>Нет</v>
      </c>
      <c r="S672" s="11"/>
    </row>
    <row r="673" spans="1:19" outlineLevel="1" x14ac:dyDescent="0.2">
      <c r="A673" t="str">
        <f ca="1">Language!A$834</f>
        <v>Учитывать остаточную стоимость проекта</v>
      </c>
      <c r="B673" s="255">
        <v>1</v>
      </c>
      <c r="C673" s="36" t="str">
        <f ca="1">CHOOSE(B673,Language!A$828,Language!A$829)</f>
        <v>Да</v>
      </c>
      <c r="S673" s="11"/>
    </row>
    <row r="674" spans="1:19" outlineLevel="1" collapsed="1" x14ac:dyDescent="0.2">
      <c r="A674" t="str">
        <f ca="1">Language!A$836</f>
        <v>Годовая ставка дисконтирования:</v>
      </c>
      <c r="B674" s="273">
        <f>Проект!SENS_Discount</f>
        <v>0.25</v>
      </c>
      <c r="C674" s="5" t="s">
        <v>177</v>
      </c>
      <c r="D674" s="16" t="s">
        <v>176</v>
      </c>
      <c r="F674" s="251">
        <f>$B$674</f>
        <v>0.25</v>
      </c>
      <c r="G674" s="251">
        <f t="shared" ref="G674:Q674" si="155">F674</f>
        <v>0.25</v>
      </c>
      <c r="H674" s="251">
        <f t="shared" si="155"/>
        <v>0.25</v>
      </c>
      <c r="I674" s="251">
        <f t="shared" si="155"/>
        <v>0.25</v>
      </c>
      <c r="J674" s="251">
        <f t="shared" si="155"/>
        <v>0.25</v>
      </c>
      <c r="K674" s="251">
        <f t="shared" si="155"/>
        <v>0.25</v>
      </c>
      <c r="L674" s="251">
        <f t="shared" si="155"/>
        <v>0.25</v>
      </c>
      <c r="M674" s="251">
        <f t="shared" si="155"/>
        <v>0.25</v>
      </c>
      <c r="N674" s="251">
        <f t="shared" si="155"/>
        <v>0.25</v>
      </c>
      <c r="O674" s="251">
        <f t="shared" si="155"/>
        <v>0.25</v>
      </c>
      <c r="P674" s="251">
        <f t="shared" si="155"/>
        <v>0.25</v>
      </c>
      <c r="Q674" s="251">
        <f t="shared" si="155"/>
        <v>0.25</v>
      </c>
      <c r="S674" s="11"/>
    </row>
    <row r="675" spans="1:19" hidden="1" outlineLevel="2" x14ac:dyDescent="0.2">
      <c r="A675" t="str">
        <f ca="1">Language!A$837</f>
        <v xml:space="preserve">    ставка дисконтирования на расчетный период</v>
      </c>
      <c r="D675" s="16" t="s">
        <v>176</v>
      </c>
      <c r="F675" s="251">
        <f t="shared" ref="F675:M675" si="156">POWER(1+F674,PRJ_Step/360)-1-IF(CalcMethod=1,F670,0)</f>
        <v>1.8105030477883588E-2</v>
      </c>
      <c r="G675" s="251">
        <f t="shared" si="156"/>
        <v>1.8105030477883588E-2</v>
      </c>
      <c r="H675" s="251">
        <f t="shared" si="156"/>
        <v>1.8105030477883588E-2</v>
      </c>
      <c r="I675" s="251">
        <f t="shared" si="156"/>
        <v>1.8105030477883588E-2</v>
      </c>
      <c r="J675" s="251">
        <f t="shared" si="156"/>
        <v>1.8105030477883588E-2</v>
      </c>
      <c r="K675" s="251">
        <f t="shared" si="156"/>
        <v>1.8105030477883588E-2</v>
      </c>
      <c r="L675" s="251">
        <f t="shared" si="156"/>
        <v>1.8105030477883588E-2</v>
      </c>
      <c r="M675" s="251">
        <f t="shared" si="156"/>
        <v>1.8105030477883588E-2</v>
      </c>
      <c r="N675" s="251">
        <f t="shared" ref="N675" si="157">POWER(1+N674,PRJ_Step/360)-1-IF(CalcMethod=1,N670,0)</f>
        <v>1.8105030477883588E-2</v>
      </c>
      <c r="O675" s="251">
        <f t="shared" ref="O675:Q675" si="158">POWER(1+O674,PRJ_Step/360)-1-IF(CalcMethod=1,O670,0)</f>
        <v>1.8105030477883588E-2</v>
      </c>
      <c r="P675" s="251">
        <f t="shared" ref="P675:Q675" si="159">POWER(1+P674,PRJ_Step/360)-1-IF(CalcMethod=1,P670,0)</f>
        <v>1.8105030477883588E-2</v>
      </c>
      <c r="Q675" s="251">
        <f t="shared" si="159"/>
        <v>1.8105030477883588E-2</v>
      </c>
      <c r="S675" s="11"/>
    </row>
    <row r="676" spans="1:19" hidden="1" outlineLevel="2" x14ac:dyDescent="0.2">
      <c r="A676" t="str">
        <f ca="1">Language!A$838</f>
        <v xml:space="preserve">    коэффициент дисконта для потока на начало периода</v>
      </c>
      <c r="D676" s="16" t="s">
        <v>176</v>
      </c>
      <c r="F676" s="252">
        <v>1</v>
      </c>
      <c r="G676" s="252">
        <f t="shared" ref="G676:Q676" si="160">F676*(1+F675)</f>
        <v>1.0181050304778836</v>
      </c>
      <c r="H676" s="252">
        <f t="shared" si="160"/>
        <v>1.0365378530843723</v>
      </c>
      <c r="I676" s="252">
        <f t="shared" si="160"/>
        <v>1.0553044025059448</v>
      </c>
      <c r="J676" s="252">
        <f t="shared" si="160"/>
        <v>1.0744107208767597</v>
      </c>
      <c r="K676" s="252">
        <f t="shared" si="160"/>
        <v>1.0938629597239984</v>
      </c>
      <c r="L676" s="252">
        <f t="shared" si="160"/>
        <v>1.1136673819484293</v>
      </c>
      <c r="M676" s="252">
        <f t="shared" si="160"/>
        <v>1.1338303638408305</v>
      </c>
      <c r="N676" s="252">
        <f t="shared" si="160"/>
        <v>1.1543583971349185</v>
      </c>
      <c r="O676" s="252">
        <f t="shared" si="160"/>
        <v>1.1752580910974471</v>
      </c>
      <c r="P676" s="252">
        <f t="shared" si="160"/>
        <v>1.1965361746561456</v>
      </c>
      <c r="Q676" s="252">
        <f t="shared" si="160"/>
        <v>1.2181994985661853</v>
      </c>
      <c r="S676" s="11"/>
    </row>
    <row r="677" spans="1:19" outlineLevel="1" x14ac:dyDescent="0.2">
      <c r="F677" s="136"/>
      <c r="S677" s="11"/>
    </row>
    <row r="678" spans="1:19" outlineLevel="1" collapsed="1" x14ac:dyDescent="0.2">
      <c r="A678" s="23" t="str">
        <f ca="1">Language!A$840</f>
        <v>Учитываемые денежные потоки проекта:</v>
      </c>
      <c r="S678" s="11"/>
    </row>
    <row r="679" spans="1:19" hidden="1" outlineLevel="2" x14ac:dyDescent="0.2">
      <c r="A679" t="str">
        <f ca="1">Language!A$841</f>
        <v>Денежные потоки от операционной деятельности</v>
      </c>
      <c r="B679" s="36" t="str">
        <f ca="1">Language!A$828</f>
        <v>Да</v>
      </c>
      <c r="C679" s="5" t="str">
        <f t="shared" ref="C679:C689" ca="1" si="161">CUR_Report</f>
        <v>руб.</v>
      </c>
      <c r="F679" s="84">
        <f t="shared" ref="F679:M679" ca="1" si="162">F286+F313</f>
        <v>-2966160</v>
      </c>
      <c r="G679" s="84">
        <f t="shared" ca="1" si="162"/>
        <v>-2555760</v>
      </c>
      <c r="H679" s="84">
        <f t="shared" ca="1" si="162"/>
        <v>-2428008.50875</v>
      </c>
      <c r="I679" s="84">
        <f t="shared" ca="1" si="162"/>
        <v>-1917002.5437500002</v>
      </c>
      <c r="J679" s="84">
        <f t="shared" ca="1" si="162"/>
        <v>-1278245.0874999999</v>
      </c>
      <c r="K679" s="84">
        <f t="shared" ca="1" si="162"/>
        <v>-730.17499999981374</v>
      </c>
      <c r="L679" s="84">
        <f t="shared" ca="1" si="162"/>
        <v>1096547.5479740878</v>
      </c>
      <c r="M679" s="84">
        <f t="shared" ca="1" si="162"/>
        <v>2416169.2904287498</v>
      </c>
      <c r="N679" s="84">
        <f t="shared" ref="N679" ca="1" si="163">N286+N313</f>
        <v>4408306.0298950961</v>
      </c>
      <c r="O679" s="84">
        <f t="shared" ref="O679:Q679" ca="1" si="164">O286+O313</f>
        <v>7025601.84375</v>
      </c>
      <c r="P679" s="84">
        <f t="shared" ref="P679:Q679" ca="1" si="165">P286+P313</f>
        <v>8941874.2125000004</v>
      </c>
      <c r="Q679" s="84">
        <f t="shared" ca="1" si="165"/>
        <v>10219389.125</v>
      </c>
      <c r="S679" s="54">
        <f ca="1">SUM(F679:Q679)</f>
        <v>22961981.734547932</v>
      </c>
    </row>
    <row r="680" spans="1:19" hidden="1" outlineLevel="2" x14ac:dyDescent="0.2">
      <c r="A680" t="str">
        <f ca="1">Language!A$842</f>
        <v xml:space="preserve">    за исключением процентов по кредитам</v>
      </c>
      <c r="B680" s="36" t="str">
        <f ca="1">Language!A$828</f>
        <v>Да</v>
      </c>
      <c r="C680" s="5" t="str">
        <f t="shared" ca="1" si="161"/>
        <v>руб.</v>
      </c>
      <c r="D680" s="5"/>
      <c r="F680" s="53">
        <f t="shared" ref="F680:M680" ca="1" si="166">-F279</f>
        <v>0</v>
      </c>
      <c r="G680" s="53">
        <f t="shared" ca="1" si="166"/>
        <v>0</v>
      </c>
      <c r="H680" s="53">
        <f t="shared" ca="1" si="166"/>
        <v>0</v>
      </c>
      <c r="I680" s="53">
        <f t="shared" ca="1" si="166"/>
        <v>0</v>
      </c>
      <c r="J680" s="53">
        <f t="shared" ca="1" si="166"/>
        <v>0</v>
      </c>
      <c r="K680" s="53">
        <f t="shared" ca="1" si="166"/>
        <v>0</v>
      </c>
      <c r="L680" s="53">
        <f t="shared" ca="1" si="166"/>
        <v>180237.18952591211</v>
      </c>
      <c r="M680" s="53">
        <f t="shared" ca="1" si="166"/>
        <v>138130.35957124989</v>
      </c>
      <c r="N680" s="53">
        <f t="shared" ref="N680" ca="1" si="167">-N279</f>
        <v>62265.988854903924</v>
      </c>
      <c r="O680" s="53">
        <f t="shared" ref="O680:Q680" ca="1" si="168">-O279</f>
        <v>0</v>
      </c>
      <c r="P680" s="53">
        <f t="shared" ref="P680:Q680" ca="1" si="169">-P279</f>
        <v>0</v>
      </c>
      <c r="Q680" s="53">
        <f t="shared" ca="1" si="169"/>
        <v>0</v>
      </c>
      <c r="S680" s="54">
        <f ca="1">SUM(F680:Q680)</f>
        <v>380633.53795206588</v>
      </c>
    </row>
    <row r="681" spans="1:19" hidden="1" outlineLevel="2" x14ac:dyDescent="0.2">
      <c r="A681" t="str">
        <f ca="1">Language!A$843</f>
        <v>Денежные потоки от инвестиционной деятельности</v>
      </c>
      <c r="B681" s="36" t="str">
        <f ca="1">Language!A$828</f>
        <v>Да</v>
      </c>
      <c r="C681" s="5" t="str">
        <f t="shared" ca="1" si="161"/>
        <v>руб.</v>
      </c>
      <c r="D681" s="5"/>
      <c r="F681" s="53">
        <f t="shared" ref="F681:M681" ca="1" si="170">F306</f>
        <v>648376</v>
      </c>
      <c r="G681" s="53">
        <f t="shared" ca="1" si="170"/>
        <v>-415440</v>
      </c>
      <c r="H681" s="53">
        <f t="shared" ca="1" si="170"/>
        <v>24435.877125000115</v>
      </c>
      <c r="I681" s="53">
        <f t="shared" ca="1" si="170"/>
        <v>97743.508499999763</v>
      </c>
      <c r="J681" s="53">
        <f t="shared" ca="1" si="170"/>
        <v>122179.385625</v>
      </c>
      <c r="K681" s="53">
        <f t="shared" ca="1" si="170"/>
        <v>244358.77125000022</v>
      </c>
      <c r="L681" s="53">
        <f t="shared" ca="1" si="170"/>
        <v>244358.77124999976</v>
      </c>
      <c r="M681" s="53">
        <f t="shared" ca="1" si="170"/>
        <v>244358.77125000011</v>
      </c>
      <c r="N681" s="53">
        <f t="shared" ref="N681" ca="1" si="171">N306</f>
        <v>366538.15687499987</v>
      </c>
      <c r="O681" s="53">
        <f t="shared" ref="O681:Q681" ca="1" si="172">O306</f>
        <v>488717.54250000021</v>
      </c>
      <c r="P681" s="53">
        <f t="shared" ref="P681:Q681" ca="1" si="173">P306</f>
        <v>366538.1568750001</v>
      </c>
      <c r="Q681" s="53">
        <f t="shared" ca="1" si="173"/>
        <v>244358.77124999976</v>
      </c>
      <c r="S681" s="54">
        <f ca="1">SUM(F681:Q681)</f>
        <v>2676523.7124999999</v>
      </c>
    </row>
    <row r="682" spans="1:19" hidden="1" outlineLevel="2" x14ac:dyDescent="0.2">
      <c r="A682" t="str">
        <f ca="1">Language!A$844</f>
        <v>Поступления собственного капитала</v>
      </c>
      <c r="B682" s="36" t="str">
        <f ca="1">Language!A$829</f>
        <v>Нет</v>
      </c>
      <c r="C682" s="5" t="str">
        <f t="shared" ca="1" si="161"/>
        <v>руб.</v>
      </c>
      <c r="D682" s="5"/>
      <c r="S682" s="11"/>
    </row>
    <row r="683" spans="1:19" hidden="1" outlineLevel="2" x14ac:dyDescent="0.2">
      <c r="A683" t="str">
        <f ca="1">Language!A$845</f>
        <v>Поступления целевого финансирования</v>
      </c>
      <c r="B683" s="36" t="str">
        <f ca="1">Language!A$829</f>
        <v>Нет</v>
      </c>
      <c r="C683" s="5" t="str">
        <f t="shared" ca="1" si="161"/>
        <v>руб.</v>
      </c>
      <c r="D683" s="5"/>
      <c r="S683" s="11"/>
    </row>
    <row r="684" spans="1:19" hidden="1" outlineLevel="2" x14ac:dyDescent="0.2">
      <c r="A684" t="str">
        <f ca="1">Language!A$846</f>
        <v>Поступления кредитов</v>
      </c>
      <c r="B684" s="36" t="str">
        <f ca="1">Language!A$829</f>
        <v>Нет</v>
      </c>
      <c r="C684" s="5" t="str">
        <f t="shared" ca="1" si="161"/>
        <v>руб.</v>
      </c>
      <c r="D684" s="5"/>
      <c r="S684" s="11"/>
    </row>
    <row r="685" spans="1:19" hidden="1" outlineLevel="2" x14ac:dyDescent="0.2">
      <c r="A685" t="str">
        <f ca="1">Language!A$847</f>
        <v>Возврат кредитов</v>
      </c>
      <c r="B685" s="36" t="str">
        <f ca="1">Language!A$829</f>
        <v>Нет</v>
      </c>
      <c r="C685" s="5" t="str">
        <f t="shared" ca="1" si="161"/>
        <v>руб.</v>
      </c>
      <c r="D685" s="5"/>
      <c r="S685" s="11"/>
    </row>
    <row r="686" spans="1:19" hidden="1" outlineLevel="2" x14ac:dyDescent="0.2">
      <c r="A686" t="str">
        <f ca="1">Language!A$848</f>
        <v>Лизинговые платежи</v>
      </c>
      <c r="B686" s="36" t="str">
        <f ca="1">Language!A$828</f>
        <v>Да</v>
      </c>
      <c r="C686" s="5" t="str">
        <f t="shared" ca="1" si="161"/>
        <v>руб.</v>
      </c>
      <c r="D686" s="5"/>
      <c r="F686" s="53">
        <f t="shared" ref="F686:M686" ca="1" si="174">F319</f>
        <v>0</v>
      </c>
      <c r="G686" s="53">
        <f t="shared" ca="1" si="174"/>
        <v>0</v>
      </c>
      <c r="H686" s="53">
        <f t="shared" ca="1" si="174"/>
        <v>0</v>
      </c>
      <c r="I686" s="53">
        <f t="shared" ca="1" si="174"/>
        <v>0</v>
      </c>
      <c r="J686" s="53">
        <f t="shared" ca="1" si="174"/>
        <v>0</v>
      </c>
      <c r="K686" s="53">
        <f t="shared" ca="1" si="174"/>
        <v>0</v>
      </c>
      <c r="L686" s="53">
        <f t="shared" ca="1" si="174"/>
        <v>0</v>
      </c>
      <c r="M686" s="53">
        <f t="shared" ca="1" si="174"/>
        <v>0</v>
      </c>
      <c r="N686" s="53">
        <f t="shared" ref="N686" ca="1" si="175">N319</f>
        <v>0</v>
      </c>
      <c r="O686" s="53">
        <f t="shared" ref="O686:Q686" ca="1" si="176">O319</f>
        <v>0</v>
      </c>
      <c r="P686" s="53">
        <f t="shared" ref="P686:Q686" ca="1" si="177">P319</f>
        <v>0</v>
      </c>
      <c r="Q686" s="53">
        <f t="shared" ca="1" si="177"/>
        <v>0</v>
      </c>
      <c r="S686" s="54">
        <f ca="1">SUM(F686:Q686)</f>
        <v>0</v>
      </c>
    </row>
    <row r="687" spans="1:19" hidden="1" outlineLevel="2" x14ac:dyDescent="0.2">
      <c r="A687" t="str">
        <f ca="1">Language!A$849</f>
        <v>Выплата дивидендов</v>
      </c>
      <c r="B687" s="36" t="str">
        <f ca="1">Language!A$829</f>
        <v>Нет</v>
      </c>
      <c r="C687" s="5" t="str">
        <f t="shared" ca="1" si="161"/>
        <v>руб.</v>
      </c>
      <c r="D687" s="5"/>
      <c r="S687" s="11"/>
    </row>
    <row r="688" spans="1:19" hidden="1" outlineLevel="2" x14ac:dyDescent="0.2">
      <c r="A688" t="str">
        <f ca="1">Language!A$850</f>
        <v>Ранее осуществленные инвестиции</v>
      </c>
      <c r="B688" s="36" t="str">
        <f ca="1">CHOOSE(B672,Language!A828,Language!A829)</f>
        <v>Нет</v>
      </c>
      <c r="C688" s="5" t="str">
        <f t="shared" ca="1" si="161"/>
        <v>руб.</v>
      </c>
      <c r="D688" s="5"/>
      <c r="F688" s="53">
        <f t="shared" ref="F688:M688" si="178">IF($B672=1,-F112,0)</f>
        <v>0</v>
      </c>
      <c r="G688" s="53">
        <f t="shared" si="178"/>
        <v>0</v>
      </c>
      <c r="H688" s="53">
        <f t="shared" si="178"/>
        <v>0</v>
      </c>
      <c r="I688" s="53">
        <f t="shared" si="178"/>
        <v>0</v>
      </c>
      <c r="J688" s="53">
        <f t="shared" si="178"/>
        <v>0</v>
      </c>
      <c r="K688" s="53">
        <f t="shared" si="178"/>
        <v>0</v>
      </c>
      <c r="L688" s="53">
        <f t="shared" si="178"/>
        <v>0</v>
      </c>
      <c r="M688" s="53">
        <f t="shared" si="178"/>
        <v>0</v>
      </c>
      <c r="N688" s="53">
        <f t="shared" ref="N688" si="179">IF($B672=1,-N112,0)</f>
        <v>0</v>
      </c>
      <c r="O688" s="53">
        <f t="shared" ref="O688:Q688" si="180">IF($B672=1,-O112,0)</f>
        <v>0</v>
      </c>
      <c r="P688" s="53">
        <f t="shared" ref="P688:Q688" si="181">IF($B672=1,-P112,0)</f>
        <v>0</v>
      </c>
      <c r="Q688" s="53">
        <f t="shared" si="181"/>
        <v>0</v>
      </c>
      <c r="S688" s="54">
        <f>SUM(F688:Q688)</f>
        <v>0</v>
      </c>
    </row>
    <row r="689" spans="1:19" hidden="1" outlineLevel="2" x14ac:dyDescent="0.2">
      <c r="A689" t="str">
        <f ca="1">Language!A$851</f>
        <v>Остаточная стоимость проекта</v>
      </c>
      <c r="B689" s="36" t="str">
        <f ca="1">CHOOSE(B673,Language!A$828,Language!A$829)</f>
        <v>Да</v>
      </c>
      <c r="C689" s="5" t="str">
        <f t="shared" ca="1" si="161"/>
        <v>руб.</v>
      </c>
      <c r="D689" s="5"/>
      <c r="F689" s="111">
        <f t="shared" ref="F689:M689" si="182">IF($B673=1,IF(F$33=PRJ_Len,F$506-F$437,0),0)</f>
        <v>0</v>
      </c>
      <c r="G689" s="111">
        <f t="shared" si="182"/>
        <v>0</v>
      </c>
      <c r="H689" s="111">
        <f t="shared" si="182"/>
        <v>0</v>
      </c>
      <c r="I689" s="111">
        <f t="shared" si="182"/>
        <v>0</v>
      </c>
      <c r="J689" s="111">
        <f t="shared" si="182"/>
        <v>0</v>
      </c>
      <c r="K689" s="111">
        <f t="shared" si="182"/>
        <v>0</v>
      </c>
      <c r="L689" s="111">
        <f t="shared" si="182"/>
        <v>0</v>
      </c>
      <c r="M689" s="111">
        <f t="shared" si="182"/>
        <v>0</v>
      </c>
      <c r="N689" s="111">
        <f t="shared" ref="N689" si="183">IF($B673=1,IF(N$33=PRJ_Len,N$506-N$437,0),0)</f>
        <v>0</v>
      </c>
      <c r="O689" s="111">
        <f t="shared" ref="O689:Q689" si="184">IF($B673=1,IF(O$33=PRJ_Len,O$506-O$437,0),0)</f>
        <v>0</v>
      </c>
      <c r="P689" s="111">
        <f t="shared" ref="P689:Q689" si="185">IF($B673=1,IF(P$33=PRJ_Len,P$506-P$437,0),0)</f>
        <v>0</v>
      </c>
      <c r="Q689" s="111">
        <f t="shared" ca="1" si="185"/>
        <v>-3273178.25</v>
      </c>
      <c r="S689" s="54">
        <f ca="1">SUM(F689:Q689)</f>
        <v>-3273178.25</v>
      </c>
    </row>
    <row r="690" spans="1:19" ht="10.5" hidden="1" outlineLevel="2" x14ac:dyDescent="0.25">
      <c r="A690" s="63"/>
      <c r="B690" s="63"/>
      <c r="C690" s="67"/>
      <c r="D690" s="67"/>
      <c r="E690" s="63"/>
      <c r="F690" s="140"/>
      <c r="G690" s="140"/>
      <c r="H690" s="140"/>
      <c r="I690" s="140"/>
      <c r="J690" s="140"/>
      <c r="K690" s="140"/>
      <c r="L690" s="140"/>
      <c r="M690" s="140"/>
      <c r="N690" s="140"/>
      <c r="O690" s="140"/>
      <c r="P690" s="140"/>
      <c r="Q690" s="140"/>
      <c r="R690" s="140"/>
      <c r="S690" s="161"/>
    </row>
    <row r="691" spans="1:19" hidden="1" outlineLevel="2" x14ac:dyDescent="0.2">
      <c r="A691" s="24" t="str">
        <f ca="1">Language!A$852</f>
        <v>Чистый денежный поток</v>
      </c>
      <c r="B691" s="24"/>
      <c r="C691" s="5" t="str">
        <f ca="1">CUR_Report</f>
        <v>руб.</v>
      </c>
      <c r="D691" s="115"/>
      <c r="E691" s="24"/>
      <c r="F691" s="162">
        <f t="shared" ref="F691:M691" ca="1" si="186">F681+F689+F679+F680+F686+F688</f>
        <v>-2317784</v>
      </c>
      <c r="G691" s="162">
        <f t="shared" ca="1" si="186"/>
        <v>-2971200</v>
      </c>
      <c r="H691" s="162">
        <f t="shared" ca="1" si="186"/>
        <v>-2403572.6316249999</v>
      </c>
      <c r="I691" s="162">
        <f t="shared" ca="1" si="186"/>
        <v>-1819259.0352500004</v>
      </c>
      <c r="J691" s="162">
        <f t="shared" ca="1" si="186"/>
        <v>-1156065.7018749998</v>
      </c>
      <c r="K691" s="162">
        <f t="shared" ca="1" si="186"/>
        <v>243628.59625000041</v>
      </c>
      <c r="L691" s="162">
        <f t="shared" ca="1" si="186"/>
        <v>1521143.5087499996</v>
      </c>
      <c r="M691" s="162">
        <f t="shared" ca="1" si="186"/>
        <v>2798658.4212499997</v>
      </c>
      <c r="N691" s="162">
        <f t="shared" ref="N691" ca="1" si="187">N681+N689+N679+N680+N686+N688</f>
        <v>4837110.1756250001</v>
      </c>
      <c r="O691" s="162">
        <f t="shared" ref="O691:Q691" ca="1" si="188">O681+O689+O679+O680+O686+O688</f>
        <v>7514319.3862500004</v>
      </c>
      <c r="P691" s="162">
        <f t="shared" ref="P691:Q691" ca="1" si="189">P681+P689+P679+P680+P686+P688</f>
        <v>9308412.3693749998</v>
      </c>
      <c r="Q691" s="162">
        <f t="shared" ca="1" si="189"/>
        <v>7190569.6462500002</v>
      </c>
      <c r="R691" s="24"/>
      <c r="S691" s="54">
        <f ca="1">SUM(F691:Q691)</f>
        <v>22745960.734999999</v>
      </c>
    </row>
    <row r="692" spans="1:19" outlineLevel="1" x14ac:dyDescent="0.2">
      <c r="A692" t="str">
        <f ca="1">Language!A$853</f>
        <v>Дисконтированный чистый денежный поток</v>
      </c>
      <c r="C692" s="5" t="str">
        <f ca="1">CUR_Report</f>
        <v>руб.</v>
      </c>
      <c r="D692" s="5"/>
      <c r="F692" s="53">
        <f t="shared" ref="F692:M692" ca="1" si="190">F691/F676</f>
        <v>-2317784</v>
      </c>
      <c r="G692" s="53">
        <f t="shared" ca="1" si="190"/>
        <v>-2918362.9498474849</v>
      </c>
      <c r="H692" s="53">
        <f t="shared" ca="1" si="190"/>
        <v>-2318846.9427072178</v>
      </c>
      <c r="I692" s="53">
        <f t="shared" ca="1" si="190"/>
        <v>-1723918.7393987509</v>
      </c>
      <c r="J692" s="53">
        <f t="shared" ca="1" si="190"/>
        <v>-1075999.7824031452</v>
      </c>
      <c r="K692" s="53">
        <f t="shared" ca="1" si="190"/>
        <v>222723.14286194713</v>
      </c>
      <c r="L692" s="53">
        <f t="shared" ca="1" si="190"/>
        <v>1365886.7390806272</v>
      </c>
      <c r="M692" s="53">
        <f t="shared" ca="1" si="190"/>
        <v>2468321.9911042014</v>
      </c>
      <c r="N692" s="53">
        <f t="shared" ref="N692" ca="1" si="191">N691/N676</f>
        <v>4190301.892055844</v>
      </c>
      <c r="O692" s="53">
        <f t="shared" ref="O692:Q692" ca="1" si="192">O691/O676</f>
        <v>6393761.0327219162</v>
      </c>
      <c r="P692" s="53">
        <f t="shared" ref="P692:Q692" ca="1" si="193">P691/P676</f>
        <v>7779465.9004354831</v>
      </c>
      <c r="Q692" s="53">
        <f t="shared" ca="1" si="193"/>
        <v>5902620.7568737837</v>
      </c>
      <c r="S692" s="54">
        <f ca="1">SUM(F692:Q692)</f>
        <v>17968169.040777203</v>
      </c>
    </row>
    <row r="693" spans="1:19" outlineLevel="1" x14ac:dyDescent="0.2">
      <c r="A693" t="str">
        <f ca="1">Language!A$854</f>
        <v>Дисконтированный поток нарастающим итогом</v>
      </c>
      <c r="C693" s="5" t="str">
        <f ca="1">CUR_Report</f>
        <v>руб.</v>
      </c>
      <c r="D693" s="16" t="s">
        <v>384</v>
      </c>
      <c r="F693" s="106">
        <f t="shared" ref="F693:Q693" ca="1" si="194">E693+F692</f>
        <v>-2317784</v>
      </c>
      <c r="G693" s="106">
        <f t="shared" ca="1" si="194"/>
        <v>-5236146.9498474849</v>
      </c>
      <c r="H693" s="106">
        <f t="shared" ca="1" si="194"/>
        <v>-7554993.8925547022</v>
      </c>
      <c r="I693" s="106">
        <f t="shared" ca="1" si="194"/>
        <v>-9278912.6319534536</v>
      </c>
      <c r="J693" s="106">
        <f t="shared" ca="1" si="194"/>
        <v>-10354912.414356599</v>
      </c>
      <c r="K693" s="106">
        <f t="shared" ca="1" si="194"/>
        <v>-10132189.271494651</v>
      </c>
      <c r="L693" s="106">
        <f t="shared" ca="1" si="194"/>
        <v>-8766302.5324140247</v>
      </c>
      <c r="M693" s="106">
        <f t="shared" ca="1" si="194"/>
        <v>-6297980.5413098233</v>
      </c>
      <c r="N693" s="106">
        <f t="shared" ca="1" si="194"/>
        <v>-2107678.6492539793</v>
      </c>
      <c r="O693" s="106">
        <f t="shared" ca="1" si="194"/>
        <v>4286082.3834679369</v>
      </c>
      <c r="P693" s="106">
        <f t="shared" ca="1" si="194"/>
        <v>12065548.28390342</v>
      </c>
      <c r="Q693" s="106">
        <f t="shared" ca="1" si="194"/>
        <v>17968169.040777203</v>
      </c>
      <c r="S693" s="11"/>
    </row>
    <row r="694" spans="1:19" outlineLevel="1" x14ac:dyDescent="0.2">
      <c r="S694" s="11"/>
    </row>
    <row r="695" spans="1:19" outlineLevel="1" collapsed="1" x14ac:dyDescent="0.2">
      <c r="A695" s="23" t="str">
        <f ca="1">Language!A$855</f>
        <v>Простой срок окупаемости</v>
      </c>
      <c r="B695" s="164">
        <f ca="1">IF(ISERROR(E697),Language!A$829,IF(E697&gt;=PRJ_Len,Language!A$829,IF(OR(E697=0),E697*PRJ_Step/360,(E697-OFFSET(F696,0,E697-1)/(-OFFSET(F696,0,E697-1)+OFFSET(F696,0,E697)))*PRJ_Step/360)))</f>
        <v>0.76405472895294224</v>
      </c>
      <c r="C695" s="17" t="str">
        <f ca="1">IF(B695=0,Language!A$33,IF(OR(B695&lt;1,AND(B695&gt;1,B695&lt;5)),Language!A$830,IF(B695=1,Language!A$37,Language!A$33)))</f>
        <v>года</v>
      </c>
      <c r="S695" s="11"/>
    </row>
    <row r="696" spans="1:19" hidden="1" outlineLevel="2" x14ac:dyDescent="0.2">
      <c r="A696" t="str">
        <f ca="1">Language!A$856</f>
        <v xml:space="preserve">    недисконтированный поток нарастающим итогом</v>
      </c>
      <c r="D696" s="16" t="s">
        <v>384</v>
      </c>
      <c r="F696" s="53">
        <f t="shared" ref="F696:Q696" ca="1" si="195">E696+F691</f>
        <v>-2317784</v>
      </c>
      <c r="G696" s="53">
        <f t="shared" ca="1" si="195"/>
        <v>-5288984</v>
      </c>
      <c r="H696" s="53">
        <f t="shared" ca="1" si="195"/>
        <v>-7692556.6316250004</v>
      </c>
      <c r="I696" s="53">
        <f t="shared" ca="1" si="195"/>
        <v>-9511815.666875001</v>
      </c>
      <c r="J696" s="53">
        <f t="shared" ca="1" si="195"/>
        <v>-10667881.36875</v>
      </c>
      <c r="K696" s="53">
        <f t="shared" ca="1" si="195"/>
        <v>-10424252.772500001</v>
      </c>
      <c r="L696" s="53">
        <f t="shared" ca="1" si="195"/>
        <v>-8903109.2637500018</v>
      </c>
      <c r="M696" s="53">
        <f t="shared" ca="1" si="195"/>
        <v>-6104450.8425000021</v>
      </c>
      <c r="N696" s="53">
        <f t="shared" ca="1" si="195"/>
        <v>-1267340.666875002</v>
      </c>
      <c r="O696" s="53">
        <f t="shared" ca="1" si="195"/>
        <v>6246978.7193749985</v>
      </c>
      <c r="P696" s="53">
        <f t="shared" ca="1" si="195"/>
        <v>15555391.088749997</v>
      </c>
      <c r="Q696" s="53">
        <f t="shared" ca="1" si="195"/>
        <v>22745960.734999999</v>
      </c>
      <c r="S696" s="11"/>
    </row>
    <row r="697" spans="1:19" hidden="1" outlineLevel="2" x14ac:dyDescent="0.2">
      <c r="A697" t="str">
        <f ca="1">Language!A$857</f>
        <v xml:space="preserve">    знак остатка денежных средств</v>
      </c>
      <c r="D697" s="16" t="s">
        <v>384</v>
      </c>
      <c r="E697" s="101">
        <f ca="1">PRJ_Len+1-(MATCH(-1,F698:R698,0))</f>
        <v>9</v>
      </c>
      <c r="F697" s="16">
        <f t="shared" ref="F697:M697" ca="1" si="196">SIGN(F696)</f>
        <v>-1</v>
      </c>
      <c r="G697" s="16">
        <f t="shared" ca="1" si="196"/>
        <v>-1</v>
      </c>
      <c r="H697" s="16">
        <f t="shared" ca="1" si="196"/>
        <v>-1</v>
      </c>
      <c r="I697" s="16">
        <f t="shared" ca="1" si="196"/>
        <v>-1</v>
      </c>
      <c r="J697" s="16">
        <f t="shared" ca="1" si="196"/>
        <v>-1</v>
      </c>
      <c r="K697" s="16">
        <f t="shared" ca="1" si="196"/>
        <v>-1</v>
      </c>
      <c r="L697" s="16">
        <f t="shared" ca="1" si="196"/>
        <v>-1</v>
      </c>
      <c r="M697" s="16">
        <f t="shared" ca="1" si="196"/>
        <v>-1</v>
      </c>
      <c r="N697" s="16">
        <f t="shared" ref="N697" ca="1" si="197">SIGN(N696)</f>
        <v>-1</v>
      </c>
      <c r="O697" s="16">
        <f t="shared" ref="O697:Q697" ca="1" si="198">SIGN(O696)</f>
        <v>1</v>
      </c>
      <c r="P697" s="16">
        <f t="shared" ref="P697:Q697" ca="1" si="199">SIGN(P696)</f>
        <v>1</v>
      </c>
      <c r="Q697" s="16">
        <f t="shared" ca="1" si="199"/>
        <v>1</v>
      </c>
      <c r="S697" s="11"/>
    </row>
    <row r="698" spans="1:19" hidden="1" outlineLevel="2" x14ac:dyDescent="0.2">
      <c r="A698" t="str">
        <f ca="1">Language!A$858</f>
        <v xml:space="preserve">    знак остатка денежных средств (с конца)</v>
      </c>
      <c r="D698" s="16" t="s">
        <v>384</v>
      </c>
      <c r="F698" s="101">
        <f t="shared" ref="F698:M698" ca="1" si="200">OFFSET(F697,0,PRJ_Len-F$33-F$33+1)</f>
        <v>1</v>
      </c>
      <c r="G698" s="101">
        <f t="shared" ca="1" si="200"/>
        <v>1</v>
      </c>
      <c r="H698" s="101">
        <f t="shared" ca="1" si="200"/>
        <v>1</v>
      </c>
      <c r="I698" s="101">
        <f t="shared" ca="1" si="200"/>
        <v>-1</v>
      </c>
      <c r="J698" s="101">
        <f t="shared" ca="1" si="200"/>
        <v>-1</v>
      </c>
      <c r="K698" s="101">
        <f t="shared" ca="1" si="200"/>
        <v>-1</v>
      </c>
      <c r="L698" s="101">
        <f t="shared" ca="1" si="200"/>
        <v>-1</v>
      </c>
      <c r="M698" s="101">
        <f t="shared" ca="1" si="200"/>
        <v>-1</v>
      </c>
      <c r="N698" s="101">
        <f t="shared" ref="N698" ca="1" si="201">OFFSET(N697,0,PRJ_Len-N$33-N$33+1)</f>
        <v>-1</v>
      </c>
      <c r="O698" s="101">
        <f t="shared" ref="O698:Q698" ca="1" si="202">OFFSET(O697,0,PRJ_Len-O$33-O$33+1)</f>
        <v>-1</v>
      </c>
      <c r="P698" s="101">
        <f t="shared" ref="P698:Q698" ca="1" si="203">OFFSET(P697,0,PRJ_Len-P$33-P$33+1)</f>
        <v>-1</v>
      </c>
      <c r="Q698" s="101">
        <f t="shared" ca="1" si="203"/>
        <v>-1</v>
      </c>
      <c r="S698" s="11"/>
    </row>
    <row r="699" spans="1:19" outlineLevel="1" x14ac:dyDescent="0.2">
      <c r="S699" s="11"/>
    </row>
    <row r="700" spans="1:19" ht="10.5" outlineLevel="1" x14ac:dyDescent="0.25">
      <c r="A700" s="35" t="str">
        <f ca="1">Language!A$859</f>
        <v>Чистая приведенная стоимость (NPV)</v>
      </c>
      <c r="B700" s="151">
        <f ca="1">S692</f>
        <v>17968169.040777203</v>
      </c>
      <c r="C700" s="5" t="str">
        <f ca="1">CUR_Report</f>
        <v>руб.</v>
      </c>
      <c r="S700" s="11"/>
    </row>
    <row r="701" spans="1:19" ht="10.5" outlineLevel="1" collapsed="1" x14ac:dyDescent="0.25">
      <c r="A701" s="35" t="str">
        <f ca="1">Language!A$860</f>
        <v>Дисконтированный срок окупаемости (PBP)</v>
      </c>
      <c r="B701" s="150">
        <f ca="1">IF(ISERROR(E702),Language!A$829,IF(E702&gt;=PRJ_Len,Language!A$829,IF(OR(E702=0),E702*PRJ_Step/360,(E702-OFFSET(F693,0,E702-1)/(-OFFSET(F693,0,E702-1)+OFFSET(F693,0,E702)))*PRJ_Step/360)))</f>
        <v>0.77747051172837778</v>
      </c>
      <c r="C701" s="17" t="str">
        <f ca="1">IF(B701=0,Language!A$33,IF(OR(B701&lt;1,AND(B701&gt;1,B701&lt;5)),Language!A$830,IF(B701=1,Language!A$37,Language!A$33)))</f>
        <v>года</v>
      </c>
      <c r="S701" s="11"/>
    </row>
    <row r="702" spans="1:19" hidden="1" outlineLevel="2" x14ac:dyDescent="0.2">
      <c r="A702" t="str">
        <f ca="1">Language!A$861</f>
        <v xml:space="preserve">    знак остатка дисконтированных денежных средств</v>
      </c>
      <c r="D702" s="16" t="s">
        <v>384</v>
      </c>
      <c r="E702" s="101">
        <f ca="1">PRJ_Len+1-(MATCH(-1,F703:R703,0))</f>
        <v>9</v>
      </c>
      <c r="F702" s="16">
        <f t="shared" ref="F702:M702" ca="1" si="204">SIGN(F693)</f>
        <v>-1</v>
      </c>
      <c r="G702" s="16">
        <f t="shared" ca="1" si="204"/>
        <v>-1</v>
      </c>
      <c r="H702" s="16">
        <f t="shared" ca="1" si="204"/>
        <v>-1</v>
      </c>
      <c r="I702" s="16">
        <f t="shared" ca="1" si="204"/>
        <v>-1</v>
      </c>
      <c r="J702" s="16">
        <f t="shared" ca="1" si="204"/>
        <v>-1</v>
      </c>
      <c r="K702" s="16">
        <f t="shared" ca="1" si="204"/>
        <v>-1</v>
      </c>
      <c r="L702" s="16">
        <f t="shared" ca="1" si="204"/>
        <v>-1</v>
      </c>
      <c r="M702" s="16">
        <f t="shared" ca="1" si="204"/>
        <v>-1</v>
      </c>
      <c r="N702" s="16">
        <f t="shared" ref="N702" ca="1" si="205">SIGN(N693)</f>
        <v>-1</v>
      </c>
      <c r="O702" s="16">
        <f t="shared" ref="O702:Q702" ca="1" si="206">SIGN(O693)</f>
        <v>1</v>
      </c>
      <c r="P702" s="16">
        <f t="shared" ref="P702:Q702" ca="1" si="207">SIGN(P693)</f>
        <v>1</v>
      </c>
      <c r="Q702" s="16">
        <f t="shared" ca="1" si="207"/>
        <v>1</v>
      </c>
      <c r="S702" s="11"/>
    </row>
    <row r="703" spans="1:19" hidden="1" outlineLevel="2" x14ac:dyDescent="0.2">
      <c r="A703" t="str">
        <f ca="1">Language!A$862</f>
        <v xml:space="preserve">    знак остатка дисконтированных денежных средств (с конца)</v>
      </c>
      <c r="D703" s="16" t="s">
        <v>384</v>
      </c>
      <c r="F703" s="101">
        <f t="shared" ref="F703:M703" ca="1" si="208">OFFSET(F702,0,PRJ_Len-F$33-F$33+1)</f>
        <v>1</v>
      </c>
      <c r="G703" s="101">
        <f t="shared" ca="1" si="208"/>
        <v>1</v>
      </c>
      <c r="H703" s="101">
        <f t="shared" ca="1" si="208"/>
        <v>1</v>
      </c>
      <c r="I703" s="101">
        <f t="shared" ca="1" si="208"/>
        <v>-1</v>
      </c>
      <c r="J703" s="101">
        <f t="shared" ca="1" si="208"/>
        <v>-1</v>
      </c>
      <c r="K703" s="101">
        <f t="shared" ca="1" si="208"/>
        <v>-1</v>
      </c>
      <c r="L703" s="101">
        <f t="shared" ca="1" si="208"/>
        <v>-1</v>
      </c>
      <c r="M703" s="101">
        <f t="shared" ca="1" si="208"/>
        <v>-1</v>
      </c>
      <c r="N703" s="101">
        <f t="shared" ref="N703" ca="1" si="209">OFFSET(N702,0,PRJ_Len-N$33-N$33+1)</f>
        <v>-1</v>
      </c>
      <c r="O703" s="101">
        <f t="shared" ref="O703:Q703" ca="1" si="210">OFFSET(O702,0,PRJ_Len-O$33-O$33+1)</f>
        <v>-1</v>
      </c>
      <c r="P703" s="101">
        <f t="shared" ref="P703:Q703" ca="1" si="211">OFFSET(P702,0,PRJ_Len-P$33-P$33+1)</f>
        <v>-1</v>
      </c>
      <c r="Q703" s="101">
        <f t="shared" ca="1" si="211"/>
        <v>-1</v>
      </c>
      <c r="S703" s="11"/>
    </row>
    <row r="704" spans="1:19" ht="10.5" outlineLevel="1" collapsed="1" x14ac:dyDescent="0.25">
      <c r="A704" s="130" t="str">
        <f ca="1">Language!A$863</f>
        <v>Внутренняя норма рентабельности (IRR)</v>
      </c>
      <c r="B704" s="152">
        <f ca="1">IF(ISERROR(E704),Language!A$829,IF(AND(E704&gt;0,E704&lt;100),E704,Language!A$829))</f>
        <v>5.1949015427970213</v>
      </c>
      <c r="C704" s="216" t="str">
        <f ca="1">IF(CalcMethod=1,Language!A$831,Language!A$832)</f>
        <v>(реальная - без учета инфляции)</v>
      </c>
      <c r="E704" s="16">
        <f ca="1">(POWER(1+IRR(F705:Q705,0.2*PRJ_Step/360),360/PRJ_Step)-1)</f>
        <v>5.1949015427970213</v>
      </c>
      <c r="S704" s="11"/>
    </row>
    <row r="705" spans="1:19" s="48" customFormat="1" ht="10.5" hidden="1" outlineLevel="2" x14ac:dyDescent="0.2">
      <c r="A705" s="24" t="str">
        <f ca="1">Language!A$852</f>
        <v>Чистый денежный поток</v>
      </c>
      <c r="B705" s="223"/>
      <c r="C705" s="216"/>
      <c r="E705" s="101"/>
      <c r="F705" s="65">
        <f t="shared" ref="F705:M705" ca="1" si="212">F691</f>
        <v>-2317784</v>
      </c>
      <c r="G705" s="65">
        <f t="shared" ca="1" si="212"/>
        <v>-2971200</v>
      </c>
      <c r="H705" s="65">
        <f t="shared" ca="1" si="212"/>
        <v>-2403572.6316249999</v>
      </c>
      <c r="I705" s="65">
        <f t="shared" ca="1" si="212"/>
        <v>-1819259.0352500004</v>
      </c>
      <c r="J705" s="65">
        <f t="shared" ca="1" si="212"/>
        <v>-1156065.7018749998</v>
      </c>
      <c r="K705" s="65">
        <f t="shared" ca="1" si="212"/>
        <v>243628.59625000041</v>
      </c>
      <c r="L705" s="65">
        <f t="shared" ca="1" si="212"/>
        <v>1521143.5087499996</v>
      </c>
      <c r="M705" s="65">
        <f t="shared" ca="1" si="212"/>
        <v>2798658.4212499997</v>
      </c>
      <c r="N705" s="65">
        <f t="shared" ref="N705" ca="1" si="213">N691</f>
        <v>4837110.1756250001</v>
      </c>
      <c r="O705" s="65">
        <f t="shared" ref="O705:Q705" ca="1" si="214">O691</f>
        <v>7514319.3862500004</v>
      </c>
      <c r="P705" s="65">
        <f t="shared" ref="P705:Q705" ca="1" si="215">P691</f>
        <v>9308412.3693749998</v>
      </c>
      <c r="Q705" s="65">
        <f t="shared" ca="1" si="215"/>
        <v>7190569.6462500002</v>
      </c>
      <c r="S705" s="41"/>
    </row>
    <row r="706" spans="1:19" outlineLevel="1" collapsed="1" x14ac:dyDescent="0.2">
      <c r="A706" s="23" t="str">
        <f ca="1">Language!A$864</f>
        <v>Норма доходности дисконтированных затрат (PI)</v>
      </c>
      <c r="B706" s="309">
        <f ca="1">IF(S710&lt;0,S708/-S710,Language!A$829)</f>
        <v>2.7352313879415515</v>
      </c>
      <c r="C706" s="5" t="str">
        <f ca="1">Language!A$197</f>
        <v>разы</v>
      </c>
      <c r="S706" s="11"/>
    </row>
    <row r="707" spans="1:19" hidden="1" outlineLevel="2" x14ac:dyDescent="0.2">
      <c r="A707" t="str">
        <f ca="1">Language!A$865</f>
        <v xml:space="preserve">    притоки</v>
      </c>
      <c r="C707" s="5" t="str">
        <f ca="1">CUR_Report</f>
        <v>руб.</v>
      </c>
      <c r="F707" s="43">
        <f t="shared" ref="F707:M707" ca="1" si="216">MAX(0,F691)</f>
        <v>0</v>
      </c>
      <c r="G707" s="43">
        <f t="shared" ca="1" si="216"/>
        <v>0</v>
      </c>
      <c r="H707" s="43">
        <f t="shared" ca="1" si="216"/>
        <v>0</v>
      </c>
      <c r="I707" s="43">
        <f t="shared" ca="1" si="216"/>
        <v>0</v>
      </c>
      <c r="J707" s="43">
        <f t="shared" ca="1" si="216"/>
        <v>0</v>
      </c>
      <c r="K707" s="43">
        <f t="shared" ca="1" si="216"/>
        <v>243628.59625000041</v>
      </c>
      <c r="L707" s="43">
        <f t="shared" ca="1" si="216"/>
        <v>1521143.5087499996</v>
      </c>
      <c r="M707" s="43">
        <f t="shared" ca="1" si="216"/>
        <v>2798658.4212499997</v>
      </c>
      <c r="N707" s="43">
        <f t="shared" ref="N707" ca="1" si="217">MAX(0,N691)</f>
        <v>4837110.1756250001</v>
      </c>
      <c r="O707" s="43">
        <f t="shared" ref="O707:Q707" ca="1" si="218">MAX(0,O691)</f>
        <v>7514319.3862500004</v>
      </c>
      <c r="P707" s="43">
        <f t="shared" ref="P707:Q707" ca="1" si="219">MAX(0,P691)</f>
        <v>9308412.3693749998</v>
      </c>
      <c r="Q707" s="43">
        <f t="shared" ca="1" si="219"/>
        <v>7190569.6462500002</v>
      </c>
      <c r="S707" s="54">
        <f ca="1">SUM(F707:Q707)</f>
        <v>33413842.103749998</v>
      </c>
    </row>
    <row r="708" spans="1:19" hidden="1" outlineLevel="2" x14ac:dyDescent="0.2">
      <c r="A708" t="str">
        <f ca="1">Language!A$866</f>
        <v xml:space="preserve">    дисконтированные притоки</v>
      </c>
      <c r="C708" s="5" t="str">
        <f ca="1">CUR_Report</f>
        <v>руб.</v>
      </c>
      <c r="F708" s="43">
        <f t="shared" ref="F708:M708" ca="1" si="220">F707/F676</f>
        <v>0</v>
      </c>
      <c r="G708" s="43">
        <f t="shared" ca="1" si="220"/>
        <v>0</v>
      </c>
      <c r="H708" s="43">
        <f t="shared" ca="1" si="220"/>
        <v>0</v>
      </c>
      <c r="I708" s="43">
        <f t="shared" ca="1" si="220"/>
        <v>0</v>
      </c>
      <c r="J708" s="43">
        <f t="shared" ca="1" si="220"/>
        <v>0</v>
      </c>
      <c r="K708" s="43">
        <f t="shared" ca="1" si="220"/>
        <v>222723.14286194713</v>
      </c>
      <c r="L708" s="43">
        <f t="shared" ca="1" si="220"/>
        <v>1365886.7390806272</v>
      </c>
      <c r="M708" s="43">
        <f t="shared" ca="1" si="220"/>
        <v>2468321.9911042014</v>
      </c>
      <c r="N708" s="43">
        <f t="shared" ref="N708" ca="1" si="221">N707/N676</f>
        <v>4190301.892055844</v>
      </c>
      <c r="O708" s="43">
        <f t="shared" ref="O708:Q708" ca="1" si="222">O707/O676</f>
        <v>6393761.0327219162</v>
      </c>
      <c r="P708" s="43">
        <f t="shared" ref="P708:Q708" ca="1" si="223">P707/P676</f>
        <v>7779465.9004354831</v>
      </c>
      <c r="Q708" s="43">
        <f t="shared" ca="1" si="223"/>
        <v>5902620.7568737837</v>
      </c>
      <c r="S708" s="54">
        <f ca="1">SUM(F708:Q708)</f>
        <v>28323081.455133799</v>
      </c>
    </row>
    <row r="709" spans="1:19" hidden="1" outlineLevel="2" x14ac:dyDescent="0.2">
      <c r="A709" t="str">
        <f ca="1">Language!A$867</f>
        <v xml:space="preserve">    оттоки</v>
      </c>
      <c r="C709" s="5" t="str">
        <f ca="1">CUR_Report</f>
        <v>руб.</v>
      </c>
      <c r="F709" s="43">
        <f t="shared" ref="F709:M709" ca="1" si="224">MIN(0,F691)</f>
        <v>-2317784</v>
      </c>
      <c r="G709" s="43">
        <f t="shared" ca="1" si="224"/>
        <v>-2971200</v>
      </c>
      <c r="H709" s="43">
        <f t="shared" ca="1" si="224"/>
        <v>-2403572.6316249999</v>
      </c>
      <c r="I709" s="43">
        <f t="shared" ca="1" si="224"/>
        <v>-1819259.0352500004</v>
      </c>
      <c r="J709" s="43">
        <f t="shared" ca="1" si="224"/>
        <v>-1156065.7018749998</v>
      </c>
      <c r="K709" s="43">
        <f t="shared" ca="1" si="224"/>
        <v>0</v>
      </c>
      <c r="L709" s="43">
        <f t="shared" ca="1" si="224"/>
        <v>0</v>
      </c>
      <c r="M709" s="43">
        <f t="shared" ca="1" si="224"/>
        <v>0</v>
      </c>
      <c r="N709" s="43">
        <f t="shared" ref="N709" ca="1" si="225">MIN(0,N691)</f>
        <v>0</v>
      </c>
      <c r="O709" s="43">
        <f t="shared" ref="O709:Q709" ca="1" si="226">MIN(0,O691)</f>
        <v>0</v>
      </c>
      <c r="P709" s="43">
        <f t="shared" ref="P709:Q709" ca="1" si="227">MIN(0,P691)</f>
        <v>0</v>
      </c>
      <c r="Q709" s="43">
        <f t="shared" ca="1" si="227"/>
        <v>0</v>
      </c>
      <c r="S709" s="54">
        <f ca="1">SUM(F709:Q709)</f>
        <v>-10667881.36875</v>
      </c>
    </row>
    <row r="710" spans="1:19" hidden="1" outlineLevel="2" x14ac:dyDescent="0.2">
      <c r="A710" t="str">
        <f ca="1">Language!A$868</f>
        <v xml:space="preserve">    дисконтированные оттоки</v>
      </c>
      <c r="C710" s="5" t="str">
        <f ca="1">CUR_Report</f>
        <v>руб.</v>
      </c>
      <c r="F710" s="43">
        <f t="shared" ref="F710:M710" ca="1" si="228">F709/F676</f>
        <v>-2317784</v>
      </c>
      <c r="G710" s="43">
        <f t="shared" ca="1" si="228"/>
        <v>-2918362.9498474849</v>
      </c>
      <c r="H710" s="43">
        <f t="shared" ca="1" si="228"/>
        <v>-2318846.9427072178</v>
      </c>
      <c r="I710" s="43">
        <f t="shared" ca="1" si="228"/>
        <v>-1723918.7393987509</v>
      </c>
      <c r="J710" s="43">
        <f t="shared" ca="1" si="228"/>
        <v>-1075999.7824031452</v>
      </c>
      <c r="K710" s="43">
        <f t="shared" ca="1" si="228"/>
        <v>0</v>
      </c>
      <c r="L710" s="43">
        <f t="shared" ca="1" si="228"/>
        <v>0</v>
      </c>
      <c r="M710" s="43">
        <f t="shared" ca="1" si="228"/>
        <v>0</v>
      </c>
      <c r="N710" s="43">
        <f t="shared" ref="N710" ca="1" si="229">N709/N676</f>
        <v>0</v>
      </c>
      <c r="O710" s="43">
        <f t="shared" ref="O710:Q710" ca="1" si="230">O709/O676</f>
        <v>0</v>
      </c>
      <c r="P710" s="43">
        <f t="shared" ref="P710:Q710" ca="1" si="231">P709/P676</f>
        <v>0</v>
      </c>
      <c r="Q710" s="43">
        <f t="shared" ca="1" si="231"/>
        <v>0</v>
      </c>
      <c r="S710" s="54">
        <f ca="1">SUM(F710:Q710)</f>
        <v>-10354912.414356599</v>
      </c>
    </row>
    <row r="711" spans="1:19" outlineLevel="1" x14ac:dyDescent="0.2"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S711" s="11"/>
    </row>
    <row r="712" spans="1:19" outlineLevel="1" x14ac:dyDescent="0.2">
      <c r="A712" s="23" t="str">
        <f ca="1">Language!A$869</f>
        <v>Модифицированная IRR (MIRR)</v>
      </c>
      <c r="B712" s="310">
        <f ca="1">IF(ISERROR(E712),Language!A$829,E712)</f>
        <v>2.72647691921952</v>
      </c>
      <c r="C712" s="5"/>
      <c r="E712" s="153">
        <f ca="1">(POWER(1+MIRR(F691:R691,POWER(1+B714,PRJ_Step/360)-1,POWER(1+B713,PRJ_Step/360)-1),360/PRJ_Step)-1)</f>
        <v>2.72647691921952</v>
      </c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S712" s="11"/>
    </row>
    <row r="713" spans="1:19" outlineLevel="1" x14ac:dyDescent="0.2">
      <c r="A713" t="str">
        <f ca="1">Language!A$870</f>
        <v>Ставка реинвестирования доходов</v>
      </c>
      <c r="B713" s="273">
        <f>B674</f>
        <v>0.25</v>
      </c>
      <c r="S713" s="11"/>
    </row>
    <row r="714" spans="1:19" outlineLevel="1" x14ac:dyDescent="0.2">
      <c r="A714" t="str">
        <f ca="1">Language!A$871</f>
        <v>Ставка дисконтирования инвестиционных затрат</v>
      </c>
      <c r="B714" s="273">
        <f>B674</f>
        <v>0.25</v>
      </c>
      <c r="S714" s="11"/>
    </row>
    <row r="715" spans="1:19" outlineLevel="1" x14ac:dyDescent="0.2">
      <c r="A715" s="63"/>
      <c r="B715" s="63"/>
      <c r="C715" s="63"/>
      <c r="D715" s="63"/>
      <c r="E715" s="63"/>
      <c r="F715" s="63"/>
      <c r="G715" s="63"/>
      <c r="H715" s="63"/>
      <c r="I715" s="63"/>
      <c r="J715" s="63"/>
      <c r="K715" s="63"/>
      <c r="L715" s="63"/>
      <c r="M715" s="63"/>
      <c r="N715" s="63"/>
      <c r="O715" s="63"/>
      <c r="P715" s="63"/>
      <c r="Q715" s="63"/>
      <c r="R715" s="63"/>
      <c r="S715" s="204"/>
    </row>
    <row r="716" spans="1:19" outlineLevel="1" collapsed="1" x14ac:dyDescent="0.2">
      <c r="A716" s="11" t="str">
        <f ca="1">Language!A975</f>
        <v>График: Окупаемость проектов (для полных инвестиционных затрат)</v>
      </c>
    </row>
    <row r="717" spans="1:19" hidden="1" outlineLevel="2" x14ac:dyDescent="0.2"/>
    <row r="718" spans="1:19" hidden="1" outlineLevel="2" x14ac:dyDescent="0.2"/>
    <row r="719" spans="1:19" hidden="1" outlineLevel="2" x14ac:dyDescent="0.2"/>
    <row r="720" spans="1:19" hidden="1" outlineLevel="2" x14ac:dyDescent="0.2"/>
    <row r="721" hidden="1" outlineLevel="2" x14ac:dyDescent="0.2"/>
    <row r="722" hidden="1" outlineLevel="2" x14ac:dyDescent="0.2"/>
    <row r="723" hidden="1" outlineLevel="2" x14ac:dyDescent="0.2"/>
    <row r="724" hidden="1" outlineLevel="2" x14ac:dyDescent="0.2"/>
    <row r="725" hidden="1" outlineLevel="2" x14ac:dyDescent="0.2"/>
    <row r="726" hidden="1" outlineLevel="2" x14ac:dyDescent="0.2"/>
    <row r="727" hidden="1" outlineLevel="2" x14ac:dyDescent="0.2"/>
    <row r="728" hidden="1" outlineLevel="2" x14ac:dyDescent="0.2"/>
    <row r="729" hidden="1" outlineLevel="2" x14ac:dyDescent="0.2"/>
    <row r="730" hidden="1" outlineLevel="2" x14ac:dyDescent="0.2"/>
    <row r="731" hidden="1" outlineLevel="2" x14ac:dyDescent="0.2"/>
    <row r="732" hidden="1" outlineLevel="2" x14ac:dyDescent="0.2"/>
    <row r="733" hidden="1" outlineLevel="2" x14ac:dyDescent="0.2"/>
    <row r="734" hidden="1" outlineLevel="2" x14ac:dyDescent="0.2"/>
    <row r="735" hidden="1" outlineLevel="2" x14ac:dyDescent="0.2"/>
    <row r="736" hidden="1" outlineLevel="2" x14ac:dyDescent="0.2"/>
    <row r="737" spans="1:19" hidden="1" outlineLevel="2" x14ac:dyDescent="0.2"/>
    <row r="738" spans="1:19" hidden="1" outlineLevel="2" x14ac:dyDescent="0.2"/>
    <row r="739" spans="1:19" hidden="1" outlineLevel="2" x14ac:dyDescent="0.2"/>
    <row r="740" spans="1:19" outlineLevel="1" x14ac:dyDescent="0.2"/>
    <row r="741" spans="1:19" outlineLevel="1" x14ac:dyDescent="0.2"/>
    <row r="742" spans="1:19" s="4" customFormat="1" ht="16" customHeight="1" thickBot="1" x14ac:dyDescent="0.25">
      <c r="A742" s="166" t="str">
        <f ca="1">Language!A873</f>
        <v xml:space="preserve">         ЭФФЕКТИВНОСТЬ ДЛЯ СОБСТВЕННОГО КАПИТАЛА</v>
      </c>
      <c r="B742" s="166"/>
      <c r="C742" s="166"/>
      <c r="D742" s="166"/>
      <c r="E742" s="166"/>
      <c r="F742" s="178" t="str">
        <f>IF(Проект!ShowRealDates,F36,F34)</f>
        <v>4/ 2020</v>
      </c>
      <c r="G742" s="178" t="str">
        <f>IF(Проект!ShowRealDates,G36,G34)</f>
        <v>5/ 2020</v>
      </c>
      <c r="H742" s="178" t="str">
        <f>IF(Проект!ShowRealDates,H36,H34)</f>
        <v>6/ 2020</v>
      </c>
      <c r="I742" s="178" t="str">
        <f>IF(Проект!ShowRealDates,I36,I34)</f>
        <v>7/ 2020</v>
      </c>
      <c r="J742" s="178" t="str">
        <f>IF(Проект!ShowRealDates,J36,J34)</f>
        <v>8/ 2020</v>
      </c>
      <c r="K742" s="178" t="str">
        <f>IF(Проект!ShowRealDates,K36,K34)</f>
        <v>9/ 2020</v>
      </c>
      <c r="L742" s="178" t="str">
        <f>IF(Проект!ShowRealDates,L36,L34)</f>
        <v>10/ 2020</v>
      </c>
      <c r="M742" s="178" t="str">
        <f>IF(Проект!ShowRealDates,M36,M34)</f>
        <v>11/ 2020</v>
      </c>
      <c r="N742" s="178" t="str">
        <f>IF(Проект!ShowRealDates,N36,N34)</f>
        <v>12/ 2020</v>
      </c>
      <c r="O742" s="178" t="str">
        <f>IF(Проект!ShowRealDates,O36,O34)</f>
        <v>1/ 2021</v>
      </c>
      <c r="P742" s="178" t="str">
        <f>IF(Проект!ShowRealDates,P36,P34)</f>
        <v>2/ 2021</v>
      </c>
      <c r="Q742" s="178" t="str">
        <f>IF(Проект!ShowRealDates,Q36,Q34)</f>
        <v>3/ 2021</v>
      </c>
      <c r="R742" s="166"/>
      <c r="S742" s="167" t="str">
        <f ca="1">Language!A$371</f>
        <v>ИТОГО</v>
      </c>
    </row>
    <row r="743" spans="1:19" ht="10.5" outlineLevel="1" thickTop="1" x14ac:dyDescent="0.2">
      <c r="S743" s="11"/>
    </row>
    <row r="744" spans="1:19" outlineLevel="1" collapsed="1" x14ac:dyDescent="0.2">
      <c r="A744" s="23" t="str">
        <f ca="1">Language!A104</f>
        <v>Предполагаемый темп годового роста цен</v>
      </c>
      <c r="C744" s="5" t="s">
        <v>177</v>
      </c>
      <c r="D744" s="16" t="s">
        <v>176</v>
      </c>
      <c r="F744" s="211">
        <f t="shared" ref="F744:M744" si="232">F669</f>
        <v>8.0000000000000002E-3</v>
      </c>
      <c r="G744" s="211">
        <f t="shared" si="232"/>
        <v>8.0000000000000002E-3</v>
      </c>
      <c r="H744" s="211">
        <f t="shared" si="232"/>
        <v>8.0000000000000002E-3</v>
      </c>
      <c r="I744" s="211">
        <f t="shared" si="232"/>
        <v>8.0000000000000002E-3</v>
      </c>
      <c r="J744" s="211">
        <f t="shared" si="232"/>
        <v>8.0000000000000002E-3</v>
      </c>
      <c r="K744" s="211">
        <f t="shared" si="232"/>
        <v>8.0000000000000002E-3</v>
      </c>
      <c r="L744" s="211">
        <f t="shared" si="232"/>
        <v>8.0000000000000002E-3</v>
      </c>
      <c r="M744" s="211">
        <f t="shared" si="232"/>
        <v>8.0000000000000002E-3</v>
      </c>
      <c r="N744" s="211">
        <f t="shared" ref="N744" si="233">N669</f>
        <v>8.0000000000000002E-3</v>
      </c>
      <c r="O744" s="211">
        <f t="shared" ref="O744:Q744" si="234">O669</f>
        <v>8.0000000000000002E-3</v>
      </c>
      <c r="P744" s="211">
        <f t="shared" ref="P744:Q744" si="235">P669</f>
        <v>8.0000000000000002E-3</v>
      </c>
      <c r="Q744" s="211">
        <f t="shared" si="235"/>
        <v>8.0000000000000002E-3</v>
      </c>
      <c r="S744" s="11"/>
    </row>
    <row r="745" spans="1:19" hidden="1" outlineLevel="2" x14ac:dyDescent="0.2">
      <c r="A745" t="str">
        <f ca="1">Language!A106</f>
        <v>То же, в пересчете на период, равный шагу проекта</v>
      </c>
      <c r="C745" s="5" t="s">
        <v>177</v>
      </c>
      <c r="D745" s="16" t="s">
        <v>176</v>
      </c>
      <c r="F745" s="30">
        <f t="shared" ref="F745:M745" si="236">POWER(1+F744,PRJ_Step/360)-1</f>
        <v>6.6423464362252993E-4</v>
      </c>
      <c r="G745" s="30">
        <f t="shared" si="236"/>
        <v>6.6423464362252993E-4</v>
      </c>
      <c r="H745" s="30">
        <f t="shared" si="236"/>
        <v>6.6423464362252993E-4</v>
      </c>
      <c r="I745" s="30">
        <f t="shared" si="236"/>
        <v>6.6423464362252993E-4</v>
      </c>
      <c r="J745" s="30">
        <f t="shared" si="236"/>
        <v>6.6423464362252993E-4</v>
      </c>
      <c r="K745" s="30">
        <f t="shared" si="236"/>
        <v>6.6423464362252993E-4</v>
      </c>
      <c r="L745" s="30">
        <f t="shared" si="236"/>
        <v>6.6423464362252993E-4</v>
      </c>
      <c r="M745" s="30">
        <f t="shared" si="236"/>
        <v>6.6423464362252993E-4</v>
      </c>
      <c r="N745" s="30">
        <f t="shared" ref="N745" si="237">POWER(1+N744,PRJ_Step/360)-1</f>
        <v>6.6423464362252993E-4</v>
      </c>
      <c r="O745" s="30">
        <f t="shared" ref="O745:Q745" si="238">POWER(1+O744,PRJ_Step/360)-1</f>
        <v>6.6423464362252993E-4</v>
      </c>
      <c r="P745" s="30">
        <f t="shared" ref="P745:Q745" si="239">POWER(1+P744,PRJ_Step/360)-1</f>
        <v>6.6423464362252993E-4</v>
      </c>
      <c r="Q745" s="30">
        <f t="shared" si="239"/>
        <v>6.6423464362252993E-4</v>
      </c>
      <c r="S745" s="11"/>
    </row>
    <row r="746" spans="1:19" outlineLevel="1" x14ac:dyDescent="0.2">
      <c r="S746" s="11"/>
    </row>
    <row r="747" spans="1:19" outlineLevel="1" x14ac:dyDescent="0.2">
      <c r="A747" t="str">
        <f ca="1">Language!A$833</f>
        <v>Учитывать ранее осуществленные инвестиции</v>
      </c>
      <c r="B747" s="255">
        <v>2</v>
      </c>
      <c r="C747" s="36" t="str">
        <f ca="1">CHOOSE(B747,Language!A828,Language!A829)</f>
        <v>Нет</v>
      </c>
      <c r="S747" s="11"/>
    </row>
    <row r="748" spans="1:19" outlineLevel="1" x14ac:dyDescent="0.2">
      <c r="A748" t="str">
        <f ca="1">Language!A$834</f>
        <v>Учитывать остаточную стоимость проекта</v>
      </c>
      <c r="B748" s="255">
        <v>1</v>
      </c>
      <c r="C748" s="36" t="str">
        <f ca="1">CHOOSE(B748,Language!A$828,Language!A$829)</f>
        <v>Да</v>
      </c>
      <c r="S748" s="11"/>
    </row>
    <row r="749" spans="1:19" outlineLevel="1" collapsed="1" x14ac:dyDescent="0.2">
      <c r="A749" t="str">
        <f ca="1">Language!A$836</f>
        <v>Годовая ставка дисконтирования:</v>
      </c>
      <c r="B749" s="273">
        <f>B674</f>
        <v>0.25</v>
      </c>
      <c r="C749" s="5" t="s">
        <v>177</v>
      </c>
      <c r="D749" s="16" t="s">
        <v>176</v>
      </c>
      <c r="F749" s="251">
        <f>B749</f>
        <v>0.25</v>
      </c>
      <c r="G749" s="251">
        <f t="shared" ref="G749:Q749" si="240">F749</f>
        <v>0.25</v>
      </c>
      <c r="H749" s="251">
        <f t="shared" si="240"/>
        <v>0.25</v>
      </c>
      <c r="I749" s="251">
        <f t="shared" si="240"/>
        <v>0.25</v>
      </c>
      <c r="J749" s="251">
        <f t="shared" si="240"/>
        <v>0.25</v>
      </c>
      <c r="K749" s="251">
        <f t="shared" si="240"/>
        <v>0.25</v>
      </c>
      <c r="L749" s="251">
        <f t="shared" si="240"/>
        <v>0.25</v>
      </c>
      <c r="M749" s="251">
        <f t="shared" si="240"/>
        <v>0.25</v>
      </c>
      <c r="N749" s="251">
        <f t="shared" si="240"/>
        <v>0.25</v>
      </c>
      <c r="O749" s="251">
        <f t="shared" si="240"/>
        <v>0.25</v>
      </c>
      <c r="P749" s="251">
        <f t="shared" si="240"/>
        <v>0.25</v>
      </c>
      <c r="Q749" s="251">
        <f t="shared" si="240"/>
        <v>0.25</v>
      </c>
      <c r="S749" s="11"/>
    </row>
    <row r="750" spans="1:19" hidden="1" outlineLevel="2" x14ac:dyDescent="0.2">
      <c r="A750" t="str">
        <f ca="1">Language!A$837</f>
        <v xml:space="preserve">    ставка дисконтирования на расчетный период</v>
      </c>
      <c r="D750" s="16" t="s">
        <v>176</v>
      </c>
      <c r="F750" s="251">
        <f t="shared" ref="F750:M750" si="241">POWER(1+F749,PRJ_Step/360)-1-IF(CalcMethod=1,F745,0)</f>
        <v>1.8105030477883588E-2</v>
      </c>
      <c r="G750" s="251">
        <f t="shared" si="241"/>
        <v>1.8105030477883588E-2</v>
      </c>
      <c r="H750" s="251">
        <f t="shared" si="241"/>
        <v>1.8105030477883588E-2</v>
      </c>
      <c r="I750" s="251">
        <f t="shared" si="241"/>
        <v>1.8105030477883588E-2</v>
      </c>
      <c r="J750" s="251">
        <f t="shared" si="241"/>
        <v>1.8105030477883588E-2</v>
      </c>
      <c r="K750" s="251">
        <f t="shared" si="241"/>
        <v>1.8105030477883588E-2</v>
      </c>
      <c r="L750" s="251">
        <f t="shared" si="241"/>
        <v>1.8105030477883588E-2</v>
      </c>
      <c r="M750" s="251">
        <f t="shared" si="241"/>
        <v>1.8105030477883588E-2</v>
      </c>
      <c r="N750" s="251">
        <f t="shared" ref="N750" si="242">POWER(1+N749,PRJ_Step/360)-1-IF(CalcMethod=1,N745,0)</f>
        <v>1.8105030477883588E-2</v>
      </c>
      <c r="O750" s="251">
        <f t="shared" ref="O750:Q750" si="243">POWER(1+O749,PRJ_Step/360)-1-IF(CalcMethod=1,O745,0)</f>
        <v>1.8105030477883588E-2</v>
      </c>
      <c r="P750" s="251">
        <f t="shared" ref="P750:Q750" si="244">POWER(1+P749,PRJ_Step/360)-1-IF(CalcMethod=1,P745,0)</f>
        <v>1.8105030477883588E-2</v>
      </c>
      <c r="Q750" s="251">
        <f t="shared" si="244"/>
        <v>1.8105030477883588E-2</v>
      </c>
      <c r="S750" s="11"/>
    </row>
    <row r="751" spans="1:19" hidden="1" outlineLevel="2" x14ac:dyDescent="0.2">
      <c r="A751" t="str">
        <f ca="1">Language!A$838</f>
        <v xml:space="preserve">    коэффициент дисконта для потока на начало периода</v>
      </c>
      <c r="D751" s="16" t="s">
        <v>176</v>
      </c>
      <c r="F751" s="252">
        <v>1</v>
      </c>
      <c r="G751" s="252">
        <f t="shared" ref="G751:Q751" si="245">F751*(1+F750)</f>
        <v>1.0181050304778836</v>
      </c>
      <c r="H751" s="252">
        <f t="shared" si="245"/>
        <v>1.0365378530843723</v>
      </c>
      <c r="I751" s="252">
        <f t="shared" si="245"/>
        <v>1.0553044025059448</v>
      </c>
      <c r="J751" s="252">
        <f t="shared" si="245"/>
        <v>1.0744107208767597</v>
      </c>
      <c r="K751" s="252">
        <f t="shared" si="245"/>
        <v>1.0938629597239984</v>
      </c>
      <c r="L751" s="252">
        <f t="shared" si="245"/>
        <v>1.1136673819484293</v>
      </c>
      <c r="M751" s="252">
        <f t="shared" si="245"/>
        <v>1.1338303638408305</v>
      </c>
      <c r="N751" s="252">
        <f t="shared" si="245"/>
        <v>1.1543583971349185</v>
      </c>
      <c r="O751" s="252">
        <f t="shared" si="245"/>
        <v>1.1752580910974471</v>
      </c>
      <c r="P751" s="252">
        <f t="shared" si="245"/>
        <v>1.1965361746561456</v>
      </c>
      <c r="Q751" s="252">
        <f t="shared" si="245"/>
        <v>1.2181994985661853</v>
      </c>
      <c r="S751" s="11"/>
    </row>
    <row r="752" spans="1:19" outlineLevel="1" x14ac:dyDescent="0.2">
      <c r="S752" s="11"/>
    </row>
    <row r="753" spans="1:19" outlineLevel="1" collapsed="1" x14ac:dyDescent="0.2">
      <c r="A753" s="23" t="str">
        <f ca="1">Language!A$840</f>
        <v>Учитываемые денежные потоки проекта:</v>
      </c>
      <c r="S753" s="11"/>
    </row>
    <row r="754" spans="1:19" hidden="1" outlineLevel="2" x14ac:dyDescent="0.2">
      <c r="A754" t="str">
        <f ca="1">Language!A$841</f>
        <v>Денежные потоки от операционной деятельности</v>
      </c>
      <c r="B754" s="36" t="str">
        <f ca="1">Language!A$828</f>
        <v>Да</v>
      </c>
      <c r="C754" s="5" t="str">
        <f t="shared" ref="C754:C764" ca="1" si="246">CUR_Report</f>
        <v>руб.</v>
      </c>
      <c r="F754" s="84">
        <f t="shared" ref="F754:M754" ca="1" si="247">F286</f>
        <v>-2966160</v>
      </c>
      <c r="G754" s="84">
        <f t="shared" ca="1" si="247"/>
        <v>-2555760</v>
      </c>
      <c r="H754" s="84">
        <f t="shared" ca="1" si="247"/>
        <v>-2428008.50875</v>
      </c>
      <c r="I754" s="84">
        <f t="shared" ca="1" si="247"/>
        <v>-1917002.5437500002</v>
      </c>
      <c r="J754" s="84">
        <f t="shared" ca="1" si="247"/>
        <v>-1278245.0874999999</v>
      </c>
      <c r="K754" s="84">
        <f t="shared" ca="1" si="247"/>
        <v>-730.17499999981374</v>
      </c>
      <c r="L754" s="84">
        <f t="shared" ca="1" si="247"/>
        <v>1096547.5479740878</v>
      </c>
      <c r="M754" s="84">
        <f t="shared" ca="1" si="247"/>
        <v>2416169.2904287498</v>
      </c>
      <c r="N754" s="84">
        <f t="shared" ref="N754" ca="1" si="248">N286</f>
        <v>4408306.0298950961</v>
      </c>
      <c r="O754" s="84">
        <f t="shared" ref="O754:Q754" ca="1" si="249">O286</f>
        <v>7025601.84375</v>
      </c>
      <c r="P754" s="84">
        <f t="shared" ref="P754:Q754" ca="1" si="250">P286</f>
        <v>8941874.2125000004</v>
      </c>
      <c r="Q754" s="84">
        <f t="shared" ca="1" si="250"/>
        <v>10219389.125</v>
      </c>
      <c r="R754" s="43"/>
      <c r="S754" s="54">
        <f ca="1">SUM(F754:Q754)</f>
        <v>22961981.734547932</v>
      </c>
    </row>
    <row r="755" spans="1:19" hidden="1" outlineLevel="2" x14ac:dyDescent="0.2">
      <c r="A755" t="str">
        <f ca="1">Language!A$842</f>
        <v xml:space="preserve">    за исключением процентов по кредитам</v>
      </c>
      <c r="B755" s="36" t="str">
        <f ca="1">Language!A$829</f>
        <v>Нет</v>
      </c>
      <c r="C755" s="5" t="str">
        <f t="shared" ca="1" si="246"/>
        <v>руб.</v>
      </c>
      <c r="D755" s="5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54"/>
    </row>
    <row r="756" spans="1:19" hidden="1" outlineLevel="2" x14ac:dyDescent="0.2">
      <c r="A756" t="str">
        <f ca="1">Language!A$843</f>
        <v>Денежные потоки от инвестиционной деятельности</v>
      </c>
      <c r="B756" s="36" t="str">
        <f ca="1">Language!A$828</f>
        <v>Да</v>
      </c>
      <c r="C756" s="5" t="str">
        <f t="shared" ca="1" si="246"/>
        <v>руб.</v>
      </c>
      <c r="D756" s="5"/>
      <c r="F756" s="43">
        <f t="shared" ref="F756:M756" ca="1" si="251">F306</f>
        <v>648376</v>
      </c>
      <c r="G756" s="43">
        <f t="shared" ca="1" si="251"/>
        <v>-415440</v>
      </c>
      <c r="H756" s="43">
        <f t="shared" ca="1" si="251"/>
        <v>24435.877125000115</v>
      </c>
      <c r="I756" s="43">
        <f t="shared" ca="1" si="251"/>
        <v>97743.508499999763</v>
      </c>
      <c r="J756" s="43">
        <f t="shared" ca="1" si="251"/>
        <v>122179.385625</v>
      </c>
      <c r="K756" s="43">
        <f t="shared" ca="1" si="251"/>
        <v>244358.77125000022</v>
      </c>
      <c r="L756" s="43">
        <f t="shared" ca="1" si="251"/>
        <v>244358.77124999976</v>
      </c>
      <c r="M756" s="43">
        <f t="shared" ca="1" si="251"/>
        <v>244358.77125000011</v>
      </c>
      <c r="N756" s="43">
        <f t="shared" ref="N756" ca="1" si="252">N306</f>
        <v>366538.15687499987</v>
      </c>
      <c r="O756" s="43">
        <f t="shared" ref="O756:Q756" ca="1" si="253">O306</f>
        <v>488717.54250000021</v>
      </c>
      <c r="P756" s="43">
        <f t="shared" ref="P756:Q756" ca="1" si="254">P306</f>
        <v>366538.1568750001</v>
      </c>
      <c r="Q756" s="43">
        <f t="shared" ca="1" si="254"/>
        <v>244358.77124999976</v>
      </c>
      <c r="R756" s="43"/>
      <c r="S756" s="54">
        <f ca="1">SUM(F756:Q756)</f>
        <v>2676523.7124999999</v>
      </c>
    </row>
    <row r="757" spans="1:19" hidden="1" outlineLevel="2" x14ac:dyDescent="0.2">
      <c r="A757" t="str">
        <f ca="1">Language!A$844</f>
        <v>Поступления собственного капитала</v>
      </c>
      <c r="B757" s="36" t="str">
        <f ca="1">Language!A$829</f>
        <v>Нет</v>
      </c>
      <c r="C757" s="5" t="str">
        <f t="shared" ca="1" si="246"/>
        <v>руб.</v>
      </c>
      <c r="D757" s="5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54"/>
    </row>
    <row r="758" spans="1:19" hidden="1" outlineLevel="2" x14ac:dyDescent="0.2">
      <c r="A758" t="str">
        <f ca="1">Language!A$845</f>
        <v>Поступления целевого финансирования</v>
      </c>
      <c r="B758" s="36" t="str">
        <f ca="1">Language!A$828</f>
        <v>Да</v>
      </c>
      <c r="C758" s="5" t="str">
        <f t="shared" ca="1" si="246"/>
        <v>руб.</v>
      </c>
      <c r="D758" s="5"/>
      <c r="F758" s="53">
        <f t="shared" ref="F758:M758" ca="1" si="255">F311+F313</f>
        <v>0</v>
      </c>
      <c r="G758" s="53">
        <f t="shared" ca="1" si="255"/>
        <v>0</v>
      </c>
      <c r="H758" s="53">
        <f t="shared" ca="1" si="255"/>
        <v>0</v>
      </c>
      <c r="I758" s="53">
        <f t="shared" ca="1" si="255"/>
        <v>0</v>
      </c>
      <c r="J758" s="53">
        <f t="shared" ca="1" si="255"/>
        <v>0</v>
      </c>
      <c r="K758" s="53">
        <f t="shared" ca="1" si="255"/>
        <v>0</v>
      </c>
      <c r="L758" s="53">
        <f t="shared" ca="1" si="255"/>
        <v>0</v>
      </c>
      <c r="M758" s="53">
        <f t="shared" ca="1" si="255"/>
        <v>0</v>
      </c>
      <c r="N758" s="53">
        <f t="shared" ref="N758" ca="1" si="256">N311+N313</f>
        <v>0</v>
      </c>
      <c r="O758" s="53">
        <f t="shared" ref="O758:Q758" ca="1" si="257">O311+O313</f>
        <v>0</v>
      </c>
      <c r="P758" s="53">
        <f t="shared" ref="P758:Q758" ca="1" si="258">P311+P313</f>
        <v>0</v>
      </c>
      <c r="Q758" s="53">
        <f t="shared" ca="1" si="258"/>
        <v>0</v>
      </c>
      <c r="R758" s="43"/>
      <c r="S758" s="54">
        <f ca="1">SUM(F758:Q758)</f>
        <v>0</v>
      </c>
    </row>
    <row r="759" spans="1:19" hidden="1" outlineLevel="2" x14ac:dyDescent="0.2">
      <c r="A759" t="str">
        <f ca="1">Language!A$846</f>
        <v>Поступления кредитов</v>
      </c>
      <c r="B759" s="36" t="str">
        <f ca="1">Language!A$828</f>
        <v>Да</v>
      </c>
      <c r="C759" s="5" t="str">
        <f t="shared" ca="1" si="246"/>
        <v>руб.</v>
      </c>
      <c r="D759" s="5"/>
      <c r="F759" s="53">
        <f t="shared" ref="F759:M759" ca="1" si="259">F315</f>
        <v>2359067.6844783714</v>
      </c>
      <c r="G759" s="53">
        <f t="shared" ca="1" si="259"/>
        <v>2982103.1201237948</v>
      </c>
      <c r="H759" s="53">
        <f t="shared" ca="1" si="259"/>
        <v>2393268.0173260393</v>
      </c>
      <c r="I759" s="53">
        <f t="shared" ca="1" si="259"/>
        <v>1809034.9566888495</v>
      </c>
      <c r="J759" s="53">
        <f t="shared" ca="1" si="259"/>
        <v>1144435.2062421832</v>
      </c>
      <c r="K759" s="53">
        <f t="shared" ca="1" si="259"/>
        <v>0</v>
      </c>
      <c r="L759" s="53">
        <f t="shared" ca="1" si="259"/>
        <v>0</v>
      </c>
      <c r="M759" s="53">
        <f t="shared" ca="1" si="259"/>
        <v>0</v>
      </c>
      <c r="N759" s="53">
        <f t="shared" ref="N759" ca="1" si="260">N315</f>
        <v>0</v>
      </c>
      <c r="O759" s="53">
        <f t="shared" ref="O759:Q759" ca="1" si="261">O315</f>
        <v>0</v>
      </c>
      <c r="P759" s="53">
        <f t="shared" ref="P759:Q759" ca="1" si="262">P315</f>
        <v>0</v>
      </c>
      <c r="Q759" s="53">
        <f t="shared" ca="1" si="262"/>
        <v>0</v>
      </c>
      <c r="R759" s="43"/>
      <c r="S759" s="54">
        <f ca="1">SUM(F759:Q759)</f>
        <v>10687908.984859239</v>
      </c>
    </row>
    <row r="760" spans="1:19" hidden="1" outlineLevel="2" x14ac:dyDescent="0.2">
      <c r="A760" t="str">
        <f ca="1">Language!A$847</f>
        <v>Возврат кредитов</v>
      </c>
      <c r="B760" s="36" t="str">
        <f ca="1">Language!A$828</f>
        <v>Да</v>
      </c>
      <c r="C760" s="5" t="str">
        <f t="shared" ca="1" si="246"/>
        <v>руб.</v>
      </c>
      <c r="D760" s="5"/>
      <c r="F760" s="53">
        <f t="shared" ref="F760:M760" ca="1" si="263">F317</f>
        <v>0</v>
      </c>
      <c r="G760" s="53">
        <f t="shared" ca="1" si="263"/>
        <v>0</v>
      </c>
      <c r="H760" s="53">
        <f t="shared" ca="1" si="263"/>
        <v>0</v>
      </c>
      <c r="I760" s="53">
        <f t="shared" ca="1" si="263"/>
        <v>0</v>
      </c>
      <c r="J760" s="53">
        <f t="shared" ca="1" si="263"/>
        <v>0</v>
      </c>
      <c r="K760" s="53">
        <f t="shared" ca="1" si="263"/>
        <v>-23659.363592692334</v>
      </c>
      <c r="L760" s="53">
        <f t="shared" ca="1" si="263"/>
        <v>-1202620.5457013601</v>
      </c>
      <c r="M760" s="53">
        <f t="shared" ca="1" si="263"/>
        <v>-2406104.568837841</v>
      </c>
      <c r="N760" s="53">
        <f t="shared" ref="N760" ca="1" si="264">N317</f>
        <v>-4335106.8980769133</v>
      </c>
      <c r="O760" s="53">
        <f t="shared" ref="O760:Q760" ca="1" si="265">O317</f>
        <v>-3558056.5059945099</v>
      </c>
      <c r="P760" s="53">
        <f t="shared" ref="P760:Q760" ca="1" si="266">P317</f>
        <v>0</v>
      </c>
      <c r="Q760" s="53">
        <f t="shared" ca="1" si="266"/>
        <v>0</v>
      </c>
      <c r="R760" s="43"/>
      <c r="S760" s="54">
        <f ca="1">SUM(F760:Q760)</f>
        <v>-11525547.882203316</v>
      </c>
    </row>
    <row r="761" spans="1:19" hidden="1" outlineLevel="2" x14ac:dyDescent="0.2">
      <c r="A761" t="str">
        <f ca="1">Language!A$848</f>
        <v>Лизинговые платежи</v>
      </c>
      <c r="B761" s="36" t="str">
        <f ca="1">Language!A$828</f>
        <v>Да</v>
      </c>
      <c r="C761" s="5" t="str">
        <f t="shared" ca="1" si="246"/>
        <v>руб.</v>
      </c>
      <c r="D761" s="5"/>
      <c r="F761" s="43">
        <f t="shared" ref="F761:M761" ca="1" si="267">F319</f>
        <v>0</v>
      </c>
      <c r="G761" s="43">
        <f t="shared" ca="1" si="267"/>
        <v>0</v>
      </c>
      <c r="H761" s="43">
        <f t="shared" ca="1" si="267"/>
        <v>0</v>
      </c>
      <c r="I761" s="43">
        <f t="shared" ca="1" si="267"/>
        <v>0</v>
      </c>
      <c r="J761" s="43">
        <f t="shared" ca="1" si="267"/>
        <v>0</v>
      </c>
      <c r="K761" s="43">
        <f t="shared" ca="1" si="267"/>
        <v>0</v>
      </c>
      <c r="L761" s="43">
        <f t="shared" ca="1" si="267"/>
        <v>0</v>
      </c>
      <c r="M761" s="43">
        <f t="shared" ca="1" si="267"/>
        <v>0</v>
      </c>
      <c r="N761" s="43">
        <f t="shared" ref="N761" ca="1" si="268">N319</f>
        <v>0</v>
      </c>
      <c r="O761" s="43">
        <f t="shared" ref="O761:Q761" ca="1" si="269">O319</f>
        <v>0</v>
      </c>
      <c r="P761" s="43">
        <f t="shared" ref="P761:Q761" ca="1" si="270">P319</f>
        <v>0</v>
      </c>
      <c r="Q761" s="43">
        <f t="shared" ca="1" si="270"/>
        <v>0</v>
      </c>
      <c r="R761" s="43"/>
      <c r="S761" s="54">
        <f ca="1">SUM(F761:Q761)</f>
        <v>0</v>
      </c>
    </row>
    <row r="762" spans="1:19" hidden="1" outlineLevel="2" x14ac:dyDescent="0.2">
      <c r="A762" t="str">
        <f ca="1">Language!A$849</f>
        <v>Выплата дивидендов</v>
      </c>
      <c r="B762" s="36" t="str">
        <f ca="1">Language!A$829</f>
        <v>Нет</v>
      </c>
      <c r="C762" s="5" t="str">
        <f t="shared" ca="1" si="246"/>
        <v>руб.</v>
      </c>
      <c r="D762" s="5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54"/>
    </row>
    <row r="763" spans="1:19" hidden="1" outlineLevel="2" x14ac:dyDescent="0.2">
      <c r="A763" t="str">
        <f ca="1">Language!A$850</f>
        <v>Ранее осуществленные инвестиции</v>
      </c>
      <c r="B763" s="36" t="str">
        <f ca="1">CHOOSE(B747,Language!A828,Language!A829)</f>
        <v>Нет</v>
      </c>
      <c r="C763" s="5" t="str">
        <f t="shared" ca="1" si="246"/>
        <v>руб.</v>
      </c>
      <c r="D763" s="5"/>
      <c r="F763" s="53">
        <f t="shared" ref="F763:M763" si="271">IF($B747=1,-F112,0)</f>
        <v>0</v>
      </c>
      <c r="G763" s="53">
        <f t="shared" si="271"/>
        <v>0</v>
      </c>
      <c r="H763" s="53">
        <f t="shared" si="271"/>
        <v>0</v>
      </c>
      <c r="I763" s="53">
        <f t="shared" si="271"/>
        <v>0</v>
      </c>
      <c r="J763" s="53">
        <f t="shared" si="271"/>
        <v>0</v>
      </c>
      <c r="K763" s="53">
        <f t="shared" si="271"/>
        <v>0</v>
      </c>
      <c r="L763" s="53">
        <f t="shared" si="271"/>
        <v>0</v>
      </c>
      <c r="M763" s="53">
        <f t="shared" si="271"/>
        <v>0</v>
      </c>
      <c r="N763" s="53">
        <f t="shared" ref="N763" si="272">IF($B747=1,-N112,0)</f>
        <v>0</v>
      </c>
      <c r="O763" s="53">
        <f t="shared" ref="O763:Q763" si="273">IF($B747=1,-O112,0)</f>
        <v>0</v>
      </c>
      <c r="P763" s="53">
        <f t="shared" ref="P763:Q763" si="274">IF($B747=1,-P112,0)</f>
        <v>0</v>
      </c>
      <c r="Q763" s="53">
        <f t="shared" si="274"/>
        <v>0</v>
      </c>
      <c r="S763" s="54">
        <f>SUM(F763:Q763)</f>
        <v>0</v>
      </c>
    </row>
    <row r="764" spans="1:19" hidden="1" outlineLevel="2" x14ac:dyDescent="0.2">
      <c r="A764" t="str">
        <f ca="1">Language!A$851</f>
        <v>Остаточная стоимость проекта</v>
      </c>
      <c r="B764" s="36" t="str">
        <f ca="1">CHOOSE(B748,Language!A$828,Language!A$829)</f>
        <v>Да</v>
      </c>
      <c r="C764" s="5" t="str">
        <f t="shared" ca="1" si="246"/>
        <v>руб.</v>
      </c>
      <c r="D764" s="5"/>
      <c r="F764" s="111">
        <f t="shared" ref="F764:M764" si="275">IF($B748=1,IF(F$33=PRJ_Len,F$506-F$437,0),0)</f>
        <v>0</v>
      </c>
      <c r="G764" s="111">
        <f t="shared" si="275"/>
        <v>0</v>
      </c>
      <c r="H764" s="111">
        <f t="shared" si="275"/>
        <v>0</v>
      </c>
      <c r="I764" s="111">
        <f t="shared" si="275"/>
        <v>0</v>
      </c>
      <c r="J764" s="111">
        <f t="shared" si="275"/>
        <v>0</v>
      </c>
      <c r="K764" s="111">
        <f t="shared" si="275"/>
        <v>0</v>
      </c>
      <c r="L764" s="111">
        <f t="shared" si="275"/>
        <v>0</v>
      </c>
      <c r="M764" s="111">
        <f t="shared" si="275"/>
        <v>0</v>
      </c>
      <c r="N764" s="111">
        <f t="shared" ref="N764" si="276">IF($B748=1,IF(N$33=PRJ_Len,N$506-N$437,0),0)</f>
        <v>0</v>
      </c>
      <c r="O764" s="111">
        <f t="shared" ref="O764:Q764" si="277">IF($B748=1,IF(O$33=PRJ_Len,O$506-O$437,0),0)</f>
        <v>0</v>
      </c>
      <c r="P764" s="111">
        <f t="shared" ref="P764:Q764" si="278">IF($B748=1,IF(P$33=PRJ_Len,P$506-P$437,0),0)</f>
        <v>0</v>
      </c>
      <c r="Q764" s="111">
        <f t="shared" ca="1" si="278"/>
        <v>-3273178.25</v>
      </c>
      <c r="R764" s="43"/>
      <c r="S764" s="54">
        <f ca="1">SUM(F764:Q764)</f>
        <v>-3273178.25</v>
      </c>
    </row>
    <row r="765" spans="1:19" hidden="1" outlineLevel="2" x14ac:dyDescent="0.2">
      <c r="A765" s="63"/>
      <c r="B765" s="63"/>
      <c r="C765" s="67"/>
      <c r="D765" s="67"/>
      <c r="E765" s="63"/>
      <c r="F765" s="121"/>
      <c r="G765" s="121"/>
      <c r="H765" s="121"/>
      <c r="I765" s="121"/>
      <c r="J765" s="121"/>
      <c r="K765" s="121"/>
      <c r="L765" s="121"/>
      <c r="M765" s="121"/>
      <c r="N765" s="121"/>
      <c r="O765" s="121"/>
      <c r="P765" s="121"/>
      <c r="Q765" s="121"/>
      <c r="R765" s="121"/>
      <c r="S765" s="122"/>
    </row>
    <row r="766" spans="1:19" hidden="1" outlineLevel="2" x14ac:dyDescent="0.2">
      <c r="A766" s="24" t="str">
        <f ca="1">Language!A$852</f>
        <v>Чистый денежный поток</v>
      </c>
      <c r="B766" s="19"/>
      <c r="C766" s="5" t="str">
        <f ca="1">CUR_Report</f>
        <v>руб.</v>
      </c>
      <c r="D766" s="26"/>
      <c r="E766" s="19"/>
      <c r="F766" s="65">
        <f t="shared" ref="F766:M766" ca="1" si="279">F756+F758+F759+F760+F764+F754+F755+F761+F763</f>
        <v>41283.684478371404</v>
      </c>
      <c r="G766" s="65">
        <f t="shared" ca="1" si="279"/>
        <v>10903.120123794768</v>
      </c>
      <c r="H766" s="65">
        <f t="shared" ca="1" si="279"/>
        <v>-10304.61429896066</v>
      </c>
      <c r="I766" s="65">
        <f t="shared" ca="1" si="279"/>
        <v>-10224.078561150935</v>
      </c>
      <c r="J766" s="65">
        <f t="shared" ca="1" si="279"/>
        <v>-11630.495632816572</v>
      </c>
      <c r="K766" s="65">
        <f t="shared" ca="1" si="279"/>
        <v>219969.23265730808</v>
      </c>
      <c r="L766" s="65">
        <f t="shared" ca="1" si="279"/>
        <v>138285.77352272742</v>
      </c>
      <c r="M766" s="65">
        <f t="shared" ca="1" si="279"/>
        <v>254423.49284090893</v>
      </c>
      <c r="N766" s="65">
        <f t="shared" ref="N766" ca="1" si="280">N756+N758+N759+N760+N764+N754+N755+N761+N763</f>
        <v>439737.28869318264</v>
      </c>
      <c r="O766" s="65">
        <f t="shared" ref="O766:Q766" ca="1" si="281">O756+O758+O759+O760+O764+O754+O755+O761+O763</f>
        <v>3956262.8802554905</v>
      </c>
      <c r="P766" s="65">
        <f t="shared" ref="P766:Q766" ca="1" si="282">P756+P758+P759+P760+P764+P754+P755+P761+P763</f>
        <v>9308412.3693749998</v>
      </c>
      <c r="Q766" s="65">
        <f t="shared" ca="1" si="282"/>
        <v>7190569.6462500002</v>
      </c>
      <c r="R766" s="65"/>
      <c r="S766" s="54">
        <f ca="1">SUM(F766:Q766)</f>
        <v>21527688.299703855</v>
      </c>
    </row>
    <row r="767" spans="1:19" outlineLevel="1" x14ac:dyDescent="0.2">
      <c r="A767" t="str">
        <f ca="1">Language!A$853</f>
        <v>Дисконтированный чистый денежный поток</v>
      </c>
      <c r="B767" s="19"/>
      <c r="C767" s="5" t="str">
        <f ca="1">CUR_Report</f>
        <v>руб.</v>
      </c>
      <c r="D767" s="26"/>
      <c r="E767" s="19"/>
      <c r="F767" s="53">
        <f t="shared" ref="F767:M767" ca="1" si="283">F766/F751</f>
        <v>41283.684478371404</v>
      </c>
      <c r="G767" s="53">
        <f t="shared" ca="1" si="283"/>
        <v>10709.229202685507</v>
      </c>
      <c r="H767" s="53">
        <f t="shared" ca="1" si="283"/>
        <v>-9941.3777010629656</v>
      </c>
      <c r="I767" s="53">
        <f t="shared" ca="1" si="283"/>
        <v>-9688.2743375964819</v>
      </c>
      <c r="J767" s="53">
        <f t="shared" ca="1" si="283"/>
        <v>-10824.999608460392</v>
      </c>
      <c r="K767" s="53">
        <f t="shared" ca="1" si="283"/>
        <v>201093.95852731893</v>
      </c>
      <c r="L767" s="53">
        <f t="shared" ca="1" si="283"/>
        <v>124171.52173460266</v>
      </c>
      <c r="M767" s="53">
        <f t="shared" ca="1" si="283"/>
        <v>224392.90828220002</v>
      </c>
      <c r="N767" s="53">
        <f t="shared" ref="N767" ca="1" si="284">N766/N751</f>
        <v>380936.53564144106</v>
      </c>
      <c r="O767" s="53">
        <f t="shared" ref="O767:Q767" ca="1" si="285">O766/O751</f>
        <v>3366292.8255709028</v>
      </c>
      <c r="P767" s="53">
        <f t="shared" ref="P767:Q767" ca="1" si="286">P766/P751</f>
        <v>7779465.9004354831</v>
      </c>
      <c r="Q767" s="53">
        <f t="shared" ca="1" si="286"/>
        <v>5902620.7568737837</v>
      </c>
      <c r="R767" s="65"/>
      <c r="S767" s="54">
        <f ca="1">SUM(F767:Q767)</f>
        <v>18000512.66909967</v>
      </c>
    </row>
    <row r="768" spans="1:19" outlineLevel="1" x14ac:dyDescent="0.2">
      <c r="A768" t="str">
        <f ca="1">Language!A$854</f>
        <v>Дисконтированный поток нарастающим итогом</v>
      </c>
      <c r="C768" s="5" t="str">
        <f ca="1">CUR_Report</f>
        <v>руб.</v>
      </c>
      <c r="D768" s="16" t="s">
        <v>384</v>
      </c>
      <c r="F768" s="43">
        <f t="shared" ref="F768:Q768" ca="1" si="287">E768+F767</f>
        <v>41283.684478371404</v>
      </c>
      <c r="G768" s="43">
        <f t="shared" ca="1" si="287"/>
        <v>51992.913681056911</v>
      </c>
      <c r="H768" s="43">
        <f t="shared" ca="1" si="287"/>
        <v>42051.535979993947</v>
      </c>
      <c r="I768" s="43">
        <f t="shared" ca="1" si="287"/>
        <v>32363.261642397465</v>
      </c>
      <c r="J768" s="43">
        <f t="shared" ca="1" si="287"/>
        <v>21538.262033937073</v>
      </c>
      <c r="K768" s="43">
        <f t="shared" ca="1" si="287"/>
        <v>222632.22056125599</v>
      </c>
      <c r="L768" s="43">
        <f t="shared" ca="1" si="287"/>
        <v>346803.74229585868</v>
      </c>
      <c r="M768" s="43">
        <f t="shared" ca="1" si="287"/>
        <v>571196.65057805867</v>
      </c>
      <c r="N768" s="43">
        <f t="shared" ca="1" si="287"/>
        <v>952133.18621949968</v>
      </c>
      <c r="O768" s="43">
        <f t="shared" ca="1" si="287"/>
        <v>4318426.0117904022</v>
      </c>
      <c r="P768" s="43">
        <f t="shared" ca="1" si="287"/>
        <v>12097891.912225885</v>
      </c>
      <c r="Q768" s="43">
        <f t="shared" ca="1" si="287"/>
        <v>18000512.66909967</v>
      </c>
      <c r="R768" s="43"/>
      <c r="S768" s="54"/>
    </row>
    <row r="769" spans="1:19" outlineLevel="1" x14ac:dyDescent="0.2"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54"/>
    </row>
    <row r="770" spans="1:19" outlineLevel="1" collapsed="1" x14ac:dyDescent="0.2">
      <c r="A770" s="23" t="str">
        <f ca="1">Language!A$855</f>
        <v>Простой срок окупаемости</v>
      </c>
      <c r="B770" s="164" t="str">
        <f ca="1">IF(ISERROR(E772),Language!A$829,IF(E772&gt;=PRJ_Len,Language!A$829,IF(OR(E772=0),E772*PRJ_Step/360,(E772-OFFSET(F771,0,E772-1)/(-OFFSET(F771,0,E772-1)+OFFSET(F771,0,E772)))*PRJ_Step/360)))</f>
        <v>Нет</v>
      </c>
      <c r="C770" s="17" t="str">
        <f ca="1">IF(B770=0,Language!A$33,IF(OR(B770&lt;1,AND(B770&gt;1,B770&lt;5)),Language!A$830,IF(B770=1,Language!A$37,Language!A$33)))</f>
        <v>лет</v>
      </c>
      <c r="S770" s="11"/>
    </row>
    <row r="771" spans="1:19" hidden="1" outlineLevel="2" x14ac:dyDescent="0.2">
      <c r="A771" t="str">
        <f ca="1">Language!A$856</f>
        <v xml:space="preserve">    недисконтированный поток нарастающим итогом</v>
      </c>
      <c r="D771" s="16" t="s">
        <v>384</v>
      </c>
      <c r="F771" s="53">
        <f t="shared" ref="F771:Q771" ca="1" si="288">E771+F766</f>
        <v>41283.684478371404</v>
      </c>
      <c r="G771" s="53">
        <f t="shared" ca="1" si="288"/>
        <v>52186.804602166172</v>
      </c>
      <c r="H771" s="53">
        <f t="shared" ca="1" si="288"/>
        <v>41882.190303205512</v>
      </c>
      <c r="I771" s="53">
        <f t="shared" ca="1" si="288"/>
        <v>31658.111742054578</v>
      </c>
      <c r="J771" s="53">
        <f t="shared" ca="1" si="288"/>
        <v>20027.616109238006</v>
      </c>
      <c r="K771" s="53">
        <f t="shared" ca="1" si="288"/>
        <v>239996.84876654609</v>
      </c>
      <c r="L771" s="53">
        <f t="shared" ca="1" si="288"/>
        <v>378282.62228927354</v>
      </c>
      <c r="M771" s="53">
        <f t="shared" ca="1" si="288"/>
        <v>632706.11513018247</v>
      </c>
      <c r="N771" s="53">
        <f t="shared" ca="1" si="288"/>
        <v>1072443.403823365</v>
      </c>
      <c r="O771" s="53">
        <f t="shared" ca="1" si="288"/>
        <v>5028706.2840788551</v>
      </c>
      <c r="P771" s="53">
        <f t="shared" ca="1" si="288"/>
        <v>14337118.653453855</v>
      </c>
      <c r="Q771" s="53">
        <f t="shared" ca="1" si="288"/>
        <v>21527688.299703855</v>
      </c>
      <c r="S771" s="11"/>
    </row>
    <row r="772" spans="1:19" hidden="1" outlineLevel="2" x14ac:dyDescent="0.2">
      <c r="A772" t="str">
        <f ca="1">Language!A$857</f>
        <v xml:space="preserve">    знак остатка денежных средств</v>
      </c>
      <c r="D772" s="16" t="s">
        <v>384</v>
      </c>
      <c r="E772" s="101" t="e">
        <f ca="1">PRJ_Len+1-(MATCH(-1,F773:R773,0))</f>
        <v>#N/A</v>
      </c>
      <c r="F772" s="16">
        <f t="shared" ref="F772:M772" ca="1" si="289">SIGN(F771)</f>
        <v>1</v>
      </c>
      <c r="G772" s="16">
        <f t="shared" ca="1" si="289"/>
        <v>1</v>
      </c>
      <c r="H772" s="16">
        <f t="shared" ca="1" si="289"/>
        <v>1</v>
      </c>
      <c r="I772" s="16">
        <f t="shared" ca="1" si="289"/>
        <v>1</v>
      </c>
      <c r="J772" s="16">
        <f t="shared" ca="1" si="289"/>
        <v>1</v>
      </c>
      <c r="K772" s="16">
        <f t="shared" ca="1" si="289"/>
        <v>1</v>
      </c>
      <c r="L772" s="16">
        <f t="shared" ca="1" si="289"/>
        <v>1</v>
      </c>
      <c r="M772" s="16">
        <f t="shared" ca="1" si="289"/>
        <v>1</v>
      </c>
      <c r="N772" s="16">
        <f t="shared" ref="N772" ca="1" si="290">SIGN(N771)</f>
        <v>1</v>
      </c>
      <c r="O772" s="16">
        <f t="shared" ref="O772:Q772" ca="1" si="291">SIGN(O771)</f>
        <v>1</v>
      </c>
      <c r="P772" s="16">
        <f t="shared" ref="P772:Q772" ca="1" si="292">SIGN(P771)</f>
        <v>1</v>
      </c>
      <c r="Q772" s="16">
        <f t="shared" ca="1" si="292"/>
        <v>1</v>
      </c>
      <c r="S772" s="11"/>
    </row>
    <row r="773" spans="1:19" hidden="1" outlineLevel="2" x14ac:dyDescent="0.2">
      <c r="A773" t="str">
        <f ca="1">Language!A$858</f>
        <v xml:space="preserve">    знак остатка денежных средств (с конца)</v>
      </c>
      <c r="D773" s="16" t="s">
        <v>384</v>
      </c>
      <c r="F773" s="101">
        <f t="shared" ref="F773:M773" ca="1" si="293">OFFSET(F772,0,PRJ_Len-F$33-F$33+1)</f>
        <v>1</v>
      </c>
      <c r="G773" s="101">
        <f t="shared" ca="1" si="293"/>
        <v>1</v>
      </c>
      <c r="H773" s="101">
        <f t="shared" ca="1" si="293"/>
        <v>1</v>
      </c>
      <c r="I773" s="101">
        <f t="shared" ca="1" si="293"/>
        <v>1</v>
      </c>
      <c r="J773" s="101">
        <f t="shared" ca="1" si="293"/>
        <v>1</v>
      </c>
      <c r="K773" s="101">
        <f t="shared" ca="1" si="293"/>
        <v>1</v>
      </c>
      <c r="L773" s="101">
        <f t="shared" ca="1" si="293"/>
        <v>1</v>
      </c>
      <c r="M773" s="101">
        <f t="shared" ca="1" si="293"/>
        <v>1</v>
      </c>
      <c r="N773" s="101">
        <f t="shared" ref="N773" ca="1" si="294">OFFSET(N772,0,PRJ_Len-N$33-N$33+1)</f>
        <v>1</v>
      </c>
      <c r="O773" s="101">
        <f t="shared" ref="O773:Q773" ca="1" si="295">OFFSET(O772,0,PRJ_Len-O$33-O$33+1)</f>
        <v>1</v>
      </c>
      <c r="P773" s="101">
        <f t="shared" ref="P773:Q773" ca="1" si="296">OFFSET(P772,0,PRJ_Len-P$33-P$33+1)</f>
        <v>1</v>
      </c>
      <c r="Q773" s="101">
        <f t="shared" ca="1" si="296"/>
        <v>1</v>
      </c>
      <c r="S773" s="11"/>
    </row>
    <row r="774" spans="1:19" outlineLevel="1" x14ac:dyDescent="0.2">
      <c r="S774" s="11"/>
    </row>
    <row r="775" spans="1:19" ht="10.5" outlineLevel="1" x14ac:dyDescent="0.25">
      <c r="A775" s="35" t="str">
        <f ca="1">Language!A$859</f>
        <v>Чистая приведенная стоимость (NPV)</v>
      </c>
      <c r="B775" s="151">
        <f ca="1">S767</f>
        <v>18000512.66909967</v>
      </c>
      <c r="C775" s="5" t="str">
        <f ca="1">CUR_Report</f>
        <v>руб.</v>
      </c>
      <c r="S775" s="11"/>
    </row>
    <row r="776" spans="1:19" ht="10.5" outlineLevel="1" collapsed="1" x14ac:dyDescent="0.25">
      <c r="A776" s="35" t="str">
        <f ca="1">Language!A$860</f>
        <v>Дисконтированный срок окупаемости (PBP)</v>
      </c>
      <c r="B776" s="150" t="str">
        <f ca="1">IF(ISERROR(E777),Language!A$829,IF(E777&gt;=PRJ_Len,Language!A$829,IF(OR(E777=0),E777*PRJ_Step/360,(E777-OFFSET(F768,0,E777-1)/(-OFFSET(F768,0,E777-1)+OFFSET(F768,0,E777)))*PRJ_Step/360)))</f>
        <v>Нет</v>
      </c>
      <c r="C776" s="17" t="str">
        <f ca="1">IF(B776=0,Language!A$33,IF(OR(B776&lt;1,AND(B776&gt;1,B776&lt;5)),Language!A$830,IF(B776=1,Language!A$37,Language!A$33)))</f>
        <v>лет</v>
      </c>
      <c r="S776" s="11"/>
    </row>
    <row r="777" spans="1:19" hidden="1" outlineLevel="2" x14ac:dyDescent="0.2">
      <c r="A777" t="str">
        <f ca="1">Language!A$861</f>
        <v xml:space="preserve">    знак остатка дисконтированных денежных средств</v>
      </c>
      <c r="D777" s="16" t="s">
        <v>384</v>
      </c>
      <c r="E777" s="101" t="e">
        <f ca="1">PRJ_Len+1-(MATCH(-1,F778:R778,0))</f>
        <v>#N/A</v>
      </c>
      <c r="F777" s="16">
        <f t="shared" ref="F777:M777" ca="1" si="297">SIGN(F768)</f>
        <v>1</v>
      </c>
      <c r="G777" s="16">
        <f t="shared" ca="1" si="297"/>
        <v>1</v>
      </c>
      <c r="H777" s="16">
        <f t="shared" ca="1" si="297"/>
        <v>1</v>
      </c>
      <c r="I777" s="16">
        <f t="shared" ca="1" si="297"/>
        <v>1</v>
      </c>
      <c r="J777" s="16">
        <f t="shared" ca="1" si="297"/>
        <v>1</v>
      </c>
      <c r="K777" s="16">
        <f t="shared" ca="1" si="297"/>
        <v>1</v>
      </c>
      <c r="L777" s="16">
        <f t="shared" ca="1" si="297"/>
        <v>1</v>
      </c>
      <c r="M777" s="16">
        <f t="shared" ca="1" si="297"/>
        <v>1</v>
      </c>
      <c r="N777" s="16">
        <f t="shared" ref="N777" ca="1" si="298">SIGN(N768)</f>
        <v>1</v>
      </c>
      <c r="O777" s="16">
        <f t="shared" ref="O777:Q777" ca="1" si="299">SIGN(O768)</f>
        <v>1</v>
      </c>
      <c r="P777" s="16">
        <f t="shared" ref="P777:Q777" ca="1" si="300">SIGN(P768)</f>
        <v>1</v>
      </c>
      <c r="Q777" s="16">
        <f t="shared" ca="1" si="300"/>
        <v>1</v>
      </c>
      <c r="S777" s="11"/>
    </row>
    <row r="778" spans="1:19" hidden="1" outlineLevel="2" x14ac:dyDescent="0.2">
      <c r="A778" t="str">
        <f ca="1">Language!A$862</f>
        <v xml:space="preserve">    знак остатка дисконтированных денежных средств (с конца)</v>
      </c>
      <c r="D778" s="16" t="s">
        <v>384</v>
      </c>
      <c r="F778" s="101">
        <f t="shared" ref="F778:M778" ca="1" si="301">OFFSET(F777,0,PRJ_Len-F$33-F$33+1)</f>
        <v>1</v>
      </c>
      <c r="G778" s="101">
        <f t="shared" ca="1" si="301"/>
        <v>1</v>
      </c>
      <c r="H778" s="101">
        <f t="shared" ca="1" si="301"/>
        <v>1</v>
      </c>
      <c r="I778" s="101">
        <f t="shared" ca="1" si="301"/>
        <v>1</v>
      </c>
      <c r="J778" s="101">
        <f t="shared" ca="1" si="301"/>
        <v>1</v>
      </c>
      <c r="K778" s="101">
        <f t="shared" ca="1" si="301"/>
        <v>1</v>
      </c>
      <c r="L778" s="101">
        <f t="shared" ca="1" si="301"/>
        <v>1</v>
      </c>
      <c r="M778" s="101">
        <f t="shared" ca="1" si="301"/>
        <v>1</v>
      </c>
      <c r="N778" s="101">
        <f t="shared" ref="N778" ca="1" si="302">OFFSET(N777,0,PRJ_Len-N$33-N$33+1)</f>
        <v>1</v>
      </c>
      <c r="O778" s="101">
        <f t="shared" ref="O778:Q778" ca="1" si="303">OFFSET(O777,0,PRJ_Len-O$33-O$33+1)</f>
        <v>1</v>
      </c>
      <c r="P778" s="101">
        <f t="shared" ref="P778:Q778" ca="1" si="304">OFFSET(P777,0,PRJ_Len-P$33-P$33+1)</f>
        <v>1</v>
      </c>
      <c r="Q778" s="101">
        <f t="shared" ca="1" si="304"/>
        <v>1</v>
      </c>
      <c r="S778" s="11"/>
    </row>
    <row r="779" spans="1:19" ht="10.5" outlineLevel="1" collapsed="1" x14ac:dyDescent="0.25">
      <c r="A779" s="130" t="str">
        <f ca="1">Language!A$863</f>
        <v>Внутренняя норма рентабельности (IRR)</v>
      </c>
      <c r="B779" s="152" t="str">
        <f ca="1">IF(ISERROR(E779),Language!A$829,IF(AND(E779&gt;0,E779&lt;100),E779,Language!A$829))</f>
        <v>Нет</v>
      </c>
      <c r="C779" s="216" t="str">
        <f ca="1">IF(CalcMethod=1,Language!A$831,Language!A$832)</f>
        <v>(реальная - без учета инфляции)</v>
      </c>
      <c r="E779" s="16" t="e">
        <f ca="1">(POWER(1+IRR(F780:Q780,0.2*PRJ_Step/360),360/PRJ_Step)-1)</f>
        <v>#NUM!</v>
      </c>
      <c r="S779" s="11"/>
    </row>
    <row r="780" spans="1:19" s="48" customFormat="1" ht="10.5" hidden="1" outlineLevel="2" x14ac:dyDescent="0.2">
      <c r="A780" s="24" t="str">
        <f ca="1">Language!A$852</f>
        <v>Чистый денежный поток</v>
      </c>
      <c r="B780" s="223"/>
      <c r="C780" s="216"/>
      <c r="E780" s="101"/>
      <c r="F780" s="65">
        <f t="shared" ref="F780:M780" ca="1" si="305">F766</f>
        <v>41283.684478371404</v>
      </c>
      <c r="G780" s="65">
        <f t="shared" ca="1" si="305"/>
        <v>10903.120123794768</v>
      </c>
      <c r="H780" s="65">
        <f t="shared" ca="1" si="305"/>
        <v>-10304.61429896066</v>
      </c>
      <c r="I780" s="65">
        <f t="shared" ca="1" si="305"/>
        <v>-10224.078561150935</v>
      </c>
      <c r="J780" s="65">
        <f t="shared" ca="1" si="305"/>
        <v>-11630.495632816572</v>
      </c>
      <c r="K780" s="65">
        <f t="shared" ca="1" si="305"/>
        <v>219969.23265730808</v>
      </c>
      <c r="L780" s="65">
        <f t="shared" ca="1" si="305"/>
        <v>138285.77352272742</v>
      </c>
      <c r="M780" s="65">
        <f t="shared" ca="1" si="305"/>
        <v>254423.49284090893</v>
      </c>
      <c r="N780" s="65">
        <f t="shared" ref="N780" ca="1" si="306">N766</f>
        <v>439737.28869318264</v>
      </c>
      <c r="O780" s="65">
        <f t="shared" ref="O780:Q780" ca="1" si="307">O766</f>
        <v>3956262.8802554905</v>
      </c>
      <c r="P780" s="65">
        <f t="shared" ref="P780:Q780" ca="1" si="308">P766</f>
        <v>9308412.3693749998</v>
      </c>
      <c r="Q780" s="65">
        <f t="shared" ca="1" si="308"/>
        <v>7190569.6462500002</v>
      </c>
      <c r="S780" s="41"/>
    </row>
    <row r="781" spans="1:19" outlineLevel="1" collapsed="1" x14ac:dyDescent="0.2">
      <c r="A781" s="23" t="str">
        <f ca="1">Language!A$864</f>
        <v>Норма доходности дисконтированных затрат (PI)</v>
      </c>
      <c r="B781" s="309">
        <f ca="1">IF(S785&lt;0,S783/-S785,Language!A$829)</f>
        <v>592.05954905256692</v>
      </c>
      <c r="C781" s="5" t="str">
        <f ca="1">Language!A$197</f>
        <v>разы</v>
      </c>
      <c r="S781" s="11"/>
    </row>
    <row r="782" spans="1:19" hidden="1" outlineLevel="2" x14ac:dyDescent="0.2">
      <c r="A782" t="str">
        <f ca="1">Language!A$865</f>
        <v xml:space="preserve">    притоки</v>
      </c>
      <c r="C782" s="5" t="str">
        <f ca="1">CUR_Report</f>
        <v>руб.</v>
      </c>
      <c r="F782" s="43">
        <f t="shared" ref="F782:M782" ca="1" si="309">MAX(0,F766)</f>
        <v>41283.684478371404</v>
      </c>
      <c r="G782" s="43">
        <f t="shared" ca="1" si="309"/>
        <v>10903.120123794768</v>
      </c>
      <c r="H782" s="43">
        <f t="shared" ca="1" si="309"/>
        <v>0</v>
      </c>
      <c r="I782" s="43">
        <f t="shared" ca="1" si="309"/>
        <v>0</v>
      </c>
      <c r="J782" s="43">
        <f t="shared" ca="1" si="309"/>
        <v>0</v>
      </c>
      <c r="K782" s="43">
        <f t="shared" ca="1" si="309"/>
        <v>219969.23265730808</v>
      </c>
      <c r="L782" s="43">
        <f t="shared" ca="1" si="309"/>
        <v>138285.77352272742</v>
      </c>
      <c r="M782" s="43">
        <f t="shared" ca="1" si="309"/>
        <v>254423.49284090893</v>
      </c>
      <c r="N782" s="43">
        <f t="shared" ref="N782" ca="1" si="310">MAX(0,N766)</f>
        <v>439737.28869318264</v>
      </c>
      <c r="O782" s="43">
        <f t="shared" ref="O782:Q782" ca="1" si="311">MAX(0,O766)</f>
        <v>3956262.8802554905</v>
      </c>
      <c r="P782" s="43">
        <f t="shared" ref="P782:Q782" ca="1" si="312">MAX(0,P766)</f>
        <v>9308412.3693749998</v>
      </c>
      <c r="Q782" s="43">
        <f t="shared" ca="1" si="312"/>
        <v>7190569.6462500002</v>
      </c>
      <c r="S782" s="54">
        <f ca="1">SUM(F782:Q782)</f>
        <v>21559847.488196783</v>
      </c>
    </row>
    <row r="783" spans="1:19" hidden="1" outlineLevel="2" x14ac:dyDescent="0.2">
      <c r="A783" t="str">
        <f ca="1">Language!A$866</f>
        <v xml:space="preserve">    дисконтированные притоки</v>
      </c>
      <c r="C783" s="5" t="str">
        <f ca="1">CUR_Report</f>
        <v>руб.</v>
      </c>
      <c r="F783" s="43">
        <f t="shared" ref="F783:M783" ca="1" si="313">F782/F751</f>
        <v>41283.684478371404</v>
      </c>
      <c r="G783" s="43">
        <f t="shared" ca="1" si="313"/>
        <v>10709.229202685507</v>
      </c>
      <c r="H783" s="43">
        <f t="shared" ca="1" si="313"/>
        <v>0</v>
      </c>
      <c r="I783" s="43">
        <f t="shared" ca="1" si="313"/>
        <v>0</v>
      </c>
      <c r="J783" s="43">
        <f t="shared" ca="1" si="313"/>
        <v>0</v>
      </c>
      <c r="K783" s="43">
        <f t="shared" ca="1" si="313"/>
        <v>201093.95852731893</v>
      </c>
      <c r="L783" s="43">
        <f t="shared" ca="1" si="313"/>
        <v>124171.52173460266</v>
      </c>
      <c r="M783" s="43">
        <f t="shared" ca="1" si="313"/>
        <v>224392.90828220002</v>
      </c>
      <c r="N783" s="43">
        <f t="shared" ref="N783" ca="1" si="314">N782/N751</f>
        <v>380936.53564144106</v>
      </c>
      <c r="O783" s="43">
        <f t="shared" ref="O783:Q783" ca="1" si="315">O782/O751</f>
        <v>3366292.8255709028</v>
      </c>
      <c r="P783" s="43">
        <f t="shared" ref="P783:Q783" ca="1" si="316">P782/P751</f>
        <v>7779465.9004354831</v>
      </c>
      <c r="Q783" s="43">
        <f t="shared" ca="1" si="316"/>
        <v>5902620.7568737837</v>
      </c>
      <c r="S783" s="54">
        <f ca="1">SUM(F783:Q783)</f>
        <v>18030967.320746787</v>
      </c>
    </row>
    <row r="784" spans="1:19" hidden="1" outlineLevel="2" x14ac:dyDescent="0.2">
      <c r="A784" t="str">
        <f ca="1">Language!A$867</f>
        <v xml:space="preserve">    оттоки</v>
      </c>
      <c r="C784" s="5" t="str">
        <f ca="1">CUR_Report</f>
        <v>руб.</v>
      </c>
      <c r="F784" s="43">
        <f t="shared" ref="F784:M784" ca="1" si="317">MIN(0,F766)</f>
        <v>0</v>
      </c>
      <c r="G784" s="43">
        <f t="shared" ca="1" si="317"/>
        <v>0</v>
      </c>
      <c r="H784" s="43">
        <f t="shared" ca="1" si="317"/>
        <v>-10304.61429896066</v>
      </c>
      <c r="I784" s="43">
        <f t="shared" ca="1" si="317"/>
        <v>-10224.078561150935</v>
      </c>
      <c r="J784" s="43">
        <f t="shared" ca="1" si="317"/>
        <v>-11630.495632816572</v>
      </c>
      <c r="K784" s="43">
        <f t="shared" ca="1" si="317"/>
        <v>0</v>
      </c>
      <c r="L784" s="43">
        <f t="shared" ca="1" si="317"/>
        <v>0</v>
      </c>
      <c r="M784" s="43">
        <f t="shared" ca="1" si="317"/>
        <v>0</v>
      </c>
      <c r="N784" s="43">
        <f t="shared" ref="N784" ca="1" si="318">MIN(0,N766)</f>
        <v>0</v>
      </c>
      <c r="O784" s="43">
        <f t="shared" ref="O784:Q784" ca="1" si="319">MIN(0,O766)</f>
        <v>0</v>
      </c>
      <c r="P784" s="43">
        <f t="shared" ref="P784:Q784" ca="1" si="320">MIN(0,P766)</f>
        <v>0</v>
      </c>
      <c r="Q784" s="43">
        <f t="shared" ca="1" si="320"/>
        <v>0</v>
      </c>
      <c r="S784" s="54">
        <f ca="1">SUM(F784:Q784)</f>
        <v>-32159.188492928166</v>
      </c>
    </row>
    <row r="785" spans="1:19" hidden="1" outlineLevel="2" x14ac:dyDescent="0.2">
      <c r="A785" t="str">
        <f ca="1">Language!A$868</f>
        <v xml:space="preserve">    дисконтированные оттоки</v>
      </c>
      <c r="C785" s="5" t="str">
        <f ca="1">CUR_Report</f>
        <v>руб.</v>
      </c>
      <c r="F785" s="43">
        <f t="shared" ref="F785:M785" ca="1" si="321">F784/F751</f>
        <v>0</v>
      </c>
      <c r="G785" s="43">
        <f t="shared" ca="1" si="321"/>
        <v>0</v>
      </c>
      <c r="H785" s="43">
        <f t="shared" ca="1" si="321"/>
        <v>-9941.3777010629656</v>
      </c>
      <c r="I785" s="43">
        <f t="shared" ca="1" si="321"/>
        <v>-9688.2743375964819</v>
      </c>
      <c r="J785" s="43">
        <f t="shared" ca="1" si="321"/>
        <v>-10824.999608460392</v>
      </c>
      <c r="K785" s="43">
        <f t="shared" ca="1" si="321"/>
        <v>0</v>
      </c>
      <c r="L785" s="43">
        <f t="shared" ca="1" si="321"/>
        <v>0</v>
      </c>
      <c r="M785" s="43">
        <f t="shared" ca="1" si="321"/>
        <v>0</v>
      </c>
      <c r="N785" s="43">
        <f t="shared" ref="N785" ca="1" si="322">N784/N751</f>
        <v>0</v>
      </c>
      <c r="O785" s="43">
        <f t="shared" ref="O785:Q785" ca="1" si="323">O784/O751</f>
        <v>0</v>
      </c>
      <c r="P785" s="43">
        <f t="shared" ref="P785:Q785" ca="1" si="324">P784/P751</f>
        <v>0</v>
      </c>
      <c r="Q785" s="43">
        <f t="shared" ca="1" si="324"/>
        <v>0</v>
      </c>
      <c r="S785" s="54">
        <f ca="1">SUM(F785:Q785)</f>
        <v>-30454.651647119841</v>
      </c>
    </row>
    <row r="786" spans="1:19" outlineLevel="1" x14ac:dyDescent="0.2"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S786" s="11"/>
    </row>
    <row r="787" spans="1:19" outlineLevel="1" x14ac:dyDescent="0.2">
      <c r="A787" s="23" t="str">
        <f ca="1">Language!A$869</f>
        <v>Модифицированная IRR (MIRR)</v>
      </c>
      <c r="B787" s="310">
        <f ca="1">IF(ISERROR(E787),Language!A$829,E787)</f>
        <v>1314.7405027279137</v>
      </c>
      <c r="C787" s="5"/>
      <c r="E787" s="153">
        <f ca="1">(POWER(1+MIRR(F766:R766,POWER(1+B789,PRJ_Step/360)-1,POWER(1+B788,PRJ_Step/360)-1),360/PRJ_Step)-1)</f>
        <v>1314.7405027279137</v>
      </c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S787" s="11"/>
    </row>
    <row r="788" spans="1:19" outlineLevel="1" x14ac:dyDescent="0.2">
      <c r="A788" t="str">
        <f ca="1">Language!A$870</f>
        <v>Ставка реинвестирования доходов</v>
      </c>
      <c r="B788" s="273">
        <f>B749</f>
        <v>0.25</v>
      </c>
      <c r="S788" s="11"/>
    </row>
    <row r="789" spans="1:19" outlineLevel="1" x14ac:dyDescent="0.2">
      <c r="A789" t="str">
        <f ca="1">Language!A$871</f>
        <v>Ставка дисконтирования инвестиционных затрат</v>
      </c>
      <c r="B789" s="273">
        <f>B749</f>
        <v>0.25</v>
      </c>
      <c r="S789" s="11"/>
    </row>
    <row r="790" spans="1:19" outlineLevel="1" x14ac:dyDescent="0.2">
      <c r="A790" s="63"/>
      <c r="B790" s="63"/>
      <c r="C790" s="63"/>
      <c r="D790" s="63"/>
      <c r="E790" s="63"/>
      <c r="F790" s="63"/>
      <c r="G790" s="63"/>
      <c r="H790" s="63"/>
      <c r="I790" s="63"/>
      <c r="J790" s="63"/>
      <c r="K790" s="63"/>
      <c r="L790" s="63"/>
      <c r="M790" s="63"/>
      <c r="N790" s="63"/>
      <c r="O790" s="63"/>
      <c r="P790" s="63"/>
      <c r="Q790" s="63"/>
      <c r="R790" s="63"/>
      <c r="S790" s="64"/>
    </row>
    <row r="791" spans="1:19" outlineLevel="1" collapsed="1" x14ac:dyDescent="0.2">
      <c r="A791" s="22" t="str">
        <f ca="1">Language!A976</f>
        <v>График: Окупаемость проектов (для собственного капитала)</v>
      </c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22"/>
    </row>
    <row r="792" spans="1:19" hidden="1" outlineLevel="2" x14ac:dyDescent="0.2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22"/>
    </row>
    <row r="793" spans="1:19" hidden="1" outlineLevel="2" x14ac:dyDescent="0.2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22"/>
    </row>
    <row r="794" spans="1:19" hidden="1" outlineLevel="2" x14ac:dyDescent="0.2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22"/>
    </row>
    <row r="795" spans="1:19" hidden="1" outlineLevel="2" x14ac:dyDescent="0.2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22"/>
    </row>
    <row r="796" spans="1:19" hidden="1" outlineLevel="2" x14ac:dyDescent="0.2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22"/>
    </row>
    <row r="797" spans="1:19" hidden="1" outlineLevel="2" x14ac:dyDescent="0.2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22"/>
    </row>
    <row r="798" spans="1:19" hidden="1" outlineLevel="2" x14ac:dyDescent="0.2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22"/>
    </row>
    <row r="799" spans="1:19" hidden="1" outlineLevel="2" x14ac:dyDescent="0.2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22"/>
    </row>
    <row r="800" spans="1:19" hidden="1" outlineLevel="2" x14ac:dyDescent="0.2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22"/>
    </row>
    <row r="801" spans="1:19" hidden="1" outlineLevel="2" x14ac:dyDescent="0.2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22"/>
    </row>
    <row r="802" spans="1:19" hidden="1" outlineLevel="2" x14ac:dyDescent="0.2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22"/>
    </row>
    <row r="803" spans="1:19" hidden="1" outlineLevel="2" x14ac:dyDescent="0.2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22"/>
    </row>
    <row r="804" spans="1:19" hidden="1" outlineLevel="2" x14ac:dyDescent="0.2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22"/>
    </row>
    <row r="805" spans="1:19" hidden="1" outlineLevel="2" x14ac:dyDescent="0.2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22"/>
    </row>
    <row r="806" spans="1:19" hidden="1" outlineLevel="2" x14ac:dyDescent="0.2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22"/>
    </row>
    <row r="807" spans="1:19" hidden="1" outlineLevel="2" x14ac:dyDescent="0.2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22"/>
    </row>
    <row r="808" spans="1:19" hidden="1" outlineLevel="2" x14ac:dyDescent="0.2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22"/>
    </row>
    <row r="809" spans="1:19" hidden="1" outlineLevel="2" x14ac:dyDescent="0.2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22"/>
    </row>
    <row r="810" spans="1:19" hidden="1" outlineLevel="2" x14ac:dyDescent="0.2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22"/>
    </row>
    <row r="811" spans="1:19" hidden="1" outlineLevel="2" x14ac:dyDescent="0.2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22"/>
    </row>
    <row r="812" spans="1:19" hidden="1" outlineLevel="2" x14ac:dyDescent="0.2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22"/>
    </row>
    <row r="813" spans="1:19" hidden="1" outlineLevel="2" x14ac:dyDescent="0.2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22"/>
    </row>
    <row r="814" spans="1:19" hidden="1" outlineLevel="2" x14ac:dyDescent="0.2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22"/>
    </row>
    <row r="815" spans="1:19" outlineLevel="1" x14ac:dyDescent="0.2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22"/>
    </row>
    <row r="816" spans="1:19" outlineLevel="1" x14ac:dyDescent="0.2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22"/>
    </row>
    <row r="817" spans="1:19" s="4" customFormat="1" ht="16" customHeight="1" thickBot="1" x14ac:dyDescent="0.25">
      <c r="A817" s="166" t="str">
        <f ca="1">Language!A875</f>
        <v xml:space="preserve">         ЭФФЕКТИВНОСТЬ ДЛЯ БАНКА</v>
      </c>
      <c r="B817" s="166"/>
      <c r="C817" s="166"/>
      <c r="D817" s="166"/>
      <c r="E817" s="166"/>
      <c r="F817" s="178" t="str">
        <f>IF(Проект!ShowRealDates,F36,F34)</f>
        <v>4/ 2020</v>
      </c>
      <c r="G817" s="178" t="str">
        <f>IF(Проект!ShowRealDates,G36,G34)</f>
        <v>5/ 2020</v>
      </c>
      <c r="H817" s="178" t="str">
        <f>IF(Проект!ShowRealDates,H36,H34)</f>
        <v>6/ 2020</v>
      </c>
      <c r="I817" s="178" t="str">
        <f>IF(Проект!ShowRealDates,I36,I34)</f>
        <v>7/ 2020</v>
      </c>
      <c r="J817" s="178" t="str">
        <f>IF(Проект!ShowRealDates,J36,J34)</f>
        <v>8/ 2020</v>
      </c>
      <c r="K817" s="178" t="str">
        <f>IF(Проект!ShowRealDates,K36,K34)</f>
        <v>9/ 2020</v>
      </c>
      <c r="L817" s="178" t="str">
        <f>IF(Проект!ShowRealDates,L36,L34)</f>
        <v>10/ 2020</v>
      </c>
      <c r="M817" s="178" t="str">
        <f>IF(Проект!ShowRealDates,M36,M34)</f>
        <v>11/ 2020</v>
      </c>
      <c r="N817" s="178" t="str">
        <f>IF(Проект!ShowRealDates,N36,N34)</f>
        <v>12/ 2020</v>
      </c>
      <c r="O817" s="178" t="str">
        <f>IF(Проект!ShowRealDates,O36,O34)</f>
        <v>1/ 2021</v>
      </c>
      <c r="P817" s="178" t="str">
        <f>IF(Проект!ShowRealDates,P36,P34)</f>
        <v>2/ 2021</v>
      </c>
      <c r="Q817" s="178" t="str">
        <f>IF(Проект!ShowRealDates,Q36,Q34)</f>
        <v>3/ 2021</v>
      </c>
      <c r="R817" s="166"/>
      <c r="S817" s="167" t="str">
        <f ca="1">Language!A$371</f>
        <v>ИТОГО</v>
      </c>
    </row>
    <row r="818" spans="1:19" ht="10.5" outlineLevel="1" thickTop="1" x14ac:dyDescent="0.2">
      <c r="S818" s="11"/>
    </row>
    <row r="819" spans="1:19" outlineLevel="1" collapsed="1" x14ac:dyDescent="0.2">
      <c r="A819" s="23" t="str">
        <f ca="1">Language!A104</f>
        <v>Предполагаемый темп годового роста цен</v>
      </c>
      <c r="C819" s="5" t="s">
        <v>177</v>
      </c>
      <c r="D819" s="16" t="s">
        <v>176</v>
      </c>
      <c r="F819" s="211">
        <f t="shared" ref="F819:M819" si="325">F669</f>
        <v>8.0000000000000002E-3</v>
      </c>
      <c r="G819" s="211">
        <f t="shared" si="325"/>
        <v>8.0000000000000002E-3</v>
      </c>
      <c r="H819" s="211">
        <f t="shared" si="325"/>
        <v>8.0000000000000002E-3</v>
      </c>
      <c r="I819" s="211">
        <f t="shared" si="325"/>
        <v>8.0000000000000002E-3</v>
      </c>
      <c r="J819" s="211">
        <f t="shared" si="325"/>
        <v>8.0000000000000002E-3</v>
      </c>
      <c r="K819" s="211">
        <f t="shared" si="325"/>
        <v>8.0000000000000002E-3</v>
      </c>
      <c r="L819" s="211">
        <f t="shared" si="325"/>
        <v>8.0000000000000002E-3</v>
      </c>
      <c r="M819" s="211">
        <f t="shared" si="325"/>
        <v>8.0000000000000002E-3</v>
      </c>
      <c r="N819" s="211">
        <f t="shared" ref="N819" si="326">N669</f>
        <v>8.0000000000000002E-3</v>
      </c>
      <c r="O819" s="211">
        <f t="shared" ref="O819:Q819" si="327">O669</f>
        <v>8.0000000000000002E-3</v>
      </c>
      <c r="P819" s="211">
        <f t="shared" ref="P819:Q819" si="328">P669</f>
        <v>8.0000000000000002E-3</v>
      </c>
      <c r="Q819" s="211">
        <f t="shared" si="328"/>
        <v>8.0000000000000002E-3</v>
      </c>
      <c r="S819" s="11"/>
    </row>
    <row r="820" spans="1:19" hidden="1" outlineLevel="2" x14ac:dyDescent="0.2">
      <c r="A820" t="str">
        <f ca="1">Language!A106</f>
        <v>То же, в пересчете на период, равный шагу проекта</v>
      </c>
      <c r="C820" s="5" t="s">
        <v>177</v>
      </c>
      <c r="D820" s="16" t="s">
        <v>176</v>
      </c>
      <c r="F820" s="30">
        <f t="shared" ref="F820:M820" si="329">POWER(1+F819,PRJ_Step/360)-1</f>
        <v>6.6423464362252993E-4</v>
      </c>
      <c r="G820" s="30">
        <f t="shared" si="329"/>
        <v>6.6423464362252993E-4</v>
      </c>
      <c r="H820" s="30">
        <f t="shared" si="329"/>
        <v>6.6423464362252993E-4</v>
      </c>
      <c r="I820" s="30">
        <f t="shared" si="329"/>
        <v>6.6423464362252993E-4</v>
      </c>
      <c r="J820" s="30">
        <f t="shared" si="329"/>
        <v>6.6423464362252993E-4</v>
      </c>
      <c r="K820" s="30">
        <f t="shared" si="329"/>
        <v>6.6423464362252993E-4</v>
      </c>
      <c r="L820" s="30">
        <f t="shared" si="329"/>
        <v>6.6423464362252993E-4</v>
      </c>
      <c r="M820" s="30">
        <f t="shared" si="329"/>
        <v>6.6423464362252993E-4</v>
      </c>
      <c r="N820" s="30">
        <f t="shared" ref="N820" si="330">POWER(1+N819,PRJ_Step/360)-1</f>
        <v>6.6423464362252993E-4</v>
      </c>
      <c r="O820" s="30">
        <f t="shared" ref="O820:Q820" si="331">POWER(1+O819,PRJ_Step/360)-1</f>
        <v>6.6423464362252993E-4</v>
      </c>
      <c r="P820" s="30">
        <f t="shared" ref="P820:Q820" si="332">POWER(1+P819,PRJ_Step/360)-1</f>
        <v>6.6423464362252993E-4</v>
      </c>
      <c r="Q820" s="30">
        <f t="shared" si="332"/>
        <v>6.6423464362252993E-4</v>
      </c>
      <c r="S820" s="11"/>
    </row>
    <row r="821" spans="1:19" outlineLevel="1" x14ac:dyDescent="0.2">
      <c r="S821" s="11"/>
    </row>
    <row r="822" spans="1:19" outlineLevel="1" collapsed="1" x14ac:dyDescent="0.2">
      <c r="A822" t="str">
        <f ca="1">Language!A$836</f>
        <v>Годовая ставка дисконтирования:</v>
      </c>
      <c r="B822" s="273">
        <f>B674</f>
        <v>0.25</v>
      </c>
      <c r="C822" s="5" t="s">
        <v>177</v>
      </c>
      <c r="D822" s="16" t="s">
        <v>176</v>
      </c>
      <c r="F822" s="251">
        <f>B822</f>
        <v>0.25</v>
      </c>
      <c r="G822" s="251">
        <f t="shared" ref="G822:Q822" si="333">F822</f>
        <v>0.25</v>
      </c>
      <c r="H822" s="251">
        <f t="shared" si="333"/>
        <v>0.25</v>
      </c>
      <c r="I822" s="251">
        <f t="shared" si="333"/>
        <v>0.25</v>
      </c>
      <c r="J822" s="251">
        <f t="shared" si="333"/>
        <v>0.25</v>
      </c>
      <c r="K822" s="251">
        <f t="shared" si="333"/>
        <v>0.25</v>
      </c>
      <c r="L822" s="251">
        <f t="shared" si="333"/>
        <v>0.25</v>
      </c>
      <c r="M822" s="251">
        <f t="shared" si="333"/>
        <v>0.25</v>
      </c>
      <c r="N822" s="251">
        <f t="shared" si="333"/>
        <v>0.25</v>
      </c>
      <c r="O822" s="251">
        <f t="shared" si="333"/>
        <v>0.25</v>
      </c>
      <c r="P822" s="251">
        <f t="shared" si="333"/>
        <v>0.25</v>
      </c>
      <c r="Q822" s="251">
        <f t="shared" si="333"/>
        <v>0.25</v>
      </c>
      <c r="S822" s="11"/>
    </row>
    <row r="823" spans="1:19" hidden="1" outlineLevel="2" x14ac:dyDescent="0.2">
      <c r="A823" t="str">
        <f ca="1">Language!A$837</f>
        <v xml:space="preserve">    ставка дисконтирования на расчетный период</v>
      </c>
      <c r="D823" s="16" t="s">
        <v>176</v>
      </c>
      <c r="F823" s="251">
        <f t="shared" ref="F823:M823" si="334">POWER(1+F822,PRJ_Step/360)-1-IF(CalcMethod=1,F820,0)</f>
        <v>1.8105030477883588E-2</v>
      </c>
      <c r="G823" s="251">
        <f t="shared" si="334"/>
        <v>1.8105030477883588E-2</v>
      </c>
      <c r="H823" s="251">
        <f t="shared" si="334"/>
        <v>1.8105030477883588E-2</v>
      </c>
      <c r="I823" s="251">
        <f t="shared" si="334"/>
        <v>1.8105030477883588E-2</v>
      </c>
      <c r="J823" s="251">
        <f t="shared" si="334"/>
        <v>1.8105030477883588E-2</v>
      </c>
      <c r="K823" s="251">
        <f t="shared" si="334"/>
        <v>1.8105030477883588E-2</v>
      </c>
      <c r="L823" s="251">
        <f t="shared" si="334"/>
        <v>1.8105030477883588E-2</v>
      </c>
      <c r="M823" s="251">
        <f t="shared" si="334"/>
        <v>1.8105030477883588E-2</v>
      </c>
      <c r="N823" s="251">
        <f t="shared" ref="N823" si="335">POWER(1+N822,PRJ_Step/360)-1-IF(CalcMethod=1,N820,0)</f>
        <v>1.8105030477883588E-2</v>
      </c>
      <c r="O823" s="251">
        <f t="shared" ref="O823:Q823" si="336">POWER(1+O822,PRJ_Step/360)-1-IF(CalcMethod=1,O820,0)</f>
        <v>1.8105030477883588E-2</v>
      </c>
      <c r="P823" s="251">
        <f t="shared" ref="P823:Q823" si="337">POWER(1+P822,PRJ_Step/360)-1-IF(CalcMethod=1,P820,0)</f>
        <v>1.8105030477883588E-2</v>
      </c>
      <c r="Q823" s="251">
        <f t="shared" si="337"/>
        <v>1.8105030477883588E-2</v>
      </c>
      <c r="S823" s="11"/>
    </row>
    <row r="824" spans="1:19" hidden="1" outlineLevel="2" x14ac:dyDescent="0.2">
      <c r="A824" t="str">
        <f ca="1">Language!A$838</f>
        <v xml:space="preserve">    коэффициент дисконта для потока на начало периода</v>
      </c>
      <c r="D824" s="16" t="s">
        <v>176</v>
      </c>
      <c r="F824" s="252">
        <v>1</v>
      </c>
      <c r="G824" s="252">
        <f t="shared" ref="G824:Q824" si="338">F824*(1+F823)</f>
        <v>1.0181050304778836</v>
      </c>
      <c r="H824" s="252">
        <f t="shared" si="338"/>
        <v>1.0365378530843723</v>
      </c>
      <c r="I824" s="252">
        <f t="shared" si="338"/>
        <v>1.0553044025059448</v>
      </c>
      <c r="J824" s="252">
        <f t="shared" si="338"/>
        <v>1.0744107208767597</v>
      </c>
      <c r="K824" s="252">
        <f t="shared" si="338"/>
        <v>1.0938629597239984</v>
      </c>
      <c r="L824" s="252">
        <f t="shared" si="338"/>
        <v>1.1136673819484293</v>
      </c>
      <c r="M824" s="252">
        <f t="shared" si="338"/>
        <v>1.1338303638408305</v>
      </c>
      <c r="N824" s="252">
        <f t="shared" si="338"/>
        <v>1.1543583971349185</v>
      </c>
      <c r="O824" s="252">
        <f t="shared" si="338"/>
        <v>1.1752580910974471</v>
      </c>
      <c r="P824" s="252">
        <f t="shared" si="338"/>
        <v>1.1965361746561456</v>
      </c>
      <c r="Q824" s="252">
        <f t="shared" si="338"/>
        <v>1.2181994985661853</v>
      </c>
      <c r="S824" s="11"/>
    </row>
    <row r="825" spans="1:19" outlineLevel="1" x14ac:dyDescent="0.2">
      <c r="S825" s="11"/>
    </row>
    <row r="826" spans="1:19" outlineLevel="1" collapsed="1" x14ac:dyDescent="0.2">
      <c r="A826" s="23" t="str">
        <f ca="1">Language!A$840</f>
        <v>Учитываемые денежные потоки проекта:</v>
      </c>
      <c r="S826" s="11"/>
    </row>
    <row r="827" spans="1:19" hidden="1" outlineLevel="2" x14ac:dyDescent="0.2">
      <c r="A827" t="str">
        <f ca="1">Language!A$841</f>
        <v>Денежные потоки от операционной деятельности</v>
      </c>
      <c r="B827" s="36" t="str">
        <f ca="1">Language!A$828</f>
        <v>Да</v>
      </c>
      <c r="C827" s="5" t="str">
        <f t="shared" ref="C827:C837" ca="1" si="339">CUR_Report</f>
        <v>руб.</v>
      </c>
      <c r="F827" s="43">
        <f t="shared" ref="F827:M827" ca="1" si="340">F286</f>
        <v>-2966160</v>
      </c>
      <c r="G827" s="43">
        <f t="shared" ca="1" si="340"/>
        <v>-2555760</v>
      </c>
      <c r="H827" s="43">
        <f t="shared" ca="1" si="340"/>
        <v>-2428008.50875</v>
      </c>
      <c r="I827" s="43">
        <f t="shared" ca="1" si="340"/>
        <v>-1917002.5437500002</v>
      </c>
      <c r="J827" s="43">
        <f t="shared" ca="1" si="340"/>
        <v>-1278245.0874999999</v>
      </c>
      <c r="K827" s="43">
        <f t="shared" ca="1" si="340"/>
        <v>-730.17499999981374</v>
      </c>
      <c r="L827" s="43">
        <f t="shared" ca="1" si="340"/>
        <v>1096547.5479740878</v>
      </c>
      <c r="M827" s="43">
        <f t="shared" ca="1" si="340"/>
        <v>2416169.2904287498</v>
      </c>
      <c r="N827" s="43">
        <f t="shared" ref="N827" ca="1" si="341">N286</f>
        <v>4408306.0298950961</v>
      </c>
      <c r="O827" s="43">
        <f t="shared" ref="O827:Q827" ca="1" si="342">O286</f>
        <v>7025601.84375</v>
      </c>
      <c r="P827" s="43">
        <f t="shared" ref="P827:Q827" ca="1" si="343">P286</f>
        <v>8941874.2125000004</v>
      </c>
      <c r="Q827" s="43">
        <f t="shared" ca="1" si="343"/>
        <v>10219389.125</v>
      </c>
      <c r="R827" s="43"/>
      <c r="S827" s="54">
        <f ca="1">SUM(F827:Q827)</f>
        <v>22961981.734547932</v>
      </c>
    </row>
    <row r="828" spans="1:19" hidden="1" outlineLevel="2" x14ac:dyDescent="0.2">
      <c r="A828" t="str">
        <f ca="1">Language!A$842</f>
        <v xml:space="preserve">    за исключением процентов по кредитам</v>
      </c>
      <c r="B828" s="36" t="str">
        <f ca="1">Language!A$828</f>
        <v>Да</v>
      </c>
      <c r="C828" s="5" t="str">
        <f t="shared" ca="1" si="339"/>
        <v>руб.</v>
      </c>
      <c r="D828" s="5"/>
      <c r="F828" s="43">
        <f t="shared" ref="F828:M828" ca="1" si="344">-F279</f>
        <v>0</v>
      </c>
      <c r="G828" s="43">
        <f t="shared" ca="1" si="344"/>
        <v>0</v>
      </c>
      <c r="H828" s="43">
        <f t="shared" ca="1" si="344"/>
        <v>0</v>
      </c>
      <c r="I828" s="43">
        <f t="shared" ca="1" si="344"/>
        <v>0</v>
      </c>
      <c r="J828" s="43">
        <f t="shared" ca="1" si="344"/>
        <v>0</v>
      </c>
      <c r="K828" s="43">
        <f t="shared" ca="1" si="344"/>
        <v>0</v>
      </c>
      <c r="L828" s="43">
        <f t="shared" ca="1" si="344"/>
        <v>180237.18952591211</v>
      </c>
      <c r="M828" s="43">
        <f t="shared" ca="1" si="344"/>
        <v>138130.35957124989</v>
      </c>
      <c r="N828" s="43">
        <f t="shared" ref="N828" ca="1" si="345">-N279</f>
        <v>62265.988854903924</v>
      </c>
      <c r="O828" s="43">
        <f t="shared" ref="O828:Q828" ca="1" si="346">-O279</f>
        <v>0</v>
      </c>
      <c r="P828" s="43">
        <f t="shared" ref="P828:Q828" ca="1" si="347">-P279</f>
        <v>0</v>
      </c>
      <c r="Q828" s="43">
        <f t="shared" ca="1" si="347"/>
        <v>0</v>
      </c>
      <c r="R828" s="43"/>
      <c r="S828" s="54">
        <f ca="1">SUM(F828:Q828)</f>
        <v>380633.53795206588</v>
      </c>
    </row>
    <row r="829" spans="1:19" hidden="1" outlineLevel="2" x14ac:dyDescent="0.2">
      <c r="A829" t="str">
        <f ca="1">Language!A$843</f>
        <v>Денежные потоки от инвестиционной деятельности</v>
      </c>
      <c r="B829" s="36" t="str">
        <f ca="1">Language!A$828</f>
        <v>Да</v>
      </c>
      <c r="C829" s="5" t="str">
        <f t="shared" ca="1" si="339"/>
        <v>руб.</v>
      </c>
      <c r="D829" s="5"/>
      <c r="F829" s="43">
        <f t="shared" ref="F829:M829" ca="1" si="348">F306</f>
        <v>648376</v>
      </c>
      <c r="G829" s="43">
        <f t="shared" ca="1" si="348"/>
        <v>-415440</v>
      </c>
      <c r="H829" s="43">
        <f t="shared" ca="1" si="348"/>
        <v>24435.877125000115</v>
      </c>
      <c r="I829" s="43">
        <f t="shared" ca="1" si="348"/>
        <v>97743.508499999763</v>
      </c>
      <c r="J829" s="43">
        <f t="shared" ca="1" si="348"/>
        <v>122179.385625</v>
      </c>
      <c r="K829" s="43">
        <f t="shared" ca="1" si="348"/>
        <v>244358.77125000022</v>
      </c>
      <c r="L829" s="43">
        <f t="shared" ca="1" si="348"/>
        <v>244358.77124999976</v>
      </c>
      <c r="M829" s="43">
        <f t="shared" ca="1" si="348"/>
        <v>244358.77125000011</v>
      </c>
      <c r="N829" s="43">
        <f t="shared" ref="N829" ca="1" si="349">N306</f>
        <v>366538.15687499987</v>
      </c>
      <c r="O829" s="43">
        <f t="shared" ref="O829:Q829" ca="1" si="350">O306</f>
        <v>488717.54250000021</v>
      </c>
      <c r="P829" s="43">
        <f t="shared" ref="P829:Q829" ca="1" si="351">P306</f>
        <v>366538.1568750001</v>
      </c>
      <c r="Q829" s="43">
        <f t="shared" ca="1" si="351"/>
        <v>244358.77124999976</v>
      </c>
      <c r="R829" s="43"/>
      <c r="S829" s="54">
        <f ca="1">SUM(F829:Q829)</f>
        <v>2676523.7124999999</v>
      </c>
    </row>
    <row r="830" spans="1:19" hidden="1" outlineLevel="2" x14ac:dyDescent="0.2">
      <c r="A830" t="str">
        <f ca="1">Language!A$844</f>
        <v>Поступления собственного капитала</v>
      </c>
      <c r="B830" s="36" t="str">
        <f ca="1">Language!A$828</f>
        <v>Да</v>
      </c>
      <c r="C830" s="5" t="str">
        <f t="shared" ca="1" si="339"/>
        <v>руб.</v>
      </c>
      <c r="D830" s="5"/>
      <c r="F830" s="53">
        <f t="shared" ref="F830:M830" ca="1" si="352">F309</f>
        <v>0</v>
      </c>
      <c r="G830" s="53">
        <f t="shared" ca="1" si="352"/>
        <v>0</v>
      </c>
      <c r="H830" s="53">
        <f t="shared" ca="1" si="352"/>
        <v>0</v>
      </c>
      <c r="I830" s="53">
        <f t="shared" ca="1" si="352"/>
        <v>0</v>
      </c>
      <c r="J830" s="53">
        <f t="shared" ca="1" si="352"/>
        <v>0</v>
      </c>
      <c r="K830" s="53">
        <f t="shared" ca="1" si="352"/>
        <v>0</v>
      </c>
      <c r="L830" s="53">
        <f t="shared" ca="1" si="352"/>
        <v>0</v>
      </c>
      <c r="M830" s="53">
        <f t="shared" ca="1" si="352"/>
        <v>0</v>
      </c>
      <c r="N830" s="53">
        <f t="shared" ref="N830" ca="1" si="353">N309</f>
        <v>0</v>
      </c>
      <c r="O830" s="53">
        <f t="shared" ref="O830:Q830" ca="1" si="354">O309</f>
        <v>0</v>
      </c>
      <c r="P830" s="53">
        <f t="shared" ref="P830:Q830" ca="1" si="355">P309</f>
        <v>0</v>
      </c>
      <c r="Q830" s="53">
        <f t="shared" ca="1" si="355"/>
        <v>0</v>
      </c>
      <c r="R830" s="43"/>
      <c r="S830" s="54">
        <f ca="1">SUM(F830:Q830)</f>
        <v>0</v>
      </c>
    </row>
    <row r="831" spans="1:19" hidden="1" outlineLevel="2" x14ac:dyDescent="0.2">
      <c r="A831" t="str">
        <f ca="1">Language!A$845</f>
        <v>Поступления целевого финансирования</v>
      </c>
      <c r="B831" s="36" t="str">
        <f ca="1">Language!A$828</f>
        <v>Да</v>
      </c>
      <c r="C831" s="5" t="str">
        <f t="shared" ca="1" si="339"/>
        <v>руб.</v>
      </c>
      <c r="D831" s="5"/>
      <c r="F831" s="43">
        <f t="shared" ref="F831:M831" ca="1" si="356">F311+F313</f>
        <v>0</v>
      </c>
      <c r="G831" s="43">
        <f t="shared" ca="1" si="356"/>
        <v>0</v>
      </c>
      <c r="H831" s="43">
        <f t="shared" ca="1" si="356"/>
        <v>0</v>
      </c>
      <c r="I831" s="43">
        <f t="shared" ca="1" si="356"/>
        <v>0</v>
      </c>
      <c r="J831" s="43">
        <f t="shared" ca="1" si="356"/>
        <v>0</v>
      </c>
      <c r="K831" s="43">
        <f t="shared" ca="1" si="356"/>
        <v>0</v>
      </c>
      <c r="L831" s="43">
        <f t="shared" ca="1" si="356"/>
        <v>0</v>
      </c>
      <c r="M831" s="43">
        <f t="shared" ca="1" si="356"/>
        <v>0</v>
      </c>
      <c r="N831" s="43">
        <f t="shared" ref="N831" ca="1" si="357">N311+N313</f>
        <v>0</v>
      </c>
      <c r="O831" s="43">
        <f t="shared" ref="O831:Q831" ca="1" si="358">O311+O313</f>
        <v>0</v>
      </c>
      <c r="P831" s="43">
        <f t="shared" ref="P831:Q831" ca="1" si="359">P311+P313</f>
        <v>0</v>
      </c>
      <c r="Q831" s="43">
        <f t="shared" ca="1" si="359"/>
        <v>0</v>
      </c>
      <c r="R831" s="43"/>
      <c r="S831" s="54">
        <f ca="1">SUM(F831:Q831)</f>
        <v>0</v>
      </c>
    </row>
    <row r="832" spans="1:19" hidden="1" outlineLevel="2" x14ac:dyDescent="0.2">
      <c r="A832" t="str">
        <f ca="1">Language!A$846</f>
        <v>Поступления кредитов</v>
      </c>
      <c r="B832" s="36" t="str">
        <f ca="1">Language!A$829</f>
        <v>Нет</v>
      </c>
      <c r="C832" s="5" t="str">
        <f t="shared" ca="1" si="339"/>
        <v>руб.</v>
      </c>
      <c r="D832" s="5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54"/>
    </row>
    <row r="833" spans="1:19" hidden="1" outlineLevel="2" x14ac:dyDescent="0.2">
      <c r="A833" t="str">
        <f ca="1">Language!A$847</f>
        <v>Возврат кредитов</v>
      </c>
      <c r="B833" s="36" t="str">
        <f ca="1">Language!A$829</f>
        <v>Нет</v>
      </c>
      <c r="C833" s="5" t="str">
        <f t="shared" ca="1" si="339"/>
        <v>руб.</v>
      </c>
      <c r="D833" s="5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54"/>
    </row>
    <row r="834" spans="1:19" hidden="1" outlineLevel="2" x14ac:dyDescent="0.2">
      <c r="A834" t="str">
        <f ca="1">Language!A$848</f>
        <v>Лизинговые платежи</v>
      </c>
      <c r="B834" s="36" t="str">
        <f ca="1">Language!A$828</f>
        <v>Да</v>
      </c>
      <c r="C834" s="5" t="str">
        <f t="shared" ca="1" si="339"/>
        <v>руб.</v>
      </c>
      <c r="D834" s="5"/>
      <c r="F834" s="43">
        <f t="shared" ref="F834:M834" ca="1" si="360">F319</f>
        <v>0</v>
      </c>
      <c r="G834" s="43">
        <f t="shared" ca="1" si="360"/>
        <v>0</v>
      </c>
      <c r="H834" s="43">
        <f t="shared" ca="1" si="360"/>
        <v>0</v>
      </c>
      <c r="I834" s="43">
        <f t="shared" ca="1" si="360"/>
        <v>0</v>
      </c>
      <c r="J834" s="43">
        <f t="shared" ca="1" si="360"/>
        <v>0</v>
      </c>
      <c r="K834" s="43">
        <f t="shared" ca="1" si="360"/>
        <v>0</v>
      </c>
      <c r="L834" s="43">
        <f t="shared" ca="1" si="360"/>
        <v>0</v>
      </c>
      <c r="M834" s="43">
        <f t="shared" ca="1" si="360"/>
        <v>0</v>
      </c>
      <c r="N834" s="43">
        <f t="shared" ref="N834" ca="1" si="361">N319</f>
        <v>0</v>
      </c>
      <c r="O834" s="43">
        <f t="shared" ref="O834:Q834" ca="1" si="362">O319</f>
        <v>0</v>
      </c>
      <c r="P834" s="43">
        <f t="shared" ref="P834:Q834" ca="1" si="363">P319</f>
        <v>0</v>
      </c>
      <c r="Q834" s="43">
        <f t="shared" ca="1" si="363"/>
        <v>0</v>
      </c>
      <c r="R834" s="43"/>
      <c r="S834" s="54">
        <f ca="1">SUM(F834:Q834)</f>
        <v>0</v>
      </c>
    </row>
    <row r="835" spans="1:19" hidden="1" outlineLevel="2" x14ac:dyDescent="0.2">
      <c r="A835" t="str">
        <f ca="1">Language!A$849</f>
        <v>Выплата дивидендов</v>
      </c>
      <c r="B835" s="36" t="str">
        <f ca="1">Language!A$828</f>
        <v>Да</v>
      </c>
      <c r="C835" s="5" t="str">
        <f t="shared" ca="1" si="339"/>
        <v>руб.</v>
      </c>
      <c r="D835" s="5"/>
      <c r="F835" s="53">
        <f t="shared" ref="F835:M835" ca="1" si="364">F321</f>
        <v>0</v>
      </c>
      <c r="G835" s="53">
        <f t="shared" ca="1" si="364"/>
        <v>0</v>
      </c>
      <c r="H835" s="53">
        <f t="shared" ca="1" si="364"/>
        <v>0</v>
      </c>
      <c r="I835" s="53">
        <f t="shared" ca="1" si="364"/>
        <v>0</v>
      </c>
      <c r="J835" s="53">
        <f t="shared" ca="1" si="364"/>
        <v>0</v>
      </c>
      <c r="K835" s="53">
        <f t="shared" ca="1" si="364"/>
        <v>0</v>
      </c>
      <c r="L835" s="53">
        <f t="shared" ca="1" si="364"/>
        <v>0</v>
      </c>
      <c r="M835" s="53">
        <f t="shared" ca="1" si="364"/>
        <v>0</v>
      </c>
      <c r="N835" s="53">
        <f t="shared" ref="N835" ca="1" si="365">N321</f>
        <v>0</v>
      </c>
      <c r="O835" s="53">
        <f t="shared" ref="O835:Q835" ca="1" si="366">O321</f>
        <v>0</v>
      </c>
      <c r="P835" s="53">
        <f t="shared" ref="P835:Q835" ca="1" si="367">P321</f>
        <v>0</v>
      </c>
      <c r="Q835" s="53">
        <f t="shared" ca="1" si="367"/>
        <v>0</v>
      </c>
      <c r="R835" s="43"/>
      <c r="S835" s="54">
        <f ca="1">SUM(F835:Q835)</f>
        <v>0</v>
      </c>
    </row>
    <row r="836" spans="1:19" hidden="1" outlineLevel="2" x14ac:dyDescent="0.2">
      <c r="A836" t="str">
        <f ca="1">Language!A$850</f>
        <v>Ранее осуществленные инвестиции</v>
      </c>
      <c r="B836" s="36" t="str">
        <f ca="1">Language!A$829</f>
        <v>Нет</v>
      </c>
      <c r="C836" s="5" t="str">
        <f t="shared" ca="1" si="339"/>
        <v>руб.</v>
      </c>
      <c r="D836" s="5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54"/>
    </row>
    <row r="837" spans="1:19" hidden="1" outlineLevel="2" x14ac:dyDescent="0.2">
      <c r="A837" t="str">
        <f ca="1">Language!A$851</f>
        <v>Остаточная стоимость проекта</v>
      </c>
      <c r="B837" s="36" t="str">
        <f ca="1">Language!A$829</f>
        <v>Нет</v>
      </c>
      <c r="C837" s="5" t="str">
        <f t="shared" ca="1" si="339"/>
        <v>руб.</v>
      </c>
      <c r="D837" s="5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54"/>
    </row>
    <row r="838" spans="1:19" hidden="1" outlineLevel="2" x14ac:dyDescent="0.2">
      <c r="A838" s="63"/>
      <c r="B838" s="63"/>
      <c r="C838" s="67"/>
      <c r="D838" s="67"/>
      <c r="E838" s="63"/>
      <c r="F838" s="121"/>
      <c r="G838" s="121"/>
      <c r="H838" s="121"/>
      <c r="I838" s="121"/>
      <c r="J838" s="121"/>
      <c r="K838" s="121"/>
      <c r="L838" s="121"/>
      <c r="M838" s="121"/>
      <c r="N838" s="121"/>
      <c r="O838" s="121"/>
      <c r="P838" s="121"/>
      <c r="Q838" s="121"/>
      <c r="R838" s="121"/>
      <c r="S838" s="122"/>
    </row>
    <row r="839" spans="1:19" hidden="1" outlineLevel="2" x14ac:dyDescent="0.2">
      <c r="A839" s="24" t="str">
        <f ca="1">Language!A$852</f>
        <v>Чистый денежный поток</v>
      </c>
      <c r="B839" s="19"/>
      <c r="C839" s="5" t="str">
        <f ca="1">CUR_Report</f>
        <v>руб.</v>
      </c>
      <c r="D839" s="26"/>
      <c r="E839" s="19"/>
      <c r="F839" s="65">
        <f t="shared" ref="F839:M839" ca="1" si="368">F829+F836+F831+F830+F837+F827+F828+F834+F835</f>
        <v>-2317784</v>
      </c>
      <c r="G839" s="65">
        <f t="shared" ca="1" si="368"/>
        <v>-2971200</v>
      </c>
      <c r="H839" s="65">
        <f t="shared" ca="1" si="368"/>
        <v>-2403572.6316249999</v>
      </c>
      <c r="I839" s="65">
        <f t="shared" ca="1" si="368"/>
        <v>-1819259.0352500004</v>
      </c>
      <c r="J839" s="65">
        <f t="shared" ca="1" si="368"/>
        <v>-1156065.7018749998</v>
      </c>
      <c r="K839" s="65">
        <f t="shared" ca="1" si="368"/>
        <v>243628.59625000041</v>
      </c>
      <c r="L839" s="65">
        <f t="shared" ca="1" si="368"/>
        <v>1521143.5087499996</v>
      </c>
      <c r="M839" s="65">
        <f t="shared" ca="1" si="368"/>
        <v>2798658.4212499997</v>
      </c>
      <c r="N839" s="65">
        <f t="shared" ref="N839" ca="1" si="369">N829+N836+N831+N830+N837+N827+N828+N834+N835</f>
        <v>4837110.1756250001</v>
      </c>
      <c r="O839" s="65">
        <f t="shared" ref="O839:Q839" ca="1" si="370">O829+O836+O831+O830+O837+O827+O828+O834+O835</f>
        <v>7514319.3862500004</v>
      </c>
      <c r="P839" s="65">
        <f t="shared" ref="P839:Q839" ca="1" si="371">P829+P836+P831+P830+P837+P827+P828+P834+P835</f>
        <v>9308412.3693749998</v>
      </c>
      <c r="Q839" s="65">
        <f t="shared" ca="1" si="371"/>
        <v>10463747.89625</v>
      </c>
      <c r="R839" s="65"/>
      <c r="S839" s="54">
        <f ca="1">SUM(F839:Q839)</f>
        <v>26019138.984999999</v>
      </c>
    </row>
    <row r="840" spans="1:19" outlineLevel="1" x14ac:dyDescent="0.2">
      <c r="A840" t="str">
        <f ca="1">Language!A$853</f>
        <v>Дисконтированный чистый денежный поток</v>
      </c>
      <c r="C840" s="5" t="str">
        <f ca="1">CUR_Report</f>
        <v>руб.</v>
      </c>
      <c r="D840" s="5"/>
      <c r="F840" s="43">
        <f t="shared" ref="F840:M840" ca="1" si="372">F839/F824</f>
        <v>-2317784</v>
      </c>
      <c r="G840" s="43">
        <f t="shared" ca="1" si="372"/>
        <v>-2918362.9498474849</v>
      </c>
      <c r="H840" s="43">
        <f t="shared" ca="1" si="372"/>
        <v>-2318846.9427072178</v>
      </c>
      <c r="I840" s="43">
        <f t="shared" ca="1" si="372"/>
        <v>-1723918.7393987509</v>
      </c>
      <c r="J840" s="43">
        <f t="shared" ca="1" si="372"/>
        <v>-1075999.7824031452</v>
      </c>
      <c r="K840" s="43">
        <f t="shared" ca="1" si="372"/>
        <v>222723.14286194713</v>
      </c>
      <c r="L840" s="43">
        <f t="shared" ca="1" si="372"/>
        <v>1365886.7390806272</v>
      </c>
      <c r="M840" s="43">
        <f t="shared" ca="1" si="372"/>
        <v>2468321.9911042014</v>
      </c>
      <c r="N840" s="43">
        <f t="shared" ref="N840" ca="1" si="373">N839/N824</f>
        <v>4190301.892055844</v>
      </c>
      <c r="O840" s="43">
        <f t="shared" ref="O840:Q840" ca="1" si="374">O839/O824</f>
        <v>6393761.0327219162</v>
      </c>
      <c r="P840" s="43">
        <f t="shared" ref="P840:Q840" ca="1" si="375">P839/P824</f>
        <v>7779465.9004354831</v>
      </c>
      <c r="Q840" s="43">
        <f t="shared" ca="1" si="375"/>
        <v>8589519.1293099187</v>
      </c>
      <c r="R840" s="43"/>
      <c r="S840" s="54">
        <f ca="1">SUM(F840:Q840)</f>
        <v>20655067.413213339</v>
      </c>
    </row>
    <row r="841" spans="1:19" outlineLevel="1" x14ac:dyDescent="0.2">
      <c r="A841" t="str">
        <f ca="1">Language!A$854</f>
        <v>Дисконтированный поток нарастающим итогом</v>
      </c>
      <c r="C841" s="5" t="str">
        <f ca="1">CUR_Report</f>
        <v>руб.</v>
      </c>
      <c r="D841" s="5"/>
      <c r="F841" s="43">
        <f t="shared" ref="F841:Q841" ca="1" si="376">E841+F840</f>
        <v>-2317784</v>
      </c>
      <c r="G841" s="43">
        <f t="shared" ca="1" si="376"/>
        <v>-5236146.9498474849</v>
      </c>
      <c r="H841" s="43">
        <f t="shared" ca="1" si="376"/>
        <v>-7554993.8925547022</v>
      </c>
      <c r="I841" s="43">
        <f t="shared" ca="1" si="376"/>
        <v>-9278912.6319534536</v>
      </c>
      <c r="J841" s="43">
        <f t="shared" ca="1" si="376"/>
        <v>-10354912.414356599</v>
      </c>
      <c r="K841" s="43">
        <f t="shared" ca="1" si="376"/>
        <v>-10132189.271494651</v>
      </c>
      <c r="L841" s="43">
        <f t="shared" ca="1" si="376"/>
        <v>-8766302.5324140247</v>
      </c>
      <c r="M841" s="43">
        <f t="shared" ca="1" si="376"/>
        <v>-6297980.5413098233</v>
      </c>
      <c r="N841" s="43">
        <f t="shared" ca="1" si="376"/>
        <v>-2107678.6492539793</v>
      </c>
      <c r="O841" s="43">
        <f t="shared" ca="1" si="376"/>
        <v>4286082.3834679369</v>
      </c>
      <c r="P841" s="43">
        <f t="shared" ca="1" si="376"/>
        <v>12065548.28390342</v>
      </c>
      <c r="Q841" s="43">
        <f t="shared" ca="1" si="376"/>
        <v>20655067.413213339</v>
      </c>
      <c r="R841" s="43"/>
      <c r="S841" s="54"/>
    </row>
    <row r="842" spans="1:19" outlineLevel="1" x14ac:dyDescent="0.2"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54"/>
    </row>
    <row r="843" spans="1:19" outlineLevel="1" collapsed="1" x14ac:dyDescent="0.2">
      <c r="A843" s="23" t="str">
        <f ca="1">Language!A$855</f>
        <v>Простой срок окупаемости</v>
      </c>
      <c r="B843" s="164">
        <f ca="1">IF(ISERROR(E845),Language!A$829,IF(E845&gt;=PRJ_Len,Language!A$829,IF(OR(E845=0),E845*PRJ_Step/360,(E845-OFFSET(F844,0,E845-1)/(-OFFSET(F844,0,E845-1)+OFFSET(F844,0,E845)))*PRJ_Step/360)))</f>
        <v>0.76405472895294224</v>
      </c>
      <c r="C843" s="17" t="str">
        <f ca="1">IF(B843=0,Language!A$33,IF(OR(B843&lt;1,AND(B843&gt;1,B843&lt;5)),Language!A$830,IF(B843=1,Language!A$37,Language!A$33)))</f>
        <v>года</v>
      </c>
      <c r="S843" s="11"/>
    </row>
    <row r="844" spans="1:19" hidden="1" outlineLevel="2" x14ac:dyDescent="0.2">
      <c r="A844" t="str">
        <f ca="1">Language!A$856</f>
        <v xml:space="preserve">    недисконтированный поток нарастающим итогом</v>
      </c>
      <c r="D844" s="16" t="s">
        <v>384</v>
      </c>
      <c r="F844" s="53">
        <f t="shared" ref="F844:Q844" ca="1" si="377">E844+F839</f>
        <v>-2317784</v>
      </c>
      <c r="G844" s="53">
        <f t="shared" ca="1" si="377"/>
        <v>-5288984</v>
      </c>
      <c r="H844" s="53">
        <f t="shared" ca="1" si="377"/>
        <v>-7692556.6316250004</v>
      </c>
      <c r="I844" s="53">
        <f t="shared" ca="1" si="377"/>
        <v>-9511815.666875001</v>
      </c>
      <c r="J844" s="53">
        <f t="shared" ca="1" si="377"/>
        <v>-10667881.36875</v>
      </c>
      <c r="K844" s="53">
        <f t="shared" ca="1" si="377"/>
        <v>-10424252.772500001</v>
      </c>
      <c r="L844" s="53">
        <f t="shared" ca="1" si="377"/>
        <v>-8903109.2637500018</v>
      </c>
      <c r="M844" s="53">
        <f t="shared" ca="1" si="377"/>
        <v>-6104450.8425000021</v>
      </c>
      <c r="N844" s="53">
        <f t="shared" ca="1" si="377"/>
        <v>-1267340.666875002</v>
      </c>
      <c r="O844" s="53">
        <f t="shared" ca="1" si="377"/>
        <v>6246978.7193749985</v>
      </c>
      <c r="P844" s="53">
        <f t="shared" ca="1" si="377"/>
        <v>15555391.088749997</v>
      </c>
      <c r="Q844" s="53">
        <f t="shared" ca="1" si="377"/>
        <v>26019138.984999999</v>
      </c>
      <c r="S844" s="11"/>
    </row>
    <row r="845" spans="1:19" hidden="1" outlineLevel="2" x14ac:dyDescent="0.2">
      <c r="A845" t="str">
        <f ca="1">Language!A$857</f>
        <v xml:space="preserve">    знак остатка денежных средств</v>
      </c>
      <c r="D845" s="16" t="s">
        <v>384</v>
      </c>
      <c r="E845" s="101">
        <f ca="1">PRJ_Len+1-(MATCH(-1,F846:R846,0))</f>
        <v>9</v>
      </c>
      <c r="F845" s="16">
        <f t="shared" ref="F845:M845" ca="1" si="378">SIGN(F844)</f>
        <v>-1</v>
      </c>
      <c r="G845" s="16">
        <f t="shared" ca="1" si="378"/>
        <v>-1</v>
      </c>
      <c r="H845" s="16">
        <f t="shared" ca="1" si="378"/>
        <v>-1</v>
      </c>
      <c r="I845" s="16">
        <f t="shared" ca="1" si="378"/>
        <v>-1</v>
      </c>
      <c r="J845" s="16">
        <f t="shared" ca="1" si="378"/>
        <v>-1</v>
      </c>
      <c r="K845" s="16">
        <f t="shared" ca="1" si="378"/>
        <v>-1</v>
      </c>
      <c r="L845" s="16">
        <f t="shared" ca="1" si="378"/>
        <v>-1</v>
      </c>
      <c r="M845" s="16">
        <f t="shared" ca="1" si="378"/>
        <v>-1</v>
      </c>
      <c r="N845" s="16">
        <f t="shared" ref="N845" ca="1" si="379">SIGN(N844)</f>
        <v>-1</v>
      </c>
      <c r="O845" s="16">
        <f t="shared" ref="O845:Q845" ca="1" si="380">SIGN(O844)</f>
        <v>1</v>
      </c>
      <c r="P845" s="16">
        <f t="shared" ref="P845:Q845" ca="1" si="381">SIGN(P844)</f>
        <v>1</v>
      </c>
      <c r="Q845" s="16">
        <f t="shared" ca="1" si="381"/>
        <v>1</v>
      </c>
      <c r="S845" s="11"/>
    </row>
    <row r="846" spans="1:19" hidden="1" outlineLevel="2" x14ac:dyDescent="0.2">
      <c r="A846" t="str">
        <f ca="1">Language!A$858</f>
        <v xml:space="preserve">    знак остатка денежных средств (с конца)</v>
      </c>
      <c r="D846" s="16" t="s">
        <v>384</v>
      </c>
      <c r="F846" s="101">
        <f t="shared" ref="F846:M846" ca="1" si="382">OFFSET(F845,0,PRJ_Len-F$33-F$33+1)</f>
        <v>1</v>
      </c>
      <c r="G846" s="101">
        <f t="shared" ca="1" si="382"/>
        <v>1</v>
      </c>
      <c r="H846" s="101">
        <f t="shared" ca="1" si="382"/>
        <v>1</v>
      </c>
      <c r="I846" s="101">
        <f t="shared" ca="1" si="382"/>
        <v>-1</v>
      </c>
      <c r="J846" s="101">
        <f t="shared" ca="1" si="382"/>
        <v>-1</v>
      </c>
      <c r="K846" s="101">
        <f t="shared" ca="1" si="382"/>
        <v>-1</v>
      </c>
      <c r="L846" s="101">
        <f t="shared" ca="1" si="382"/>
        <v>-1</v>
      </c>
      <c r="M846" s="101">
        <f t="shared" ca="1" si="382"/>
        <v>-1</v>
      </c>
      <c r="N846" s="101">
        <f t="shared" ref="N846" ca="1" si="383">OFFSET(N845,0,PRJ_Len-N$33-N$33+1)</f>
        <v>-1</v>
      </c>
      <c r="O846" s="101">
        <f t="shared" ref="O846:Q846" ca="1" si="384">OFFSET(O845,0,PRJ_Len-O$33-O$33+1)</f>
        <v>-1</v>
      </c>
      <c r="P846" s="101">
        <f t="shared" ref="P846:Q846" ca="1" si="385">OFFSET(P845,0,PRJ_Len-P$33-P$33+1)</f>
        <v>-1</v>
      </c>
      <c r="Q846" s="101">
        <f t="shared" ca="1" si="385"/>
        <v>-1</v>
      </c>
      <c r="S846" s="11"/>
    </row>
    <row r="847" spans="1:19" outlineLevel="1" x14ac:dyDescent="0.2">
      <c r="S847" s="11"/>
    </row>
    <row r="848" spans="1:19" ht="10.5" outlineLevel="1" x14ac:dyDescent="0.25">
      <c r="A848" s="35" t="str">
        <f ca="1">Language!A$859</f>
        <v>Чистая приведенная стоимость (NPV)</v>
      </c>
      <c r="B848" s="151">
        <f ca="1">S840</f>
        <v>20655067.413213339</v>
      </c>
      <c r="C848" s="5" t="str">
        <f ca="1">CUR_Report</f>
        <v>руб.</v>
      </c>
      <c r="S848" s="11"/>
    </row>
    <row r="849" spans="1:19" ht="10.5" outlineLevel="1" collapsed="1" x14ac:dyDescent="0.25">
      <c r="A849" s="35" t="str">
        <f ca="1">Language!A$860</f>
        <v>Дисконтированный срок окупаемости (PBP)</v>
      </c>
      <c r="B849" s="150">
        <f ca="1">IF(ISERROR(E850),Language!A$829,IF(E850&gt;=PRJ_Len,Language!A$829,IF(OR(E850=0),E850*PRJ_Step/360,(E850-OFFSET(F841,0,E850-1)/(-OFFSET(F841,0,E850-1)+OFFSET(F841,0,E850)))*PRJ_Step/360)))</f>
        <v>0.77747051172837778</v>
      </c>
      <c r="C849" s="17" t="str">
        <f ca="1">IF(B849=0,Language!A$33,IF(OR(B849&lt;1,AND(B849&gt;1,B849&lt;5)),Language!A$830,IF(B849=1,Language!A$37,Language!A$33)))</f>
        <v>года</v>
      </c>
      <c r="S849" s="11"/>
    </row>
    <row r="850" spans="1:19" hidden="1" outlineLevel="2" x14ac:dyDescent="0.2">
      <c r="A850" t="str">
        <f ca="1">Language!A$861</f>
        <v xml:space="preserve">    знак остатка дисконтированных денежных средств</v>
      </c>
      <c r="D850" s="16" t="s">
        <v>384</v>
      </c>
      <c r="E850" s="101">
        <f ca="1">PRJ_Len+1-(MATCH(-1,F851:R851,0))</f>
        <v>9</v>
      </c>
      <c r="F850" s="16">
        <f t="shared" ref="F850:M850" ca="1" si="386">SIGN(F841)</f>
        <v>-1</v>
      </c>
      <c r="G850" s="16">
        <f t="shared" ca="1" si="386"/>
        <v>-1</v>
      </c>
      <c r="H850" s="16">
        <f t="shared" ca="1" si="386"/>
        <v>-1</v>
      </c>
      <c r="I850" s="16">
        <f t="shared" ca="1" si="386"/>
        <v>-1</v>
      </c>
      <c r="J850" s="16">
        <f t="shared" ca="1" si="386"/>
        <v>-1</v>
      </c>
      <c r="K850" s="16">
        <f t="shared" ca="1" si="386"/>
        <v>-1</v>
      </c>
      <c r="L850" s="16">
        <f t="shared" ca="1" si="386"/>
        <v>-1</v>
      </c>
      <c r="M850" s="16">
        <f t="shared" ca="1" si="386"/>
        <v>-1</v>
      </c>
      <c r="N850" s="16">
        <f t="shared" ref="N850" ca="1" si="387">SIGN(N841)</f>
        <v>-1</v>
      </c>
      <c r="O850" s="16">
        <f t="shared" ref="O850:Q850" ca="1" si="388">SIGN(O841)</f>
        <v>1</v>
      </c>
      <c r="P850" s="16">
        <f t="shared" ref="P850:Q850" ca="1" si="389">SIGN(P841)</f>
        <v>1</v>
      </c>
      <c r="Q850" s="16">
        <f t="shared" ca="1" si="389"/>
        <v>1</v>
      </c>
      <c r="S850" s="11"/>
    </row>
    <row r="851" spans="1:19" hidden="1" outlineLevel="2" x14ac:dyDescent="0.2">
      <c r="A851" t="str">
        <f ca="1">Language!A$862</f>
        <v xml:space="preserve">    знак остатка дисконтированных денежных средств (с конца)</v>
      </c>
      <c r="D851" s="16" t="s">
        <v>384</v>
      </c>
      <c r="F851" s="101">
        <f t="shared" ref="F851:M851" ca="1" si="390">OFFSET(F850,0,PRJ_Len-F$33-F$33+1)</f>
        <v>1</v>
      </c>
      <c r="G851" s="101">
        <f t="shared" ca="1" si="390"/>
        <v>1</v>
      </c>
      <c r="H851" s="101">
        <f t="shared" ca="1" si="390"/>
        <v>1</v>
      </c>
      <c r="I851" s="101">
        <f t="shared" ca="1" si="390"/>
        <v>-1</v>
      </c>
      <c r="J851" s="101">
        <f t="shared" ca="1" si="390"/>
        <v>-1</v>
      </c>
      <c r="K851" s="101">
        <f t="shared" ca="1" si="390"/>
        <v>-1</v>
      </c>
      <c r="L851" s="101">
        <f t="shared" ca="1" si="390"/>
        <v>-1</v>
      </c>
      <c r="M851" s="101">
        <f t="shared" ca="1" si="390"/>
        <v>-1</v>
      </c>
      <c r="N851" s="101">
        <f t="shared" ref="N851" ca="1" si="391">OFFSET(N850,0,PRJ_Len-N$33-N$33+1)</f>
        <v>-1</v>
      </c>
      <c r="O851" s="101">
        <f t="shared" ref="O851:Q851" ca="1" si="392">OFFSET(O850,0,PRJ_Len-O$33-O$33+1)</f>
        <v>-1</v>
      </c>
      <c r="P851" s="101">
        <f t="shared" ref="P851:Q851" ca="1" si="393">OFFSET(P850,0,PRJ_Len-P$33-P$33+1)</f>
        <v>-1</v>
      </c>
      <c r="Q851" s="101">
        <f t="shared" ca="1" si="393"/>
        <v>-1</v>
      </c>
      <c r="S851" s="11"/>
    </row>
    <row r="852" spans="1:19" ht="10.5" outlineLevel="1" collapsed="1" x14ac:dyDescent="0.25">
      <c r="A852" s="130" t="str">
        <f ca="1">Language!A$863</f>
        <v>Внутренняя норма рентабельности (IRR)</v>
      </c>
      <c r="B852" s="152">
        <f ca="1">IF(ISERROR(E852),Language!A$829,IF(AND(E852&gt;0,E852&lt;100),E852,Language!A$829))</f>
        <v>5.9241601325997184</v>
      </c>
      <c r="C852" s="216" t="str">
        <f ca="1">IF(CalcMethod=1,Language!A$831,Language!A$832)</f>
        <v>(реальная - без учета инфляции)</v>
      </c>
      <c r="E852" s="16">
        <f ca="1">(POWER(1+IRR(F853:Q853,0.2*PRJ_Step/360),360/PRJ_Step)-1)</f>
        <v>5.9241601325997184</v>
      </c>
      <c r="S852" s="11"/>
    </row>
    <row r="853" spans="1:19" s="48" customFormat="1" ht="10.5" hidden="1" outlineLevel="2" x14ac:dyDescent="0.2">
      <c r="A853" s="24" t="str">
        <f ca="1">Language!A$852</f>
        <v>Чистый денежный поток</v>
      </c>
      <c r="B853" s="223"/>
      <c r="C853" s="216"/>
      <c r="E853" s="101"/>
      <c r="F853" s="65">
        <f t="shared" ref="F853:M853" ca="1" si="394">F839</f>
        <v>-2317784</v>
      </c>
      <c r="G853" s="65">
        <f t="shared" ca="1" si="394"/>
        <v>-2971200</v>
      </c>
      <c r="H853" s="65">
        <f t="shared" ca="1" si="394"/>
        <v>-2403572.6316249999</v>
      </c>
      <c r="I853" s="65">
        <f t="shared" ca="1" si="394"/>
        <v>-1819259.0352500004</v>
      </c>
      <c r="J853" s="65">
        <f t="shared" ca="1" si="394"/>
        <v>-1156065.7018749998</v>
      </c>
      <c r="K853" s="65">
        <f t="shared" ca="1" si="394"/>
        <v>243628.59625000041</v>
      </c>
      <c r="L853" s="65">
        <f t="shared" ca="1" si="394"/>
        <v>1521143.5087499996</v>
      </c>
      <c r="M853" s="65">
        <f t="shared" ca="1" si="394"/>
        <v>2798658.4212499997</v>
      </c>
      <c r="N853" s="65">
        <f t="shared" ref="N853" ca="1" si="395">N839</f>
        <v>4837110.1756250001</v>
      </c>
      <c r="O853" s="65">
        <f t="shared" ref="O853:Q853" ca="1" si="396">O839</f>
        <v>7514319.3862500004</v>
      </c>
      <c r="P853" s="65">
        <f t="shared" ref="P853:Q853" ca="1" si="397">P839</f>
        <v>9308412.3693749998</v>
      </c>
      <c r="Q853" s="65">
        <f t="shared" ca="1" si="397"/>
        <v>10463747.89625</v>
      </c>
      <c r="S853" s="41"/>
    </row>
    <row r="854" spans="1:19" outlineLevel="1" collapsed="1" x14ac:dyDescent="0.2">
      <c r="A854" s="23" t="str">
        <f ca="1">Language!A$864</f>
        <v>Норма доходности дисконтированных затрат (PI)</v>
      </c>
      <c r="B854" s="309">
        <f ca="1">IF(S858&lt;0,S856/-S858,Language!A$829)</f>
        <v>2.9947119383236944</v>
      </c>
      <c r="C854" s="5" t="str">
        <f ca="1">Language!A$197</f>
        <v>разы</v>
      </c>
      <c r="S854" s="11"/>
    </row>
    <row r="855" spans="1:19" hidden="1" outlineLevel="2" x14ac:dyDescent="0.2">
      <c r="A855" t="str">
        <f ca="1">Language!A$865</f>
        <v xml:space="preserve">    притоки</v>
      </c>
      <c r="C855" s="5" t="str">
        <f ca="1">CUR_Report</f>
        <v>руб.</v>
      </c>
      <c r="F855" s="43">
        <f t="shared" ref="F855:M855" ca="1" si="398">MAX(0,F839)</f>
        <v>0</v>
      </c>
      <c r="G855" s="43">
        <f t="shared" ca="1" si="398"/>
        <v>0</v>
      </c>
      <c r="H855" s="43">
        <f t="shared" ca="1" si="398"/>
        <v>0</v>
      </c>
      <c r="I855" s="43">
        <f t="shared" ca="1" si="398"/>
        <v>0</v>
      </c>
      <c r="J855" s="43">
        <f t="shared" ca="1" si="398"/>
        <v>0</v>
      </c>
      <c r="K855" s="43">
        <f t="shared" ca="1" si="398"/>
        <v>243628.59625000041</v>
      </c>
      <c r="L855" s="43">
        <f t="shared" ca="1" si="398"/>
        <v>1521143.5087499996</v>
      </c>
      <c r="M855" s="43">
        <f t="shared" ca="1" si="398"/>
        <v>2798658.4212499997</v>
      </c>
      <c r="N855" s="43">
        <f t="shared" ref="N855" ca="1" si="399">MAX(0,N839)</f>
        <v>4837110.1756250001</v>
      </c>
      <c r="O855" s="43">
        <f t="shared" ref="O855:Q855" ca="1" si="400">MAX(0,O839)</f>
        <v>7514319.3862500004</v>
      </c>
      <c r="P855" s="43">
        <f t="shared" ref="P855:Q855" ca="1" si="401">MAX(0,P839)</f>
        <v>9308412.3693749998</v>
      </c>
      <c r="Q855" s="43">
        <f t="shared" ca="1" si="401"/>
        <v>10463747.89625</v>
      </c>
      <c r="S855" s="54">
        <f ca="1">SUM(F855:Q855)</f>
        <v>36687020.353749998</v>
      </c>
    </row>
    <row r="856" spans="1:19" hidden="1" outlineLevel="2" x14ac:dyDescent="0.2">
      <c r="A856" t="str">
        <f ca="1">Language!A$866</f>
        <v xml:space="preserve">    дисконтированные притоки</v>
      </c>
      <c r="C856" s="5" t="str">
        <f ca="1">CUR_Report</f>
        <v>руб.</v>
      </c>
      <c r="F856" s="43">
        <f t="shared" ref="F856:M856" ca="1" si="402">F855/F824</f>
        <v>0</v>
      </c>
      <c r="G856" s="43">
        <f t="shared" ca="1" si="402"/>
        <v>0</v>
      </c>
      <c r="H856" s="43">
        <f t="shared" ca="1" si="402"/>
        <v>0</v>
      </c>
      <c r="I856" s="43">
        <f t="shared" ca="1" si="402"/>
        <v>0</v>
      </c>
      <c r="J856" s="43">
        <f t="shared" ca="1" si="402"/>
        <v>0</v>
      </c>
      <c r="K856" s="43">
        <f t="shared" ca="1" si="402"/>
        <v>222723.14286194713</v>
      </c>
      <c r="L856" s="43">
        <f t="shared" ca="1" si="402"/>
        <v>1365886.7390806272</v>
      </c>
      <c r="M856" s="43">
        <f t="shared" ca="1" si="402"/>
        <v>2468321.9911042014</v>
      </c>
      <c r="N856" s="43">
        <f t="shared" ref="N856" ca="1" si="403">N855/N824</f>
        <v>4190301.892055844</v>
      </c>
      <c r="O856" s="43">
        <f t="shared" ref="O856:Q856" ca="1" si="404">O855/O824</f>
        <v>6393761.0327219162</v>
      </c>
      <c r="P856" s="43">
        <f t="shared" ref="P856:Q856" ca="1" si="405">P855/P824</f>
        <v>7779465.9004354831</v>
      </c>
      <c r="Q856" s="43">
        <f t="shared" ca="1" si="405"/>
        <v>8589519.1293099187</v>
      </c>
      <c r="S856" s="54">
        <f ca="1">SUM(F856:Q856)</f>
        <v>31009979.827569935</v>
      </c>
    </row>
    <row r="857" spans="1:19" hidden="1" outlineLevel="2" x14ac:dyDescent="0.2">
      <c r="A857" t="str">
        <f ca="1">Language!A$867</f>
        <v xml:space="preserve">    оттоки</v>
      </c>
      <c r="C857" s="5" t="str">
        <f ca="1">CUR_Report</f>
        <v>руб.</v>
      </c>
      <c r="F857" s="43">
        <f t="shared" ref="F857:M857" ca="1" si="406">MIN(0,F839)</f>
        <v>-2317784</v>
      </c>
      <c r="G857" s="43">
        <f t="shared" ca="1" si="406"/>
        <v>-2971200</v>
      </c>
      <c r="H857" s="43">
        <f t="shared" ca="1" si="406"/>
        <v>-2403572.6316249999</v>
      </c>
      <c r="I857" s="43">
        <f t="shared" ca="1" si="406"/>
        <v>-1819259.0352500004</v>
      </c>
      <c r="J857" s="43">
        <f t="shared" ca="1" si="406"/>
        <v>-1156065.7018749998</v>
      </c>
      <c r="K857" s="43">
        <f t="shared" ca="1" si="406"/>
        <v>0</v>
      </c>
      <c r="L857" s="43">
        <f t="shared" ca="1" si="406"/>
        <v>0</v>
      </c>
      <c r="M857" s="43">
        <f t="shared" ca="1" si="406"/>
        <v>0</v>
      </c>
      <c r="N857" s="43">
        <f t="shared" ref="N857" ca="1" si="407">MIN(0,N839)</f>
        <v>0</v>
      </c>
      <c r="O857" s="43">
        <f t="shared" ref="O857:Q857" ca="1" si="408">MIN(0,O839)</f>
        <v>0</v>
      </c>
      <c r="P857" s="43">
        <f t="shared" ref="P857:Q857" ca="1" si="409">MIN(0,P839)</f>
        <v>0</v>
      </c>
      <c r="Q857" s="43">
        <f t="shared" ca="1" si="409"/>
        <v>0</v>
      </c>
      <c r="S857" s="54">
        <f ca="1">SUM(F857:Q857)</f>
        <v>-10667881.36875</v>
      </c>
    </row>
    <row r="858" spans="1:19" hidden="1" outlineLevel="2" x14ac:dyDescent="0.2">
      <c r="A858" t="str">
        <f ca="1">Language!A$868</f>
        <v xml:space="preserve">    дисконтированные оттоки</v>
      </c>
      <c r="C858" s="5" t="str">
        <f ca="1">CUR_Report</f>
        <v>руб.</v>
      </c>
      <c r="F858" s="43">
        <f t="shared" ref="F858:M858" ca="1" si="410">F857/F824</f>
        <v>-2317784</v>
      </c>
      <c r="G858" s="43">
        <f t="shared" ca="1" si="410"/>
        <v>-2918362.9498474849</v>
      </c>
      <c r="H858" s="43">
        <f t="shared" ca="1" si="410"/>
        <v>-2318846.9427072178</v>
      </c>
      <c r="I858" s="43">
        <f t="shared" ca="1" si="410"/>
        <v>-1723918.7393987509</v>
      </c>
      <c r="J858" s="43">
        <f t="shared" ca="1" si="410"/>
        <v>-1075999.7824031452</v>
      </c>
      <c r="K858" s="43">
        <f t="shared" ca="1" si="410"/>
        <v>0</v>
      </c>
      <c r="L858" s="43">
        <f t="shared" ca="1" si="410"/>
        <v>0</v>
      </c>
      <c r="M858" s="43">
        <f t="shared" ca="1" si="410"/>
        <v>0</v>
      </c>
      <c r="N858" s="43">
        <f t="shared" ref="N858" ca="1" si="411">N857/N824</f>
        <v>0</v>
      </c>
      <c r="O858" s="43">
        <f t="shared" ref="O858:Q858" ca="1" si="412">O857/O824</f>
        <v>0</v>
      </c>
      <c r="P858" s="43">
        <f t="shared" ref="P858:Q858" ca="1" si="413">P857/P824</f>
        <v>0</v>
      </c>
      <c r="Q858" s="43">
        <f t="shared" ca="1" si="413"/>
        <v>0</v>
      </c>
      <c r="S858" s="54">
        <f ca="1">SUM(F858:Q858)</f>
        <v>-10354912.414356599</v>
      </c>
    </row>
    <row r="859" spans="1:19" outlineLevel="1" x14ac:dyDescent="0.2"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S859" s="11"/>
    </row>
    <row r="860" spans="1:19" outlineLevel="1" x14ac:dyDescent="0.2">
      <c r="A860" s="23" t="str">
        <f ca="1">Language!A$869</f>
        <v>Модифицированная IRR (MIRR)</v>
      </c>
      <c r="B860" s="310">
        <f ca="1">IF(ISERROR(E860),Language!A$829,E860)</f>
        <v>3.1132898992099198</v>
      </c>
      <c r="C860" s="5"/>
      <c r="E860" s="153">
        <f ca="1">(POWER(1+MIRR(F839:R839,POWER(1+B862,PRJ_Step/360)-1,POWER(1+B861,PRJ_Step/360)-1),360/PRJ_Step)-1)</f>
        <v>3.1132898992099198</v>
      </c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S860" s="11"/>
    </row>
    <row r="861" spans="1:19" outlineLevel="1" x14ac:dyDescent="0.2">
      <c r="A861" t="str">
        <f ca="1">Language!A$870</f>
        <v>Ставка реинвестирования доходов</v>
      </c>
      <c r="B861" s="273">
        <f>B822</f>
        <v>0.25</v>
      </c>
      <c r="S861" s="11"/>
    </row>
    <row r="862" spans="1:19" outlineLevel="1" x14ac:dyDescent="0.2">
      <c r="A862" t="str">
        <f ca="1">Language!A$871</f>
        <v>Ставка дисконтирования инвестиционных затрат</v>
      </c>
      <c r="B862" s="273">
        <f>B822</f>
        <v>0.25</v>
      </c>
      <c r="S862" s="11"/>
    </row>
    <row r="863" spans="1:19" outlineLevel="1" x14ac:dyDescent="0.2">
      <c r="A863" s="63"/>
      <c r="B863" s="63"/>
      <c r="C863" s="63"/>
      <c r="D863" s="63"/>
      <c r="E863" s="63"/>
      <c r="F863" s="63"/>
      <c r="G863" s="63"/>
      <c r="H863" s="63"/>
      <c r="I863" s="63"/>
      <c r="J863" s="63"/>
      <c r="K863" s="63"/>
      <c r="L863" s="63"/>
      <c r="M863" s="63"/>
      <c r="N863" s="63"/>
      <c r="O863" s="63"/>
      <c r="P863" s="63"/>
      <c r="Q863" s="63"/>
      <c r="R863" s="63"/>
      <c r="S863" s="64"/>
    </row>
    <row r="864" spans="1:19" outlineLevel="1" collapsed="1" x14ac:dyDescent="0.2">
      <c r="A864" s="22" t="str">
        <f ca="1">Language!A977</f>
        <v>График: Окупаемость проектов (для банка)</v>
      </c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22"/>
    </row>
    <row r="865" spans="1:19" hidden="1" outlineLevel="2" x14ac:dyDescent="0.2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22"/>
    </row>
    <row r="866" spans="1:19" hidden="1" outlineLevel="2" x14ac:dyDescent="0.2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22"/>
    </row>
    <row r="867" spans="1:19" hidden="1" outlineLevel="2" x14ac:dyDescent="0.2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22"/>
    </row>
    <row r="868" spans="1:19" hidden="1" outlineLevel="2" x14ac:dyDescent="0.2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22"/>
    </row>
    <row r="869" spans="1:19" hidden="1" outlineLevel="2" x14ac:dyDescent="0.2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22"/>
    </row>
    <row r="870" spans="1:19" hidden="1" outlineLevel="2" x14ac:dyDescent="0.2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22"/>
    </row>
    <row r="871" spans="1:19" hidden="1" outlineLevel="2" x14ac:dyDescent="0.2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22"/>
    </row>
    <row r="872" spans="1:19" hidden="1" outlineLevel="2" x14ac:dyDescent="0.2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22"/>
    </row>
    <row r="873" spans="1:19" hidden="1" outlineLevel="2" x14ac:dyDescent="0.2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22"/>
    </row>
    <row r="874" spans="1:19" hidden="1" outlineLevel="2" x14ac:dyDescent="0.2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22"/>
    </row>
    <row r="875" spans="1:19" hidden="1" outlineLevel="2" x14ac:dyDescent="0.2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22"/>
    </row>
    <row r="876" spans="1:19" hidden="1" outlineLevel="2" x14ac:dyDescent="0.2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22"/>
    </row>
    <row r="877" spans="1:19" hidden="1" outlineLevel="2" x14ac:dyDescent="0.2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22"/>
    </row>
    <row r="878" spans="1:19" hidden="1" outlineLevel="2" x14ac:dyDescent="0.2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22"/>
    </row>
    <row r="879" spans="1:19" hidden="1" outlineLevel="2" x14ac:dyDescent="0.2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22"/>
    </row>
    <row r="880" spans="1:19" hidden="1" outlineLevel="2" x14ac:dyDescent="0.2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22"/>
    </row>
    <row r="881" spans="1:19" hidden="1" outlineLevel="2" x14ac:dyDescent="0.2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22"/>
    </row>
    <row r="882" spans="1:19" hidden="1" outlineLevel="2" x14ac:dyDescent="0.2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22"/>
    </row>
    <row r="883" spans="1:19" hidden="1" outlineLevel="2" x14ac:dyDescent="0.2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22"/>
    </row>
    <row r="884" spans="1:19" hidden="1" outlineLevel="2" x14ac:dyDescent="0.2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22"/>
    </row>
    <row r="885" spans="1:19" hidden="1" outlineLevel="2" x14ac:dyDescent="0.2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22"/>
    </row>
    <row r="886" spans="1:19" hidden="1" outlineLevel="2" x14ac:dyDescent="0.2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22"/>
    </row>
    <row r="887" spans="1:19" hidden="1" outlineLevel="2" x14ac:dyDescent="0.2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22"/>
    </row>
    <row r="888" spans="1:19" outlineLevel="1" x14ac:dyDescent="0.2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22"/>
    </row>
    <row r="889" spans="1:19" outlineLevel="1" x14ac:dyDescent="0.2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22"/>
    </row>
    <row r="890" spans="1:19" s="4" customFormat="1" ht="16" customHeight="1" thickBot="1" x14ac:dyDescent="0.25">
      <c r="A890" s="166" t="str">
        <f ca="1">Language!A877</f>
        <v xml:space="preserve">         ОЦЕНКА БИЗНЕСА</v>
      </c>
      <c r="B890" s="166"/>
      <c r="C890" s="166"/>
      <c r="D890" s="166"/>
      <c r="E890" s="166"/>
      <c r="F890" s="178" t="str">
        <f>IF(Проект!ShowRealDates,F36,F34)</f>
        <v>4/ 2020</v>
      </c>
      <c r="G890" s="178" t="str">
        <f>IF(Проект!ShowRealDates,G36,G34)</f>
        <v>5/ 2020</v>
      </c>
      <c r="H890" s="178" t="str">
        <f>IF(Проект!ShowRealDates,H36,H34)</f>
        <v>6/ 2020</v>
      </c>
      <c r="I890" s="178" t="str">
        <f>IF(Проект!ShowRealDates,I36,I34)</f>
        <v>7/ 2020</v>
      </c>
      <c r="J890" s="178" t="str">
        <f>IF(Проект!ShowRealDates,J36,J34)</f>
        <v>8/ 2020</v>
      </c>
      <c r="K890" s="178" t="str">
        <f>IF(Проект!ShowRealDates,K36,K34)</f>
        <v>9/ 2020</v>
      </c>
      <c r="L890" s="178" t="str">
        <f>IF(Проект!ShowRealDates,L36,L34)</f>
        <v>10/ 2020</v>
      </c>
      <c r="M890" s="178" t="str">
        <f>IF(Проект!ShowRealDates,M36,M34)</f>
        <v>11/ 2020</v>
      </c>
      <c r="N890" s="178" t="str">
        <f>IF(Проект!ShowRealDates,N36,N34)</f>
        <v>12/ 2020</v>
      </c>
      <c r="O890" s="178" t="str">
        <f>IF(Проект!ShowRealDates,O36,O34)</f>
        <v>1/ 2021</v>
      </c>
      <c r="P890" s="178" t="str">
        <f>IF(Проект!ShowRealDates,P36,P34)</f>
        <v>2/ 2021</v>
      </c>
      <c r="Q890" s="178" t="str">
        <f>IF(Проект!ShowRealDates,Q36,Q34)</f>
        <v>3/ 2021</v>
      </c>
      <c r="R890" s="166"/>
      <c r="S890" s="167" t="str">
        <f ca="1">Language!A$371</f>
        <v>ИТОГО</v>
      </c>
    </row>
    <row r="891" spans="1:19" ht="10.5" outlineLevel="1" thickTop="1" x14ac:dyDescent="0.2">
      <c r="S891" s="11"/>
    </row>
    <row r="892" spans="1:19" outlineLevel="1" collapsed="1" x14ac:dyDescent="0.2">
      <c r="A892" s="23" t="str">
        <f ca="1">Language!A104</f>
        <v>Предполагаемый темп годового роста цен</v>
      </c>
      <c r="C892" s="5" t="s">
        <v>177</v>
      </c>
      <c r="D892" s="16" t="s">
        <v>176</v>
      </c>
      <c r="F892" s="211">
        <f t="shared" ref="F892:M892" si="414">F669</f>
        <v>8.0000000000000002E-3</v>
      </c>
      <c r="G892" s="211">
        <f t="shared" si="414"/>
        <v>8.0000000000000002E-3</v>
      </c>
      <c r="H892" s="211">
        <f t="shared" si="414"/>
        <v>8.0000000000000002E-3</v>
      </c>
      <c r="I892" s="211">
        <f t="shared" si="414"/>
        <v>8.0000000000000002E-3</v>
      </c>
      <c r="J892" s="211">
        <f t="shared" si="414"/>
        <v>8.0000000000000002E-3</v>
      </c>
      <c r="K892" s="211">
        <f t="shared" si="414"/>
        <v>8.0000000000000002E-3</v>
      </c>
      <c r="L892" s="211">
        <f t="shared" si="414"/>
        <v>8.0000000000000002E-3</v>
      </c>
      <c r="M892" s="211">
        <f t="shared" si="414"/>
        <v>8.0000000000000002E-3</v>
      </c>
      <c r="N892" s="211">
        <f t="shared" ref="N892" si="415">N669</f>
        <v>8.0000000000000002E-3</v>
      </c>
      <c r="O892" s="211">
        <f t="shared" ref="O892:Q892" si="416">O669</f>
        <v>8.0000000000000002E-3</v>
      </c>
      <c r="P892" s="211">
        <f t="shared" ref="P892:Q892" si="417">P669</f>
        <v>8.0000000000000002E-3</v>
      </c>
      <c r="Q892" s="211">
        <f t="shared" si="417"/>
        <v>8.0000000000000002E-3</v>
      </c>
      <c r="S892" s="11"/>
    </row>
    <row r="893" spans="1:19" hidden="1" outlineLevel="2" x14ac:dyDescent="0.2">
      <c r="A893" t="str">
        <f ca="1">Language!A106</f>
        <v>То же, в пересчете на период, равный шагу проекта</v>
      </c>
      <c r="C893" s="5" t="s">
        <v>177</v>
      </c>
      <c r="D893" s="16" t="s">
        <v>176</v>
      </c>
      <c r="F893" s="30">
        <f t="shared" ref="F893:M893" si="418">POWER(1+F892,PRJ_Step/360)-1</f>
        <v>6.6423464362252993E-4</v>
      </c>
      <c r="G893" s="30">
        <f t="shared" si="418"/>
        <v>6.6423464362252993E-4</v>
      </c>
      <c r="H893" s="30">
        <f t="shared" si="418"/>
        <v>6.6423464362252993E-4</v>
      </c>
      <c r="I893" s="30">
        <f t="shared" si="418"/>
        <v>6.6423464362252993E-4</v>
      </c>
      <c r="J893" s="30">
        <f t="shared" si="418"/>
        <v>6.6423464362252993E-4</v>
      </c>
      <c r="K893" s="30">
        <f t="shared" si="418"/>
        <v>6.6423464362252993E-4</v>
      </c>
      <c r="L893" s="30">
        <f t="shared" si="418"/>
        <v>6.6423464362252993E-4</v>
      </c>
      <c r="M893" s="30">
        <f t="shared" si="418"/>
        <v>6.6423464362252993E-4</v>
      </c>
      <c r="N893" s="30">
        <f t="shared" ref="N893" si="419">POWER(1+N892,PRJ_Step/360)-1</f>
        <v>6.6423464362252993E-4</v>
      </c>
      <c r="O893" s="30">
        <f t="shared" ref="O893:Q893" si="420">POWER(1+O892,PRJ_Step/360)-1</f>
        <v>6.6423464362252993E-4</v>
      </c>
      <c r="P893" s="30">
        <f t="shared" ref="P893:Q893" si="421">POWER(1+P892,PRJ_Step/360)-1</f>
        <v>6.6423464362252993E-4</v>
      </c>
      <c r="Q893" s="30">
        <f t="shared" si="421"/>
        <v>6.6423464362252993E-4</v>
      </c>
      <c r="S893" s="11"/>
    </row>
    <row r="894" spans="1:19" outlineLevel="1" x14ac:dyDescent="0.2">
      <c r="S894" s="11"/>
    </row>
    <row r="895" spans="1:19" outlineLevel="1" collapsed="1" x14ac:dyDescent="0.2">
      <c r="A895" t="str">
        <f ca="1">Language!A$836</f>
        <v>Годовая ставка дисконтирования:</v>
      </c>
      <c r="B895" s="273">
        <f>B674</f>
        <v>0.25</v>
      </c>
      <c r="C895" s="5" t="s">
        <v>177</v>
      </c>
      <c r="D895" s="16" t="s">
        <v>176</v>
      </c>
      <c r="F895" s="251">
        <f>B895</f>
        <v>0.25</v>
      </c>
      <c r="G895" s="251">
        <f t="shared" ref="G895:Q895" si="422">F895</f>
        <v>0.25</v>
      </c>
      <c r="H895" s="251">
        <f t="shared" si="422"/>
        <v>0.25</v>
      </c>
      <c r="I895" s="251">
        <f t="shared" si="422"/>
        <v>0.25</v>
      </c>
      <c r="J895" s="251">
        <f t="shared" si="422"/>
        <v>0.25</v>
      </c>
      <c r="K895" s="251">
        <f t="shared" si="422"/>
        <v>0.25</v>
      </c>
      <c r="L895" s="251">
        <f t="shared" si="422"/>
        <v>0.25</v>
      </c>
      <c r="M895" s="251">
        <f t="shared" si="422"/>
        <v>0.25</v>
      </c>
      <c r="N895" s="251">
        <f t="shared" si="422"/>
        <v>0.25</v>
      </c>
      <c r="O895" s="251">
        <f t="shared" si="422"/>
        <v>0.25</v>
      </c>
      <c r="P895" s="251">
        <f t="shared" si="422"/>
        <v>0.25</v>
      </c>
      <c r="Q895" s="251">
        <f t="shared" si="422"/>
        <v>0.25</v>
      </c>
      <c r="S895" s="11"/>
    </row>
    <row r="896" spans="1:19" hidden="1" outlineLevel="2" x14ac:dyDescent="0.2">
      <c r="A896" t="str">
        <f ca="1">Language!A$837</f>
        <v xml:space="preserve">    ставка дисконтирования на расчетный период</v>
      </c>
      <c r="D896" s="16" t="s">
        <v>176</v>
      </c>
      <c r="F896" s="251">
        <f t="shared" ref="F896:M896" si="423">POWER(1+F895,PRJ_Step/360)-1-IF(CalcMethod=1,F893,0)</f>
        <v>1.8105030477883588E-2</v>
      </c>
      <c r="G896" s="251">
        <f t="shared" si="423"/>
        <v>1.8105030477883588E-2</v>
      </c>
      <c r="H896" s="251">
        <f t="shared" si="423"/>
        <v>1.8105030477883588E-2</v>
      </c>
      <c r="I896" s="251">
        <f t="shared" si="423"/>
        <v>1.8105030477883588E-2</v>
      </c>
      <c r="J896" s="251">
        <f t="shared" si="423"/>
        <v>1.8105030477883588E-2</v>
      </c>
      <c r="K896" s="251">
        <f t="shared" si="423"/>
        <v>1.8105030477883588E-2</v>
      </c>
      <c r="L896" s="251">
        <f t="shared" si="423"/>
        <v>1.8105030477883588E-2</v>
      </c>
      <c r="M896" s="251">
        <f t="shared" si="423"/>
        <v>1.8105030477883588E-2</v>
      </c>
      <c r="N896" s="251">
        <f t="shared" ref="N896" si="424">POWER(1+N895,PRJ_Step/360)-1-IF(CalcMethod=1,N893,0)</f>
        <v>1.8105030477883588E-2</v>
      </c>
      <c r="O896" s="251">
        <f t="shared" ref="O896:Q896" si="425">POWER(1+O895,PRJ_Step/360)-1-IF(CalcMethod=1,O893,0)</f>
        <v>1.8105030477883588E-2</v>
      </c>
      <c r="P896" s="251">
        <f t="shared" ref="P896:Q896" si="426">POWER(1+P895,PRJ_Step/360)-1-IF(CalcMethod=1,P893,0)</f>
        <v>1.8105030477883588E-2</v>
      </c>
      <c r="Q896" s="251">
        <f t="shared" si="426"/>
        <v>1.8105030477883588E-2</v>
      </c>
      <c r="S896" s="11"/>
    </row>
    <row r="897" spans="1:19" hidden="1" outlineLevel="2" x14ac:dyDescent="0.2">
      <c r="A897" t="str">
        <f ca="1">Language!A$878</f>
        <v xml:space="preserve">    коэффициент дисконта на середину периода</v>
      </c>
      <c r="D897" s="16" t="s">
        <v>176</v>
      </c>
      <c r="F897" s="252">
        <f>(1+F896)^0.5</f>
        <v>1.0090119079960769</v>
      </c>
      <c r="G897" s="252">
        <f t="shared" ref="G897:Q897" si="427">F897*(1+G896)</f>
        <v>1.0272800993428932</v>
      </c>
      <c r="H897" s="252">
        <f t="shared" si="427"/>
        <v>1.0458790368508195</v>
      </c>
      <c r="I897" s="252">
        <f t="shared" si="427"/>
        <v>1.064814708689183</v>
      </c>
      <c r="J897" s="252">
        <f t="shared" si="427"/>
        <v>1.0840932114432995</v>
      </c>
      <c r="K897" s="252">
        <f t="shared" si="427"/>
        <v>1.1037207520773471</v>
      </c>
      <c r="L897" s="252">
        <f t="shared" si="427"/>
        <v>1.1237036499327802</v>
      </c>
      <c r="M897" s="252">
        <f t="shared" si="427"/>
        <v>1.1440483387629221</v>
      </c>
      <c r="N897" s="252">
        <f t="shared" si="427"/>
        <v>1.164761368804397</v>
      </c>
      <c r="O897" s="252">
        <f t="shared" si="427"/>
        <v>1.1858494088860621</v>
      </c>
      <c r="P897" s="252">
        <f t="shared" si="427"/>
        <v>1.2073192485761244</v>
      </c>
      <c r="Q897" s="252">
        <f t="shared" si="427"/>
        <v>1.2291778003681306</v>
      </c>
      <c r="S897" s="11"/>
    </row>
    <row r="898" spans="1:19" hidden="1" outlineLevel="2" x14ac:dyDescent="0.2">
      <c r="A898" t="str">
        <f ca="1">Language!A$839</f>
        <v xml:space="preserve">    коэффициент дисконта для потока на конец периода</v>
      </c>
      <c r="D898" s="16" t="s">
        <v>176</v>
      </c>
      <c r="F898" s="252">
        <f>1+F896</f>
        <v>1.0181050304778836</v>
      </c>
      <c r="G898" s="252">
        <f t="shared" ref="G898:Q898" si="428">F898*(1+G896)</f>
        <v>1.0365378530843723</v>
      </c>
      <c r="H898" s="252">
        <f t="shared" si="428"/>
        <v>1.0553044025059448</v>
      </c>
      <c r="I898" s="252">
        <f t="shared" si="428"/>
        <v>1.0744107208767597</v>
      </c>
      <c r="J898" s="252">
        <f t="shared" si="428"/>
        <v>1.0938629597239984</v>
      </c>
      <c r="K898" s="252">
        <f t="shared" si="428"/>
        <v>1.1136673819484293</v>
      </c>
      <c r="L898" s="252">
        <f t="shared" si="428"/>
        <v>1.1338303638408305</v>
      </c>
      <c r="M898" s="252">
        <f t="shared" si="428"/>
        <v>1.1543583971349185</v>
      </c>
      <c r="N898" s="252">
        <f t="shared" si="428"/>
        <v>1.1752580910974471</v>
      </c>
      <c r="O898" s="252">
        <f t="shared" si="428"/>
        <v>1.1965361746561456</v>
      </c>
      <c r="P898" s="252">
        <f t="shared" si="428"/>
        <v>1.2181994985661853</v>
      </c>
      <c r="Q898" s="252">
        <f t="shared" si="428"/>
        <v>1.2402550376158685</v>
      </c>
      <c r="S898" s="11"/>
    </row>
    <row r="899" spans="1:19" outlineLevel="1" collapsed="1" x14ac:dyDescent="0.2">
      <c r="A899" t="str">
        <f ca="1">Language!A$879</f>
        <v>Долгосрочные темпы роста в постпрогнозный период</v>
      </c>
      <c r="B899" s="273">
        <f ca="1">OFFSET(F892,0,PRJ_Len-1)</f>
        <v>8.0000000000000002E-3</v>
      </c>
      <c r="C899" s="5" t="s">
        <v>177</v>
      </c>
      <c r="S899" s="11"/>
    </row>
    <row r="900" spans="1:19" hidden="1" outlineLevel="2" x14ac:dyDescent="0.2">
      <c r="A900" t="str">
        <f ca="1">Language!A$880</f>
        <v xml:space="preserve">    в пересчете на период, равный шагу проекта</v>
      </c>
      <c r="B900" s="137">
        <f ca="1">MAX(0,POWER(1+B899,PRJ_Step/360)-1-IF(CalcMethod=1,OFFSET(F893,0,PRJ_Len-1)),0)</f>
        <v>0</v>
      </c>
      <c r="S900" s="11"/>
    </row>
    <row r="901" spans="1:19" outlineLevel="1" x14ac:dyDescent="0.2">
      <c r="S901" s="11"/>
    </row>
    <row r="902" spans="1:19" ht="10.5" outlineLevel="1" x14ac:dyDescent="0.25">
      <c r="A902" s="35" t="str">
        <f ca="1">Language!A$881</f>
        <v>Денежный поток для собственного капитала</v>
      </c>
      <c r="C902" s="5" t="str">
        <f t="shared" ref="C902:C907" ca="1" si="429">CUR_Report</f>
        <v>руб.</v>
      </c>
      <c r="F902" s="58">
        <f t="shared" ref="F902:M902" ca="1" si="430">F903+F904-F905+F906+F907</f>
        <v>-1988856</v>
      </c>
      <c r="G902" s="58">
        <f t="shared" ca="1" si="430"/>
        <v>-1837609.833435114</v>
      </c>
      <c r="H902" s="58">
        <f t="shared" ca="1" si="430"/>
        <v>-1855462.9944733568</v>
      </c>
      <c r="I902" s="58">
        <f t="shared" ca="1" si="430"/>
        <v>-2084953.2759622147</v>
      </c>
      <c r="J902" s="58">
        <f t="shared" ca="1" si="430"/>
        <v>-2353780.3851613891</v>
      </c>
      <c r="K902" s="58">
        <f t="shared" ca="1" si="430"/>
        <v>-2613940.1920454539</v>
      </c>
      <c r="L902" s="58">
        <f t="shared" ca="1" si="430"/>
        <v>-2986582.1227272721</v>
      </c>
      <c r="M902" s="58">
        <f t="shared" ca="1" si="430"/>
        <v>-3359224.0534090921</v>
      </c>
      <c r="N902" s="58">
        <f t="shared" ref="N902" ca="1" si="431">N903+N904-N905+N906+N907</f>
        <v>-3907064.2056818167</v>
      </c>
      <c r="O902" s="58">
        <f t="shared" ref="O902:Q902" ca="1" si="432">O903+O904-O905+O906+O907</f>
        <v>-1368082.3872445095</v>
      </c>
      <c r="P902" s="58">
        <f t="shared" ref="P902:Q902" ca="1" si="433">P903+P904-P905+P906+P907</f>
        <v>3250882.1000000006</v>
      </c>
      <c r="Q902" s="58">
        <f t="shared" ca="1" si="433"/>
        <v>3917422.45</v>
      </c>
      <c r="R902" s="35"/>
      <c r="S902" s="57">
        <f t="shared" ref="S902:S907" ca="1" si="434">SUM(F902:Q902)</f>
        <v>-17187250.900140215</v>
      </c>
    </row>
    <row r="903" spans="1:19" outlineLevel="1" x14ac:dyDescent="0.2">
      <c r="A903" t="str">
        <f ca="1">Language!A$882</f>
        <v>Чистая прибыль</v>
      </c>
      <c r="C903" s="5" t="str">
        <f t="shared" ca="1" si="429"/>
        <v>руб.</v>
      </c>
      <c r="F903" s="43">
        <f t="shared" ref="F903:M903" ca="1" si="435">F169-F155</f>
        <v>-3007443.6844783714</v>
      </c>
      <c r="G903" s="43">
        <f t="shared" ca="1" si="435"/>
        <v>-2649952.9535589088</v>
      </c>
      <c r="H903" s="43">
        <f t="shared" ca="1" si="435"/>
        <v>-2565732.0292993961</v>
      </c>
      <c r="I903" s="43">
        <f t="shared" ca="1" si="435"/>
        <v>-2088794.3376510644</v>
      </c>
      <c r="J903" s="43">
        <f t="shared" ca="1" si="435"/>
        <v>-1473070.8539035725</v>
      </c>
      <c r="K903" s="43">
        <f t="shared" ca="1" si="435"/>
        <v>-198551.35345276195</v>
      </c>
      <c r="L903" s="43">
        <f t="shared" ca="1" si="435"/>
        <v>1096547.547974088</v>
      </c>
      <c r="M903" s="43">
        <f t="shared" ca="1" si="435"/>
        <v>2416169.2904287493</v>
      </c>
      <c r="N903" s="43">
        <f t="shared" ref="N903" ca="1" si="436">N169-N155</f>
        <v>4408306.029895097</v>
      </c>
      <c r="O903" s="43">
        <f t="shared" ref="O903:Q903" ca="1" si="437">O169-O155</f>
        <v>7025601.84375</v>
      </c>
      <c r="P903" s="43">
        <f t="shared" ref="P903:Q903" ca="1" si="438">P169-P155</f>
        <v>8941874.2125000004</v>
      </c>
      <c r="Q903" s="43">
        <f t="shared" ca="1" si="438"/>
        <v>10219389.125</v>
      </c>
      <c r="S903" s="54">
        <f t="shared" ca="1" si="434"/>
        <v>22124342.83720386</v>
      </c>
    </row>
    <row r="904" spans="1:19" outlineLevel="1" x14ac:dyDescent="0.2">
      <c r="A904" t="str">
        <f ca="1">Language!A$883</f>
        <v>Амортизация</v>
      </c>
      <c r="C904" s="5" t="str">
        <f t="shared" ca="1" si="429"/>
        <v>руб.</v>
      </c>
      <c r="F904" s="43">
        <f t="shared" ref="F904:M904" ca="1" si="439">F139</f>
        <v>0</v>
      </c>
      <c r="G904" s="43">
        <f t="shared" ca="1" si="439"/>
        <v>0</v>
      </c>
      <c r="H904" s="43">
        <f t="shared" ca="1" si="439"/>
        <v>0</v>
      </c>
      <c r="I904" s="43">
        <f t="shared" ca="1" si="439"/>
        <v>0</v>
      </c>
      <c r="J904" s="43">
        <f t="shared" ca="1" si="439"/>
        <v>0</v>
      </c>
      <c r="K904" s="43">
        <f t="shared" ca="1" si="439"/>
        <v>0</v>
      </c>
      <c r="L904" s="43">
        <f t="shared" ca="1" si="439"/>
        <v>0</v>
      </c>
      <c r="M904" s="43">
        <f t="shared" ca="1" si="439"/>
        <v>0</v>
      </c>
      <c r="N904" s="43">
        <f t="shared" ref="N904" ca="1" si="440">N139</f>
        <v>0</v>
      </c>
      <c r="O904" s="43">
        <f t="shared" ref="O904:Q904" ca="1" si="441">O139</f>
        <v>0</v>
      </c>
      <c r="P904" s="43">
        <f t="shared" ref="P904:Q904" ca="1" si="442">P139</f>
        <v>0</v>
      </c>
      <c r="Q904" s="43">
        <f t="shared" ca="1" si="442"/>
        <v>0</v>
      </c>
      <c r="S904" s="54">
        <f t="shared" ca="1" si="434"/>
        <v>0</v>
      </c>
    </row>
    <row r="905" spans="1:19" outlineLevel="1" x14ac:dyDescent="0.2">
      <c r="A905" t="str">
        <f ca="1">Language!A$884</f>
        <v>Изменение чистого оборотного капитала</v>
      </c>
      <c r="C905" s="5" t="str">
        <f t="shared" ca="1" si="429"/>
        <v>руб.</v>
      </c>
      <c r="F905" s="106">
        <f t="shared" ref="F905:M905" ca="1" si="443">-((OFFSET(F439,0,-1)+OFFSET(F441,0,-1)+OFFSET(F443,0,-1)+OFFSET(F445,0,-1)+OFFSET(F447,0,-1)+OFFSET(F453,0,-1))-(OFFSET(F480,0,-1)+OFFSET(F484,0,-1)+OFFSET(F486,0,-1)+OFFSET(F488,0,-1)+OFFSET(F492,0,-1)))-((F439+F441+F443+F445+F447+F453)-(F480+F484+F486+F488+F492))</f>
        <v>1340480</v>
      </c>
      <c r="G905" s="106">
        <f t="shared" ca="1" si="443"/>
        <v>2169760</v>
      </c>
      <c r="H905" s="106">
        <f t="shared" ca="1" si="443"/>
        <v>1682998.9824999999</v>
      </c>
      <c r="I905" s="106">
        <f t="shared" ca="1" si="443"/>
        <v>1805193.895</v>
      </c>
      <c r="J905" s="106">
        <f t="shared" ca="1" si="443"/>
        <v>2025144.7374999998</v>
      </c>
      <c r="K905" s="106">
        <f t="shared" ca="1" si="443"/>
        <v>2391729.4749999996</v>
      </c>
      <c r="L905" s="106">
        <f t="shared" ca="1" si="443"/>
        <v>2880509.125</v>
      </c>
      <c r="M905" s="106">
        <f t="shared" ca="1" si="443"/>
        <v>3369288.7750000004</v>
      </c>
      <c r="N905" s="106">
        <f t="shared" ref="N905" ca="1" si="444">-((OFFSET(N439,0,-1)+OFFSET(N441,0,-1)+OFFSET(N443,0,-1)+OFFSET(N445,0,-1)+OFFSET(N447,0,-1)+OFFSET(N453,0,-1))-(OFFSET(N480,0,-1)+OFFSET(N484,0,-1)+OFFSET(N486,0,-1)+OFFSET(N488,0,-1)+OFFSET(N492,0,-1)))-((N439+N441+N443+N445+N447+N453)-(N480+N484+N486+N488+N492))</f>
        <v>3980263.3375000004</v>
      </c>
      <c r="O905" s="106">
        <f t="shared" ref="O905:Q905" ca="1" si="445">-((OFFSET(O439,0,-1)+OFFSET(O441,0,-1)+OFFSET(O443,0,-1)+OFFSET(O445,0,-1)+OFFSET(O447,0,-1)+OFFSET(O453,0,-1))-(OFFSET(O480,0,-1)+OFFSET(O484,0,-1)+OFFSET(O486,0,-1)+OFFSET(O488,0,-1)+OFFSET(O492,0,-1)))-((O439+O441+O443+O445+O447+O453)-(O480+O484+O486+O488+O492))</f>
        <v>4835627.7249999996</v>
      </c>
      <c r="P905" s="106">
        <f t="shared" ref="P905:Q905" ca="1" si="446">-((OFFSET(P439,0,-1)+OFFSET(P441,0,-1)+OFFSET(P443,0,-1)+OFFSET(P445,0,-1)+OFFSET(P447,0,-1)+OFFSET(P453,0,-1))-(OFFSET(P480,0,-1)+OFFSET(P484,0,-1)+OFFSET(P486,0,-1)+OFFSET(P488,0,-1)+OFFSET(P492,0,-1)))-((P439+P441+P443+P445+P447+P453)-(P480+P484+P486+P488+P492))</f>
        <v>5690992.1124999998</v>
      </c>
      <c r="Q905" s="106">
        <f t="shared" ca="1" si="446"/>
        <v>6301966.6749999998</v>
      </c>
      <c r="S905" s="54">
        <f t="shared" ca="1" si="434"/>
        <v>38473954.840000004</v>
      </c>
    </row>
    <row r="906" spans="1:19" outlineLevel="1" x14ac:dyDescent="0.2">
      <c r="A906" t="str">
        <f ca="1">Language!A$885</f>
        <v>Инвестиции</v>
      </c>
      <c r="C906" s="5" t="str">
        <f t="shared" ca="1" si="429"/>
        <v>руб.</v>
      </c>
      <c r="F906" s="43">
        <f t="shared" ref="F906:M906" ca="1" si="447">F289+F291+F293+F295+F297+F299+F303</f>
        <v>0</v>
      </c>
      <c r="G906" s="43">
        <f t="shared" ca="1" si="447"/>
        <v>0</v>
      </c>
      <c r="H906" s="43">
        <f t="shared" ca="1" si="447"/>
        <v>0</v>
      </c>
      <c r="I906" s="43">
        <f t="shared" ca="1" si="447"/>
        <v>0</v>
      </c>
      <c r="J906" s="43">
        <f t="shared" ca="1" si="447"/>
        <v>0</v>
      </c>
      <c r="K906" s="43">
        <f t="shared" ca="1" si="447"/>
        <v>0</v>
      </c>
      <c r="L906" s="43">
        <f t="shared" ca="1" si="447"/>
        <v>0</v>
      </c>
      <c r="M906" s="43">
        <f t="shared" ca="1" si="447"/>
        <v>0</v>
      </c>
      <c r="N906" s="43">
        <f t="shared" ref="N906" ca="1" si="448">N289+N291+N293+N295+N297+N299+N303</f>
        <v>0</v>
      </c>
      <c r="O906" s="43">
        <f t="shared" ref="O906:Q906" ca="1" si="449">O289+O291+O293+O295+O297+O299+O303</f>
        <v>0</v>
      </c>
      <c r="P906" s="43">
        <f t="shared" ref="P906:Q906" ca="1" si="450">P289+P291+P293+P295+P297+P299+P303</f>
        <v>0</v>
      </c>
      <c r="Q906" s="43">
        <f t="shared" ca="1" si="450"/>
        <v>0</v>
      </c>
      <c r="S906" s="54">
        <f t="shared" ca="1" si="434"/>
        <v>0</v>
      </c>
    </row>
    <row r="907" spans="1:19" outlineLevel="1" x14ac:dyDescent="0.2">
      <c r="A907" t="str">
        <f ca="1">Language!A$886</f>
        <v>Изменение долгосрочной задолженности</v>
      </c>
      <c r="C907" s="5" t="str">
        <f t="shared" ca="1" si="429"/>
        <v>руб.</v>
      </c>
      <c r="F907" s="43">
        <f t="shared" ref="F907:M907" ca="1" si="451">F315+F317</f>
        <v>2359067.6844783714</v>
      </c>
      <c r="G907" s="43">
        <f t="shared" ca="1" si="451"/>
        <v>2982103.1201237948</v>
      </c>
      <c r="H907" s="43">
        <f t="shared" ca="1" si="451"/>
        <v>2393268.0173260393</v>
      </c>
      <c r="I907" s="43">
        <f t="shared" ca="1" si="451"/>
        <v>1809034.9566888495</v>
      </c>
      <c r="J907" s="43">
        <f t="shared" ca="1" si="451"/>
        <v>1144435.2062421832</v>
      </c>
      <c r="K907" s="43">
        <f t="shared" ca="1" si="451"/>
        <v>-23659.363592692334</v>
      </c>
      <c r="L907" s="43">
        <f t="shared" ca="1" si="451"/>
        <v>-1202620.5457013601</v>
      </c>
      <c r="M907" s="43">
        <f t="shared" ca="1" si="451"/>
        <v>-2406104.568837841</v>
      </c>
      <c r="N907" s="43">
        <f t="shared" ref="N907" ca="1" si="452">N315+N317</f>
        <v>-4335106.8980769133</v>
      </c>
      <c r="O907" s="43">
        <f t="shared" ref="O907:Q907" ca="1" si="453">O315+O317</f>
        <v>-3558056.5059945099</v>
      </c>
      <c r="P907" s="43">
        <f t="shared" ref="P907:Q907" ca="1" si="454">P315+P317</f>
        <v>0</v>
      </c>
      <c r="Q907" s="43">
        <f t="shared" ca="1" si="454"/>
        <v>0</v>
      </c>
      <c r="S907" s="54">
        <f t="shared" ca="1" si="434"/>
        <v>-837638.89734407701</v>
      </c>
    </row>
    <row r="908" spans="1:19" outlineLevel="1" x14ac:dyDescent="0.2">
      <c r="S908" s="11"/>
    </row>
    <row r="909" spans="1:19" outlineLevel="1" x14ac:dyDescent="0.2">
      <c r="A909" t="str">
        <f ca="1">Language!A$887</f>
        <v>Дисконтированный денежный поток</v>
      </c>
      <c r="C909" s="5" t="str">
        <f ca="1">CUR_Report</f>
        <v>руб.</v>
      </c>
      <c r="F909" s="43">
        <f t="shared" ref="F909:M909" ca="1" si="455">F902/F897</f>
        <v>-1971092.6939900226</v>
      </c>
      <c r="G909" s="43">
        <f t="shared" ca="1" si="455"/>
        <v>-1788810.8945267738</v>
      </c>
      <c r="H909" s="43">
        <f t="shared" ca="1" si="455"/>
        <v>-1774070.3552680667</v>
      </c>
      <c r="I909" s="43">
        <f t="shared" ca="1" si="455"/>
        <v>-1958043.271705789</v>
      </c>
      <c r="J909" s="43">
        <f t="shared" ca="1" si="455"/>
        <v>-2171197.4213247779</v>
      </c>
      <c r="K909" s="43">
        <f t="shared" ca="1" si="455"/>
        <v>-2368298.4913762617</v>
      </c>
      <c r="L909" s="43">
        <f t="shared" ca="1" si="455"/>
        <v>-2657802.2799035395</v>
      </c>
      <c r="M909" s="43">
        <f t="shared" ca="1" si="455"/>
        <v>-2936260.5928360294</v>
      </c>
      <c r="N909" s="43">
        <f t="shared" ref="N909" ca="1" si="456">N902/N897</f>
        <v>-3354390.2728267303</v>
      </c>
      <c r="O909" s="43">
        <f t="shared" ref="O909:Q909" ca="1" si="457">O902/O897</f>
        <v>-1153672.9512136197</v>
      </c>
      <c r="P909" s="43">
        <f t="shared" ref="P909:Q909" ca="1" si="458">P902/P897</f>
        <v>2692644.9684571764</v>
      </c>
      <c r="Q909" s="43">
        <f t="shared" ca="1" si="458"/>
        <v>3187026.6846885439</v>
      </c>
      <c r="R909" s="43"/>
      <c r="S909" s="54">
        <f ca="1">SUM(F909:Q909)</f>
        <v>-16253967.571825894</v>
      </c>
    </row>
    <row r="910" spans="1:19" outlineLevel="1" x14ac:dyDescent="0.2">
      <c r="S910" s="11"/>
    </row>
    <row r="911" spans="1:19" ht="10.5" outlineLevel="1" collapsed="1" x14ac:dyDescent="0.25">
      <c r="A911" s="35" t="str">
        <f ca="1">Language!A$888</f>
        <v>Продленная стоимость проекта</v>
      </c>
      <c r="B911" s="55">
        <f ca="1">OFFSET(F912,0,PRJ_Len-1)*(1+B900)/(OFFSET(F896,0,PRJ_Len-1)-B900)</f>
        <v>564450258.03649509</v>
      </c>
      <c r="C911" s="5" t="str">
        <f ca="1">CUR_Report</f>
        <v>руб.</v>
      </c>
      <c r="F911" s="35"/>
      <c r="G911" s="35"/>
      <c r="H911" s="35"/>
      <c r="I911" s="35"/>
      <c r="J911" s="35"/>
      <c r="K911" s="35"/>
      <c r="L911" s="35"/>
      <c r="M911" s="35"/>
      <c r="N911" s="35"/>
      <c r="O911" s="35"/>
      <c r="P911" s="35"/>
      <c r="Q911" s="35"/>
      <c r="R911" s="35"/>
      <c r="S911" s="51"/>
    </row>
    <row r="912" spans="1:19" ht="10.5" hidden="1" outlineLevel="2" x14ac:dyDescent="0.25">
      <c r="A912" s="23" t="str">
        <f ca="1">Language!A$889</f>
        <v>Посленалоговая операционная прибыль (NOPLAT)</v>
      </c>
      <c r="C912" s="5" t="str">
        <f ca="1">CUR_Report</f>
        <v>руб.</v>
      </c>
      <c r="F912" s="53">
        <f t="shared" ref="F912:M912" ca="1" si="459">F153*(1-F580)</f>
        <v>-3007443.6844783714</v>
      </c>
      <c r="G912" s="53">
        <f t="shared" ca="1" si="459"/>
        <v>-2649952.9535589092</v>
      </c>
      <c r="H912" s="53">
        <f t="shared" ca="1" si="459"/>
        <v>-2557576.8292993959</v>
      </c>
      <c r="I912" s="53">
        <f t="shared" ca="1" si="459"/>
        <v>-2048018.3376510653</v>
      </c>
      <c r="J912" s="53">
        <f t="shared" ca="1" si="459"/>
        <v>-1391518.8539035721</v>
      </c>
      <c r="K912" s="53">
        <f t="shared" ca="1" si="459"/>
        <v>-35447.353452762647</v>
      </c>
      <c r="L912" s="53">
        <f t="shared" ca="1" si="459"/>
        <v>1096547.547974088</v>
      </c>
      <c r="M912" s="53">
        <f t="shared" ca="1" si="459"/>
        <v>2416169.2904287502</v>
      </c>
      <c r="N912" s="53">
        <f t="shared" ref="N912" ca="1" si="460">N153*(1-N580)</f>
        <v>4408306.0298950961</v>
      </c>
      <c r="O912" s="53">
        <f t="shared" ref="O912:Q912" ca="1" si="461">O153*(1-O580)</f>
        <v>7025601.84375</v>
      </c>
      <c r="P912" s="53">
        <f t="shared" ref="P912:Q912" ca="1" si="462">P153*(1-P580)</f>
        <v>8941874.2125000004</v>
      </c>
      <c r="Q912" s="53">
        <f t="shared" ca="1" si="462"/>
        <v>10219389.125</v>
      </c>
      <c r="R912" s="35"/>
      <c r="S912" s="51"/>
    </row>
    <row r="913" spans="1:19" hidden="1" outlineLevel="2" x14ac:dyDescent="0.2">
      <c r="A913" s="23" t="str">
        <f ca="1">Language!A$890</f>
        <v>Дисконтированная продленная стоимость</v>
      </c>
      <c r="B913" s="144">
        <f ca="1">B911/OFFSET(F898,0,PRJ_Len-1)</f>
        <v>455108216.38872993</v>
      </c>
      <c r="C913" s="5" t="str">
        <f ca="1">CUR_Report</f>
        <v>руб.</v>
      </c>
      <c r="S913" s="11"/>
    </row>
    <row r="914" spans="1:19" outlineLevel="1" x14ac:dyDescent="0.2">
      <c r="S914" s="11"/>
    </row>
    <row r="915" spans="1:19" ht="10.5" outlineLevel="1" x14ac:dyDescent="0.25">
      <c r="A915" s="35" t="str">
        <f ca="1">Language!A$891</f>
        <v>Итого стоимость бизнеса</v>
      </c>
      <c r="B915" s="151">
        <f ca="1">S909+B913</f>
        <v>438854248.81690401</v>
      </c>
      <c r="C915" s="5" t="str">
        <f ca="1">CUR_Report</f>
        <v>руб.</v>
      </c>
      <c r="S915" s="11"/>
    </row>
    <row r="916" spans="1:19" outlineLevel="1" x14ac:dyDescent="0.2">
      <c r="A916" s="63"/>
      <c r="B916" s="63"/>
      <c r="C916" s="63"/>
      <c r="D916" s="63"/>
      <c r="E916" s="63"/>
      <c r="F916" s="63"/>
      <c r="G916" s="63"/>
      <c r="H916" s="63"/>
      <c r="I916" s="63"/>
      <c r="J916" s="63"/>
      <c r="K916" s="63"/>
      <c r="L916" s="63"/>
      <c r="M916" s="63"/>
      <c r="N916" s="63"/>
      <c r="O916" s="63"/>
      <c r="P916" s="63"/>
      <c r="Q916" s="63"/>
      <c r="R916" s="63"/>
      <c r="S916" s="204"/>
    </row>
    <row r="917" spans="1:19" outlineLevel="1" x14ac:dyDescent="0.2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206"/>
    </row>
    <row r="918" spans="1:19" s="4" customFormat="1" ht="16" customHeight="1" thickBot="1" x14ac:dyDescent="0.25">
      <c r="A918" s="166" t="str">
        <f ca="1">Language!A$978</f>
        <v xml:space="preserve">         ОСНОВНЫЕ ПОКАЗАТЕЛИ ПРОЕКТОВ</v>
      </c>
      <c r="B918" s="166"/>
      <c r="C918" s="166"/>
      <c r="D918" s="166"/>
      <c r="E918" s="166"/>
      <c r="F918" s="178" t="str">
        <f>IF(Проект!ShowRealDates,F36,F34)</f>
        <v>4/ 2020</v>
      </c>
      <c r="G918" s="178" t="str">
        <f>IF(Проект!ShowRealDates,G36,G34)</f>
        <v>5/ 2020</v>
      </c>
      <c r="H918" s="178" t="str">
        <f>IF(Проект!ShowRealDates,H36,H34)</f>
        <v>6/ 2020</v>
      </c>
      <c r="I918" s="178" t="str">
        <f>IF(Проект!ShowRealDates,I36,I34)</f>
        <v>7/ 2020</v>
      </c>
      <c r="J918" s="178" t="str">
        <f>IF(Проект!ShowRealDates,J36,J34)</f>
        <v>8/ 2020</v>
      </c>
      <c r="K918" s="178" t="str">
        <f>IF(Проект!ShowRealDates,K36,K34)</f>
        <v>9/ 2020</v>
      </c>
      <c r="L918" s="178" t="str">
        <f>IF(Проект!ShowRealDates,L36,L34)</f>
        <v>10/ 2020</v>
      </c>
      <c r="M918" s="178" t="str">
        <f>IF(Проект!ShowRealDates,M36,M34)</f>
        <v>11/ 2020</v>
      </c>
      <c r="N918" s="178" t="str">
        <f>IF(Проект!ShowRealDates,N36,N34)</f>
        <v>12/ 2020</v>
      </c>
      <c r="O918" s="178" t="str">
        <f>IF(Проект!ShowRealDates,O36,O34)</f>
        <v>1/ 2021</v>
      </c>
      <c r="P918" s="178" t="str">
        <f>IF(Проект!ShowRealDates,P36,P34)</f>
        <v>2/ 2021</v>
      </c>
      <c r="Q918" s="178" t="str">
        <f>IF(Проект!ShowRealDates,Q36,Q34)</f>
        <v>3/ 2021</v>
      </c>
      <c r="R918" s="166"/>
      <c r="S918" s="167" t="str">
        <f ca="1">Language!A$371</f>
        <v>ИТОГО</v>
      </c>
    </row>
    <row r="919" spans="1:19" ht="10.5" outlineLevel="1" thickTop="1" x14ac:dyDescent="0.2">
      <c r="S919" s="11"/>
    </row>
    <row r="920" spans="1:19" outlineLevel="1" x14ac:dyDescent="0.2">
      <c r="A920" t="str">
        <f ca="1">Language!A$927</f>
        <v>Выручка от реализации (без НДС)</v>
      </c>
      <c r="C920" s="5" t="str">
        <f t="shared" ref="C920:C939" ca="1" si="463">CUR_Report</f>
        <v>руб.</v>
      </c>
      <c r="F920" s="43">
        <f t="shared" ref="F920:M920" ca="1" si="464">F124</f>
        <v>0</v>
      </c>
      <c r="G920" s="43">
        <f t="shared" ca="1" si="464"/>
        <v>0</v>
      </c>
      <c r="H920" s="43">
        <f t="shared" ca="1" si="464"/>
        <v>135920</v>
      </c>
      <c r="I920" s="43">
        <f t="shared" ca="1" si="464"/>
        <v>679600</v>
      </c>
      <c r="J920" s="43">
        <f t="shared" ca="1" si="464"/>
        <v>1359200</v>
      </c>
      <c r="K920" s="43">
        <f t="shared" ca="1" si="464"/>
        <v>2718400</v>
      </c>
      <c r="L920" s="43">
        <f t="shared" ca="1" si="464"/>
        <v>4077600</v>
      </c>
      <c r="M920" s="43">
        <f t="shared" ca="1" si="464"/>
        <v>5436800</v>
      </c>
      <c r="N920" s="43">
        <f t="shared" ref="N920" ca="1" si="465">N124</f>
        <v>7475600</v>
      </c>
      <c r="O920" s="43">
        <f t="shared" ref="O920:Q920" ca="1" si="466">O124</f>
        <v>10194000</v>
      </c>
      <c r="P920" s="43">
        <f t="shared" ref="P920:Q920" ca="1" si="467">P124</f>
        <v>12232800</v>
      </c>
      <c r="Q920" s="43">
        <f t="shared" ca="1" si="467"/>
        <v>13592000</v>
      </c>
      <c r="S920" s="54">
        <f t="shared" ref="S920:S926" ca="1" si="468">SUM(F920:Q920)</f>
        <v>57901920</v>
      </c>
    </row>
    <row r="921" spans="1:19" outlineLevel="1" x14ac:dyDescent="0.2">
      <c r="A921" t="str">
        <f ca="1">Language!A$928</f>
        <v>Затраты на производство (без НДС)</v>
      </c>
      <c r="C921" s="5" t="str">
        <f t="shared" ca="1" si="463"/>
        <v>руб.</v>
      </c>
      <c r="F921" s="43">
        <f t="shared" ref="F921:M921" ca="1" si="469">F126+F143+F145+F147+F149</f>
        <v>2966160</v>
      </c>
      <c r="G921" s="43">
        <f t="shared" ca="1" si="469"/>
        <v>2555760</v>
      </c>
      <c r="H921" s="43">
        <f t="shared" ca="1" si="469"/>
        <v>2555773.3087499999</v>
      </c>
      <c r="I921" s="43">
        <f t="shared" ca="1" si="469"/>
        <v>2555826.5437500002</v>
      </c>
      <c r="J921" s="43">
        <f t="shared" ca="1" si="469"/>
        <v>2555893.0874999999</v>
      </c>
      <c r="K921" s="43">
        <f t="shared" ca="1" si="469"/>
        <v>2556026.1749999998</v>
      </c>
      <c r="L921" s="43">
        <f t="shared" ca="1" si="469"/>
        <v>2556159.2625000002</v>
      </c>
      <c r="M921" s="43">
        <f t="shared" ca="1" si="469"/>
        <v>2556292.35</v>
      </c>
      <c r="N921" s="43">
        <f t="shared" ref="N921" ca="1" si="470">N126+N143+N145+N147+N149</f>
        <v>2556491.9812500002</v>
      </c>
      <c r="O921" s="43">
        <f t="shared" ref="O921:Q921" ca="1" si="471">O126+O143+O145+O147+O149</f>
        <v>2556758.15625</v>
      </c>
      <c r="P921" s="43">
        <f t="shared" ref="P921:Q921" ca="1" si="472">P126+P143+P145+P147+P149</f>
        <v>2556957.7875000001</v>
      </c>
      <c r="Q921" s="43">
        <f t="shared" ca="1" si="472"/>
        <v>2557090.875</v>
      </c>
      <c r="S921" s="54">
        <f t="shared" ca="1" si="468"/>
        <v>31085189.5275</v>
      </c>
    </row>
    <row r="922" spans="1:19" outlineLevel="1" x14ac:dyDescent="0.2">
      <c r="A922" t="str">
        <f ca="1">Language!A$723</f>
        <v>Прибыль до налога, процентов и амортизации (EBITDA)</v>
      </c>
      <c r="C922" s="5" t="str">
        <f t="shared" ca="1" si="463"/>
        <v>руб.</v>
      </c>
      <c r="F922" s="43">
        <f t="shared" ref="F922:M922" ca="1" si="473">F173</f>
        <v>-2966160</v>
      </c>
      <c r="G922" s="43">
        <f t="shared" ca="1" si="473"/>
        <v>-2555759.9999999995</v>
      </c>
      <c r="H922" s="43">
        <f t="shared" ca="1" si="473"/>
        <v>-2419853.3087499999</v>
      </c>
      <c r="I922" s="43">
        <f t="shared" ca="1" si="473"/>
        <v>-1876226.543749999</v>
      </c>
      <c r="J922" s="43">
        <f t="shared" ca="1" si="473"/>
        <v>-1196693.0875000004</v>
      </c>
      <c r="K922" s="43">
        <f t="shared" ca="1" si="473"/>
        <v>162373.82500000065</v>
      </c>
      <c r="L922" s="43">
        <f t="shared" ca="1" si="473"/>
        <v>1521440.7375</v>
      </c>
      <c r="M922" s="43">
        <f t="shared" ca="1" si="473"/>
        <v>2880507.649999999</v>
      </c>
      <c r="N922" s="43">
        <f t="shared" ref="N922" ca="1" si="474">N173</f>
        <v>4919108.0187500007</v>
      </c>
      <c r="O922" s="43">
        <f t="shared" ref="O922:Q922" ca="1" si="475">O173</f>
        <v>7637241.84375</v>
      </c>
      <c r="P922" s="43">
        <f t="shared" ref="P922:Q922" ca="1" si="476">P173</f>
        <v>9675842.2125000004</v>
      </c>
      <c r="Q922" s="43">
        <f t="shared" ca="1" si="476"/>
        <v>11034909.125</v>
      </c>
      <c r="S922" s="54">
        <f t="shared" ca="1" si="468"/>
        <v>26816730.472500004</v>
      </c>
    </row>
    <row r="923" spans="1:19" outlineLevel="1" x14ac:dyDescent="0.2">
      <c r="A923" t="str">
        <f ca="1">Language!A$725</f>
        <v>Прибыль до процентов и налога (EBIT)</v>
      </c>
      <c r="C923" s="5" t="str">
        <f t="shared" ca="1" si="463"/>
        <v>руб.</v>
      </c>
      <c r="F923" s="43">
        <f t="shared" ref="F923:M923" ca="1" si="477">F175</f>
        <v>-2966160</v>
      </c>
      <c r="G923" s="43">
        <f t="shared" ca="1" si="477"/>
        <v>-2555759.9999999995</v>
      </c>
      <c r="H923" s="43">
        <f t="shared" ca="1" si="477"/>
        <v>-2419853.3087499999</v>
      </c>
      <c r="I923" s="43">
        <f t="shared" ca="1" si="477"/>
        <v>-1876226.543749999</v>
      </c>
      <c r="J923" s="43">
        <f t="shared" ca="1" si="477"/>
        <v>-1196693.0875000004</v>
      </c>
      <c r="K923" s="43">
        <f t="shared" ca="1" si="477"/>
        <v>162373.82500000065</v>
      </c>
      <c r="L923" s="43">
        <f t="shared" ca="1" si="477"/>
        <v>1521440.7375</v>
      </c>
      <c r="M923" s="43">
        <f t="shared" ca="1" si="477"/>
        <v>2880507.649999999</v>
      </c>
      <c r="N923" s="43">
        <f t="shared" ref="N923" ca="1" si="478">N175</f>
        <v>4919108.0187500007</v>
      </c>
      <c r="O923" s="43">
        <f t="shared" ref="O923:Q923" ca="1" si="479">O175</f>
        <v>7637241.84375</v>
      </c>
      <c r="P923" s="43">
        <f t="shared" ref="P923:Q923" ca="1" si="480">P175</f>
        <v>9675842.2125000004</v>
      </c>
      <c r="Q923" s="43">
        <f t="shared" ca="1" si="480"/>
        <v>11034909.125</v>
      </c>
      <c r="S923" s="54">
        <f t="shared" ca="1" si="468"/>
        <v>26816730.472500004</v>
      </c>
    </row>
    <row r="924" spans="1:19" outlineLevel="1" x14ac:dyDescent="0.2">
      <c r="A924" t="str">
        <f ca="1">Language!A$727</f>
        <v>Прибыль до налогообложения</v>
      </c>
      <c r="C924" s="5" t="str">
        <f t="shared" ca="1" si="463"/>
        <v>руб.</v>
      </c>
      <c r="F924" s="43">
        <f t="shared" ref="F924:M924" ca="1" si="481">F165</f>
        <v>-3007443.6844783714</v>
      </c>
      <c r="G924" s="43">
        <f t="shared" ca="1" si="481"/>
        <v>-2649952.9535589088</v>
      </c>
      <c r="H924" s="43">
        <f t="shared" ca="1" si="481"/>
        <v>-2557576.8292993959</v>
      </c>
      <c r="I924" s="43">
        <f t="shared" ca="1" si="481"/>
        <v>-2048018.3376510644</v>
      </c>
      <c r="J924" s="43">
        <f t="shared" ca="1" si="481"/>
        <v>-1391518.8539035725</v>
      </c>
      <c r="K924" s="43">
        <f t="shared" ca="1" si="481"/>
        <v>-35447.353452761949</v>
      </c>
      <c r="L924" s="43">
        <f t="shared" ca="1" si="481"/>
        <v>1341203.547974088</v>
      </c>
      <c r="M924" s="43">
        <f t="shared" ca="1" si="481"/>
        <v>2742377.2904287493</v>
      </c>
      <c r="N924" s="43">
        <f t="shared" ref="N924" ca="1" si="482">N165</f>
        <v>4856842.029895097</v>
      </c>
      <c r="O924" s="43">
        <f t="shared" ref="O924:Q924" ca="1" si="483">O165</f>
        <v>7637241.84375</v>
      </c>
      <c r="P924" s="43">
        <f t="shared" ref="P924:Q924" ca="1" si="484">P165</f>
        <v>9675842.2125000004</v>
      </c>
      <c r="Q924" s="43">
        <f t="shared" ca="1" si="484"/>
        <v>11034909.125</v>
      </c>
      <c r="S924" s="54">
        <f t="shared" ca="1" si="468"/>
        <v>25598458.03720386</v>
      </c>
    </row>
    <row r="925" spans="1:19" outlineLevel="1" x14ac:dyDescent="0.2">
      <c r="A925" t="str">
        <f ca="1">Language!A$729</f>
        <v>Чистая прибыль (убыток)</v>
      </c>
      <c r="C925" s="5" t="str">
        <f t="shared" ca="1" si="463"/>
        <v>руб.</v>
      </c>
      <c r="F925" s="43">
        <f t="shared" ref="F925:M925" ca="1" si="485">F169</f>
        <v>-3007443.6844783714</v>
      </c>
      <c r="G925" s="43">
        <f t="shared" ca="1" si="485"/>
        <v>-2649952.9535589088</v>
      </c>
      <c r="H925" s="43">
        <f t="shared" ca="1" si="485"/>
        <v>-2565732.0292993961</v>
      </c>
      <c r="I925" s="43">
        <f t="shared" ca="1" si="485"/>
        <v>-2088794.3376510644</v>
      </c>
      <c r="J925" s="43">
        <f t="shared" ca="1" si="485"/>
        <v>-1473070.8539035725</v>
      </c>
      <c r="K925" s="43">
        <f t="shared" ca="1" si="485"/>
        <v>-198551.35345276195</v>
      </c>
      <c r="L925" s="43">
        <f t="shared" ca="1" si="485"/>
        <v>1096547.547974088</v>
      </c>
      <c r="M925" s="43">
        <f t="shared" ca="1" si="485"/>
        <v>2416169.2904287493</v>
      </c>
      <c r="N925" s="43">
        <f t="shared" ref="N925" ca="1" si="486">N169</f>
        <v>4408306.029895097</v>
      </c>
      <c r="O925" s="43">
        <f t="shared" ref="O925:Q925" ca="1" si="487">O169</f>
        <v>7025601.84375</v>
      </c>
      <c r="P925" s="43">
        <f t="shared" ref="P925:Q925" ca="1" si="488">P169</f>
        <v>8941874.2125000004</v>
      </c>
      <c r="Q925" s="43">
        <f t="shared" ca="1" si="488"/>
        <v>10219389.125</v>
      </c>
      <c r="S925" s="54">
        <f t="shared" ca="1" si="468"/>
        <v>22124342.83720386</v>
      </c>
    </row>
    <row r="926" spans="1:19" outlineLevel="1" x14ac:dyDescent="0.2">
      <c r="A926" t="str">
        <f ca="1">Language!A$738</f>
        <v>Нераспределенная прибыль (за период)</v>
      </c>
      <c r="C926" s="5" t="str">
        <f t="shared" ca="1" si="463"/>
        <v>руб.</v>
      </c>
      <c r="F926" s="43">
        <f t="shared" ref="F926:M926" ca="1" si="489">F182</f>
        <v>-3007443.6844783714</v>
      </c>
      <c r="G926" s="43">
        <f t="shared" ca="1" si="489"/>
        <v>-2649952.9535589088</v>
      </c>
      <c r="H926" s="43">
        <f t="shared" ca="1" si="489"/>
        <v>-2565732.0292993961</v>
      </c>
      <c r="I926" s="43">
        <f t="shared" ca="1" si="489"/>
        <v>-2088794.3376510644</v>
      </c>
      <c r="J926" s="43">
        <f t="shared" ca="1" si="489"/>
        <v>-1473070.8539035725</v>
      </c>
      <c r="K926" s="43">
        <f t="shared" ca="1" si="489"/>
        <v>-198551.35345276195</v>
      </c>
      <c r="L926" s="43">
        <f t="shared" ca="1" si="489"/>
        <v>1096547.547974088</v>
      </c>
      <c r="M926" s="43">
        <f t="shared" ca="1" si="489"/>
        <v>2416169.2904287493</v>
      </c>
      <c r="N926" s="43">
        <f t="shared" ref="N926" ca="1" si="490">N182</f>
        <v>4408306.029895097</v>
      </c>
      <c r="O926" s="43">
        <f t="shared" ref="O926:Q926" ca="1" si="491">O182</f>
        <v>7025601.84375</v>
      </c>
      <c r="P926" s="43">
        <f t="shared" ref="P926:Q926" ca="1" si="492">P182</f>
        <v>8941874.2125000004</v>
      </c>
      <c r="Q926" s="43">
        <f t="shared" ca="1" si="492"/>
        <v>10219389.125</v>
      </c>
      <c r="S926" s="54">
        <f t="shared" ca="1" si="468"/>
        <v>22124342.83720386</v>
      </c>
    </row>
    <row r="927" spans="1:19" outlineLevel="1" x14ac:dyDescent="0.2">
      <c r="A927" s="63"/>
      <c r="B927" s="63"/>
      <c r="C927" s="63"/>
      <c r="D927" s="63"/>
      <c r="E927" s="63"/>
      <c r="F927" s="63"/>
      <c r="G927" s="63"/>
      <c r="H927" s="63"/>
      <c r="I927" s="63"/>
      <c r="J927" s="63"/>
      <c r="K927" s="63"/>
      <c r="L927" s="63"/>
      <c r="M927" s="63"/>
      <c r="N927" s="63"/>
      <c r="O927" s="63"/>
      <c r="P927" s="63"/>
      <c r="Q927" s="63"/>
      <c r="R927" s="63"/>
      <c r="S927" s="64"/>
    </row>
    <row r="928" spans="1:19" outlineLevel="1" x14ac:dyDescent="0.2">
      <c r="A928" s="19" t="str">
        <f ca="1">Language!A$929</f>
        <v>Инвестции во внеоборотные активы</v>
      </c>
      <c r="B928" s="19"/>
      <c r="C928" s="26" t="str">
        <f t="shared" ca="1" si="463"/>
        <v>руб.</v>
      </c>
      <c r="D928" s="19"/>
      <c r="E928" s="19"/>
      <c r="F928" s="65">
        <f t="shared" ref="F928:M928" ca="1" si="493">F289+F291+F293+F295+F297+F299</f>
        <v>0</v>
      </c>
      <c r="G928" s="65">
        <f t="shared" ca="1" si="493"/>
        <v>0</v>
      </c>
      <c r="H928" s="65">
        <f t="shared" ca="1" si="493"/>
        <v>0</v>
      </c>
      <c r="I928" s="65">
        <f t="shared" ca="1" si="493"/>
        <v>0</v>
      </c>
      <c r="J928" s="65">
        <f t="shared" ca="1" si="493"/>
        <v>0</v>
      </c>
      <c r="K928" s="65">
        <f t="shared" ca="1" si="493"/>
        <v>0</v>
      </c>
      <c r="L928" s="65">
        <f t="shared" ca="1" si="493"/>
        <v>0</v>
      </c>
      <c r="M928" s="65">
        <f t="shared" ca="1" si="493"/>
        <v>0</v>
      </c>
      <c r="N928" s="65">
        <f t="shared" ref="N928" ca="1" si="494">N289+N291+N293+N295+N297+N299</f>
        <v>0</v>
      </c>
      <c r="O928" s="65">
        <f t="shared" ref="O928:Q928" ca="1" si="495">O289+O291+O293+O295+O297+O299</f>
        <v>0</v>
      </c>
      <c r="P928" s="65">
        <f t="shared" ref="P928:Q928" ca="1" si="496">P289+P291+P293+P295+P297+P299</f>
        <v>0</v>
      </c>
      <c r="Q928" s="65">
        <f t="shared" ca="1" si="496"/>
        <v>0</v>
      </c>
      <c r="R928" s="19"/>
      <c r="S928" s="66">
        <f ca="1">SUM(F928:Q928)</f>
        <v>0</v>
      </c>
    </row>
    <row r="929" spans="1:19" outlineLevel="1" x14ac:dyDescent="0.2">
      <c r="A929" s="19" t="str">
        <f ca="1">Language!A$930</f>
        <v>Инвестиции в оборотный капитал</v>
      </c>
      <c r="B929" s="19"/>
      <c r="C929" s="26" t="str">
        <f t="shared" ca="1" si="463"/>
        <v>руб.</v>
      </c>
      <c r="D929" s="19"/>
      <c r="E929" s="19"/>
      <c r="F929" s="65">
        <f t="shared" ref="F929:M929" ca="1" si="497">F301</f>
        <v>648376</v>
      </c>
      <c r="G929" s="65">
        <f t="shared" ca="1" si="497"/>
        <v>-415440</v>
      </c>
      <c r="H929" s="65">
        <f t="shared" ca="1" si="497"/>
        <v>24435.877125000115</v>
      </c>
      <c r="I929" s="65">
        <f t="shared" ca="1" si="497"/>
        <v>97743.508499999763</v>
      </c>
      <c r="J929" s="65">
        <f t="shared" ca="1" si="497"/>
        <v>122179.385625</v>
      </c>
      <c r="K929" s="65">
        <f t="shared" ca="1" si="497"/>
        <v>244358.77125000022</v>
      </c>
      <c r="L929" s="65">
        <f t="shared" ca="1" si="497"/>
        <v>244358.77124999976</v>
      </c>
      <c r="M929" s="65">
        <f t="shared" ca="1" si="497"/>
        <v>244358.77125000011</v>
      </c>
      <c r="N929" s="65">
        <f t="shared" ref="N929" ca="1" si="498">N301</f>
        <v>366538.15687499987</v>
      </c>
      <c r="O929" s="65">
        <f t="shared" ref="O929:Q929" ca="1" si="499">O301</f>
        <v>488717.54250000021</v>
      </c>
      <c r="P929" s="65">
        <f t="shared" ref="P929:Q929" ca="1" si="500">P301</f>
        <v>366538.1568750001</v>
      </c>
      <c r="Q929" s="65">
        <f t="shared" ca="1" si="500"/>
        <v>244358.77124999976</v>
      </c>
      <c r="R929" s="19"/>
      <c r="S929" s="66">
        <f ca="1">SUM(F929:Q929)</f>
        <v>2676523.7124999999</v>
      </c>
    </row>
    <row r="930" spans="1:19" outlineLevel="1" x14ac:dyDescent="0.2">
      <c r="A930" s="63"/>
      <c r="B930" s="63"/>
      <c r="C930" s="63"/>
      <c r="D930" s="63"/>
      <c r="E930" s="63"/>
      <c r="F930" s="63"/>
      <c r="G930" s="63"/>
      <c r="H930" s="63"/>
      <c r="I930" s="63"/>
      <c r="J930" s="63"/>
      <c r="K930" s="63"/>
      <c r="L930" s="63"/>
      <c r="M930" s="63"/>
      <c r="N930" s="63"/>
      <c r="O930" s="63"/>
      <c r="P930" s="63"/>
      <c r="Q930" s="63"/>
      <c r="R930" s="63"/>
      <c r="S930" s="64"/>
    </row>
    <row r="931" spans="1:19" outlineLevel="1" x14ac:dyDescent="0.2">
      <c r="A931" s="19" t="str">
        <f ca="1">Language!A$931</f>
        <v>Собственные средства и целевое финансирование</v>
      </c>
      <c r="B931" s="19"/>
      <c r="C931" s="26" t="str">
        <f t="shared" ca="1" si="463"/>
        <v>руб.</v>
      </c>
      <c r="D931" s="19"/>
      <c r="E931" s="19"/>
      <c r="F931" s="65">
        <f t="shared" ref="F931:M931" ca="1" si="501">F309+F311+F313</f>
        <v>0</v>
      </c>
      <c r="G931" s="65">
        <f t="shared" ca="1" si="501"/>
        <v>0</v>
      </c>
      <c r="H931" s="65">
        <f t="shared" ca="1" si="501"/>
        <v>0</v>
      </c>
      <c r="I931" s="65">
        <f t="shared" ca="1" si="501"/>
        <v>0</v>
      </c>
      <c r="J931" s="65">
        <f t="shared" ca="1" si="501"/>
        <v>0</v>
      </c>
      <c r="K931" s="65">
        <f t="shared" ca="1" si="501"/>
        <v>0</v>
      </c>
      <c r="L931" s="65">
        <f t="shared" ca="1" si="501"/>
        <v>0</v>
      </c>
      <c r="M931" s="65">
        <f t="shared" ca="1" si="501"/>
        <v>0</v>
      </c>
      <c r="N931" s="65">
        <f t="shared" ref="N931" ca="1" si="502">N309+N311+N313</f>
        <v>0</v>
      </c>
      <c r="O931" s="65">
        <f t="shared" ref="O931:Q931" ca="1" si="503">O309+O311+O313</f>
        <v>0</v>
      </c>
      <c r="P931" s="65">
        <f t="shared" ref="P931:Q931" ca="1" si="504">P309+P311+P313</f>
        <v>0</v>
      </c>
      <c r="Q931" s="65">
        <f t="shared" ca="1" si="504"/>
        <v>0</v>
      </c>
      <c r="R931" s="19"/>
      <c r="S931" s="66">
        <f ca="1">SUM(F931:Q931)</f>
        <v>0</v>
      </c>
    </row>
    <row r="932" spans="1:19" outlineLevel="1" x14ac:dyDescent="0.2">
      <c r="S932" s="11"/>
    </row>
    <row r="933" spans="1:19" outlineLevel="1" x14ac:dyDescent="0.2">
      <c r="A933" t="str">
        <f ca="1">Language!A$932</f>
        <v>Привлечение кредитов</v>
      </c>
      <c r="C933" s="5" t="str">
        <f t="shared" ca="1" si="463"/>
        <v>руб.</v>
      </c>
      <c r="F933" s="43">
        <f t="shared" ref="F933:M933" ca="1" si="505">F315</f>
        <v>2359067.6844783714</v>
      </c>
      <c r="G933" s="43">
        <f t="shared" ca="1" si="505"/>
        <v>2982103.1201237948</v>
      </c>
      <c r="H933" s="43">
        <f t="shared" ca="1" si="505"/>
        <v>2393268.0173260393</v>
      </c>
      <c r="I933" s="43">
        <f t="shared" ca="1" si="505"/>
        <v>1809034.9566888495</v>
      </c>
      <c r="J933" s="43">
        <f t="shared" ca="1" si="505"/>
        <v>1144435.2062421832</v>
      </c>
      <c r="K933" s="43">
        <f t="shared" ca="1" si="505"/>
        <v>0</v>
      </c>
      <c r="L933" s="43">
        <f t="shared" ca="1" si="505"/>
        <v>0</v>
      </c>
      <c r="M933" s="43">
        <f t="shared" ca="1" si="505"/>
        <v>0</v>
      </c>
      <c r="N933" s="43">
        <f t="shared" ref="N933:Q933" ca="1" si="506">N315</f>
        <v>0</v>
      </c>
      <c r="O933" s="43">
        <f t="shared" ref="O933:Q933" ca="1" si="507">O315</f>
        <v>0</v>
      </c>
      <c r="P933" s="43">
        <f t="shared" ref="P933:Q933" ca="1" si="508">P315</f>
        <v>0</v>
      </c>
      <c r="Q933" s="43">
        <f t="shared" ca="1" si="508"/>
        <v>0</v>
      </c>
      <c r="S933" s="54">
        <f ca="1">SUM(F933:Q933)</f>
        <v>10687908.984859239</v>
      </c>
    </row>
    <row r="934" spans="1:19" outlineLevel="1" x14ac:dyDescent="0.2">
      <c r="A934" t="str">
        <f ca="1">Language!A$933</f>
        <v>Погашение кредитов</v>
      </c>
      <c r="C934" s="5" t="str">
        <f t="shared" ca="1" si="463"/>
        <v>руб.</v>
      </c>
      <c r="F934" s="43">
        <f t="shared" ref="F934:M934" ca="1" si="509">F317</f>
        <v>0</v>
      </c>
      <c r="G934" s="43">
        <f t="shared" ca="1" si="509"/>
        <v>0</v>
      </c>
      <c r="H934" s="43">
        <f t="shared" ca="1" si="509"/>
        <v>0</v>
      </c>
      <c r="I934" s="43">
        <f t="shared" ca="1" si="509"/>
        <v>0</v>
      </c>
      <c r="J934" s="43">
        <f t="shared" ca="1" si="509"/>
        <v>0</v>
      </c>
      <c r="K934" s="43">
        <f t="shared" ca="1" si="509"/>
        <v>-23659.363592692334</v>
      </c>
      <c r="L934" s="43">
        <f t="shared" ca="1" si="509"/>
        <v>-1202620.5457013601</v>
      </c>
      <c r="M934" s="43">
        <f t="shared" ca="1" si="509"/>
        <v>-2406104.568837841</v>
      </c>
      <c r="N934" s="43">
        <f t="shared" ref="N934:Q934" ca="1" si="510">N317</f>
        <v>-4335106.8980769133</v>
      </c>
      <c r="O934" s="43">
        <f t="shared" ref="O934:Q934" ca="1" si="511">O317</f>
        <v>-3558056.5059945099</v>
      </c>
      <c r="P934" s="43">
        <f t="shared" ref="P934:Q934" ca="1" si="512">P317</f>
        <v>0</v>
      </c>
      <c r="Q934" s="43">
        <f t="shared" ca="1" si="512"/>
        <v>0</v>
      </c>
      <c r="S934" s="54">
        <f ca="1">SUM(F934:Q934)</f>
        <v>-11525547.882203316</v>
      </c>
    </row>
    <row r="935" spans="1:19" outlineLevel="1" x14ac:dyDescent="0.2">
      <c r="A935" t="str">
        <f ca="1">Language!A$934</f>
        <v>Выплата процентов по кредитам</v>
      </c>
      <c r="C935" s="5" t="str">
        <f t="shared" ca="1" si="463"/>
        <v>руб.</v>
      </c>
      <c r="F935" s="43">
        <f t="shared" ref="F935:M935" ca="1" si="513">F279</f>
        <v>0</v>
      </c>
      <c r="G935" s="43">
        <f t="shared" ca="1" si="513"/>
        <v>0</v>
      </c>
      <c r="H935" s="43">
        <f t="shared" ca="1" si="513"/>
        <v>0</v>
      </c>
      <c r="I935" s="43">
        <f t="shared" ca="1" si="513"/>
        <v>0</v>
      </c>
      <c r="J935" s="43">
        <f t="shared" ca="1" si="513"/>
        <v>0</v>
      </c>
      <c r="K935" s="43">
        <f t="shared" ca="1" si="513"/>
        <v>0</v>
      </c>
      <c r="L935" s="43">
        <f t="shared" ca="1" si="513"/>
        <v>-180237.18952591211</v>
      </c>
      <c r="M935" s="43">
        <f t="shared" ca="1" si="513"/>
        <v>-138130.35957124989</v>
      </c>
      <c r="N935" s="43">
        <f t="shared" ref="N935:Q935" ca="1" si="514">N279</f>
        <v>-62265.988854903924</v>
      </c>
      <c r="O935" s="43">
        <f t="shared" ref="O935:Q935" ca="1" si="515">O279</f>
        <v>0</v>
      </c>
      <c r="P935" s="43">
        <f t="shared" ref="P935:Q935" ca="1" si="516">P279</f>
        <v>0</v>
      </c>
      <c r="Q935" s="43">
        <f t="shared" ca="1" si="516"/>
        <v>0</v>
      </c>
      <c r="S935" s="54">
        <f ca="1">SUM(F935:Q935)</f>
        <v>-380633.53795206588</v>
      </c>
    </row>
    <row r="936" spans="1:19" outlineLevel="1" x14ac:dyDescent="0.2">
      <c r="A936" s="63"/>
      <c r="B936" s="63"/>
      <c r="C936" s="63"/>
      <c r="D936" s="63"/>
      <c r="E936" s="63"/>
      <c r="F936" s="63"/>
      <c r="G936" s="63"/>
      <c r="H936" s="63"/>
      <c r="I936" s="63"/>
      <c r="J936" s="63"/>
      <c r="K936" s="63"/>
      <c r="L936" s="63"/>
      <c r="M936" s="63"/>
      <c r="N936" s="63"/>
      <c r="O936" s="63"/>
      <c r="P936" s="63"/>
      <c r="Q936" s="63"/>
      <c r="R936" s="63"/>
      <c r="S936" s="64"/>
    </row>
    <row r="937" spans="1:19" outlineLevel="1" x14ac:dyDescent="0.2">
      <c r="A937" s="23" t="str">
        <f ca="1">Language!A$760</f>
        <v>Суммарный денежный поток за период</v>
      </c>
      <c r="B937" s="19"/>
      <c r="C937" s="5" t="str">
        <f t="shared" ca="1" si="463"/>
        <v>руб.</v>
      </c>
      <c r="D937" s="19"/>
      <c r="E937" s="19"/>
      <c r="F937" s="65">
        <f t="shared" ref="F937:M937" ca="1" si="517">F327</f>
        <v>41283.684478371404</v>
      </c>
      <c r="G937" s="65">
        <f t="shared" ca="1" si="517"/>
        <v>10903.120123794768</v>
      </c>
      <c r="H937" s="65">
        <f t="shared" ca="1" si="517"/>
        <v>-10304.61429896066</v>
      </c>
      <c r="I937" s="65">
        <f t="shared" ca="1" si="517"/>
        <v>-10224.078561150935</v>
      </c>
      <c r="J937" s="65">
        <f t="shared" ca="1" si="517"/>
        <v>-11630.495632816572</v>
      </c>
      <c r="K937" s="65">
        <f t="shared" ca="1" si="517"/>
        <v>219969.23265730808</v>
      </c>
      <c r="L937" s="65">
        <f t="shared" ca="1" si="517"/>
        <v>138285.77352272742</v>
      </c>
      <c r="M937" s="65">
        <f t="shared" ca="1" si="517"/>
        <v>254423.49284090893</v>
      </c>
      <c r="N937" s="65">
        <f t="shared" ref="N937:Q937" ca="1" si="518">N327</f>
        <v>439737.28869318264</v>
      </c>
      <c r="O937" s="65">
        <f t="shared" ref="O937:Q937" ca="1" si="519">O327</f>
        <v>3956262.8802554905</v>
      </c>
      <c r="P937" s="65">
        <f t="shared" ref="P937:Q937" ca="1" si="520">P327</f>
        <v>9308412.3693749998</v>
      </c>
      <c r="Q937" s="65">
        <f t="shared" ca="1" si="520"/>
        <v>10463747.89625</v>
      </c>
      <c r="R937" s="19"/>
      <c r="S937" s="66">
        <f ca="1">SUM(F937:Q937)</f>
        <v>24800866.549703855</v>
      </c>
    </row>
    <row r="938" spans="1:19" outlineLevel="1" x14ac:dyDescent="0.2">
      <c r="A938" s="23" t="str">
        <f ca="1">Language!A$761</f>
        <v>Денежные средства на начало периода</v>
      </c>
      <c r="B938" s="19"/>
      <c r="C938" s="5" t="str">
        <f t="shared" ca="1" si="463"/>
        <v>руб.</v>
      </c>
      <c r="D938" s="19"/>
      <c r="E938" s="19"/>
      <c r="F938" s="65">
        <f t="shared" ref="F938:M938" ca="1" si="521">F329</f>
        <v>0</v>
      </c>
      <c r="G938" s="65">
        <f t="shared" ca="1" si="521"/>
        <v>41283.684478371404</v>
      </c>
      <c r="H938" s="65">
        <f t="shared" ca="1" si="521"/>
        <v>52186.804602166172</v>
      </c>
      <c r="I938" s="65">
        <f t="shared" ca="1" si="521"/>
        <v>41882.190303205512</v>
      </c>
      <c r="J938" s="65">
        <f t="shared" ca="1" si="521"/>
        <v>31658.111742054811</v>
      </c>
      <c r="K938" s="65">
        <f t="shared" ca="1" si="521"/>
        <v>20027.616109238239</v>
      </c>
      <c r="L938" s="65">
        <f t="shared" ca="1" si="521"/>
        <v>239996.84876654632</v>
      </c>
      <c r="M938" s="65">
        <f t="shared" ca="1" si="521"/>
        <v>378282.62228927377</v>
      </c>
      <c r="N938" s="65">
        <f t="shared" ref="N938:Q938" ca="1" si="522">N329</f>
        <v>632706.11513018364</v>
      </c>
      <c r="O938" s="65">
        <f t="shared" ref="O938:Q938" ca="1" si="523">O329</f>
        <v>1072443.4038233669</v>
      </c>
      <c r="P938" s="65">
        <f t="shared" ref="P938:Q938" ca="1" si="524">P329</f>
        <v>5028706.2840788569</v>
      </c>
      <c r="Q938" s="65">
        <f t="shared" ca="1" si="524"/>
        <v>14337118.653453857</v>
      </c>
      <c r="R938" s="19"/>
      <c r="S938" s="22"/>
    </row>
    <row r="939" spans="1:19" outlineLevel="1" x14ac:dyDescent="0.2">
      <c r="A939" s="23" t="str">
        <f ca="1">Language!A$762</f>
        <v>Денежные средства на конец периода</v>
      </c>
      <c r="B939" s="19"/>
      <c r="C939" s="5" t="str">
        <f t="shared" ca="1" si="463"/>
        <v>руб.</v>
      </c>
      <c r="D939" s="19"/>
      <c r="E939" s="19"/>
      <c r="F939" s="65">
        <f t="shared" ref="F939:M939" ca="1" si="525">F331</f>
        <v>41283.684478371404</v>
      </c>
      <c r="G939" s="65">
        <f t="shared" ca="1" si="525"/>
        <v>52186.804602166172</v>
      </c>
      <c r="H939" s="65">
        <f t="shared" ca="1" si="525"/>
        <v>41882.190303205512</v>
      </c>
      <c r="I939" s="65">
        <f t="shared" ca="1" si="525"/>
        <v>31658.111742054811</v>
      </c>
      <c r="J939" s="65">
        <f t="shared" ca="1" si="525"/>
        <v>20027.616109238239</v>
      </c>
      <c r="K939" s="65">
        <f t="shared" ca="1" si="525"/>
        <v>239996.84876654632</v>
      </c>
      <c r="L939" s="65">
        <f t="shared" ca="1" si="525"/>
        <v>378282.62228927377</v>
      </c>
      <c r="M939" s="65">
        <f t="shared" ca="1" si="525"/>
        <v>632706.11513018364</v>
      </c>
      <c r="N939" s="65">
        <f t="shared" ref="N939:Q939" ca="1" si="526">N331</f>
        <v>1072443.4038233669</v>
      </c>
      <c r="O939" s="65">
        <f t="shared" ref="O939:Q939" ca="1" si="527">O331</f>
        <v>5028706.2840788569</v>
      </c>
      <c r="P939" s="65">
        <f t="shared" ref="P939:Q939" ca="1" si="528">P331</f>
        <v>14337118.653453857</v>
      </c>
      <c r="Q939" s="65">
        <f t="shared" ca="1" si="528"/>
        <v>24800866.549703859</v>
      </c>
      <c r="R939" s="19"/>
      <c r="S939" s="22"/>
    </row>
    <row r="940" spans="1:19" outlineLevel="1" x14ac:dyDescent="0.2">
      <c r="A940" s="63"/>
      <c r="B940" s="63"/>
      <c r="C940" s="63"/>
      <c r="D940" s="63"/>
      <c r="E940" s="63"/>
      <c r="F940" s="63"/>
      <c r="G940" s="63"/>
      <c r="H940" s="63"/>
      <c r="I940" s="63"/>
      <c r="J940" s="63"/>
      <c r="K940" s="63"/>
      <c r="L940" s="63"/>
      <c r="M940" s="63"/>
      <c r="N940" s="63"/>
      <c r="O940" s="63"/>
      <c r="P940" s="63"/>
      <c r="Q940" s="63"/>
      <c r="R940" s="63"/>
      <c r="S940" s="64"/>
    </row>
    <row r="941" spans="1:19" ht="10.5" outlineLevel="1" x14ac:dyDescent="0.25">
      <c r="A941" s="62" t="str">
        <f ca="1">Language!A$935</f>
        <v>Эффективность полных инвестиционных затрат</v>
      </c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22"/>
    </row>
    <row r="942" spans="1:19" outlineLevel="1" x14ac:dyDescent="0.2">
      <c r="A942" s="24" t="str">
        <f ca="1">Language!A$859</f>
        <v>Чистая приведенная стоимость (NPV)</v>
      </c>
      <c r="B942" s="138">
        <f ca="1">B700</f>
        <v>17968169.040777203</v>
      </c>
      <c r="C942" s="5" t="str">
        <f ca="1">CUR_Report</f>
        <v>руб.</v>
      </c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22"/>
    </row>
    <row r="943" spans="1:19" outlineLevel="1" x14ac:dyDescent="0.2">
      <c r="A943" s="24" t="str">
        <f ca="1">Language!A$860</f>
        <v>Дисконтированный срок окупаемости (PBP)</v>
      </c>
      <c r="B943" s="157">
        <f ca="1">B701</f>
        <v>0.77747051172837778</v>
      </c>
      <c r="C943" s="157" t="str">
        <f ca="1">C701</f>
        <v>года</v>
      </c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22"/>
    </row>
    <row r="944" spans="1:19" outlineLevel="1" x14ac:dyDescent="0.2">
      <c r="A944" s="23" t="str">
        <f ca="1">Language!A$863</f>
        <v>Внутренняя норма рентабельности (IRR)</v>
      </c>
      <c r="B944" s="156">
        <f ca="1">B704</f>
        <v>5.1949015427970213</v>
      </c>
      <c r="C944" s="212" t="str">
        <f ca="1">C704</f>
        <v>(реальная - без учета инфляции)</v>
      </c>
      <c r="S944" s="11"/>
    </row>
    <row r="945" spans="1:19" outlineLevel="1" x14ac:dyDescent="0.2">
      <c r="A945" s="23" t="str">
        <f ca="1">Language!A$864</f>
        <v>Норма доходности дисконтированных затрат (PI)</v>
      </c>
      <c r="B945" s="154">
        <f ca="1">B706</f>
        <v>2.7352313879415515</v>
      </c>
      <c r="C945" s="154" t="str">
        <f ca="1">C706</f>
        <v>разы</v>
      </c>
      <c r="S945" s="11"/>
    </row>
    <row r="946" spans="1:19" outlineLevel="1" x14ac:dyDescent="0.2">
      <c r="S946" s="11"/>
    </row>
    <row r="947" spans="1:19" ht="10.5" outlineLevel="1" x14ac:dyDescent="0.25">
      <c r="A947" s="35" t="str">
        <f ca="1">Language!A$936</f>
        <v>Эффективность для собственного капитала</v>
      </c>
      <c r="S947" s="11"/>
    </row>
    <row r="948" spans="1:19" outlineLevel="1" x14ac:dyDescent="0.2">
      <c r="A948" s="24" t="str">
        <f ca="1">Language!A$859</f>
        <v>Чистая приведенная стоимость (NPV)</v>
      </c>
      <c r="B948" s="131">
        <f ca="1">B775</f>
        <v>18000512.66909967</v>
      </c>
      <c r="C948" s="5" t="str">
        <f ca="1">CUR_Report</f>
        <v>руб.</v>
      </c>
      <c r="S948" s="11"/>
    </row>
    <row r="949" spans="1:19" outlineLevel="1" x14ac:dyDescent="0.2">
      <c r="A949" s="24" t="str">
        <f ca="1">Language!A$860</f>
        <v>Дисконтированный срок окупаемости (PBP)</v>
      </c>
      <c r="B949" s="136" t="str">
        <f ca="1">B776</f>
        <v>Нет</v>
      </c>
      <c r="C949" s="136" t="str">
        <f ca="1">C776</f>
        <v>лет</v>
      </c>
      <c r="S949" s="11"/>
    </row>
    <row r="950" spans="1:19" outlineLevel="1" x14ac:dyDescent="0.2">
      <c r="A950" s="23" t="str">
        <f ca="1">Language!A$863</f>
        <v>Внутренняя норма рентабельности (IRR)</v>
      </c>
      <c r="B950" s="156" t="str">
        <f ca="1">B779</f>
        <v>Нет</v>
      </c>
      <c r="C950" s="212" t="str">
        <f ca="1">C779</f>
        <v>(реальная - без учета инфляции)</v>
      </c>
      <c r="S950" s="11"/>
    </row>
    <row r="951" spans="1:19" outlineLevel="1" x14ac:dyDescent="0.2">
      <c r="A951" s="23" t="str">
        <f ca="1">Language!A$864</f>
        <v>Норма доходности дисконтированных затрат (PI)</v>
      </c>
      <c r="B951" s="154">
        <f ca="1">B781</f>
        <v>592.05954905256692</v>
      </c>
      <c r="C951" s="154" t="str">
        <f ca="1">C781</f>
        <v>разы</v>
      </c>
      <c r="S951" s="11"/>
    </row>
    <row r="952" spans="1:19" outlineLevel="1" x14ac:dyDescent="0.2">
      <c r="S952" s="11"/>
    </row>
    <row r="953" spans="1:19" ht="10.5" outlineLevel="1" x14ac:dyDescent="0.25">
      <c r="A953" s="35" t="str">
        <f ca="1">Language!A$937</f>
        <v>Эффективность для банка</v>
      </c>
      <c r="S953" s="11"/>
    </row>
    <row r="954" spans="1:19" outlineLevel="1" x14ac:dyDescent="0.2">
      <c r="A954" s="24" t="str">
        <f ca="1">Language!A$860</f>
        <v>Дисконтированный срок окупаемости (PBP)</v>
      </c>
      <c r="B954" s="136">
        <f ca="1">B849</f>
        <v>0.77747051172837778</v>
      </c>
      <c r="C954" s="136" t="str">
        <f ca="1">C849</f>
        <v>года</v>
      </c>
      <c r="S954" s="11"/>
    </row>
    <row r="955" spans="1:19" outlineLevel="1" x14ac:dyDescent="0.2">
      <c r="A955" s="23" t="str">
        <f ca="1">Language!A$863</f>
        <v>Внутренняя норма рентабельности (IRR)</v>
      </c>
      <c r="B955" s="156">
        <f ca="1">B852</f>
        <v>5.9241601325997184</v>
      </c>
      <c r="C955" s="212" t="str">
        <f ca="1">C852</f>
        <v>(реальная - без учета инфляции)</v>
      </c>
      <c r="S955" s="11"/>
    </row>
    <row r="956" spans="1:19" outlineLevel="1" x14ac:dyDescent="0.2">
      <c r="A956" s="63"/>
      <c r="B956" s="63"/>
      <c r="C956" s="63"/>
      <c r="D956" s="63"/>
      <c r="E956" s="63"/>
      <c r="F956" s="63"/>
      <c r="G956" s="63"/>
      <c r="H956" s="63"/>
      <c r="I956" s="63"/>
      <c r="J956" s="63"/>
      <c r="K956" s="63"/>
      <c r="L956" s="63"/>
      <c r="M956" s="63"/>
      <c r="N956" s="63"/>
      <c r="O956" s="63"/>
      <c r="P956" s="63"/>
      <c r="Q956" s="63"/>
      <c r="R956" s="63"/>
      <c r="S956" s="64"/>
    </row>
    <row r="957" spans="1:19" outlineLevel="1" x14ac:dyDescent="0.2">
      <c r="S957" s="11"/>
    </row>
  </sheetData>
  <mergeCells count="2">
    <mergeCell ref="B11:C11"/>
    <mergeCell ref="B16:C16"/>
  </mergeCells>
  <phoneticPr fontId="11" type="noConversion"/>
  <conditionalFormatting sqref="B42">
    <cfRule type="expression" dxfId="28" priority="104" stopIfTrue="1">
      <formula>$B$41=2</formula>
    </cfRule>
  </conditionalFormatting>
  <conditionalFormatting sqref="F511:G511">
    <cfRule type="cellIs" dxfId="27" priority="105" stopIfTrue="1" operator="notEqual">
      <formula>0</formula>
    </cfRule>
  </conditionalFormatting>
  <conditionalFormatting sqref="A14:C14">
    <cfRule type="expression" dxfId="26" priority="103" stopIfTrue="1">
      <formula>$D$14=0</formula>
    </cfRule>
  </conditionalFormatting>
  <conditionalFormatting sqref="H511">
    <cfRule type="cellIs" dxfId="25" priority="99" stopIfTrue="1" operator="notEqual">
      <formula>0</formula>
    </cfRule>
  </conditionalFormatting>
  <conditionalFormatting sqref="I511">
    <cfRule type="cellIs" dxfId="24" priority="97" stopIfTrue="1" operator="notEqual">
      <formula>0</formula>
    </cfRule>
  </conditionalFormatting>
  <conditionalFormatting sqref="J511">
    <cfRule type="cellIs" dxfId="23" priority="95" stopIfTrue="1" operator="notEqual">
      <formula>0</formula>
    </cfRule>
  </conditionalFormatting>
  <conditionalFormatting sqref="K511">
    <cfRule type="cellIs" dxfId="22" priority="93" stopIfTrue="1" operator="notEqual">
      <formula>0</formula>
    </cfRule>
  </conditionalFormatting>
  <conditionalFormatting sqref="L511">
    <cfRule type="cellIs" dxfId="21" priority="91" stopIfTrue="1" operator="notEqual">
      <formula>0</formula>
    </cfRule>
  </conditionalFormatting>
  <conditionalFormatting sqref="M511">
    <cfRule type="cellIs" dxfId="20" priority="89" stopIfTrue="1" operator="notEqual">
      <formula>0</formula>
    </cfRule>
  </conditionalFormatting>
  <conditionalFormatting sqref="N511">
    <cfRule type="cellIs" dxfId="19" priority="6" stopIfTrue="1" operator="notEqual">
      <formula>0</formula>
    </cfRule>
  </conditionalFormatting>
  <conditionalFormatting sqref="O511">
    <cfRule type="cellIs" dxfId="18" priority="4" stopIfTrue="1" operator="notEqual">
      <formula>0</formula>
    </cfRule>
  </conditionalFormatting>
  <conditionalFormatting sqref="P511">
    <cfRule type="cellIs" dxfId="17" priority="2" stopIfTrue="1" operator="notEqual">
      <formula>0</formula>
    </cfRule>
  </conditionalFormatting>
  <conditionalFormatting sqref="Q511">
    <cfRule type="cellIs" dxfId="13" priority="1" stopIfTrue="1" operator="notEqual">
      <formula>0</formula>
    </cfRule>
  </conditionalFormatting>
  <dataValidations count="4">
    <dataValidation type="list" allowBlank="1" showInputMessage="1" showErrorMessage="1" errorTitle="Внимание!" error="Значение ячейки может содержать:_x000a_1 - Да, учитывать_x000a_2 - Нет, не учитывать" prompt="1 - Да, уⴀܞ_x0000__x0000_ȁ_x0000__x0017__x0001__x0000__x0000_ÿ_x0000_￨_xffff__x0000__x0000_, не учитывать" sqref="B747:B748 B672:B673" xr:uid="{00000000-0002-0000-0200-000000000000}">
      <formula1>"1,2"</formula1>
    </dataValidation>
    <dataValidation type="list" allowBlank="1" showInputMessage="1" showErrorMessage="1" error="Внимание! Ячейка может содержать значения:_x000a_1 - Да, учитывать проект_x000a_0 - Нет, не учитывать проект_x000a_-1 - Вычитать проект" prompt="1 - Да, учитывать_x000a_0 - Нет, не учитывать_x000a_-1 - Вычитать" sqref="B12" xr:uid="{00000000-0002-0000-0200-000001000000}">
      <formula1>"0,1,-1"</formula1>
    </dataValidation>
    <dataValidation type="list" allowBlank="1" showInputMessage="1" showErrorMessage="1" error="Внимание! Ячейка может содержать значения:_x000a_1 - Да, пересчитать налог_x000a_2 - Нет, не пересчитывать налог" prompt="1 - Да, пересчитать_x000a_2 - Нет, не пересчитывать" sqref="B41" xr:uid="{00000000-0002-0000-0200-000002000000}">
      <formula1>"1,2"</formula1>
    </dataValidation>
    <dataValidation type="list" allowBlank="1" showInputMessage="1" showErrorMessage="1" error="Внимание! Ячейка может содержать значения:_x000a_1 - Да, не обнулять данные_x000a_0 - Нет, обнулить" prompt="1 - Да_x000a_0 - Нет" sqref="B14" xr:uid="{00000000-0002-0000-0200-000003000000}">
      <formula1>"0,1"</formula1>
    </dataValidation>
  </dataValidations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PORT_BTN_3">
              <controlPr defaultSize="0" print="0" autoFill="0" autoPict="0" macro="[0]!UpdateExtProjects">
                <anchor moveWithCells="1" sizeWithCells="1">
                  <from>
                    <xdr:col>0</xdr:col>
                    <xdr:colOff>19050</xdr:colOff>
                    <xdr:row>16</xdr:row>
                    <xdr:rowOff>0</xdr:rowOff>
                  </from>
                  <to>
                    <xdr:col>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PORT_BTN_1">
              <controlPr defaultSize="0" print="0" autoFill="0" autoPict="0" macro="[0]!Run_AddProject">
                <anchor moveWithCells="1" sizeWithCells="1">
                  <from>
                    <xdr:col>0</xdr:col>
                    <xdr:colOff>12700</xdr:colOff>
                    <xdr:row>8</xdr:row>
                    <xdr:rowOff>0</xdr:rowOff>
                  </from>
                  <to>
                    <xdr:col>0</xdr:col>
                    <xdr:colOff>1409700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PORT_BTN_2">
              <controlPr defaultSize="0" print="0" autoFill="0" autoPict="0" macro="[0]!Run_DelProject">
                <anchor moveWithCells="1" sizeWithCells="1">
                  <from>
                    <xdr:col>0</xdr:col>
                    <xdr:colOff>1543050</xdr:colOff>
                    <xdr:row>8</xdr:row>
                    <xdr:rowOff>0</xdr:rowOff>
                  </from>
                  <to>
                    <xdr:col>0</xdr:col>
                    <xdr:colOff>2895600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un_Navigator">
                <anchor moveWithCells="1" sizeWithCells="1">
                  <from>
                    <xdr:col>0</xdr:col>
                    <xdr:colOff>19050</xdr:colOff>
                    <xdr:row>3</xdr:row>
                    <xdr:rowOff>12700</xdr:rowOff>
                  </from>
                  <to>
                    <xdr:col>0</xdr:col>
                    <xdr:colOff>222250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Run_Navigator">
                <anchor moveWithCells="1" sizeWithCells="1">
                  <from>
                    <xdr:col>0</xdr:col>
                    <xdr:colOff>19050</xdr:colOff>
                    <xdr:row>38</xdr:row>
                    <xdr:rowOff>12700</xdr:rowOff>
                  </from>
                  <to>
                    <xdr:col>0</xdr:col>
                    <xdr:colOff>222250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Run_Navigator">
                <anchor moveWithCells="1" sizeWithCells="1">
                  <from>
                    <xdr:col>0</xdr:col>
                    <xdr:colOff>19050</xdr:colOff>
                    <xdr:row>121</xdr:row>
                    <xdr:rowOff>12700</xdr:rowOff>
                  </from>
                  <to>
                    <xdr:col>0</xdr:col>
                    <xdr:colOff>222250</xdr:colOff>
                    <xdr:row>121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Run_Navigator">
                <anchor moveWithCells="1" sizeWithCells="1">
                  <from>
                    <xdr:col>0</xdr:col>
                    <xdr:colOff>19050</xdr:colOff>
                    <xdr:row>264</xdr:row>
                    <xdr:rowOff>12700</xdr:rowOff>
                  </from>
                  <to>
                    <xdr:col>0</xdr:col>
                    <xdr:colOff>222250</xdr:colOff>
                    <xdr:row>264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1" name="Button 22">
              <controlPr defaultSize="0" print="0" autoFill="0" autoPict="0" macro="[0]!Run_Navigator">
                <anchor moveWithCells="1" sizeWithCells="1">
                  <from>
                    <xdr:col>0</xdr:col>
                    <xdr:colOff>19050</xdr:colOff>
                    <xdr:row>65</xdr:row>
                    <xdr:rowOff>12700</xdr:rowOff>
                  </from>
                  <to>
                    <xdr:col>0</xdr:col>
                    <xdr:colOff>222250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12" name="Button 26">
              <controlPr defaultSize="0" print="0" autoFill="0" autoPict="0" macro="[0]!Run_Navigator">
                <anchor moveWithCells="1" sizeWithCells="1">
                  <from>
                    <xdr:col>0</xdr:col>
                    <xdr:colOff>19050</xdr:colOff>
                    <xdr:row>434</xdr:row>
                    <xdr:rowOff>12700</xdr:rowOff>
                  </from>
                  <to>
                    <xdr:col>0</xdr:col>
                    <xdr:colOff>222250</xdr:colOff>
                    <xdr:row>434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13" name="Button 29">
              <controlPr defaultSize="0" print="0" autoFill="0" autoPict="0" macro="[0]!Run_Navigator">
                <anchor moveWithCells="1" sizeWithCells="1">
                  <from>
                    <xdr:col>0</xdr:col>
                    <xdr:colOff>19050</xdr:colOff>
                    <xdr:row>563</xdr:row>
                    <xdr:rowOff>12700</xdr:rowOff>
                  </from>
                  <to>
                    <xdr:col>0</xdr:col>
                    <xdr:colOff>222250</xdr:colOff>
                    <xdr:row>563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14" name="Button 31">
              <controlPr defaultSize="0" print="0" autoFill="0" autoPict="0" macro="[0]!Run_Navigator">
                <anchor moveWithCells="1" sizeWithCells="1">
                  <from>
                    <xdr:col>0</xdr:col>
                    <xdr:colOff>19050</xdr:colOff>
                    <xdr:row>666</xdr:row>
                    <xdr:rowOff>0</xdr:rowOff>
                  </from>
                  <to>
                    <xdr:col>0</xdr:col>
                    <xdr:colOff>222250</xdr:colOff>
                    <xdr:row>666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15" name="Button 37">
              <controlPr defaultSize="0" print="0" autoFill="0" autoPict="0" macro="[0]!Run_Navigator">
                <anchor moveWithCells="1" sizeWithCells="1">
                  <from>
                    <xdr:col>0</xdr:col>
                    <xdr:colOff>19050</xdr:colOff>
                    <xdr:row>741</xdr:row>
                    <xdr:rowOff>0</xdr:rowOff>
                  </from>
                  <to>
                    <xdr:col>0</xdr:col>
                    <xdr:colOff>222250</xdr:colOff>
                    <xdr:row>741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16" name="Button 38">
              <controlPr defaultSize="0" print="0" autoFill="0" autoPict="0" macro="[0]!Run_Navigator">
                <anchor moveWithCells="1" sizeWithCells="1">
                  <from>
                    <xdr:col>0</xdr:col>
                    <xdr:colOff>19050</xdr:colOff>
                    <xdr:row>816</xdr:row>
                    <xdr:rowOff>12700</xdr:rowOff>
                  </from>
                  <to>
                    <xdr:col>0</xdr:col>
                    <xdr:colOff>222250</xdr:colOff>
                    <xdr:row>816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17" name="Button 39">
              <controlPr defaultSize="0" print="0" autoFill="0" autoPict="0" macro="[0]!Run_Navigator">
                <anchor moveWithCells="1" sizeWithCells="1">
                  <from>
                    <xdr:col>0</xdr:col>
                    <xdr:colOff>19050</xdr:colOff>
                    <xdr:row>889</xdr:row>
                    <xdr:rowOff>0</xdr:rowOff>
                  </from>
                  <to>
                    <xdr:col>0</xdr:col>
                    <xdr:colOff>222250</xdr:colOff>
                    <xdr:row>889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18" name="Button 42">
              <controlPr defaultSize="0" print="0" autoFill="0" autoPict="0" macro="[0]!Run_Navigator">
                <anchor moveWithCells="1" sizeWithCells="1">
                  <from>
                    <xdr:col>0</xdr:col>
                    <xdr:colOff>19050</xdr:colOff>
                    <xdr:row>917</xdr:row>
                    <xdr:rowOff>12700</xdr:rowOff>
                  </from>
                  <to>
                    <xdr:col>0</xdr:col>
                    <xdr:colOff>222250</xdr:colOff>
                    <xdr:row>917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129"/>
  <sheetViews>
    <sheetView topLeftCell="A949" workbookViewId="0"/>
  </sheetViews>
  <sheetFormatPr defaultRowHeight="10" x14ac:dyDescent="0.2"/>
  <cols>
    <col min="1" max="1" width="51.77734375" customWidth="1"/>
    <col min="2" max="2" width="13.6640625" customWidth="1"/>
    <col min="3" max="3" width="12.77734375" customWidth="1"/>
    <col min="4" max="5" width="0" hidden="1" customWidth="1"/>
    <col min="6" max="17" width="11.77734375" customWidth="1"/>
    <col min="18" max="18" width="1" customWidth="1"/>
    <col min="19" max="19" width="12.77734375" customWidth="1"/>
  </cols>
  <sheetData>
    <row r="1" spans="1:19" ht="16" customHeight="1" thickBot="1" x14ac:dyDescent="0.25">
      <c r="A1" s="166" t="str">
        <f ca="1">Проект!$A$4</f>
        <v xml:space="preserve">         ПАРАМЕТРЫ ПРОЕКТА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7"/>
    </row>
    <row r="2" spans="1:19" ht="12" customHeight="1" thickTop="1" x14ac:dyDescent="0.2">
      <c r="A2" s="48"/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1"/>
    </row>
    <row r="3" spans="1:19" ht="11.25" customHeight="1" x14ac:dyDescent="0.2">
      <c r="A3" s="48" t="str">
        <f ca="1">Проект!$A$6</f>
        <v>Название проекта:</v>
      </c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1"/>
    </row>
    <row r="4" spans="1:19" ht="11.25" customHeight="1" x14ac:dyDescent="0.2">
      <c r="A4" s="326" t="str">
        <f>Проект!$A$7</f>
        <v>Наименование проекта</v>
      </c>
      <c r="B4" s="327"/>
      <c r="C4" s="327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1"/>
    </row>
    <row r="5" spans="1:19" ht="11.25" customHeight="1" x14ac:dyDescent="0.2">
      <c r="A5" s="48"/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1"/>
    </row>
    <row r="6" spans="1:19" ht="11.25" customHeight="1" x14ac:dyDescent="0.2">
      <c r="A6" s="48" t="str">
        <f ca="1">Проект!$A$9</f>
        <v>Дата начала проекта</v>
      </c>
      <c r="B6" s="328">
        <f>Проект!$B$9</f>
        <v>45383</v>
      </c>
      <c r="C6" s="329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1"/>
    </row>
    <row r="7" spans="1:19" ht="11.25" customHeight="1" x14ac:dyDescent="0.2">
      <c r="A7" s="48" t="str">
        <f ca="1">Проект!$A$10</f>
        <v>Срок жизни проекта</v>
      </c>
      <c r="B7" s="100" t="str">
        <f ca="1">Проект!$B$10</f>
        <v>12 мес.</v>
      </c>
      <c r="C7" s="329"/>
      <c r="D7" s="48">
        <f>Проект!$D$10</f>
        <v>12</v>
      </c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1"/>
    </row>
    <row r="8" spans="1:19" ht="11.25" customHeight="1" x14ac:dyDescent="0.2">
      <c r="A8" s="48" t="str">
        <f ca="1">Проект!$A$11</f>
        <v>Шаг планирования</v>
      </c>
      <c r="B8" s="100" t="str">
        <f ca="1">Проект!$B$11</f>
        <v>месяц</v>
      </c>
      <c r="C8" s="329"/>
      <c r="D8" s="48">
        <f>Проект!$D$11</f>
        <v>1</v>
      </c>
      <c r="E8" s="101" t="str">
        <f ca="1">Проект!$E$11</f>
        <v>мес.</v>
      </c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1"/>
    </row>
    <row r="9" spans="1:19" ht="11.25" customHeight="1" x14ac:dyDescent="0.2">
      <c r="A9" s="48" t="str">
        <f ca="1">Проект!$A$12</f>
        <v>Длительность шага планирования</v>
      </c>
      <c r="B9" s="100" t="str">
        <f ca="1">Проект!$B$12</f>
        <v>30 дн.</v>
      </c>
      <c r="C9" s="329"/>
      <c r="D9" s="101">
        <f>Проект!$D$12</f>
        <v>30</v>
      </c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1"/>
    </row>
    <row r="10" spans="1:19" ht="11.25" customHeight="1" x14ac:dyDescent="0.2">
      <c r="A10" s="48" t="str">
        <f ca="1">Проект!$A$13</f>
        <v>Основная валюта расчета</v>
      </c>
      <c r="B10" s="100" t="str">
        <f ca="1">Проект!$B$13</f>
        <v>руб.</v>
      </c>
      <c r="C10" s="329"/>
      <c r="D10" s="48">
        <f>Проект!$D$13</f>
        <v>0</v>
      </c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1"/>
    </row>
    <row r="11" spans="1:19" ht="11.25" customHeight="1" x14ac:dyDescent="0.2">
      <c r="A11" s="48" t="str">
        <f ca="1">Проект!$A$14</f>
        <v>Иностранная валюта</v>
      </c>
      <c r="B11" s="100" t="str">
        <f ca="1">Проект!$B$14</f>
        <v>$</v>
      </c>
      <c r="C11" s="329"/>
      <c r="D11" s="48">
        <f>Проект!$D$14</f>
        <v>1</v>
      </c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1"/>
    </row>
    <row r="12" spans="1:19" ht="11.25" customHeight="1" x14ac:dyDescent="0.2">
      <c r="A12" s="48" t="str">
        <f ca="1">Проект!$A$15</f>
        <v>Валюта для отображения результатов</v>
      </c>
      <c r="B12" s="100" t="str">
        <f ca="1">Проект!$B$15</f>
        <v>руб.</v>
      </c>
      <c r="C12" s="329"/>
      <c r="D12" s="48">
        <f>Проект!$D$15</f>
        <v>1</v>
      </c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1"/>
    </row>
    <row r="13" spans="1:19" ht="11.25" customHeight="1" x14ac:dyDescent="0.2">
      <c r="A13" s="48"/>
      <c r="B13" s="330"/>
      <c r="C13" s="329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1"/>
    </row>
    <row r="14" spans="1:19" ht="11.25" customHeight="1" x14ac:dyDescent="0.2">
      <c r="A14" s="48"/>
      <c r="B14" s="48"/>
      <c r="C14" s="329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1"/>
    </row>
    <row r="15" spans="1:19" ht="11.25" customHeight="1" x14ac:dyDescent="0.2">
      <c r="A15" s="173"/>
      <c r="B15" s="173"/>
      <c r="C15" s="331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1"/>
    </row>
    <row r="16" spans="1:19" ht="11.25" customHeight="1" x14ac:dyDescent="0.2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1"/>
    </row>
    <row r="17" spans="1:19" ht="11.25" customHeight="1" x14ac:dyDescent="0.2">
      <c r="A17" s="48" t="str">
        <f ca="1">Проект!$A$20</f>
        <v>Язык интерфейса и таблиц</v>
      </c>
      <c r="B17" s="73" t="str">
        <f ca="1">Проект!$B$20</f>
        <v>Русский</v>
      </c>
      <c r="C17" s="329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1"/>
    </row>
    <row r="18" spans="1:19" ht="11.25" customHeight="1" x14ac:dyDescent="0.2">
      <c r="A18" s="48" t="str">
        <f ca="1">Проект!$A$21</f>
        <v>Защита</v>
      </c>
      <c r="B18" s="73" t="str">
        <f ca="1">Проект!$B$21</f>
        <v>Выключена</v>
      </c>
      <c r="C18" s="329"/>
      <c r="D18" s="48" t="b">
        <f>Проект!$D$21</f>
        <v>0</v>
      </c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1"/>
    </row>
    <row r="19" spans="1:19" ht="11.25" customHeight="1" x14ac:dyDescent="0.2">
      <c r="A19" s="48" t="str">
        <f ca="1">Проект!$A$22</f>
        <v>Показывать реальные даты в названиях периодов?</v>
      </c>
      <c r="B19" s="73" t="str">
        <f ca="1">Проект!$B$22</f>
        <v>Да</v>
      </c>
      <c r="C19" s="329"/>
      <c r="D19" s="48" t="b">
        <f>Проект!$D$22</f>
        <v>1</v>
      </c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1"/>
    </row>
    <row r="20" spans="1:19" ht="11.25" customHeight="1" x14ac:dyDescent="0.2">
      <c r="A20" s="48"/>
      <c r="B20" s="48"/>
      <c r="C20" s="329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1"/>
    </row>
    <row r="21" spans="1:19" ht="11.25" customHeight="1" x14ac:dyDescent="0.2">
      <c r="A21" s="48"/>
      <c r="B21" s="48"/>
      <c r="C21" s="329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1"/>
    </row>
    <row r="22" spans="1:19" ht="11.25" customHeight="1" x14ac:dyDescent="0.2">
      <c r="A22" s="173"/>
      <c r="B22" s="173"/>
      <c r="C22" s="331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1"/>
    </row>
    <row r="23" spans="1:19" hidden="1" x14ac:dyDescent="0.2">
      <c r="A23" s="48"/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1"/>
    </row>
    <row r="24" spans="1:19" hidden="1" x14ac:dyDescent="0.2">
      <c r="A24" s="48" t="str">
        <f ca="1">Проект!$A$27</f>
        <v>Год начала проекта</v>
      </c>
      <c r="B24" s="48"/>
      <c r="C24" s="48"/>
      <c r="D24" s="101" t="str">
        <f>Проект!$D$27</f>
        <v>int_start</v>
      </c>
      <c r="E24" s="48"/>
      <c r="F24" s="73">
        <f>Проект!$F$27</f>
        <v>2024</v>
      </c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48"/>
      <c r="S24" s="41"/>
    </row>
    <row r="25" spans="1:19" hidden="1" x14ac:dyDescent="0.2">
      <c r="A25" s="48" t="str">
        <f ca="1">Проект!$A$28</f>
        <v>Месяц начала проекта</v>
      </c>
      <c r="B25" s="48"/>
      <c r="C25" s="48"/>
      <c r="D25" s="101" t="str">
        <f>Проект!$D$28</f>
        <v>int_start</v>
      </c>
      <c r="E25" s="48"/>
      <c r="F25" s="73">
        <f>Проект!$F$28</f>
        <v>4</v>
      </c>
      <c r="G25" s="73"/>
      <c r="H25" s="73"/>
      <c r="I25" s="73"/>
      <c r="J25" s="73"/>
      <c r="K25" s="73"/>
      <c r="L25" s="73"/>
      <c r="M25" s="73"/>
      <c r="N25" s="73"/>
      <c r="O25" s="73"/>
      <c r="P25" s="73"/>
      <c r="Q25" s="73"/>
      <c r="R25" s="48"/>
      <c r="S25" s="41"/>
    </row>
    <row r="26" spans="1:19" hidden="1" x14ac:dyDescent="0.2">
      <c r="A26" s="48" t="str">
        <f ca="1">Проект!$A$29</f>
        <v>Номера периодов</v>
      </c>
      <c r="B26" s="48"/>
      <c r="C26" s="48"/>
      <c r="D26" s="101" t="str">
        <f>Проект!$D$29</f>
        <v>int_start</v>
      </c>
      <c r="E26" s="48"/>
      <c r="F26" s="73">
        <f>Проект!$F$29</f>
        <v>1</v>
      </c>
      <c r="G26" s="73">
        <f>Проект!$G$29</f>
        <v>2</v>
      </c>
      <c r="H26" s="73">
        <f>Проект!$H$29</f>
        <v>3</v>
      </c>
      <c r="I26" s="73">
        <f>Проект!$I$29</f>
        <v>4</v>
      </c>
      <c r="J26" s="73">
        <f>Проект!$J$29</f>
        <v>5</v>
      </c>
      <c r="K26" s="73">
        <f>Проект!$K$29</f>
        <v>6</v>
      </c>
      <c r="L26" s="73">
        <f>Проект!$L$29</f>
        <v>7</v>
      </c>
      <c r="M26" s="73">
        <f>Проект!$M$29</f>
        <v>8</v>
      </c>
      <c r="N26" s="73" t="e">
        <f>Проект!#REF!</f>
        <v>#REF!</v>
      </c>
      <c r="O26" s="73" t="e">
        <f>Проект!#REF!</f>
        <v>#REF!</v>
      </c>
      <c r="P26" s="73" t="e">
        <f>Проект!#REF!</f>
        <v>#REF!</v>
      </c>
      <c r="Q26" s="73">
        <f>Проект!$Q$29</f>
        <v>12</v>
      </c>
      <c r="R26" s="48"/>
      <c r="S26" s="41"/>
    </row>
    <row r="27" spans="1:19" hidden="1" x14ac:dyDescent="0.2">
      <c r="A27" s="48" t="str">
        <f ca="1">Проект!$A$30</f>
        <v>Наименования периодов без учета дат</v>
      </c>
      <c r="B27" s="48"/>
      <c r="C27" s="48"/>
      <c r="D27" s="101" t="str">
        <f>Проект!$D$30</f>
        <v>int_start</v>
      </c>
      <c r="E27" s="48"/>
      <c r="F27" s="50" t="str">
        <f ca="1">Проект!$F$30</f>
        <v>1 мес.</v>
      </c>
      <c r="G27" s="50" t="str">
        <f ca="1">Проект!$G$30</f>
        <v>2 мес.</v>
      </c>
      <c r="H27" s="50" t="str">
        <f ca="1">Проект!$H$30</f>
        <v>3 мес.</v>
      </c>
      <c r="I27" s="50" t="str">
        <f ca="1">Проект!$I$30</f>
        <v>4 мес.</v>
      </c>
      <c r="J27" s="50" t="str">
        <f ca="1">Проект!$J$30</f>
        <v>5 мес.</v>
      </c>
      <c r="K27" s="50" t="str">
        <f ca="1">Проект!$K$30</f>
        <v>6 мес.</v>
      </c>
      <c r="L27" s="50" t="str">
        <f ca="1">Проект!$L$30</f>
        <v>7 мес.</v>
      </c>
      <c r="M27" s="50" t="str">
        <f ca="1">Проект!$M$30</f>
        <v>8 мес.</v>
      </c>
      <c r="N27" s="50" t="e">
        <f>Проект!#REF!</f>
        <v>#REF!</v>
      </c>
      <c r="O27" s="50" t="e">
        <f>Проект!#REF!</f>
        <v>#REF!</v>
      </c>
      <c r="P27" s="50" t="e">
        <f>Проект!#REF!</f>
        <v>#REF!</v>
      </c>
      <c r="Q27" s="50" t="str">
        <f ca="1">Проект!$Q$30</f>
        <v>12 мес.</v>
      </c>
      <c r="R27" s="48"/>
      <c r="S27" s="41"/>
    </row>
    <row r="28" spans="1:19" hidden="1" x14ac:dyDescent="0.2">
      <c r="A28" s="48" t="str">
        <f ca="1">Проект!$A$31</f>
        <v>Дата начала периода</v>
      </c>
      <c r="B28" s="48"/>
      <c r="C28" s="48"/>
      <c r="D28" s="101" t="str">
        <f>Проект!$D$31</f>
        <v>int_start</v>
      </c>
      <c r="E28" s="48"/>
      <c r="F28" s="332">
        <f>Проект!$F$31</f>
        <v>45383</v>
      </c>
      <c r="G28" s="332">
        <f>Проект!$G$31</f>
        <v>45413</v>
      </c>
      <c r="H28" s="332">
        <f>Проект!$H$31</f>
        <v>45444</v>
      </c>
      <c r="I28" s="332">
        <f>Проект!$I$31</f>
        <v>45474</v>
      </c>
      <c r="J28" s="332">
        <f>Проект!$J$31</f>
        <v>45505</v>
      </c>
      <c r="K28" s="332">
        <f>Проект!$K$31</f>
        <v>45536</v>
      </c>
      <c r="L28" s="332">
        <f>Проект!$L$31</f>
        <v>45566</v>
      </c>
      <c r="M28" s="332">
        <f>Проект!$M$31</f>
        <v>45597</v>
      </c>
      <c r="N28" s="332" t="e">
        <f>Проект!#REF!</f>
        <v>#REF!</v>
      </c>
      <c r="O28" s="332" t="e">
        <f>Проект!#REF!</f>
        <v>#REF!</v>
      </c>
      <c r="P28" s="332" t="e">
        <f>Проект!#REF!</f>
        <v>#REF!</v>
      </c>
      <c r="Q28" s="332">
        <f>Проект!$Q$31</f>
        <v>45717</v>
      </c>
      <c r="R28" s="48"/>
      <c r="S28" s="41"/>
    </row>
    <row r="29" spans="1:19" hidden="1" x14ac:dyDescent="0.2">
      <c r="A29" s="48" t="str">
        <f ca="1">Проект!$A$32</f>
        <v>Наименования периодов с учетом дат</v>
      </c>
      <c r="B29" s="48"/>
      <c r="C29" s="48"/>
      <c r="D29" s="101" t="str">
        <f>Проект!$D$32</f>
        <v>int_start</v>
      </c>
      <c r="E29" s="48"/>
      <c r="F29" s="50" t="str">
        <f>Проект!$F$32</f>
        <v>4/ 2024</v>
      </c>
      <c r="G29" s="50" t="str">
        <f>Проект!$G$32</f>
        <v>5/ 2024</v>
      </c>
      <c r="H29" s="50" t="str">
        <f>Проект!$H$32</f>
        <v>6/ 2024</v>
      </c>
      <c r="I29" s="50" t="str">
        <f>Проект!$I$32</f>
        <v>7/ 2024</v>
      </c>
      <c r="J29" s="50" t="str">
        <f>Проект!$J$32</f>
        <v>8/ 2024</v>
      </c>
      <c r="K29" s="50" t="str">
        <f>Проект!$K$32</f>
        <v>9/ 2024</v>
      </c>
      <c r="L29" s="50" t="str">
        <f>Проект!$L$32</f>
        <v>10/ 2024</v>
      </c>
      <c r="M29" s="50" t="str">
        <f>Проект!$M$32</f>
        <v>11/ 2024</v>
      </c>
      <c r="N29" s="50" t="e">
        <f>Проект!#REF!</f>
        <v>#REF!</v>
      </c>
      <c r="O29" s="50" t="e">
        <f>Проект!#REF!</f>
        <v>#REF!</v>
      </c>
      <c r="P29" s="50" t="e">
        <f>Проект!#REF!</f>
        <v>#REF!</v>
      </c>
      <c r="Q29" s="50" t="str">
        <f>Проект!$Q$32</f>
        <v>3/ 2025</v>
      </c>
      <c r="R29" s="48"/>
      <c r="S29" s="41"/>
    </row>
    <row r="32" spans="1:19" ht="16" customHeight="1" thickBot="1" x14ac:dyDescent="0.25">
      <c r="A32" s="166" t="str">
        <f ca="1">Проект!$A$281</f>
        <v xml:space="preserve">         ИНВЕСТИЦИИ ПРОЕКТА</v>
      </c>
      <c r="B32" s="166"/>
      <c r="C32" s="166"/>
      <c r="D32" s="166"/>
      <c r="E32" s="166"/>
      <c r="F32" s="178" t="str">
        <f>Проект!$F$281</f>
        <v>4/ 2024</v>
      </c>
      <c r="G32" s="178" t="str">
        <f>Проект!$G$281</f>
        <v>5/ 2024</v>
      </c>
      <c r="H32" s="178" t="str">
        <f>Проект!$H$281</f>
        <v>6/ 2024</v>
      </c>
      <c r="I32" s="178" t="str">
        <f>Проект!$I$281</f>
        <v>7/ 2024</v>
      </c>
      <c r="J32" s="178" t="str">
        <f>Проект!$J$281</f>
        <v>8/ 2024</v>
      </c>
      <c r="K32" s="178" t="str">
        <f>Проект!$K$281</f>
        <v>9/ 2024</v>
      </c>
      <c r="L32" s="178" t="str">
        <f>Проект!$L$281</f>
        <v>10/ 2024</v>
      </c>
      <c r="M32" s="178" t="str">
        <f>Проект!$M$281</f>
        <v>11/ 2024</v>
      </c>
      <c r="N32" s="178" t="e">
        <f>Проект!#REF!</f>
        <v>#REF!</v>
      </c>
      <c r="O32" s="178" t="e">
        <f>Проект!#REF!</f>
        <v>#REF!</v>
      </c>
      <c r="P32" s="178" t="e">
        <f>Проект!#REF!</f>
        <v>#REF!</v>
      </c>
      <c r="Q32" s="178" t="str">
        <f>Проект!$Q$281</f>
        <v>3/ 2025</v>
      </c>
      <c r="R32" s="166"/>
      <c r="S32" s="195" t="str">
        <f ca="1">Проект!$S$281</f>
        <v>ИТОГО</v>
      </c>
    </row>
    <row r="33" spans="1:19" ht="12" customHeight="1" thickTop="1" x14ac:dyDescent="0.25">
      <c r="A33" s="130"/>
      <c r="B33" s="48"/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1"/>
    </row>
    <row r="34" spans="1:19" ht="11.25" customHeight="1" x14ac:dyDescent="0.25">
      <c r="A34" s="130" t="str">
        <f ca="1">Проект!$A$283</f>
        <v>Земельные участки</v>
      </c>
      <c r="B34" s="48"/>
      <c r="C34" s="48"/>
      <c r="D34" s="48">
        <f>Проект!$D$283</f>
        <v>1</v>
      </c>
      <c r="E34" s="48">
        <f>Проект!$E$283</f>
        <v>13</v>
      </c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1"/>
    </row>
    <row r="35" spans="1:19" ht="11.25" customHeight="1" x14ac:dyDescent="0.2">
      <c r="A35" s="333" t="str">
        <f>Проект!$A$284</f>
        <v>Наименование</v>
      </c>
      <c r="B35" s="197" t="str">
        <f ca="1">Проект!$B$284</f>
        <v>Валюта</v>
      </c>
      <c r="C35" s="52"/>
      <c r="D35" s="52"/>
      <c r="E35" s="5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52"/>
      <c r="S35" s="92"/>
    </row>
    <row r="36" spans="1:19" ht="11.25" customHeight="1" x14ac:dyDescent="0.2">
      <c r="A36" s="48" t="str">
        <f ca="1">Проект!$A$285</f>
        <v xml:space="preserve">    величина платежей</v>
      </c>
      <c r="B36" s="334">
        <f>Проект!$B$285</f>
        <v>1</v>
      </c>
      <c r="C36" s="88" t="str">
        <f ca="1">Проект!$C$285</f>
        <v>руб.</v>
      </c>
      <c r="D36" s="101" t="str">
        <f>Проект!$D$285</f>
        <v>1_00</v>
      </c>
      <c r="E36" s="52"/>
      <c r="F36" s="335">
        <f>Проект!$F$285</f>
        <v>0</v>
      </c>
      <c r="G36" s="335">
        <f>Проект!$G$285</f>
        <v>0</v>
      </c>
      <c r="H36" s="335">
        <f>Проект!$H$285</f>
        <v>0</v>
      </c>
      <c r="I36" s="335">
        <f>Проект!$I$285</f>
        <v>0</v>
      </c>
      <c r="J36" s="335">
        <f>Проект!$J$285</f>
        <v>0</v>
      </c>
      <c r="K36" s="335">
        <f>Проект!$K$285</f>
        <v>0</v>
      </c>
      <c r="L36" s="335">
        <f>Проект!$L$285</f>
        <v>0</v>
      </c>
      <c r="M36" s="335">
        <f>Проект!$M$285</f>
        <v>0</v>
      </c>
      <c r="N36" s="335" t="e">
        <f>Проект!#REF!</f>
        <v>#REF!</v>
      </c>
      <c r="O36" s="335" t="e">
        <f>Проект!#REF!</f>
        <v>#REF!</v>
      </c>
      <c r="P36" s="335" t="e">
        <f>Проект!#REF!</f>
        <v>#REF!</v>
      </c>
      <c r="Q36" s="335">
        <f>Проект!$Q$285</f>
        <v>0</v>
      </c>
      <c r="R36" s="52"/>
      <c r="S36" s="94">
        <f>Проект!$S$285</f>
        <v>0</v>
      </c>
    </row>
    <row r="37" spans="1:19" hidden="1" x14ac:dyDescent="0.2">
      <c r="A37" s="48" t="str">
        <f ca="1">Проект!$A$286</f>
        <v xml:space="preserve">    ранее осуществленные инвестиции (без НДС)</v>
      </c>
      <c r="B37" s="336">
        <f>Проект!$B$286</f>
        <v>0</v>
      </c>
      <c r="C37" s="88" t="str">
        <f ca="1">Проект!$C$286</f>
        <v>руб.</v>
      </c>
      <c r="D37" s="52" t="str">
        <f>Проект!$D$286</f>
        <v>1_20;set_0</v>
      </c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41"/>
    </row>
    <row r="38" spans="1:19" hidden="1" x14ac:dyDescent="0.2">
      <c r="A38" s="48" t="str">
        <f ca="1">Проект!$A$287</f>
        <v xml:space="preserve">    поставить на баланс с</v>
      </c>
      <c r="B38" s="337">
        <f ca="1">Проект!$B$287</f>
        <v>1</v>
      </c>
      <c r="C38" s="88" t="str">
        <f ca="1">Проект!$C$287</f>
        <v>периода</v>
      </c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41"/>
    </row>
    <row r="39" spans="1:19" hidden="1" x14ac:dyDescent="0.2">
      <c r="A39" s="48" t="str">
        <f ca="1">Проект!$A$288</f>
        <v xml:space="preserve">    сумма платежей без НДС</v>
      </c>
      <c r="B39" s="52"/>
      <c r="C39" s="88" t="str">
        <f ca="1">Проект!$C$288</f>
        <v>руб.</v>
      </c>
      <c r="D39" s="52" t="str">
        <f>Проект!$D$288</f>
        <v>1_01</v>
      </c>
      <c r="E39" s="52"/>
      <c r="F39" s="84">
        <f>Проект!$F$288</f>
        <v>0</v>
      </c>
      <c r="G39" s="84">
        <f>Проект!$G$288</f>
        <v>0</v>
      </c>
      <c r="H39" s="84">
        <f>Проект!$H$288</f>
        <v>0</v>
      </c>
      <c r="I39" s="84">
        <f>Проект!$I$288</f>
        <v>0</v>
      </c>
      <c r="J39" s="84">
        <f>Проект!$J$288</f>
        <v>0</v>
      </c>
      <c r="K39" s="84">
        <f>Проект!$K$288</f>
        <v>0</v>
      </c>
      <c r="L39" s="84">
        <f>Проект!$L$288</f>
        <v>0</v>
      </c>
      <c r="M39" s="84">
        <f>Проект!$M$288</f>
        <v>0</v>
      </c>
      <c r="N39" s="84" t="e">
        <f>Проект!#REF!</f>
        <v>#REF!</v>
      </c>
      <c r="O39" s="84" t="e">
        <f>Проект!#REF!</f>
        <v>#REF!</v>
      </c>
      <c r="P39" s="84" t="e">
        <f>Проект!#REF!</f>
        <v>#REF!</v>
      </c>
      <c r="Q39" s="84">
        <f>Проект!$Q$288</f>
        <v>0</v>
      </c>
      <c r="R39" s="52"/>
      <c r="S39" s="94">
        <f>Проект!$S$288</f>
        <v>0</v>
      </c>
    </row>
    <row r="40" spans="1:19" ht="10.5" hidden="1" x14ac:dyDescent="0.2">
      <c r="A40" s="48" t="str">
        <f ca="1">Проект!$A$289</f>
        <v xml:space="preserve">    общая стоимость актива (без НДС)</v>
      </c>
      <c r="B40" s="312">
        <f>Проект!$B$289</f>
        <v>0</v>
      </c>
      <c r="C40" s="88" t="str">
        <f ca="1">Проект!$C$289</f>
        <v>руб.</v>
      </c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41"/>
    </row>
    <row r="41" spans="1:19" hidden="1" x14ac:dyDescent="0.2">
      <c r="A41" s="48" t="str">
        <f ca="1">Проект!$A$290</f>
        <v xml:space="preserve">    полная сумма вложений в актив (без НДС)</v>
      </c>
      <c r="B41" s="52"/>
      <c r="C41" s="88" t="str">
        <f ca="1">Проект!$C$290</f>
        <v>руб.</v>
      </c>
      <c r="D41" s="52" t="str">
        <f>Проект!$D$290</f>
        <v>1_05; int_end</v>
      </c>
      <c r="E41" s="52"/>
      <c r="F41" s="84">
        <f>Проект!$F$290</f>
        <v>0</v>
      </c>
      <c r="G41" s="84">
        <f>Проект!$G$290</f>
        <v>0</v>
      </c>
      <c r="H41" s="84">
        <f>Проект!$H$290</f>
        <v>0</v>
      </c>
      <c r="I41" s="84">
        <f>Проект!$I$290</f>
        <v>0</v>
      </c>
      <c r="J41" s="84">
        <f>Проект!$J$290</f>
        <v>0</v>
      </c>
      <c r="K41" s="84">
        <f>Проект!$K$290</f>
        <v>0</v>
      </c>
      <c r="L41" s="84">
        <f>Проект!$L$290</f>
        <v>0</v>
      </c>
      <c r="M41" s="84">
        <f>Проект!$M$290</f>
        <v>0</v>
      </c>
      <c r="N41" s="84" t="e">
        <f>Проект!#REF!</f>
        <v>#REF!</v>
      </c>
      <c r="O41" s="84" t="e">
        <f>Проект!#REF!</f>
        <v>#REF!</v>
      </c>
      <c r="P41" s="84" t="e">
        <f>Проект!#REF!</f>
        <v>#REF!</v>
      </c>
      <c r="Q41" s="84">
        <f>Проект!$Q$290</f>
        <v>0</v>
      </c>
      <c r="R41" s="52"/>
      <c r="S41" s="94"/>
    </row>
    <row r="42" spans="1:19" hidden="1" x14ac:dyDescent="0.2">
      <c r="A42" s="48" t="str">
        <f ca="1">Проект!$A$291</f>
        <v xml:space="preserve">    полная балансовая стоимость</v>
      </c>
      <c r="B42" s="52"/>
      <c r="C42" s="88" t="str">
        <f ca="1">Проект!$C$291</f>
        <v>руб.</v>
      </c>
      <c r="D42" s="52" t="str">
        <f>Проект!$D$291</f>
        <v>1_06; int_end</v>
      </c>
      <c r="E42" s="52"/>
      <c r="F42" s="84">
        <f ca="1">Проект!$F$291</f>
        <v>0</v>
      </c>
      <c r="G42" s="84">
        <f ca="1">Проект!$G$291</f>
        <v>0</v>
      </c>
      <c r="H42" s="84">
        <f ca="1">Проект!$H$291</f>
        <v>0</v>
      </c>
      <c r="I42" s="84">
        <f ca="1">Проект!$I$291</f>
        <v>0</v>
      </c>
      <c r="J42" s="84">
        <f ca="1">Проект!$J$291</f>
        <v>0</v>
      </c>
      <c r="K42" s="84">
        <f ca="1">Проект!$K$291</f>
        <v>0</v>
      </c>
      <c r="L42" s="84">
        <f ca="1">Проект!$L$291</f>
        <v>0</v>
      </c>
      <c r="M42" s="84">
        <f ca="1">Проект!$M$291</f>
        <v>0</v>
      </c>
      <c r="N42" s="84" t="e">
        <f>Проект!#REF!</f>
        <v>#REF!</v>
      </c>
      <c r="O42" s="84" t="e">
        <f>Проект!#REF!</f>
        <v>#REF!</v>
      </c>
      <c r="P42" s="84" t="e">
        <f>Проект!#REF!</f>
        <v>#REF!</v>
      </c>
      <c r="Q42" s="84">
        <f ca="1">Проект!$Q$291</f>
        <v>0</v>
      </c>
      <c r="R42" s="52"/>
      <c r="S42" s="41"/>
    </row>
    <row r="43" spans="1:19" hidden="1" x14ac:dyDescent="0.2">
      <c r="A43" s="48" t="str">
        <f ca="1">Проект!$A$292</f>
        <v xml:space="preserve">    незавершенные инвестиции</v>
      </c>
      <c r="B43" s="52"/>
      <c r="C43" s="88" t="str">
        <f ca="1">Проект!$C$292</f>
        <v>руб.</v>
      </c>
      <c r="D43" s="52" t="str">
        <f>Проект!$D$292</f>
        <v>1_07; int_end</v>
      </c>
      <c r="E43" s="52"/>
      <c r="F43" s="84">
        <f ca="1">Проект!$F$292</f>
        <v>0</v>
      </c>
      <c r="G43" s="84">
        <f ca="1">Проект!$G$292</f>
        <v>0</v>
      </c>
      <c r="H43" s="84">
        <f ca="1">Проект!$H$292</f>
        <v>0</v>
      </c>
      <c r="I43" s="84">
        <f ca="1">Проект!$I$292</f>
        <v>0</v>
      </c>
      <c r="J43" s="84">
        <f ca="1">Проект!$J$292</f>
        <v>0</v>
      </c>
      <c r="K43" s="84">
        <f ca="1">Проект!$K$292</f>
        <v>0</v>
      </c>
      <c r="L43" s="84">
        <f ca="1">Проект!$L$292</f>
        <v>0</v>
      </c>
      <c r="M43" s="84">
        <f ca="1">Проект!$M$292</f>
        <v>0</v>
      </c>
      <c r="N43" s="84" t="e">
        <f>Проект!#REF!</f>
        <v>#REF!</v>
      </c>
      <c r="O43" s="84" t="e">
        <f>Проект!#REF!</f>
        <v>#REF!</v>
      </c>
      <c r="P43" s="84" t="e">
        <f>Проект!#REF!</f>
        <v>#REF!</v>
      </c>
      <c r="Q43" s="84">
        <f ca="1">Проект!$Q$292</f>
        <v>0</v>
      </c>
      <c r="R43" s="52"/>
      <c r="S43" s="41"/>
    </row>
    <row r="44" spans="1:19" hidden="1" x14ac:dyDescent="0.2">
      <c r="A44" s="48" t="str">
        <f ca="1">Проект!$A$293</f>
        <v xml:space="preserve">    кредиторская задолженность</v>
      </c>
      <c r="B44" s="52"/>
      <c r="C44" s="88" t="str">
        <f ca="1">Проект!$C$293</f>
        <v>руб.</v>
      </c>
      <c r="D44" s="52" t="str">
        <f>Проект!$D$293</f>
        <v>1_08; int_end</v>
      </c>
      <c r="E44" s="52"/>
      <c r="F44" s="84">
        <f ca="1">Проект!$F$293</f>
        <v>0</v>
      </c>
      <c r="G44" s="84">
        <f ca="1">Проект!$G$293</f>
        <v>0</v>
      </c>
      <c r="H44" s="84">
        <f ca="1">Проект!$H$293</f>
        <v>0</v>
      </c>
      <c r="I44" s="84">
        <f ca="1">Проект!$I$293</f>
        <v>0</v>
      </c>
      <c r="J44" s="84">
        <f ca="1">Проект!$J$293</f>
        <v>0</v>
      </c>
      <c r="K44" s="84">
        <f ca="1">Проект!$K$293</f>
        <v>0</v>
      </c>
      <c r="L44" s="84">
        <f ca="1">Проект!$L$293</f>
        <v>0</v>
      </c>
      <c r="M44" s="84">
        <f ca="1">Проект!$M$293</f>
        <v>0</v>
      </c>
      <c r="N44" s="84" t="e">
        <f>Проект!#REF!</f>
        <v>#REF!</v>
      </c>
      <c r="O44" s="84" t="e">
        <f>Проект!#REF!</f>
        <v>#REF!</v>
      </c>
      <c r="P44" s="84" t="e">
        <f>Проект!#REF!</f>
        <v>#REF!</v>
      </c>
      <c r="Q44" s="84">
        <f ca="1">Проект!$Q$293</f>
        <v>0</v>
      </c>
      <c r="R44" s="52"/>
      <c r="S44" s="41"/>
    </row>
    <row r="45" spans="1:19" hidden="1" x14ac:dyDescent="0.2">
      <c r="A45" s="48" t="str">
        <f ca="1">Проект!$A$294</f>
        <v xml:space="preserve">    остаточная стоимость</v>
      </c>
      <c r="B45" s="52"/>
      <c r="C45" s="88" t="str">
        <f ca="1">Проект!$C$294</f>
        <v>руб.</v>
      </c>
      <c r="D45" s="338" t="str">
        <f>Проект!$D$294</f>
        <v>1_10; int_end</v>
      </c>
      <c r="E45" s="52"/>
      <c r="F45" s="106">
        <f ca="1">Проект!$F$294</f>
        <v>0</v>
      </c>
      <c r="G45" s="106">
        <f ca="1">Проект!$G$294</f>
        <v>0</v>
      </c>
      <c r="H45" s="106">
        <f ca="1">Проект!$H$294</f>
        <v>0</v>
      </c>
      <c r="I45" s="106">
        <f ca="1">Проект!$I$294</f>
        <v>0</v>
      </c>
      <c r="J45" s="106">
        <f ca="1">Проект!$J$294</f>
        <v>0</v>
      </c>
      <c r="K45" s="106">
        <f ca="1">Проект!$K$294</f>
        <v>0</v>
      </c>
      <c r="L45" s="106">
        <f ca="1">Проект!$L$294</f>
        <v>0</v>
      </c>
      <c r="M45" s="106">
        <f ca="1">Проект!$M$294</f>
        <v>0</v>
      </c>
      <c r="N45" s="106" t="e">
        <f>Проект!#REF!</f>
        <v>#REF!</v>
      </c>
      <c r="O45" s="106" t="e">
        <f>Проект!#REF!</f>
        <v>#REF!</v>
      </c>
      <c r="P45" s="106" t="e">
        <f>Проект!#REF!</f>
        <v>#REF!</v>
      </c>
      <c r="Q45" s="106">
        <f ca="1">Проект!$Q$294</f>
        <v>0</v>
      </c>
      <c r="R45" s="52"/>
      <c r="S45" s="41"/>
    </row>
    <row r="46" spans="1:19" hidden="1" x14ac:dyDescent="0.2">
      <c r="A46" s="76" t="str">
        <f ca="1">Проект!$A$295</f>
        <v xml:space="preserve">    реализация актива (без НДС)</v>
      </c>
      <c r="B46" s="339"/>
      <c r="C46" s="340" t="str">
        <f ca="1">Проект!$C$295</f>
        <v>руб.</v>
      </c>
      <c r="D46" s="52" t="str">
        <f>Проект!$D$295</f>
        <v>1_13</v>
      </c>
      <c r="E46" s="339"/>
      <c r="F46" s="341">
        <f>Проект!$F$295</f>
        <v>0</v>
      </c>
      <c r="G46" s="341">
        <f>Проект!$G$295</f>
        <v>0</v>
      </c>
      <c r="H46" s="341">
        <f>Проект!$H$295</f>
        <v>0</v>
      </c>
      <c r="I46" s="341">
        <f>Проект!$I$295</f>
        <v>0</v>
      </c>
      <c r="J46" s="341">
        <f>Проект!$J$295</f>
        <v>0</v>
      </c>
      <c r="K46" s="341">
        <f>Проект!$K$295</f>
        <v>0</v>
      </c>
      <c r="L46" s="341">
        <f>Проект!$L$295</f>
        <v>0</v>
      </c>
      <c r="M46" s="341">
        <f>Проект!$M$295</f>
        <v>0</v>
      </c>
      <c r="N46" s="341" t="e">
        <f>Проект!#REF!</f>
        <v>#REF!</v>
      </c>
      <c r="O46" s="341" t="e">
        <f>Проект!#REF!</f>
        <v>#REF!</v>
      </c>
      <c r="P46" s="341" t="e">
        <f>Проект!#REF!</f>
        <v>#REF!</v>
      </c>
      <c r="Q46" s="341">
        <f>Проект!$Q$295</f>
        <v>0</v>
      </c>
      <c r="R46" s="52"/>
      <c r="S46" s="94">
        <f>Проект!$S$295</f>
        <v>0</v>
      </c>
    </row>
    <row r="47" spans="1:19" hidden="1" x14ac:dyDescent="0.2">
      <c r="A47" s="45" t="str">
        <f ca="1">Проект!$A$296</f>
        <v xml:space="preserve">    прибыль/убыток от реализации актива</v>
      </c>
      <c r="B47" s="128"/>
      <c r="C47" s="342" t="str">
        <f ca="1">Проект!$C$296</f>
        <v>руб.</v>
      </c>
      <c r="D47" s="52" t="str">
        <f>Проект!$D$296</f>
        <v>1_14</v>
      </c>
      <c r="E47" s="128"/>
      <c r="F47" s="83">
        <f>Проект!$F$296</f>
        <v>0</v>
      </c>
      <c r="G47" s="83">
        <f>Проект!$G$296</f>
        <v>0</v>
      </c>
      <c r="H47" s="83">
        <f>Проект!$H$296</f>
        <v>0</v>
      </c>
      <c r="I47" s="83">
        <f>Проект!$I$296</f>
        <v>0</v>
      </c>
      <c r="J47" s="83">
        <f>Проект!$J$296</f>
        <v>0</v>
      </c>
      <c r="K47" s="83">
        <f>Проект!$K$296</f>
        <v>0</v>
      </c>
      <c r="L47" s="83">
        <f>Проект!$L$296</f>
        <v>0</v>
      </c>
      <c r="M47" s="83">
        <f>Проект!$M$296</f>
        <v>0</v>
      </c>
      <c r="N47" s="83" t="e">
        <f>Проект!#REF!</f>
        <v>#REF!</v>
      </c>
      <c r="O47" s="83" t="e">
        <f>Проект!#REF!</f>
        <v>#REF!</v>
      </c>
      <c r="P47" s="83" t="e">
        <f>Проект!#REF!</f>
        <v>#REF!</v>
      </c>
      <c r="Q47" s="83">
        <f>Проект!$Q$296</f>
        <v>0</v>
      </c>
      <c r="R47" s="52"/>
      <c r="S47" s="94">
        <f>Проект!$S$296</f>
        <v>0</v>
      </c>
    </row>
    <row r="48" spans="1:19" ht="11.25" customHeight="1" x14ac:dyDescent="0.25">
      <c r="A48" s="130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1"/>
    </row>
    <row r="49" spans="1:19" ht="11.25" customHeight="1" x14ac:dyDescent="0.25">
      <c r="A49" s="130" t="str">
        <f ca="1">Проект!$A$298</f>
        <v>Здания и сооружения</v>
      </c>
      <c r="B49" s="48"/>
      <c r="C49" s="48"/>
      <c r="D49" s="48">
        <f>Проект!$D$298</f>
        <v>1</v>
      </c>
      <c r="E49" s="48">
        <f>Проект!$E$298</f>
        <v>21</v>
      </c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1"/>
    </row>
    <row r="50" spans="1:19" ht="11.25" customHeight="1" x14ac:dyDescent="0.2">
      <c r="A50" s="333" t="str">
        <f>Проект!$A$299</f>
        <v>Наименование</v>
      </c>
      <c r="B50" s="197" t="str">
        <f ca="1">Проект!$B$299</f>
        <v>Валюта</v>
      </c>
      <c r="C50" s="52"/>
      <c r="D50" s="52"/>
      <c r="E50" s="5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52"/>
      <c r="S50" s="92"/>
    </row>
    <row r="51" spans="1:19" ht="11.25" customHeight="1" x14ac:dyDescent="0.2">
      <c r="A51" s="48" t="str">
        <f ca="1">Проект!$A$300</f>
        <v xml:space="preserve">    величина платежей (с НДС)</v>
      </c>
      <c r="B51" s="334">
        <f>Проект!$B$300</f>
        <v>1</v>
      </c>
      <c r="C51" s="88" t="str">
        <f ca="1">Проект!$C$300</f>
        <v>руб.</v>
      </c>
      <c r="D51" s="101" t="str">
        <f>Проект!$D$300</f>
        <v>1_00</v>
      </c>
      <c r="E51" s="52"/>
      <c r="F51" s="335">
        <f>Проект!$F$300</f>
        <v>0</v>
      </c>
      <c r="G51" s="335">
        <f>Проект!$G$300</f>
        <v>0</v>
      </c>
      <c r="H51" s="335">
        <f>Проект!$H$300</f>
        <v>0</v>
      </c>
      <c r="I51" s="335">
        <f>Проект!$I$300</f>
        <v>0</v>
      </c>
      <c r="J51" s="335">
        <f>Проект!$J$300</f>
        <v>0</v>
      </c>
      <c r="K51" s="335">
        <f>Проект!$K$300</f>
        <v>0</v>
      </c>
      <c r="L51" s="335">
        <f>Проект!$L$300</f>
        <v>0</v>
      </c>
      <c r="M51" s="335">
        <f>Проект!$M$300</f>
        <v>0</v>
      </c>
      <c r="N51" s="335" t="e">
        <f>Проект!#REF!</f>
        <v>#REF!</v>
      </c>
      <c r="O51" s="335" t="e">
        <f>Проект!#REF!</f>
        <v>#REF!</v>
      </c>
      <c r="P51" s="335" t="e">
        <f>Проект!#REF!</f>
        <v>#REF!</v>
      </c>
      <c r="Q51" s="335">
        <f>Проект!$Q$300</f>
        <v>0</v>
      </c>
      <c r="R51" s="52"/>
      <c r="S51" s="94">
        <f>Проект!$S$300</f>
        <v>0</v>
      </c>
    </row>
    <row r="52" spans="1:19" hidden="1" x14ac:dyDescent="0.2">
      <c r="A52" s="48" t="str">
        <f ca="1">Проект!$A$301</f>
        <v xml:space="preserve">    ранее осуществленные инвестиции (без НДС)</v>
      </c>
      <c r="B52" s="336">
        <f>Проект!$B$301</f>
        <v>0</v>
      </c>
      <c r="C52" s="88" t="str">
        <f ca="1">Проект!$C$301</f>
        <v>руб.</v>
      </c>
      <c r="D52" s="52" t="str">
        <f>Проект!$D$301</f>
        <v>1_20;set_0</v>
      </c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41"/>
    </row>
    <row r="53" spans="1:19" hidden="1" x14ac:dyDescent="0.2">
      <c r="A53" s="48" t="str">
        <f ca="1">Проект!$A$302</f>
        <v xml:space="preserve">    поставить на баланс с</v>
      </c>
      <c r="B53" s="337">
        <f ca="1">Проект!$B$302</f>
        <v>1</v>
      </c>
      <c r="C53" s="88" t="str">
        <f ca="1">Проект!$C$302</f>
        <v>периода</v>
      </c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41"/>
    </row>
    <row r="54" spans="1:19" hidden="1" x14ac:dyDescent="0.2">
      <c r="A54" s="48" t="str">
        <f ca="1">Проект!$A$303</f>
        <v xml:space="preserve">    амортизация (линейная),       для срока использования:</v>
      </c>
      <c r="B54" s="337">
        <f>Проект!$B$303</f>
        <v>20</v>
      </c>
      <c r="C54" s="88" t="str">
        <f ca="1">Проект!$C$303</f>
        <v>лет</v>
      </c>
      <c r="D54" s="343" t="str">
        <f>Проект!$D$303</f>
        <v>1_02</v>
      </c>
      <c r="E54" s="52"/>
      <c r="F54" s="84">
        <f ca="1">Проект!$F$303</f>
        <v>0</v>
      </c>
      <c r="G54" s="84">
        <f ca="1">Проект!$G$303</f>
        <v>0</v>
      </c>
      <c r="H54" s="84">
        <f ca="1">Проект!$H$303</f>
        <v>0</v>
      </c>
      <c r="I54" s="84">
        <f ca="1">Проект!$I$303</f>
        <v>0</v>
      </c>
      <c r="J54" s="84">
        <f ca="1">Проект!$J$303</f>
        <v>0</v>
      </c>
      <c r="K54" s="84">
        <f ca="1">Проект!$K$303</f>
        <v>0</v>
      </c>
      <c r="L54" s="84">
        <f ca="1">Проект!$L$303</f>
        <v>0</v>
      </c>
      <c r="M54" s="84">
        <f ca="1">Проект!$M$303</f>
        <v>0</v>
      </c>
      <c r="N54" s="84" t="e">
        <f>Проект!#REF!</f>
        <v>#REF!</v>
      </c>
      <c r="O54" s="84" t="e">
        <f>Проект!#REF!</f>
        <v>#REF!</v>
      </c>
      <c r="P54" s="84" t="e">
        <f>Проект!#REF!</f>
        <v>#REF!</v>
      </c>
      <c r="Q54" s="84">
        <f ca="1">Проект!$Q$303</f>
        <v>0</v>
      </c>
      <c r="R54" s="52"/>
      <c r="S54" s="94">
        <f ca="1">Проект!$S$303</f>
        <v>0</v>
      </c>
    </row>
    <row r="55" spans="1:19" hidden="1" x14ac:dyDescent="0.2">
      <c r="A55" s="48" t="str">
        <f ca="1">Проект!$A$304</f>
        <v xml:space="preserve">    амортизация (ускоренная),    для срока использования:</v>
      </c>
      <c r="B55" s="337">
        <f>Проект!$B$304</f>
        <v>0</v>
      </c>
      <c r="C55" s="88" t="str">
        <f ca="1">Проект!$C$304</f>
        <v>лет</v>
      </c>
      <c r="D55" s="52" t="str">
        <f>Проект!$D$304</f>
        <v>1_03</v>
      </c>
      <c r="E55" s="52"/>
      <c r="F55" s="84">
        <f ca="1">Проект!$F$304</f>
        <v>0</v>
      </c>
      <c r="G55" s="84">
        <f ca="1">Проект!$G$304</f>
        <v>0</v>
      </c>
      <c r="H55" s="84">
        <f ca="1">Проект!$H$304</f>
        <v>0</v>
      </c>
      <c r="I55" s="84">
        <f ca="1">Проект!$I$304</f>
        <v>0</v>
      </c>
      <c r="J55" s="84">
        <f ca="1">Проект!$J$304</f>
        <v>0</v>
      </c>
      <c r="K55" s="84">
        <f ca="1">Проект!$K$304</f>
        <v>0</v>
      </c>
      <c r="L55" s="84">
        <f ca="1">Проект!$L$304</f>
        <v>0</v>
      </c>
      <c r="M55" s="84">
        <f ca="1">Проект!$M$304</f>
        <v>0</v>
      </c>
      <c r="N55" s="84" t="e">
        <f>Проект!#REF!</f>
        <v>#REF!</v>
      </c>
      <c r="O55" s="84" t="e">
        <f>Проект!#REF!</f>
        <v>#REF!</v>
      </c>
      <c r="P55" s="84" t="e">
        <f>Проект!#REF!</f>
        <v>#REF!</v>
      </c>
      <c r="Q55" s="84">
        <f ca="1">Проект!$Q$304</f>
        <v>0</v>
      </c>
      <c r="R55" s="52"/>
      <c r="S55" s="94">
        <f ca="1">Проект!$S$304</f>
        <v>0</v>
      </c>
    </row>
    <row r="56" spans="1:19" hidden="1" x14ac:dyDescent="0.2">
      <c r="A56" s="48" t="str">
        <f ca="1">Проект!$A$305</f>
        <v xml:space="preserve">    выплаченный НДС</v>
      </c>
      <c r="B56" s="344">
        <f>Проект!$B$305</f>
        <v>0</v>
      </c>
      <c r="C56" s="88" t="str">
        <f ca="1">Проект!$C$305</f>
        <v>руб.</v>
      </c>
      <c r="D56" s="52" t="str">
        <f>Проект!$D$305</f>
        <v>1_04</v>
      </c>
      <c r="E56" s="52"/>
      <c r="F56" s="83">
        <f>Проект!$F$305</f>
        <v>0</v>
      </c>
      <c r="G56" s="83">
        <f>Проект!$G$305</f>
        <v>0</v>
      </c>
      <c r="H56" s="83">
        <f>Проект!$H$305</f>
        <v>0</v>
      </c>
      <c r="I56" s="83">
        <f>Проект!$I$305</f>
        <v>0</v>
      </c>
      <c r="J56" s="83">
        <f>Проект!$J$305</f>
        <v>0</v>
      </c>
      <c r="K56" s="83">
        <f>Проект!$K$305</f>
        <v>0</v>
      </c>
      <c r="L56" s="83">
        <f>Проект!$L$305</f>
        <v>0</v>
      </c>
      <c r="M56" s="83">
        <f>Проект!$M$305</f>
        <v>0</v>
      </c>
      <c r="N56" s="83" t="e">
        <f>Проект!#REF!</f>
        <v>#REF!</v>
      </c>
      <c r="O56" s="83" t="e">
        <f>Проект!#REF!</f>
        <v>#REF!</v>
      </c>
      <c r="P56" s="83" t="e">
        <f>Проект!#REF!</f>
        <v>#REF!</v>
      </c>
      <c r="Q56" s="83">
        <f>Проект!$Q$305</f>
        <v>0</v>
      </c>
      <c r="R56" s="52"/>
      <c r="S56" s="94">
        <f>Проект!$S$305</f>
        <v>0</v>
      </c>
    </row>
    <row r="57" spans="1:19" hidden="1" x14ac:dyDescent="0.2">
      <c r="A57" s="48" t="str">
        <f ca="1">Проект!$A$306</f>
        <v xml:space="preserve">    вариант зачета НДС</v>
      </c>
      <c r="B57" s="334">
        <f>Проект!$B$306</f>
        <v>2</v>
      </c>
      <c r="C57" s="198" t="str">
        <f ca="1">Проект!$C$306</f>
        <v>после постановки актива на баланс</v>
      </c>
      <c r="D57" s="52"/>
      <c r="E57" s="52"/>
      <c r="F57" s="83"/>
      <c r="G57" s="83"/>
      <c r="H57" s="83"/>
      <c r="I57" s="83"/>
      <c r="J57" s="83"/>
      <c r="K57" s="83"/>
      <c r="L57" s="83"/>
      <c r="M57" s="83"/>
      <c r="N57" s="83"/>
      <c r="O57" s="83"/>
      <c r="P57" s="83"/>
      <c r="Q57" s="83"/>
      <c r="R57" s="52"/>
      <c r="S57" s="94"/>
    </row>
    <row r="58" spans="1:19" hidden="1" x14ac:dyDescent="0.2">
      <c r="A58" s="48" t="str">
        <f ca="1">Проект!$A$307</f>
        <v xml:space="preserve">    сумма платежей без НДС</v>
      </c>
      <c r="B58" s="52"/>
      <c r="C58" s="88" t="str">
        <f ca="1">Проект!$C$307</f>
        <v>руб.</v>
      </c>
      <c r="D58" s="52" t="str">
        <f>Проект!$D$307</f>
        <v>1_01</v>
      </c>
      <c r="E58" s="52"/>
      <c r="F58" s="84">
        <f>Проект!$F$307</f>
        <v>0</v>
      </c>
      <c r="G58" s="84">
        <f>Проект!$G$307</f>
        <v>0</v>
      </c>
      <c r="H58" s="84">
        <f>Проект!$H$307</f>
        <v>0</v>
      </c>
      <c r="I58" s="84">
        <f>Проект!$I$307</f>
        <v>0</v>
      </c>
      <c r="J58" s="84">
        <f>Проект!$J$307</f>
        <v>0</v>
      </c>
      <c r="K58" s="84">
        <f>Проект!$K$307</f>
        <v>0</v>
      </c>
      <c r="L58" s="84">
        <f>Проект!$L$307</f>
        <v>0</v>
      </c>
      <c r="M58" s="84">
        <f>Проект!$M$307</f>
        <v>0</v>
      </c>
      <c r="N58" s="84" t="e">
        <f>Проект!#REF!</f>
        <v>#REF!</v>
      </c>
      <c r="O58" s="84" t="e">
        <f>Проект!#REF!</f>
        <v>#REF!</v>
      </c>
      <c r="P58" s="84" t="e">
        <f>Проект!#REF!</f>
        <v>#REF!</v>
      </c>
      <c r="Q58" s="84">
        <f>Проект!$Q$307</f>
        <v>0</v>
      </c>
      <c r="R58" s="52"/>
      <c r="S58" s="94">
        <f>Проект!$S$307</f>
        <v>0</v>
      </c>
    </row>
    <row r="59" spans="1:19" ht="10.5" hidden="1" x14ac:dyDescent="0.2">
      <c r="A59" s="48" t="str">
        <f ca="1">Проект!$A$308</f>
        <v xml:space="preserve">    общая стоимость актива (без НДС)</v>
      </c>
      <c r="B59" s="312">
        <f>Проект!$B$308</f>
        <v>0</v>
      </c>
      <c r="C59" s="88" t="str">
        <f ca="1">Проект!$C$308</f>
        <v>руб.</v>
      </c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41"/>
    </row>
    <row r="60" spans="1:19" hidden="1" x14ac:dyDescent="0.2">
      <c r="A60" s="48" t="str">
        <f ca="1">Проект!$A$309</f>
        <v xml:space="preserve">    полная сумма вложений в актив (без НДС)</v>
      </c>
      <c r="B60" s="52"/>
      <c r="C60" s="88" t="str">
        <f ca="1">Проект!$C$309</f>
        <v>руб.</v>
      </c>
      <c r="D60" s="52" t="str">
        <f>Проект!$D$309</f>
        <v>1_05; int_end</v>
      </c>
      <c r="E60" s="52"/>
      <c r="F60" s="84">
        <f>Проект!$F$309</f>
        <v>0</v>
      </c>
      <c r="G60" s="84">
        <f>Проект!$G$309</f>
        <v>0</v>
      </c>
      <c r="H60" s="84">
        <f>Проект!$H$309</f>
        <v>0</v>
      </c>
      <c r="I60" s="84">
        <f>Проект!$I$309</f>
        <v>0</v>
      </c>
      <c r="J60" s="84">
        <f>Проект!$J$309</f>
        <v>0</v>
      </c>
      <c r="K60" s="84">
        <f>Проект!$K$309</f>
        <v>0</v>
      </c>
      <c r="L60" s="84">
        <f>Проект!$L$309</f>
        <v>0</v>
      </c>
      <c r="M60" s="84">
        <f>Проект!$M$309</f>
        <v>0</v>
      </c>
      <c r="N60" s="84" t="e">
        <f>Проект!#REF!</f>
        <v>#REF!</v>
      </c>
      <c r="O60" s="84" t="e">
        <f>Проект!#REF!</f>
        <v>#REF!</v>
      </c>
      <c r="P60" s="84" t="e">
        <f>Проект!#REF!</f>
        <v>#REF!</v>
      </c>
      <c r="Q60" s="84">
        <f>Проект!$Q$309</f>
        <v>0</v>
      </c>
      <c r="R60" s="52"/>
      <c r="S60" s="94"/>
    </row>
    <row r="61" spans="1:19" hidden="1" x14ac:dyDescent="0.2">
      <c r="A61" s="48" t="str">
        <f ca="1">Проект!$A$310</f>
        <v xml:space="preserve">    полная балансовая стоимость</v>
      </c>
      <c r="B61" s="52"/>
      <c r="C61" s="88" t="str">
        <f ca="1">Проект!$C$310</f>
        <v>руб.</v>
      </c>
      <c r="D61" s="52" t="str">
        <f>Проект!$D$310</f>
        <v>1_06; int_end</v>
      </c>
      <c r="E61" s="52"/>
      <c r="F61" s="84">
        <f ca="1">Проект!$F$310</f>
        <v>0</v>
      </c>
      <c r="G61" s="84">
        <f ca="1">Проект!$G$310</f>
        <v>0</v>
      </c>
      <c r="H61" s="84">
        <f ca="1">Проект!$H$310</f>
        <v>0</v>
      </c>
      <c r="I61" s="84">
        <f ca="1">Проект!$I$310</f>
        <v>0</v>
      </c>
      <c r="J61" s="84">
        <f ca="1">Проект!$J$310</f>
        <v>0</v>
      </c>
      <c r="K61" s="84">
        <f ca="1">Проект!$K$310</f>
        <v>0</v>
      </c>
      <c r="L61" s="84">
        <f ca="1">Проект!$L$310</f>
        <v>0</v>
      </c>
      <c r="M61" s="84">
        <f ca="1">Проект!$M$310</f>
        <v>0</v>
      </c>
      <c r="N61" s="84" t="e">
        <f>Проект!#REF!</f>
        <v>#REF!</v>
      </c>
      <c r="O61" s="84" t="e">
        <f>Проект!#REF!</f>
        <v>#REF!</v>
      </c>
      <c r="P61" s="84" t="e">
        <f>Проект!#REF!</f>
        <v>#REF!</v>
      </c>
      <c r="Q61" s="84">
        <f ca="1">Проект!$Q$310</f>
        <v>0</v>
      </c>
      <c r="R61" s="52"/>
      <c r="S61" s="41"/>
    </row>
    <row r="62" spans="1:19" hidden="1" x14ac:dyDescent="0.2">
      <c r="A62" s="48" t="str">
        <f ca="1">Проект!$A$311</f>
        <v xml:space="preserve">    незавершенные инвестиции</v>
      </c>
      <c r="B62" s="52"/>
      <c r="C62" s="88" t="str">
        <f ca="1">Проект!$C$311</f>
        <v>руб.</v>
      </c>
      <c r="D62" s="52" t="str">
        <f>Проект!$D$311</f>
        <v>1_07; int_end</v>
      </c>
      <c r="E62" s="52"/>
      <c r="F62" s="84">
        <f ca="1">Проект!$F$311</f>
        <v>0</v>
      </c>
      <c r="G62" s="84">
        <f ca="1">Проект!$G$311</f>
        <v>0</v>
      </c>
      <c r="H62" s="84">
        <f ca="1">Проект!$H$311</f>
        <v>0</v>
      </c>
      <c r="I62" s="84">
        <f ca="1">Проект!$I$311</f>
        <v>0</v>
      </c>
      <c r="J62" s="84">
        <f ca="1">Проект!$J$311</f>
        <v>0</v>
      </c>
      <c r="K62" s="84">
        <f ca="1">Проект!$K$311</f>
        <v>0</v>
      </c>
      <c r="L62" s="84">
        <f ca="1">Проект!$L$311</f>
        <v>0</v>
      </c>
      <c r="M62" s="84">
        <f ca="1">Проект!$M$311</f>
        <v>0</v>
      </c>
      <c r="N62" s="84" t="e">
        <f>Проект!#REF!</f>
        <v>#REF!</v>
      </c>
      <c r="O62" s="84" t="e">
        <f>Проект!#REF!</f>
        <v>#REF!</v>
      </c>
      <c r="P62" s="84" t="e">
        <f>Проект!#REF!</f>
        <v>#REF!</v>
      </c>
      <c r="Q62" s="84">
        <f ca="1">Проект!$Q$311</f>
        <v>0</v>
      </c>
      <c r="R62" s="52"/>
      <c r="S62" s="41"/>
    </row>
    <row r="63" spans="1:19" hidden="1" x14ac:dyDescent="0.2">
      <c r="A63" s="48" t="str">
        <f ca="1">Проект!$A$312</f>
        <v xml:space="preserve">    кредиторская задолженность</v>
      </c>
      <c r="B63" s="52"/>
      <c r="C63" s="88" t="str">
        <f ca="1">Проект!$C$312</f>
        <v>руб.</v>
      </c>
      <c r="D63" s="52" t="str">
        <f>Проект!$D$312</f>
        <v>1_08; int_end</v>
      </c>
      <c r="E63" s="52"/>
      <c r="F63" s="84">
        <f ca="1">Проект!$F$312</f>
        <v>0</v>
      </c>
      <c r="G63" s="84">
        <f ca="1">Проект!$G$312</f>
        <v>0</v>
      </c>
      <c r="H63" s="84">
        <f ca="1">Проект!$H$312</f>
        <v>0</v>
      </c>
      <c r="I63" s="84">
        <f ca="1">Проект!$I$312</f>
        <v>0</v>
      </c>
      <c r="J63" s="84">
        <f ca="1">Проект!$J$312</f>
        <v>0</v>
      </c>
      <c r="K63" s="84">
        <f ca="1">Проект!$K$312</f>
        <v>0</v>
      </c>
      <c r="L63" s="84">
        <f ca="1">Проект!$L$312</f>
        <v>0</v>
      </c>
      <c r="M63" s="84">
        <f ca="1">Проект!$M$312</f>
        <v>0</v>
      </c>
      <c r="N63" s="84" t="e">
        <f>Проект!#REF!</f>
        <v>#REF!</v>
      </c>
      <c r="O63" s="84" t="e">
        <f>Проект!#REF!</f>
        <v>#REF!</v>
      </c>
      <c r="P63" s="84" t="e">
        <f>Проект!#REF!</f>
        <v>#REF!</v>
      </c>
      <c r="Q63" s="84">
        <f ca="1">Проект!$Q$312</f>
        <v>0</v>
      </c>
      <c r="R63" s="52"/>
      <c r="S63" s="41"/>
    </row>
    <row r="64" spans="1:19" hidden="1" x14ac:dyDescent="0.2">
      <c r="A64" s="48" t="str">
        <f ca="1">Проект!$A$313</f>
        <v xml:space="preserve">    накопленная амортизация</v>
      </c>
      <c r="B64" s="52"/>
      <c r="C64" s="88" t="str">
        <f ca="1">Проект!$C$313</f>
        <v>руб.</v>
      </c>
      <c r="D64" s="52" t="str">
        <f>Проект!$D$313</f>
        <v>1_09; int_end</v>
      </c>
      <c r="E64" s="52"/>
      <c r="F64" s="84">
        <f ca="1">Проект!$F$313</f>
        <v>0</v>
      </c>
      <c r="G64" s="84">
        <f ca="1">Проект!$G$313</f>
        <v>0</v>
      </c>
      <c r="H64" s="84">
        <f ca="1">Проект!$H$313</f>
        <v>0</v>
      </c>
      <c r="I64" s="84">
        <f ca="1">Проект!$I$313</f>
        <v>0</v>
      </c>
      <c r="J64" s="84">
        <f ca="1">Проект!$J$313</f>
        <v>0</v>
      </c>
      <c r="K64" s="84">
        <f ca="1">Проект!$K$313</f>
        <v>0</v>
      </c>
      <c r="L64" s="84">
        <f ca="1">Проект!$L$313</f>
        <v>0</v>
      </c>
      <c r="M64" s="84">
        <f ca="1">Проект!$M$313</f>
        <v>0</v>
      </c>
      <c r="N64" s="84" t="e">
        <f>Проект!#REF!</f>
        <v>#REF!</v>
      </c>
      <c r="O64" s="84" t="e">
        <f>Проект!#REF!</f>
        <v>#REF!</v>
      </c>
      <c r="P64" s="84" t="e">
        <f>Проект!#REF!</f>
        <v>#REF!</v>
      </c>
      <c r="Q64" s="84">
        <f ca="1">Проект!$Q$313</f>
        <v>0</v>
      </c>
      <c r="R64" s="52"/>
      <c r="S64" s="41"/>
    </row>
    <row r="65" spans="1:19" hidden="1" x14ac:dyDescent="0.2">
      <c r="A65" s="48" t="str">
        <f ca="1">Проект!$A$314</f>
        <v xml:space="preserve">    остаточная стоимость</v>
      </c>
      <c r="B65" s="52"/>
      <c r="C65" s="88" t="str">
        <f ca="1">Проект!$C$314</f>
        <v>руб.</v>
      </c>
      <c r="D65" s="52" t="str">
        <f>Проект!$D$314</f>
        <v>1_10; int_end</v>
      </c>
      <c r="E65" s="52"/>
      <c r="F65" s="106">
        <f ca="1">Проект!$F$314</f>
        <v>0</v>
      </c>
      <c r="G65" s="106">
        <f ca="1">Проект!$G$314</f>
        <v>0</v>
      </c>
      <c r="H65" s="106">
        <f ca="1">Проект!$H$314</f>
        <v>0</v>
      </c>
      <c r="I65" s="106">
        <f ca="1">Проект!$I$314</f>
        <v>0</v>
      </c>
      <c r="J65" s="106">
        <f ca="1">Проект!$J$314</f>
        <v>0</v>
      </c>
      <c r="K65" s="106">
        <f ca="1">Проект!$K$314</f>
        <v>0</v>
      </c>
      <c r="L65" s="106">
        <f ca="1">Проект!$L$314</f>
        <v>0</v>
      </c>
      <c r="M65" s="106">
        <f ca="1">Проект!$M$314</f>
        <v>0</v>
      </c>
      <c r="N65" s="106" t="e">
        <f>Проект!#REF!</f>
        <v>#REF!</v>
      </c>
      <c r="O65" s="106" t="e">
        <f>Проект!#REF!</f>
        <v>#REF!</v>
      </c>
      <c r="P65" s="106" t="e">
        <f>Проект!#REF!</f>
        <v>#REF!</v>
      </c>
      <c r="Q65" s="106">
        <f ca="1">Проект!$Q$314</f>
        <v>0</v>
      </c>
      <c r="R65" s="52"/>
      <c r="S65" s="41"/>
    </row>
    <row r="66" spans="1:19" hidden="1" x14ac:dyDescent="0.2">
      <c r="A66" s="48" t="str">
        <f ca="1">Проект!$A$315</f>
        <v xml:space="preserve">    НДС к ранее осуществленным инвестициям</v>
      </c>
      <c r="B66" s="345">
        <f>Проект!$B$315</f>
        <v>0</v>
      </c>
      <c r="C66" s="88" t="str">
        <f ca="1">Проект!$C$315</f>
        <v>руб.</v>
      </c>
      <c r="D66" s="52" t="str">
        <f>Проект!$D$315</f>
        <v>1_11</v>
      </c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41"/>
    </row>
    <row r="67" spans="1:19" hidden="1" x14ac:dyDescent="0.2">
      <c r="A67" s="48" t="str">
        <f ca="1">Проект!$A$316</f>
        <v xml:space="preserve">    зачет НДС</v>
      </c>
      <c r="B67" s="52"/>
      <c r="C67" s="88" t="str">
        <f ca="1">Проект!$C$316</f>
        <v>руб.</v>
      </c>
      <c r="D67" s="338" t="str">
        <f>Проект!$D$316</f>
        <v>1_12</v>
      </c>
      <c r="E67" s="52"/>
      <c r="F67" s="83">
        <f ca="1">Проект!$F$316</f>
        <v>0</v>
      </c>
      <c r="G67" s="83">
        <f ca="1">Проект!$G$316</f>
        <v>0</v>
      </c>
      <c r="H67" s="83">
        <f ca="1">Проект!$H$316</f>
        <v>0</v>
      </c>
      <c r="I67" s="83">
        <f ca="1">Проект!$I$316</f>
        <v>0</v>
      </c>
      <c r="J67" s="83">
        <f ca="1">Проект!$J$316</f>
        <v>0</v>
      </c>
      <c r="K67" s="83">
        <f ca="1">Проект!$K$316</f>
        <v>0</v>
      </c>
      <c r="L67" s="83">
        <f ca="1">Проект!$L$316</f>
        <v>0</v>
      </c>
      <c r="M67" s="83">
        <f ca="1">Проект!$M$316</f>
        <v>0</v>
      </c>
      <c r="N67" s="83" t="e">
        <f>Проект!#REF!</f>
        <v>#REF!</v>
      </c>
      <c r="O67" s="83" t="e">
        <f>Проект!#REF!</f>
        <v>#REF!</v>
      </c>
      <c r="P67" s="83" t="e">
        <f>Проект!#REF!</f>
        <v>#REF!</v>
      </c>
      <c r="Q67" s="83">
        <f ca="1">Проект!$Q$316</f>
        <v>0</v>
      </c>
      <c r="R67" s="52"/>
      <c r="S67" s="94">
        <f ca="1">Проект!$S$316</f>
        <v>0</v>
      </c>
    </row>
    <row r="68" spans="1:19" hidden="1" x14ac:dyDescent="0.2">
      <c r="A68" s="76" t="str">
        <f ca="1">Проект!$A$317</f>
        <v xml:space="preserve">    реализация актива (без НДС)</v>
      </c>
      <c r="B68" s="339"/>
      <c r="C68" s="340" t="str">
        <f ca="1">Проект!$C$317</f>
        <v>руб.</v>
      </c>
      <c r="D68" s="52" t="str">
        <f>Проект!$D$317</f>
        <v>1_13</v>
      </c>
      <c r="E68" s="339"/>
      <c r="F68" s="341">
        <f>Проект!$F$317</f>
        <v>0</v>
      </c>
      <c r="G68" s="341">
        <f>Проект!$G$317</f>
        <v>0</v>
      </c>
      <c r="H68" s="341">
        <f>Проект!$H$317</f>
        <v>0</v>
      </c>
      <c r="I68" s="341">
        <f>Проект!$I$317</f>
        <v>0</v>
      </c>
      <c r="J68" s="341">
        <f>Проект!$J$317</f>
        <v>0</v>
      </c>
      <c r="K68" s="341">
        <f>Проект!$K$317</f>
        <v>0</v>
      </c>
      <c r="L68" s="341">
        <f>Проект!$L$317</f>
        <v>0</v>
      </c>
      <c r="M68" s="341">
        <f>Проект!$M$317</f>
        <v>0</v>
      </c>
      <c r="N68" s="341" t="e">
        <f>Проект!#REF!</f>
        <v>#REF!</v>
      </c>
      <c r="O68" s="341" t="e">
        <f>Проект!#REF!</f>
        <v>#REF!</v>
      </c>
      <c r="P68" s="341" t="e">
        <f>Проект!#REF!</f>
        <v>#REF!</v>
      </c>
      <c r="Q68" s="341">
        <f>Проект!$Q$317</f>
        <v>0</v>
      </c>
      <c r="R68" s="52"/>
      <c r="S68" s="94">
        <f>Проект!$S$317</f>
        <v>0</v>
      </c>
    </row>
    <row r="69" spans="1:19" hidden="1" x14ac:dyDescent="0.2">
      <c r="A69" s="45" t="str">
        <f ca="1">Проект!$A$318</f>
        <v xml:space="preserve">    прибыль/убыток от реализации актива</v>
      </c>
      <c r="B69" s="128"/>
      <c r="C69" s="342" t="str">
        <f ca="1">Проект!$C$318</f>
        <v>руб.</v>
      </c>
      <c r="D69" s="52" t="str">
        <f>Проект!$D$318</f>
        <v>1_14</v>
      </c>
      <c r="E69" s="128"/>
      <c r="F69" s="83">
        <f>Проект!$F$318</f>
        <v>0</v>
      </c>
      <c r="G69" s="83">
        <f>Проект!$G$318</f>
        <v>0</v>
      </c>
      <c r="H69" s="83">
        <f>Проект!$H$318</f>
        <v>0</v>
      </c>
      <c r="I69" s="83">
        <f>Проект!$I$318</f>
        <v>0</v>
      </c>
      <c r="J69" s="83">
        <f>Проект!$J$318</f>
        <v>0</v>
      </c>
      <c r="K69" s="83">
        <f>Проект!$K$318</f>
        <v>0</v>
      </c>
      <c r="L69" s="83">
        <f>Проект!$L$318</f>
        <v>0</v>
      </c>
      <c r="M69" s="83">
        <f>Проект!$M$318</f>
        <v>0</v>
      </c>
      <c r="N69" s="83" t="e">
        <f>Проект!#REF!</f>
        <v>#REF!</v>
      </c>
      <c r="O69" s="83" t="e">
        <f>Проект!#REF!</f>
        <v>#REF!</v>
      </c>
      <c r="P69" s="83" t="e">
        <f>Проект!#REF!</f>
        <v>#REF!</v>
      </c>
      <c r="Q69" s="83">
        <f>Проект!$Q$318</f>
        <v>0</v>
      </c>
      <c r="R69" s="52"/>
      <c r="S69" s="94">
        <f>Проект!$S$318</f>
        <v>0</v>
      </c>
    </row>
    <row r="70" spans="1:19" hidden="1" x14ac:dyDescent="0.2">
      <c r="A70" s="48" t="str">
        <f ca="1">Проект!$A$319</f>
        <v xml:space="preserve">    НДС к выручке от реализации актива</v>
      </c>
      <c r="B70" s="344">
        <f>Проект!$B$319</f>
        <v>0</v>
      </c>
      <c r="C70" s="88" t="str">
        <f ca="1">Проект!$C$319</f>
        <v>руб.</v>
      </c>
      <c r="D70" s="52" t="str">
        <f>Проект!$D$319</f>
        <v>1_15</v>
      </c>
      <c r="E70" s="52"/>
      <c r="F70" s="48">
        <f>Проект!$F$319</f>
        <v>0</v>
      </c>
      <c r="G70" s="48">
        <f>Проект!$G$319</f>
        <v>0</v>
      </c>
      <c r="H70" s="48">
        <f>Проект!$H$319</f>
        <v>0</v>
      </c>
      <c r="I70" s="48">
        <f>Проект!$I$319</f>
        <v>0</v>
      </c>
      <c r="J70" s="48">
        <f>Проект!$J$319</f>
        <v>0</v>
      </c>
      <c r="K70" s="48">
        <f>Проект!$K$319</f>
        <v>0</v>
      </c>
      <c r="L70" s="48">
        <f>Проект!$L$319</f>
        <v>0</v>
      </c>
      <c r="M70" s="48">
        <f>Проект!$M$319</f>
        <v>0</v>
      </c>
      <c r="N70" s="48" t="e">
        <f>Проект!#REF!</f>
        <v>#REF!</v>
      </c>
      <c r="O70" s="48" t="e">
        <f>Проект!#REF!</f>
        <v>#REF!</v>
      </c>
      <c r="P70" s="48" t="e">
        <f>Проект!#REF!</f>
        <v>#REF!</v>
      </c>
      <c r="Q70" s="48">
        <f>Проект!$Q$319</f>
        <v>0</v>
      </c>
      <c r="R70" s="52"/>
      <c r="S70" s="94">
        <f>Проект!$S$319</f>
        <v>0</v>
      </c>
    </row>
    <row r="71" spans="1:19" ht="11.25" customHeight="1" x14ac:dyDescent="0.2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1"/>
    </row>
    <row r="72" spans="1:19" ht="11.25" customHeight="1" x14ac:dyDescent="0.25">
      <c r="A72" s="130" t="str">
        <f ca="1">Проект!$A$321</f>
        <v>Оборудование и другие активы</v>
      </c>
      <c r="B72" s="48"/>
      <c r="C72" s="48"/>
      <c r="D72" s="48">
        <f>Проект!$D$321</f>
        <v>1</v>
      </c>
      <c r="E72" s="48">
        <f>Проект!$E$321</f>
        <v>24</v>
      </c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1"/>
    </row>
    <row r="73" spans="1:19" ht="11.25" customHeight="1" x14ac:dyDescent="0.2">
      <c r="A73" s="333" t="str">
        <f>Проект!$A$322</f>
        <v>Наименование</v>
      </c>
      <c r="B73" s="197" t="str">
        <f ca="1">Проект!$B$322</f>
        <v>Валюта</v>
      </c>
      <c r="C73" s="52"/>
      <c r="D73" s="52"/>
      <c r="E73" s="5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52"/>
      <c r="S73" s="92"/>
    </row>
    <row r="74" spans="1:19" ht="11.25" customHeight="1" x14ac:dyDescent="0.2">
      <c r="A74" s="48" t="str">
        <f ca="1">Проект!$A$323</f>
        <v xml:space="preserve">    величина платежей (с НДС)</v>
      </c>
      <c r="B74" s="334">
        <f>Проект!$B$323</f>
        <v>1</v>
      </c>
      <c r="C74" s="88" t="str">
        <f ca="1">Проект!$C$323</f>
        <v>руб.</v>
      </c>
      <c r="D74" s="101" t="str">
        <f>Проект!$D$323</f>
        <v>1_00</v>
      </c>
      <c r="E74" s="52"/>
      <c r="F74" s="335">
        <f>Проект!$F$323</f>
        <v>0</v>
      </c>
      <c r="G74" s="335">
        <f>Проект!$G$323</f>
        <v>0</v>
      </c>
      <c r="H74" s="335">
        <f>Проект!$H$323</f>
        <v>0</v>
      </c>
      <c r="I74" s="335">
        <f>Проект!$I$323</f>
        <v>0</v>
      </c>
      <c r="J74" s="335">
        <f>Проект!$J$323</f>
        <v>0</v>
      </c>
      <c r="K74" s="335">
        <f>Проект!$K$323</f>
        <v>0</v>
      </c>
      <c r="L74" s="335">
        <f>Проект!$L$323</f>
        <v>0</v>
      </c>
      <c r="M74" s="335">
        <f>Проект!$M$323</f>
        <v>0</v>
      </c>
      <c r="N74" s="335" t="e">
        <f>Проект!#REF!</f>
        <v>#REF!</v>
      </c>
      <c r="O74" s="335" t="e">
        <f>Проект!#REF!</f>
        <v>#REF!</v>
      </c>
      <c r="P74" s="335" t="e">
        <f>Проект!#REF!</f>
        <v>#REF!</v>
      </c>
      <c r="Q74" s="335">
        <f>Проект!$Q$323</f>
        <v>0</v>
      </c>
      <c r="R74" s="52"/>
      <c r="S74" s="94">
        <f>Проект!$S$323</f>
        <v>0</v>
      </c>
    </row>
    <row r="75" spans="1:19" hidden="1" x14ac:dyDescent="0.2">
      <c r="A75" s="48" t="str">
        <f ca="1">Проект!$A$324</f>
        <v xml:space="preserve">    ранее осуществленные инвестиции (без НДС)</v>
      </c>
      <c r="B75" s="336">
        <f>Проект!$B$324</f>
        <v>0</v>
      </c>
      <c r="C75" s="88" t="str">
        <f ca="1">Проект!$C$324</f>
        <v>руб.</v>
      </c>
      <c r="D75" s="52" t="str">
        <f>Проект!$D$324</f>
        <v>1_20;set_0</v>
      </c>
      <c r="E75" s="52"/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41"/>
    </row>
    <row r="76" spans="1:19" hidden="1" x14ac:dyDescent="0.2">
      <c r="A76" s="48" t="str">
        <f ca="1">Проект!$A$325</f>
        <v xml:space="preserve">    поставить на баланс с</v>
      </c>
      <c r="B76" s="337">
        <f ca="1">Проект!$B$325</f>
        <v>1</v>
      </c>
      <c r="C76" s="88" t="str">
        <f ca="1">Проект!$C$325</f>
        <v>периода</v>
      </c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41"/>
    </row>
    <row r="77" spans="1:19" hidden="1" x14ac:dyDescent="0.2">
      <c r="A77" s="74" t="str">
        <f ca="1">Проект!$A$326</f>
        <v xml:space="preserve">    импорт?</v>
      </c>
      <c r="B77" s="334">
        <f>Проект!$B$326</f>
        <v>2</v>
      </c>
      <c r="C77" s="346" t="str">
        <f ca="1">Проект!$C$326</f>
        <v>нет</v>
      </c>
      <c r="D77" s="74"/>
      <c r="E77" s="74"/>
      <c r="F77" s="83"/>
      <c r="G77" s="83"/>
      <c r="H77" s="83"/>
      <c r="I77" s="83"/>
      <c r="J77" s="83"/>
      <c r="K77" s="83"/>
      <c r="L77" s="83"/>
      <c r="M77" s="83"/>
      <c r="N77" s="83"/>
      <c r="O77" s="83"/>
      <c r="P77" s="83"/>
      <c r="Q77" s="83"/>
      <c r="R77" s="83"/>
      <c r="S77" s="347"/>
    </row>
    <row r="78" spans="1:19" hidden="1" x14ac:dyDescent="0.2">
      <c r="A78" s="74" t="str">
        <f ca="1">Проект!$A$327</f>
        <v xml:space="preserve">    пересечение границы при импорте</v>
      </c>
      <c r="B78" s="348">
        <f>Проект!$B$327</f>
        <v>1</v>
      </c>
      <c r="C78" s="50" t="str">
        <f ca="1">Проект!$C$327</f>
        <v>период</v>
      </c>
      <c r="D78" s="101"/>
      <c r="E78" s="101"/>
      <c r="F78" s="83"/>
      <c r="G78" s="83"/>
      <c r="H78" s="83"/>
      <c r="I78" s="83"/>
      <c r="J78" s="83"/>
      <c r="K78" s="83"/>
      <c r="L78" s="83"/>
      <c r="M78" s="83"/>
      <c r="N78" s="83"/>
      <c r="O78" s="83"/>
      <c r="P78" s="83"/>
      <c r="Q78" s="83"/>
      <c r="R78" s="83"/>
      <c r="S78" s="347"/>
    </row>
    <row r="79" spans="1:19" hidden="1" x14ac:dyDescent="0.2">
      <c r="A79" s="74" t="str">
        <f ca="1">Проект!$A$328</f>
        <v xml:space="preserve">    импортная пошлина</v>
      </c>
      <c r="B79" s="349">
        <f>Проект!$B$328</f>
        <v>0</v>
      </c>
      <c r="C79" s="342" t="str">
        <f ca="1">Проект!$C$328</f>
        <v>руб.</v>
      </c>
      <c r="D79" s="74" t="str">
        <f>Проект!$D$328</f>
        <v>1_18</v>
      </c>
      <c r="E79" s="74"/>
      <c r="F79" s="83">
        <f>Проект!$F$328</f>
        <v>0</v>
      </c>
      <c r="G79" s="83">
        <f>Проект!$G$328</f>
        <v>0</v>
      </c>
      <c r="H79" s="83">
        <f>Проект!$H$328</f>
        <v>0</v>
      </c>
      <c r="I79" s="83">
        <f>Проект!$I$328</f>
        <v>0</v>
      </c>
      <c r="J79" s="83">
        <f>Проект!$J$328</f>
        <v>0</v>
      </c>
      <c r="K79" s="83">
        <f>Проект!$K$328</f>
        <v>0</v>
      </c>
      <c r="L79" s="83">
        <f>Проект!$L$328</f>
        <v>0</v>
      </c>
      <c r="M79" s="83">
        <f>Проект!$M$328</f>
        <v>0</v>
      </c>
      <c r="N79" s="83" t="e">
        <f>Проект!#REF!</f>
        <v>#REF!</v>
      </c>
      <c r="O79" s="83" t="e">
        <f>Проект!#REF!</f>
        <v>#REF!</v>
      </c>
      <c r="P79" s="83" t="e">
        <f>Проект!#REF!</f>
        <v>#REF!</v>
      </c>
      <c r="Q79" s="83">
        <f>Проект!$Q$328</f>
        <v>0</v>
      </c>
      <c r="R79" s="83"/>
      <c r="S79" s="94">
        <f>Проект!$S$328</f>
        <v>0</v>
      </c>
    </row>
    <row r="80" spans="1:19" hidden="1" x14ac:dyDescent="0.2">
      <c r="A80" s="48" t="str">
        <f ca="1">Проект!$A$329</f>
        <v xml:space="preserve">    амортизация (линейная),       для срока использования:</v>
      </c>
      <c r="B80" s="337">
        <f>Проект!$B$329</f>
        <v>5</v>
      </c>
      <c r="C80" s="88" t="str">
        <f ca="1">Проект!$C$329</f>
        <v>лет</v>
      </c>
      <c r="D80" s="343" t="str">
        <f>Проект!$D$329</f>
        <v>1_02</v>
      </c>
      <c r="E80" s="52"/>
      <c r="F80" s="84">
        <f ca="1">Проект!$F$329</f>
        <v>0</v>
      </c>
      <c r="G80" s="84">
        <f ca="1">Проект!$G$329</f>
        <v>0</v>
      </c>
      <c r="H80" s="84">
        <f ca="1">Проект!$H$329</f>
        <v>0</v>
      </c>
      <c r="I80" s="84">
        <f ca="1">Проект!$I$329</f>
        <v>0</v>
      </c>
      <c r="J80" s="84">
        <f ca="1">Проект!$J$329</f>
        <v>0</v>
      </c>
      <c r="K80" s="84">
        <f ca="1">Проект!$K$329</f>
        <v>0</v>
      </c>
      <c r="L80" s="84">
        <f ca="1">Проект!$L$329</f>
        <v>0</v>
      </c>
      <c r="M80" s="84">
        <f ca="1">Проект!$M$329</f>
        <v>0</v>
      </c>
      <c r="N80" s="84" t="e">
        <f>Проект!#REF!</f>
        <v>#REF!</v>
      </c>
      <c r="O80" s="84" t="e">
        <f>Проект!#REF!</f>
        <v>#REF!</v>
      </c>
      <c r="P80" s="84" t="e">
        <f>Проект!#REF!</f>
        <v>#REF!</v>
      </c>
      <c r="Q80" s="84">
        <f ca="1">Проект!$Q$329</f>
        <v>0</v>
      </c>
      <c r="R80" s="52"/>
      <c r="S80" s="94">
        <f ca="1">Проект!$S$329</f>
        <v>0</v>
      </c>
    </row>
    <row r="81" spans="1:19" hidden="1" x14ac:dyDescent="0.2">
      <c r="A81" s="48" t="str">
        <f ca="1">Проект!$A$330</f>
        <v xml:space="preserve">    амортизация (ускоренная),    для срока использования:</v>
      </c>
      <c r="B81" s="337">
        <f>Проект!$B$330</f>
        <v>0</v>
      </c>
      <c r="C81" s="88" t="str">
        <f ca="1">Проект!$C$330</f>
        <v>лет</v>
      </c>
      <c r="D81" s="52" t="str">
        <f>Проект!$D$330</f>
        <v>1_03</v>
      </c>
      <c r="E81" s="52"/>
      <c r="F81" s="84">
        <f ca="1">Проект!$F$330</f>
        <v>0</v>
      </c>
      <c r="G81" s="84">
        <f ca="1">Проект!$G$330</f>
        <v>0</v>
      </c>
      <c r="H81" s="84">
        <f ca="1">Проект!$H$330</f>
        <v>0</v>
      </c>
      <c r="I81" s="84">
        <f ca="1">Проект!$I$330</f>
        <v>0</v>
      </c>
      <c r="J81" s="84">
        <f ca="1">Проект!$J$330</f>
        <v>0</v>
      </c>
      <c r="K81" s="84">
        <f ca="1">Проект!$K$330</f>
        <v>0</v>
      </c>
      <c r="L81" s="84">
        <f ca="1">Проект!$L$330</f>
        <v>0</v>
      </c>
      <c r="M81" s="84">
        <f ca="1">Проект!$M$330</f>
        <v>0</v>
      </c>
      <c r="N81" s="84" t="e">
        <f>Проект!#REF!</f>
        <v>#REF!</v>
      </c>
      <c r="O81" s="84" t="e">
        <f>Проект!#REF!</f>
        <v>#REF!</v>
      </c>
      <c r="P81" s="84" t="e">
        <f>Проект!#REF!</f>
        <v>#REF!</v>
      </c>
      <c r="Q81" s="84">
        <f ca="1">Проект!$Q$330</f>
        <v>0</v>
      </c>
      <c r="R81" s="52"/>
      <c r="S81" s="94">
        <f ca="1">Проект!$S$330</f>
        <v>0</v>
      </c>
    </row>
    <row r="82" spans="1:19" hidden="1" x14ac:dyDescent="0.2">
      <c r="A82" s="48" t="str">
        <f ca="1">Проект!$A$331</f>
        <v xml:space="preserve">    выплаченный НДС</v>
      </c>
      <c r="B82" s="344">
        <f>Проект!$B$331</f>
        <v>0</v>
      </c>
      <c r="C82" s="88" t="str">
        <f ca="1">Проект!$C$331</f>
        <v>руб.</v>
      </c>
      <c r="D82" s="52" t="str">
        <f>Проект!$D$331</f>
        <v>1_04</v>
      </c>
      <c r="E82" s="52"/>
      <c r="F82" s="83">
        <f>Проект!$F$331</f>
        <v>0</v>
      </c>
      <c r="G82" s="83">
        <f>Проект!$G$331</f>
        <v>0</v>
      </c>
      <c r="H82" s="83">
        <f>Проект!$H$331</f>
        <v>0</v>
      </c>
      <c r="I82" s="83">
        <f>Проект!$I$331</f>
        <v>0</v>
      </c>
      <c r="J82" s="83">
        <f>Проект!$J$331</f>
        <v>0</v>
      </c>
      <c r="K82" s="83">
        <f>Проект!$K$331</f>
        <v>0</v>
      </c>
      <c r="L82" s="83">
        <f>Проект!$L$331</f>
        <v>0</v>
      </c>
      <c r="M82" s="83">
        <f>Проект!$M$331</f>
        <v>0</v>
      </c>
      <c r="N82" s="83" t="e">
        <f>Проект!#REF!</f>
        <v>#REF!</v>
      </c>
      <c r="O82" s="83" t="e">
        <f>Проект!#REF!</f>
        <v>#REF!</v>
      </c>
      <c r="P82" s="83" t="e">
        <f>Проект!#REF!</f>
        <v>#REF!</v>
      </c>
      <c r="Q82" s="83">
        <f>Проект!$Q$331</f>
        <v>0</v>
      </c>
      <c r="R82" s="52"/>
      <c r="S82" s="94">
        <f>Проект!$S$331</f>
        <v>0</v>
      </c>
    </row>
    <row r="83" spans="1:19" hidden="1" x14ac:dyDescent="0.2">
      <c r="A83" s="48" t="str">
        <f ca="1">Проект!$A$332</f>
        <v xml:space="preserve">    вариант зачета НДС</v>
      </c>
      <c r="B83" s="334">
        <f>Проект!$B$332</f>
        <v>2</v>
      </c>
      <c r="C83" s="198" t="str">
        <f ca="1">Проект!$C$332</f>
        <v>после постановки актива на баланс</v>
      </c>
      <c r="D83" s="52"/>
      <c r="E83" s="52"/>
      <c r="F83" s="83"/>
      <c r="G83" s="83"/>
      <c r="H83" s="83"/>
      <c r="I83" s="83"/>
      <c r="J83" s="83"/>
      <c r="K83" s="83"/>
      <c r="L83" s="83"/>
      <c r="M83" s="83"/>
      <c r="N83" s="83"/>
      <c r="O83" s="83"/>
      <c r="P83" s="83"/>
      <c r="Q83" s="83"/>
      <c r="R83" s="52"/>
      <c r="S83" s="94"/>
    </row>
    <row r="84" spans="1:19" hidden="1" x14ac:dyDescent="0.2">
      <c r="A84" s="48" t="str">
        <f ca="1">Проект!$A$333</f>
        <v xml:space="preserve">    сумма платежей без НДС</v>
      </c>
      <c r="B84" s="52"/>
      <c r="C84" s="88" t="str">
        <f ca="1">Проект!$C$333</f>
        <v>руб.</v>
      </c>
      <c r="D84" s="52" t="str">
        <f>Проект!$D$333</f>
        <v>1_01</v>
      </c>
      <c r="E84" s="52"/>
      <c r="F84" s="84">
        <f>Проект!$F$333</f>
        <v>0</v>
      </c>
      <c r="G84" s="84">
        <f>Проект!$G$333</f>
        <v>0</v>
      </c>
      <c r="H84" s="84">
        <f>Проект!$H$333</f>
        <v>0</v>
      </c>
      <c r="I84" s="84">
        <f>Проект!$I$333</f>
        <v>0</v>
      </c>
      <c r="J84" s="84">
        <f>Проект!$J$333</f>
        <v>0</v>
      </c>
      <c r="K84" s="84">
        <f>Проект!$K$333</f>
        <v>0</v>
      </c>
      <c r="L84" s="84">
        <f>Проект!$L$333</f>
        <v>0</v>
      </c>
      <c r="M84" s="84">
        <f>Проект!$M$333</f>
        <v>0</v>
      </c>
      <c r="N84" s="84" t="e">
        <f>Проект!#REF!</f>
        <v>#REF!</v>
      </c>
      <c r="O84" s="84" t="e">
        <f>Проект!#REF!</f>
        <v>#REF!</v>
      </c>
      <c r="P84" s="84" t="e">
        <f>Проект!#REF!</f>
        <v>#REF!</v>
      </c>
      <c r="Q84" s="84">
        <f>Проект!$Q$333</f>
        <v>0</v>
      </c>
      <c r="R84" s="52"/>
      <c r="S84" s="94">
        <f>Проект!$S$333</f>
        <v>0</v>
      </c>
    </row>
    <row r="85" spans="1:19" ht="10.5" hidden="1" x14ac:dyDescent="0.2">
      <c r="A85" s="48" t="str">
        <f ca="1">Проект!$A$334</f>
        <v xml:space="preserve">    общая стоимость актива (без НДС)</v>
      </c>
      <c r="B85" s="312">
        <f>Проект!$B$334</f>
        <v>0</v>
      </c>
      <c r="C85" s="88" t="str">
        <f ca="1">Проект!$C$334</f>
        <v>руб.</v>
      </c>
      <c r="D85" s="52"/>
      <c r="E85" s="52"/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  <c r="S85" s="41"/>
    </row>
    <row r="86" spans="1:19" hidden="1" x14ac:dyDescent="0.2">
      <c r="A86" s="48" t="str">
        <f ca="1">Проект!$A$335</f>
        <v xml:space="preserve">    полная сумма вложений в актив (без НДС)</v>
      </c>
      <c r="B86" s="52"/>
      <c r="C86" s="88" t="str">
        <f ca="1">Проект!$C$335</f>
        <v>руб.</v>
      </c>
      <c r="D86" s="52" t="str">
        <f>Проект!$D$335</f>
        <v>1_05; int_end</v>
      </c>
      <c r="E86" s="52"/>
      <c r="F86" s="84">
        <f>Проект!$F$335</f>
        <v>0</v>
      </c>
      <c r="G86" s="84">
        <f>Проект!$G$335</f>
        <v>0</v>
      </c>
      <c r="H86" s="84">
        <f>Проект!$H$335</f>
        <v>0</v>
      </c>
      <c r="I86" s="84">
        <f>Проект!$I$335</f>
        <v>0</v>
      </c>
      <c r="J86" s="84">
        <f>Проект!$J$335</f>
        <v>0</v>
      </c>
      <c r="K86" s="84">
        <f>Проект!$K$335</f>
        <v>0</v>
      </c>
      <c r="L86" s="84">
        <f>Проект!$L$335</f>
        <v>0</v>
      </c>
      <c r="M86" s="84">
        <f>Проект!$M$335</f>
        <v>0</v>
      </c>
      <c r="N86" s="84" t="e">
        <f>Проект!#REF!</f>
        <v>#REF!</v>
      </c>
      <c r="O86" s="84" t="e">
        <f>Проект!#REF!</f>
        <v>#REF!</v>
      </c>
      <c r="P86" s="84" t="e">
        <f>Проект!#REF!</f>
        <v>#REF!</v>
      </c>
      <c r="Q86" s="84">
        <f>Проект!$Q$335</f>
        <v>0</v>
      </c>
      <c r="R86" s="52"/>
      <c r="S86" s="94"/>
    </row>
    <row r="87" spans="1:19" hidden="1" x14ac:dyDescent="0.2">
      <c r="A87" s="48" t="str">
        <f ca="1">Проект!$A$336</f>
        <v xml:space="preserve">    полная балансовая стоимость</v>
      </c>
      <c r="B87" s="52"/>
      <c r="C87" s="88" t="str">
        <f ca="1">Проект!$C$336</f>
        <v>руб.</v>
      </c>
      <c r="D87" s="52" t="str">
        <f>Проект!$D$336</f>
        <v>1_06; int_end</v>
      </c>
      <c r="E87" s="52"/>
      <c r="F87" s="84">
        <f ca="1">Проект!$F$336</f>
        <v>0</v>
      </c>
      <c r="G87" s="84">
        <f ca="1">Проект!$G$336</f>
        <v>0</v>
      </c>
      <c r="H87" s="84">
        <f ca="1">Проект!$H$336</f>
        <v>0</v>
      </c>
      <c r="I87" s="84">
        <f ca="1">Проект!$I$336</f>
        <v>0</v>
      </c>
      <c r="J87" s="84">
        <f ca="1">Проект!$J$336</f>
        <v>0</v>
      </c>
      <c r="K87" s="84">
        <f ca="1">Проект!$K$336</f>
        <v>0</v>
      </c>
      <c r="L87" s="84">
        <f ca="1">Проект!$L$336</f>
        <v>0</v>
      </c>
      <c r="M87" s="84">
        <f ca="1">Проект!$M$336</f>
        <v>0</v>
      </c>
      <c r="N87" s="84" t="e">
        <f>Проект!#REF!</f>
        <v>#REF!</v>
      </c>
      <c r="O87" s="84" t="e">
        <f>Проект!#REF!</f>
        <v>#REF!</v>
      </c>
      <c r="P87" s="84" t="e">
        <f>Проект!#REF!</f>
        <v>#REF!</v>
      </c>
      <c r="Q87" s="84">
        <f ca="1">Проект!$Q$336</f>
        <v>0</v>
      </c>
      <c r="R87" s="52"/>
      <c r="S87" s="41"/>
    </row>
    <row r="88" spans="1:19" hidden="1" x14ac:dyDescent="0.2">
      <c r="A88" s="48" t="str">
        <f ca="1">Проект!$A$337</f>
        <v xml:space="preserve">    незавершенные инвестиции</v>
      </c>
      <c r="B88" s="52"/>
      <c r="C88" s="88" t="str">
        <f ca="1">Проект!$C$337</f>
        <v>руб.</v>
      </c>
      <c r="D88" s="52" t="str">
        <f>Проект!$D$337</f>
        <v>1_07; int_end</v>
      </c>
      <c r="E88" s="52"/>
      <c r="F88" s="84">
        <f ca="1">Проект!$F$337</f>
        <v>0</v>
      </c>
      <c r="G88" s="84">
        <f ca="1">Проект!$G$337</f>
        <v>0</v>
      </c>
      <c r="H88" s="84">
        <f ca="1">Проект!$H$337</f>
        <v>0</v>
      </c>
      <c r="I88" s="84">
        <f ca="1">Проект!$I$337</f>
        <v>0</v>
      </c>
      <c r="J88" s="84">
        <f ca="1">Проект!$J$337</f>
        <v>0</v>
      </c>
      <c r="K88" s="84">
        <f ca="1">Проект!$K$337</f>
        <v>0</v>
      </c>
      <c r="L88" s="84">
        <f ca="1">Проект!$L$337</f>
        <v>0</v>
      </c>
      <c r="M88" s="84">
        <f ca="1">Проект!$M$337</f>
        <v>0</v>
      </c>
      <c r="N88" s="84" t="e">
        <f>Проект!#REF!</f>
        <v>#REF!</v>
      </c>
      <c r="O88" s="84" t="e">
        <f>Проект!#REF!</f>
        <v>#REF!</v>
      </c>
      <c r="P88" s="84" t="e">
        <f>Проект!#REF!</f>
        <v>#REF!</v>
      </c>
      <c r="Q88" s="84">
        <f ca="1">Проект!$Q$337</f>
        <v>0</v>
      </c>
      <c r="R88" s="52"/>
      <c r="S88" s="41"/>
    </row>
    <row r="89" spans="1:19" hidden="1" x14ac:dyDescent="0.2">
      <c r="A89" s="48" t="str">
        <f ca="1">Проект!$A$338</f>
        <v xml:space="preserve">    кредиторская задолженность</v>
      </c>
      <c r="B89" s="52"/>
      <c r="C89" s="88" t="str">
        <f ca="1">Проект!$C$338</f>
        <v>руб.</v>
      </c>
      <c r="D89" s="52" t="str">
        <f>Проект!$D$338</f>
        <v>1_08; int_end</v>
      </c>
      <c r="E89" s="52"/>
      <c r="F89" s="84">
        <f ca="1">Проект!$F$338</f>
        <v>0</v>
      </c>
      <c r="G89" s="84">
        <f ca="1">Проект!$G$338</f>
        <v>0</v>
      </c>
      <c r="H89" s="84">
        <f ca="1">Проект!$H$338</f>
        <v>0</v>
      </c>
      <c r="I89" s="84">
        <f ca="1">Проект!$I$338</f>
        <v>0</v>
      </c>
      <c r="J89" s="84">
        <f ca="1">Проект!$J$338</f>
        <v>0</v>
      </c>
      <c r="K89" s="84">
        <f ca="1">Проект!$K$338</f>
        <v>0</v>
      </c>
      <c r="L89" s="84">
        <f ca="1">Проект!$L$338</f>
        <v>0</v>
      </c>
      <c r="M89" s="84">
        <f ca="1">Проект!$M$338</f>
        <v>0</v>
      </c>
      <c r="N89" s="84" t="e">
        <f>Проект!#REF!</f>
        <v>#REF!</v>
      </c>
      <c r="O89" s="84" t="e">
        <f>Проект!#REF!</f>
        <v>#REF!</v>
      </c>
      <c r="P89" s="84" t="e">
        <f>Проект!#REF!</f>
        <v>#REF!</v>
      </c>
      <c r="Q89" s="84">
        <f ca="1">Проект!$Q$338</f>
        <v>0</v>
      </c>
      <c r="R89" s="52"/>
      <c r="S89" s="41"/>
    </row>
    <row r="90" spans="1:19" hidden="1" x14ac:dyDescent="0.2">
      <c r="A90" s="48" t="str">
        <f ca="1">Проект!$A$339</f>
        <v xml:space="preserve">    накопленная амортизация</v>
      </c>
      <c r="B90" s="52"/>
      <c r="C90" s="88" t="str">
        <f ca="1">Проект!$C$339</f>
        <v>руб.</v>
      </c>
      <c r="D90" s="52" t="str">
        <f>Проект!$D$339</f>
        <v>1_09; int_end</v>
      </c>
      <c r="E90" s="52"/>
      <c r="F90" s="84">
        <f ca="1">Проект!$F$339</f>
        <v>0</v>
      </c>
      <c r="G90" s="84">
        <f ca="1">Проект!$G$339</f>
        <v>0</v>
      </c>
      <c r="H90" s="84">
        <f ca="1">Проект!$H$339</f>
        <v>0</v>
      </c>
      <c r="I90" s="84">
        <f ca="1">Проект!$I$339</f>
        <v>0</v>
      </c>
      <c r="J90" s="84">
        <f ca="1">Проект!$J$339</f>
        <v>0</v>
      </c>
      <c r="K90" s="84">
        <f ca="1">Проект!$K$339</f>
        <v>0</v>
      </c>
      <c r="L90" s="84">
        <f ca="1">Проект!$L$339</f>
        <v>0</v>
      </c>
      <c r="M90" s="84">
        <f ca="1">Проект!$M$339</f>
        <v>0</v>
      </c>
      <c r="N90" s="84" t="e">
        <f>Проект!#REF!</f>
        <v>#REF!</v>
      </c>
      <c r="O90" s="84" t="e">
        <f>Проект!#REF!</f>
        <v>#REF!</v>
      </c>
      <c r="P90" s="84" t="e">
        <f>Проект!#REF!</f>
        <v>#REF!</v>
      </c>
      <c r="Q90" s="84">
        <f ca="1">Проект!$Q$339</f>
        <v>0</v>
      </c>
      <c r="R90" s="52"/>
      <c r="S90" s="41"/>
    </row>
    <row r="91" spans="1:19" hidden="1" x14ac:dyDescent="0.2">
      <c r="A91" s="48" t="str">
        <f ca="1">Проект!$A$340</f>
        <v xml:space="preserve">    остаточная стоимость</v>
      </c>
      <c r="B91" s="52"/>
      <c r="C91" s="88" t="str">
        <f ca="1">Проект!$C$340</f>
        <v>руб.</v>
      </c>
      <c r="D91" s="52" t="str">
        <f>Проект!$D$340</f>
        <v>1_10; int_end</v>
      </c>
      <c r="E91" s="52"/>
      <c r="F91" s="106">
        <f ca="1">Проект!$F$340</f>
        <v>0</v>
      </c>
      <c r="G91" s="106">
        <f ca="1">Проект!$G$340</f>
        <v>0</v>
      </c>
      <c r="H91" s="106">
        <f ca="1">Проект!$H$340</f>
        <v>0</v>
      </c>
      <c r="I91" s="106">
        <f ca="1">Проект!$I$340</f>
        <v>0</v>
      </c>
      <c r="J91" s="106">
        <f ca="1">Проект!$J$340</f>
        <v>0</v>
      </c>
      <c r="K91" s="106">
        <f ca="1">Проект!$K$340</f>
        <v>0</v>
      </c>
      <c r="L91" s="106">
        <f ca="1">Проект!$L$340</f>
        <v>0</v>
      </c>
      <c r="M91" s="106">
        <f ca="1">Проект!$M$340</f>
        <v>0</v>
      </c>
      <c r="N91" s="106" t="e">
        <f>Проект!#REF!</f>
        <v>#REF!</v>
      </c>
      <c r="O91" s="106" t="e">
        <f>Проект!#REF!</f>
        <v>#REF!</v>
      </c>
      <c r="P91" s="106" t="e">
        <f>Проект!#REF!</f>
        <v>#REF!</v>
      </c>
      <c r="Q91" s="106">
        <f ca="1">Проект!$Q$340</f>
        <v>0</v>
      </c>
      <c r="R91" s="52"/>
      <c r="S91" s="41"/>
    </row>
    <row r="92" spans="1:19" hidden="1" x14ac:dyDescent="0.2">
      <c r="A92" s="48" t="str">
        <f ca="1">Проект!$A$341</f>
        <v xml:space="preserve">    НДС к ранее осуществленным инвестициям</v>
      </c>
      <c r="B92" s="345">
        <f>Проект!$B$341</f>
        <v>0</v>
      </c>
      <c r="C92" s="88" t="str">
        <f ca="1">Проект!$C$341</f>
        <v>руб.</v>
      </c>
      <c r="D92" s="52" t="str">
        <f>Проект!$D$341</f>
        <v>1_11</v>
      </c>
      <c r="E92" s="52"/>
      <c r="F92" s="52"/>
      <c r="G92" s="52"/>
      <c r="H92" s="52"/>
      <c r="I92" s="52"/>
      <c r="J92" s="52"/>
      <c r="K92" s="52"/>
      <c r="L92" s="52"/>
      <c r="M92" s="52"/>
      <c r="N92" s="52"/>
      <c r="O92" s="52"/>
      <c r="P92" s="52"/>
      <c r="Q92" s="52"/>
      <c r="R92" s="52"/>
      <c r="S92" s="41"/>
    </row>
    <row r="93" spans="1:19" hidden="1" x14ac:dyDescent="0.2">
      <c r="A93" s="48" t="str">
        <f ca="1">Проект!$A$342</f>
        <v xml:space="preserve">    зачет НДС</v>
      </c>
      <c r="B93" s="52"/>
      <c r="C93" s="88" t="str">
        <f ca="1">Проект!$C$342</f>
        <v>руб.</v>
      </c>
      <c r="D93" s="338" t="str">
        <f>Проект!$D$342</f>
        <v>1_12</v>
      </c>
      <c r="E93" s="52"/>
      <c r="F93" s="83">
        <f ca="1">Проект!$F$342</f>
        <v>0</v>
      </c>
      <c r="G93" s="83">
        <f ca="1">Проект!$G$342</f>
        <v>0</v>
      </c>
      <c r="H93" s="83">
        <f ca="1">Проект!$H$342</f>
        <v>0</v>
      </c>
      <c r="I93" s="83">
        <f ca="1">Проект!$I$342</f>
        <v>0</v>
      </c>
      <c r="J93" s="83">
        <f ca="1">Проект!$J$342</f>
        <v>0</v>
      </c>
      <c r="K93" s="83">
        <f ca="1">Проект!$K$342</f>
        <v>0</v>
      </c>
      <c r="L93" s="83">
        <f ca="1">Проект!$L$342</f>
        <v>0</v>
      </c>
      <c r="M93" s="83">
        <f ca="1">Проект!$M$342</f>
        <v>0</v>
      </c>
      <c r="N93" s="83" t="e">
        <f>Проект!#REF!</f>
        <v>#REF!</v>
      </c>
      <c r="O93" s="83" t="e">
        <f>Проект!#REF!</f>
        <v>#REF!</v>
      </c>
      <c r="P93" s="83" t="e">
        <f>Проект!#REF!</f>
        <v>#REF!</v>
      </c>
      <c r="Q93" s="83">
        <f ca="1">Проект!$Q$342</f>
        <v>0</v>
      </c>
      <c r="R93" s="52"/>
      <c r="S93" s="94">
        <f ca="1">Проект!$S$342</f>
        <v>0</v>
      </c>
    </row>
    <row r="94" spans="1:19" hidden="1" x14ac:dyDescent="0.2">
      <c r="A94" s="76" t="str">
        <f ca="1">Проект!$A$343</f>
        <v xml:space="preserve">    реализация актива (без НДС)</v>
      </c>
      <c r="B94" s="339"/>
      <c r="C94" s="340" t="str">
        <f ca="1">Проект!$C$343</f>
        <v>руб.</v>
      </c>
      <c r="D94" s="52" t="str">
        <f>Проект!$D$343</f>
        <v>1_13</v>
      </c>
      <c r="E94" s="339"/>
      <c r="F94" s="341">
        <f>Проект!$F$343</f>
        <v>0</v>
      </c>
      <c r="G94" s="341">
        <f>Проект!$G$343</f>
        <v>0</v>
      </c>
      <c r="H94" s="341">
        <f>Проект!$H$343</f>
        <v>0</v>
      </c>
      <c r="I94" s="341">
        <f>Проект!$I$343</f>
        <v>0</v>
      </c>
      <c r="J94" s="341">
        <f>Проект!$J$343</f>
        <v>0</v>
      </c>
      <c r="K94" s="341">
        <f>Проект!$K$343</f>
        <v>0</v>
      </c>
      <c r="L94" s="341">
        <f>Проект!$L$343</f>
        <v>0</v>
      </c>
      <c r="M94" s="341">
        <f>Проект!$M$343</f>
        <v>0</v>
      </c>
      <c r="N94" s="341" t="e">
        <f>Проект!#REF!</f>
        <v>#REF!</v>
      </c>
      <c r="O94" s="341" t="e">
        <f>Проект!#REF!</f>
        <v>#REF!</v>
      </c>
      <c r="P94" s="341" t="e">
        <f>Проект!#REF!</f>
        <v>#REF!</v>
      </c>
      <c r="Q94" s="341">
        <f>Проект!$Q$343</f>
        <v>0</v>
      </c>
      <c r="R94" s="52"/>
      <c r="S94" s="94">
        <f>Проект!$S$343</f>
        <v>0</v>
      </c>
    </row>
    <row r="95" spans="1:19" hidden="1" x14ac:dyDescent="0.2">
      <c r="A95" s="45" t="str">
        <f ca="1">Проект!$A$344</f>
        <v xml:space="preserve">    прибыль/убыток от реализации актива</v>
      </c>
      <c r="B95" s="128"/>
      <c r="C95" s="342" t="str">
        <f ca="1">Проект!$C$344</f>
        <v>руб.</v>
      </c>
      <c r="D95" s="52" t="str">
        <f>Проект!$D$344</f>
        <v>1_14</v>
      </c>
      <c r="E95" s="128"/>
      <c r="F95" s="83">
        <f>Проект!$F$344</f>
        <v>0</v>
      </c>
      <c r="G95" s="83">
        <f>Проект!$G$344</f>
        <v>0</v>
      </c>
      <c r="H95" s="83">
        <f>Проект!$H$344</f>
        <v>0</v>
      </c>
      <c r="I95" s="83">
        <f>Проект!$I$344</f>
        <v>0</v>
      </c>
      <c r="J95" s="83">
        <f>Проект!$J$344</f>
        <v>0</v>
      </c>
      <c r="K95" s="83">
        <f>Проект!$K$344</f>
        <v>0</v>
      </c>
      <c r="L95" s="83">
        <f>Проект!$L$344</f>
        <v>0</v>
      </c>
      <c r="M95" s="83">
        <f>Проект!$M$344</f>
        <v>0</v>
      </c>
      <c r="N95" s="83" t="e">
        <f>Проект!#REF!</f>
        <v>#REF!</v>
      </c>
      <c r="O95" s="83" t="e">
        <f>Проект!#REF!</f>
        <v>#REF!</v>
      </c>
      <c r="P95" s="83" t="e">
        <f>Проект!#REF!</f>
        <v>#REF!</v>
      </c>
      <c r="Q95" s="83">
        <f>Проект!$Q$344</f>
        <v>0</v>
      </c>
      <c r="R95" s="52"/>
      <c r="S95" s="94">
        <f>Проект!$S$344</f>
        <v>0</v>
      </c>
    </row>
    <row r="96" spans="1:19" hidden="1" x14ac:dyDescent="0.2">
      <c r="A96" s="48" t="str">
        <f ca="1">Проект!$A$345</f>
        <v xml:space="preserve">    НДС к выручке от реализации актива</v>
      </c>
      <c r="B96" s="344">
        <f>Проект!$B$345</f>
        <v>0</v>
      </c>
      <c r="C96" s="88" t="str">
        <f ca="1">Проект!$C$345</f>
        <v>руб.</v>
      </c>
      <c r="D96" s="52" t="str">
        <f>Проект!$D$345</f>
        <v>1_15</v>
      </c>
      <c r="E96" s="52"/>
      <c r="F96" s="48">
        <f>Проект!$F$345</f>
        <v>0</v>
      </c>
      <c r="G96" s="48">
        <f>Проект!$G$345</f>
        <v>0</v>
      </c>
      <c r="H96" s="48">
        <f>Проект!$H$345</f>
        <v>0</v>
      </c>
      <c r="I96" s="48">
        <f>Проект!$I$345</f>
        <v>0</v>
      </c>
      <c r="J96" s="48">
        <f>Проект!$J$345</f>
        <v>0</v>
      </c>
      <c r="K96" s="48">
        <f>Проект!$K$345</f>
        <v>0</v>
      </c>
      <c r="L96" s="48">
        <f>Проект!$L$345</f>
        <v>0</v>
      </c>
      <c r="M96" s="48">
        <f>Проект!$M$345</f>
        <v>0</v>
      </c>
      <c r="N96" s="48" t="e">
        <f>Проект!#REF!</f>
        <v>#REF!</v>
      </c>
      <c r="O96" s="48" t="e">
        <f>Проект!#REF!</f>
        <v>#REF!</v>
      </c>
      <c r="P96" s="48" t="e">
        <f>Проект!#REF!</f>
        <v>#REF!</v>
      </c>
      <c r="Q96" s="48">
        <f>Проект!$Q$345</f>
        <v>0</v>
      </c>
      <c r="R96" s="52"/>
      <c r="S96" s="94">
        <f>Проект!$S$345</f>
        <v>0</v>
      </c>
    </row>
    <row r="97" spans="1:19" ht="12" customHeight="1" x14ac:dyDescent="0.25">
      <c r="A97" s="130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1"/>
    </row>
    <row r="98" spans="1:19" ht="11.25" customHeight="1" x14ac:dyDescent="0.25">
      <c r="A98" s="130" t="str">
        <f ca="1">Проект!$A$347</f>
        <v>Нематериальные активы</v>
      </c>
      <c r="B98" s="52"/>
      <c r="C98" s="52"/>
      <c r="D98" s="52">
        <f>Проект!$D$347</f>
        <v>1</v>
      </c>
      <c r="E98" s="52">
        <f>Проект!$E$347</f>
        <v>21</v>
      </c>
      <c r="F98" s="52"/>
      <c r="G98" s="52"/>
      <c r="H98" s="52"/>
      <c r="I98" s="52"/>
      <c r="J98" s="52"/>
      <c r="K98" s="52"/>
      <c r="L98" s="52"/>
      <c r="M98" s="52"/>
      <c r="N98" s="52"/>
      <c r="O98" s="52"/>
      <c r="P98" s="52"/>
      <c r="Q98" s="52"/>
      <c r="R98" s="52"/>
      <c r="S98" s="41"/>
    </row>
    <row r="99" spans="1:19" ht="11.25" customHeight="1" x14ac:dyDescent="0.2">
      <c r="A99" s="333" t="str">
        <f ca="1">Проект!$A$348</f>
        <v>Наименование</v>
      </c>
      <c r="B99" s="197" t="str">
        <f ca="1">Проект!$B$348</f>
        <v>Валюта</v>
      </c>
      <c r="C99" s="52"/>
      <c r="D99" s="52"/>
      <c r="E99" s="5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52"/>
      <c r="S99" s="92"/>
    </row>
    <row r="100" spans="1:19" ht="11.25" customHeight="1" x14ac:dyDescent="0.2">
      <c r="A100" s="48" t="str">
        <f ca="1">Проект!$A$349</f>
        <v xml:space="preserve">    величина платежей (с НДС)</v>
      </c>
      <c r="B100" s="334">
        <f>Проект!$B$349</f>
        <v>1</v>
      </c>
      <c r="C100" s="88" t="str">
        <f ca="1">Проект!$C$349</f>
        <v>руб.</v>
      </c>
      <c r="D100" s="101" t="str">
        <f>Проект!$D$349</f>
        <v>1_00</v>
      </c>
      <c r="E100" s="52"/>
      <c r="F100" s="335">
        <f>Проект!$F$349</f>
        <v>0</v>
      </c>
      <c r="G100" s="335">
        <f>Проект!$G$349</f>
        <v>0</v>
      </c>
      <c r="H100" s="335">
        <f>Проект!$H$349</f>
        <v>0</v>
      </c>
      <c r="I100" s="335">
        <f>Проект!$I$349</f>
        <v>0</v>
      </c>
      <c r="J100" s="335">
        <f>Проект!$J$349</f>
        <v>0</v>
      </c>
      <c r="K100" s="335">
        <f>Проект!$K$349</f>
        <v>0</v>
      </c>
      <c r="L100" s="335">
        <f>Проект!$L$349</f>
        <v>0</v>
      </c>
      <c r="M100" s="335">
        <f>Проект!$M$349</f>
        <v>0</v>
      </c>
      <c r="N100" s="335" t="e">
        <f>Проект!#REF!</f>
        <v>#REF!</v>
      </c>
      <c r="O100" s="335" t="e">
        <f>Проект!#REF!</f>
        <v>#REF!</v>
      </c>
      <c r="P100" s="335" t="e">
        <f>Проект!#REF!</f>
        <v>#REF!</v>
      </c>
      <c r="Q100" s="335">
        <f>Проект!$Q$349</f>
        <v>0</v>
      </c>
      <c r="R100" s="52"/>
      <c r="S100" s="94">
        <f>Проект!$S$349</f>
        <v>0</v>
      </c>
    </row>
    <row r="101" spans="1:19" hidden="1" x14ac:dyDescent="0.2">
      <c r="A101" s="48" t="str">
        <f ca="1">Проект!$A$350</f>
        <v xml:space="preserve">    ранее осуществленные инвестиции (без НДС)</v>
      </c>
      <c r="B101" s="336">
        <f>Проект!$B$350</f>
        <v>0</v>
      </c>
      <c r="C101" s="88" t="str">
        <f ca="1">Проект!$C$350</f>
        <v>руб.</v>
      </c>
      <c r="D101" s="52" t="str">
        <f>Проект!$D$350</f>
        <v>1_20;set_0</v>
      </c>
      <c r="E101" s="52"/>
      <c r="F101" s="52"/>
      <c r="G101" s="52"/>
      <c r="H101" s="52"/>
      <c r="I101" s="52"/>
      <c r="J101" s="52"/>
      <c r="K101" s="52"/>
      <c r="L101" s="52"/>
      <c r="M101" s="52"/>
      <c r="N101" s="52"/>
      <c r="O101" s="52"/>
      <c r="P101" s="52"/>
      <c r="Q101" s="52"/>
      <c r="R101" s="52"/>
      <c r="S101" s="41"/>
    </row>
    <row r="102" spans="1:19" hidden="1" x14ac:dyDescent="0.2">
      <c r="A102" s="48" t="str">
        <f ca="1">Проект!$A$351</f>
        <v xml:space="preserve">    поставить на баланс с</v>
      </c>
      <c r="B102" s="337">
        <f ca="1">Проект!$B$351</f>
        <v>1</v>
      </c>
      <c r="C102" s="88" t="str">
        <f ca="1">Проект!$C$351</f>
        <v>периода</v>
      </c>
      <c r="D102" s="52"/>
      <c r="E102" s="52"/>
      <c r="F102" s="52"/>
      <c r="G102" s="52"/>
      <c r="H102" s="52"/>
      <c r="I102" s="52"/>
      <c r="J102" s="52"/>
      <c r="K102" s="52"/>
      <c r="L102" s="52"/>
      <c r="M102" s="52"/>
      <c r="N102" s="52"/>
      <c r="O102" s="52"/>
      <c r="P102" s="52"/>
      <c r="Q102" s="52"/>
      <c r="R102" s="52"/>
      <c r="S102" s="41"/>
    </row>
    <row r="103" spans="1:19" hidden="1" x14ac:dyDescent="0.2">
      <c r="A103" s="48" t="str">
        <f ca="1">Проект!$A$352</f>
        <v xml:space="preserve">    амортизация (линейная),       для срока использования:</v>
      </c>
      <c r="B103" s="337">
        <f>Проект!$B$352</f>
        <v>0</v>
      </c>
      <c r="C103" s="88" t="str">
        <f ca="1">Проект!$C$352</f>
        <v>лет</v>
      </c>
      <c r="D103" s="343" t="str">
        <f>Проект!$D$352</f>
        <v>1_02</v>
      </c>
      <c r="E103" s="52"/>
      <c r="F103" s="84">
        <f>Проект!$F$352</f>
        <v>0</v>
      </c>
      <c r="G103" s="84">
        <f>Проект!$G$352</f>
        <v>0</v>
      </c>
      <c r="H103" s="84">
        <f>Проект!$H$352</f>
        <v>0</v>
      </c>
      <c r="I103" s="84">
        <f>Проект!$I$352</f>
        <v>0</v>
      </c>
      <c r="J103" s="84">
        <f>Проект!$J$352</f>
        <v>0</v>
      </c>
      <c r="K103" s="84">
        <f>Проект!$K$352</f>
        <v>0</v>
      </c>
      <c r="L103" s="84">
        <f>Проект!$L$352</f>
        <v>0</v>
      </c>
      <c r="M103" s="84">
        <f>Проект!$M$352</f>
        <v>0</v>
      </c>
      <c r="N103" s="84" t="e">
        <f>Проект!#REF!</f>
        <v>#REF!</v>
      </c>
      <c r="O103" s="84" t="e">
        <f>Проект!#REF!</f>
        <v>#REF!</v>
      </c>
      <c r="P103" s="84" t="e">
        <f>Проект!#REF!</f>
        <v>#REF!</v>
      </c>
      <c r="Q103" s="84">
        <f>Проект!$Q$352</f>
        <v>0</v>
      </c>
      <c r="R103" s="52"/>
      <c r="S103" s="94">
        <f>Проект!$S$352</f>
        <v>0</v>
      </c>
    </row>
    <row r="104" spans="1:19" hidden="1" x14ac:dyDescent="0.2">
      <c r="A104" s="48" t="str">
        <f ca="1">Проект!$A$353</f>
        <v xml:space="preserve">    амортизация (ускоренная),    для срока использования:</v>
      </c>
      <c r="B104" s="337">
        <f>Проект!$B$353</f>
        <v>0</v>
      </c>
      <c r="C104" s="88" t="str">
        <f ca="1">Проект!$C$353</f>
        <v>лет</v>
      </c>
      <c r="D104" s="52" t="str">
        <f>Проект!$D$353</f>
        <v>1_03</v>
      </c>
      <c r="E104" s="52"/>
      <c r="F104" s="84">
        <f ca="1">Проект!$F$353</f>
        <v>0</v>
      </c>
      <c r="G104" s="84">
        <f ca="1">Проект!$G$353</f>
        <v>0</v>
      </c>
      <c r="H104" s="84">
        <f ca="1">Проект!$H$353</f>
        <v>0</v>
      </c>
      <c r="I104" s="84">
        <f ca="1">Проект!$I$353</f>
        <v>0</v>
      </c>
      <c r="J104" s="84">
        <f ca="1">Проект!$J$353</f>
        <v>0</v>
      </c>
      <c r="K104" s="84">
        <f ca="1">Проект!$K$353</f>
        <v>0</v>
      </c>
      <c r="L104" s="84">
        <f ca="1">Проект!$L$353</f>
        <v>0</v>
      </c>
      <c r="M104" s="84">
        <f ca="1">Проект!$M$353</f>
        <v>0</v>
      </c>
      <c r="N104" s="84" t="e">
        <f>Проект!#REF!</f>
        <v>#REF!</v>
      </c>
      <c r="O104" s="84" t="e">
        <f>Проект!#REF!</f>
        <v>#REF!</v>
      </c>
      <c r="P104" s="84" t="e">
        <f>Проект!#REF!</f>
        <v>#REF!</v>
      </c>
      <c r="Q104" s="84">
        <f ca="1">Проект!$Q$353</f>
        <v>0</v>
      </c>
      <c r="R104" s="52"/>
      <c r="S104" s="94">
        <f ca="1">Проект!$S$353</f>
        <v>0</v>
      </c>
    </row>
    <row r="105" spans="1:19" hidden="1" x14ac:dyDescent="0.2">
      <c r="A105" s="48" t="str">
        <f ca="1">Проект!$A$354</f>
        <v xml:space="preserve">    выплаченный НДС</v>
      </c>
      <c r="B105" s="344">
        <f>Проект!$B$354</f>
        <v>0</v>
      </c>
      <c r="C105" s="88" t="str">
        <f ca="1">Проект!$C$354</f>
        <v>руб.</v>
      </c>
      <c r="D105" s="52" t="str">
        <f>Проект!$D$354</f>
        <v>1_04</v>
      </c>
      <c r="E105" s="52"/>
      <c r="F105" s="83">
        <f>Проект!$F$354</f>
        <v>0</v>
      </c>
      <c r="G105" s="83">
        <f>Проект!$G$354</f>
        <v>0</v>
      </c>
      <c r="H105" s="83">
        <f>Проект!$H$354</f>
        <v>0</v>
      </c>
      <c r="I105" s="83">
        <f>Проект!$I$354</f>
        <v>0</v>
      </c>
      <c r="J105" s="83">
        <f>Проект!$J$354</f>
        <v>0</v>
      </c>
      <c r="K105" s="83">
        <f>Проект!$K$354</f>
        <v>0</v>
      </c>
      <c r="L105" s="83">
        <f>Проект!$L$354</f>
        <v>0</v>
      </c>
      <c r="M105" s="83">
        <f>Проект!$M$354</f>
        <v>0</v>
      </c>
      <c r="N105" s="83" t="e">
        <f>Проект!#REF!</f>
        <v>#REF!</v>
      </c>
      <c r="O105" s="83" t="e">
        <f>Проект!#REF!</f>
        <v>#REF!</v>
      </c>
      <c r="P105" s="83" t="e">
        <f>Проект!#REF!</f>
        <v>#REF!</v>
      </c>
      <c r="Q105" s="83">
        <f>Проект!$Q$354</f>
        <v>0</v>
      </c>
      <c r="R105" s="52"/>
      <c r="S105" s="94">
        <f>Проект!$S$354</f>
        <v>0</v>
      </c>
    </row>
    <row r="106" spans="1:19" hidden="1" x14ac:dyDescent="0.2">
      <c r="A106" s="48" t="str">
        <f ca="1">Проект!$A$355</f>
        <v xml:space="preserve">    вариант зачета НДС</v>
      </c>
      <c r="B106" s="334">
        <f>Проект!$B$355</f>
        <v>2</v>
      </c>
      <c r="C106" s="198" t="str">
        <f ca="1">Проект!$C$355</f>
        <v>после постановки актива на баланс</v>
      </c>
      <c r="D106" s="52"/>
      <c r="E106" s="52"/>
      <c r="F106" s="83"/>
      <c r="G106" s="83"/>
      <c r="H106" s="83"/>
      <c r="I106" s="83"/>
      <c r="J106" s="83"/>
      <c r="K106" s="83"/>
      <c r="L106" s="83"/>
      <c r="M106" s="83"/>
      <c r="N106" s="83"/>
      <c r="O106" s="83"/>
      <c r="P106" s="83"/>
      <c r="Q106" s="83"/>
      <c r="R106" s="52"/>
      <c r="S106" s="94"/>
    </row>
    <row r="107" spans="1:19" hidden="1" x14ac:dyDescent="0.2">
      <c r="A107" s="48" t="str">
        <f ca="1">Проект!$A$356</f>
        <v xml:space="preserve">    сумма платежей без НДС</v>
      </c>
      <c r="B107" s="52"/>
      <c r="C107" s="88" t="str">
        <f ca="1">Проект!$C$356</f>
        <v>руб.</v>
      </c>
      <c r="D107" s="52" t="str">
        <f>Проект!$D$356</f>
        <v>1_01</v>
      </c>
      <c r="E107" s="52"/>
      <c r="F107" s="84">
        <f>Проект!$F$356</f>
        <v>0</v>
      </c>
      <c r="G107" s="84">
        <f>Проект!$G$356</f>
        <v>0</v>
      </c>
      <c r="H107" s="84">
        <f>Проект!$H$356</f>
        <v>0</v>
      </c>
      <c r="I107" s="84">
        <f>Проект!$I$356</f>
        <v>0</v>
      </c>
      <c r="J107" s="84">
        <f>Проект!$J$356</f>
        <v>0</v>
      </c>
      <c r="K107" s="84">
        <f>Проект!$K$356</f>
        <v>0</v>
      </c>
      <c r="L107" s="84">
        <f>Проект!$L$356</f>
        <v>0</v>
      </c>
      <c r="M107" s="84">
        <f>Проект!$M$356</f>
        <v>0</v>
      </c>
      <c r="N107" s="84" t="e">
        <f>Проект!#REF!</f>
        <v>#REF!</v>
      </c>
      <c r="O107" s="84" t="e">
        <f>Проект!#REF!</f>
        <v>#REF!</v>
      </c>
      <c r="P107" s="84" t="e">
        <f>Проект!#REF!</f>
        <v>#REF!</v>
      </c>
      <c r="Q107" s="84">
        <f>Проект!$Q$356</f>
        <v>0</v>
      </c>
      <c r="R107" s="52"/>
      <c r="S107" s="94">
        <f>Проект!$S$356</f>
        <v>0</v>
      </c>
    </row>
    <row r="108" spans="1:19" ht="10.5" hidden="1" x14ac:dyDescent="0.2">
      <c r="A108" s="48" t="str">
        <f ca="1">Проект!$A$357</f>
        <v xml:space="preserve">    общая стоимость актива (без НДС)</v>
      </c>
      <c r="B108" s="312">
        <f>Проект!$B$357</f>
        <v>0</v>
      </c>
      <c r="C108" s="88" t="str">
        <f ca="1">Проект!$C$357</f>
        <v>руб.</v>
      </c>
      <c r="D108" s="52"/>
      <c r="E108" s="52"/>
      <c r="F108" s="52"/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52"/>
      <c r="R108" s="52"/>
      <c r="S108" s="41"/>
    </row>
    <row r="109" spans="1:19" hidden="1" x14ac:dyDescent="0.2">
      <c r="A109" s="48" t="str">
        <f ca="1">Проект!$A$358</f>
        <v xml:space="preserve">    полная сумма вложений в актив (без НДС)</v>
      </c>
      <c r="B109" s="52"/>
      <c r="C109" s="88" t="str">
        <f ca="1">Проект!$C$358</f>
        <v>руб.</v>
      </c>
      <c r="D109" s="52" t="str">
        <f>Проект!$D$358</f>
        <v>1_05; int_end</v>
      </c>
      <c r="E109" s="52"/>
      <c r="F109" s="84">
        <f>Проект!$F$358</f>
        <v>0</v>
      </c>
      <c r="G109" s="84">
        <f>Проект!$G$358</f>
        <v>0</v>
      </c>
      <c r="H109" s="84">
        <f>Проект!$H$358</f>
        <v>0</v>
      </c>
      <c r="I109" s="84">
        <f>Проект!$I$358</f>
        <v>0</v>
      </c>
      <c r="J109" s="84">
        <f>Проект!$J$358</f>
        <v>0</v>
      </c>
      <c r="K109" s="84">
        <f>Проект!$K$358</f>
        <v>0</v>
      </c>
      <c r="L109" s="84">
        <f>Проект!$L$358</f>
        <v>0</v>
      </c>
      <c r="M109" s="84">
        <f>Проект!$M$358</f>
        <v>0</v>
      </c>
      <c r="N109" s="84" t="e">
        <f>Проект!#REF!</f>
        <v>#REF!</v>
      </c>
      <c r="O109" s="84" t="e">
        <f>Проект!#REF!</f>
        <v>#REF!</v>
      </c>
      <c r="P109" s="84" t="e">
        <f>Проект!#REF!</f>
        <v>#REF!</v>
      </c>
      <c r="Q109" s="84">
        <f>Проект!$Q$358</f>
        <v>0</v>
      </c>
      <c r="R109" s="52"/>
      <c r="S109" s="94"/>
    </row>
    <row r="110" spans="1:19" hidden="1" x14ac:dyDescent="0.2">
      <c r="A110" s="48" t="str">
        <f ca="1">Проект!$A$359</f>
        <v xml:space="preserve">    полная балансовая стоимость</v>
      </c>
      <c r="B110" s="52"/>
      <c r="C110" s="88" t="str">
        <f ca="1">Проект!$C$359</f>
        <v>руб.</v>
      </c>
      <c r="D110" s="52" t="str">
        <f>Проект!$D$359</f>
        <v>1_06; int_end</v>
      </c>
      <c r="E110" s="52"/>
      <c r="F110" s="84">
        <f ca="1">Проект!$F$359</f>
        <v>0</v>
      </c>
      <c r="G110" s="84">
        <f ca="1">Проект!$G$359</f>
        <v>0</v>
      </c>
      <c r="H110" s="84">
        <f ca="1">Проект!$H$359</f>
        <v>0</v>
      </c>
      <c r="I110" s="84">
        <f ca="1">Проект!$I$359</f>
        <v>0</v>
      </c>
      <c r="J110" s="84">
        <f ca="1">Проект!$J$359</f>
        <v>0</v>
      </c>
      <c r="K110" s="84">
        <f ca="1">Проект!$K$359</f>
        <v>0</v>
      </c>
      <c r="L110" s="84">
        <f ca="1">Проект!$L$359</f>
        <v>0</v>
      </c>
      <c r="M110" s="84">
        <f ca="1">Проект!$M$359</f>
        <v>0</v>
      </c>
      <c r="N110" s="84" t="e">
        <f>Проект!#REF!</f>
        <v>#REF!</v>
      </c>
      <c r="O110" s="84" t="e">
        <f>Проект!#REF!</f>
        <v>#REF!</v>
      </c>
      <c r="P110" s="84" t="e">
        <f>Проект!#REF!</f>
        <v>#REF!</v>
      </c>
      <c r="Q110" s="84">
        <f ca="1">Проект!$Q$359</f>
        <v>0</v>
      </c>
      <c r="R110" s="52"/>
      <c r="S110" s="41"/>
    </row>
    <row r="111" spans="1:19" hidden="1" x14ac:dyDescent="0.2">
      <c r="A111" s="48" t="str">
        <f ca="1">Проект!$A$360</f>
        <v xml:space="preserve">    незавершенные инвестиции</v>
      </c>
      <c r="B111" s="52"/>
      <c r="C111" s="88" t="str">
        <f ca="1">Проект!$C$360</f>
        <v>руб.</v>
      </c>
      <c r="D111" s="52" t="str">
        <f>Проект!$D$360</f>
        <v>1_07; int_end</v>
      </c>
      <c r="E111" s="52"/>
      <c r="F111" s="84">
        <f ca="1">Проект!$F$360</f>
        <v>0</v>
      </c>
      <c r="G111" s="84">
        <f ca="1">Проект!$G$360</f>
        <v>0</v>
      </c>
      <c r="H111" s="84">
        <f ca="1">Проект!$H$360</f>
        <v>0</v>
      </c>
      <c r="I111" s="84">
        <f ca="1">Проект!$I$360</f>
        <v>0</v>
      </c>
      <c r="J111" s="84">
        <f ca="1">Проект!$J$360</f>
        <v>0</v>
      </c>
      <c r="K111" s="84">
        <f ca="1">Проект!$K$360</f>
        <v>0</v>
      </c>
      <c r="L111" s="84">
        <f ca="1">Проект!$L$360</f>
        <v>0</v>
      </c>
      <c r="M111" s="84">
        <f ca="1">Проект!$M$360</f>
        <v>0</v>
      </c>
      <c r="N111" s="84" t="e">
        <f>Проект!#REF!</f>
        <v>#REF!</v>
      </c>
      <c r="O111" s="84" t="e">
        <f>Проект!#REF!</f>
        <v>#REF!</v>
      </c>
      <c r="P111" s="84" t="e">
        <f>Проект!#REF!</f>
        <v>#REF!</v>
      </c>
      <c r="Q111" s="84">
        <f ca="1">Проект!$Q$360</f>
        <v>0</v>
      </c>
      <c r="R111" s="52"/>
      <c r="S111" s="41"/>
    </row>
    <row r="112" spans="1:19" hidden="1" x14ac:dyDescent="0.2">
      <c r="A112" s="48" t="str">
        <f ca="1">Проект!$A$361</f>
        <v xml:space="preserve">    кредиторская задолженность</v>
      </c>
      <c r="B112" s="52"/>
      <c r="C112" s="88" t="str">
        <f ca="1">Проект!$C$361</f>
        <v>руб.</v>
      </c>
      <c r="D112" s="52" t="str">
        <f>Проект!$D$361</f>
        <v>1_08; int_end</v>
      </c>
      <c r="E112" s="52"/>
      <c r="F112" s="84">
        <f ca="1">Проект!$F$361</f>
        <v>0</v>
      </c>
      <c r="G112" s="84">
        <f ca="1">Проект!$G$361</f>
        <v>0</v>
      </c>
      <c r="H112" s="84">
        <f ca="1">Проект!$H$361</f>
        <v>0</v>
      </c>
      <c r="I112" s="84">
        <f ca="1">Проект!$I$361</f>
        <v>0</v>
      </c>
      <c r="J112" s="84">
        <f ca="1">Проект!$J$361</f>
        <v>0</v>
      </c>
      <c r="K112" s="84">
        <f ca="1">Проект!$K$361</f>
        <v>0</v>
      </c>
      <c r="L112" s="84">
        <f ca="1">Проект!$L$361</f>
        <v>0</v>
      </c>
      <c r="M112" s="84">
        <f ca="1">Проект!$M$361</f>
        <v>0</v>
      </c>
      <c r="N112" s="84" t="e">
        <f>Проект!#REF!</f>
        <v>#REF!</v>
      </c>
      <c r="O112" s="84" t="e">
        <f>Проект!#REF!</f>
        <v>#REF!</v>
      </c>
      <c r="P112" s="84" t="e">
        <f>Проект!#REF!</f>
        <v>#REF!</v>
      </c>
      <c r="Q112" s="84">
        <f ca="1">Проект!$Q$361</f>
        <v>0</v>
      </c>
      <c r="R112" s="52"/>
      <c r="S112" s="41"/>
    </row>
    <row r="113" spans="1:19" hidden="1" x14ac:dyDescent="0.2">
      <c r="A113" s="48" t="str">
        <f ca="1">Проект!$A$362</f>
        <v xml:space="preserve">    накопленная амортизация</v>
      </c>
      <c r="B113" s="52"/>
      <c r="C113" s="88" t="str">
        <f ca="1">Проект!$C$362</f>
        <v>руб.</v>
      </c>
      <c r="D113" s="52" t="str">
        <f>Проект!$D$362</f>
        <v>1_09; int_end</v>
      </c>
      <c r="E113" s="52"/>
      <c r="F113" s="84">
        <f ca="1">Проект!$F$362</f>
        <v>0</v>
      </c>
      <c r="G113" s="84">
        <f ca="1">Проект!$G$362</f>
        <v>0</v>
      </c>
      <c r="H113" s="84">
        <f ca="1">Проект!$H$362</f>
        <v>0</v>
      </c>
      <c r="I113" s="84">
        <f ca="1">Проект!$I$362</f>
        <v>0</v>
      </c>
      <c r="J113" s="84">
        <f ca="1">Проект!$J$362</f>
        <v>0</v>
      </c>
      <c r="K113" s="84">
        <f ca="1">Проект!$K$362</f>
        <v>0</v>
      </c>
      <c r="L113" s="84">
        <f ca="1">Проект!$L$362</f>
        <v>0</v>
      </c>
      <c r="M113" s="84">
        <f ca="1">Проект!$M$362</f>
        <v>0</v>
      </c>
      <c r="N113" s="84" t="e">
        <f>Проект!#REF!</f>
        <v>#REF!</v>
      </c>
      <c r="O113" s="84" t="e">
        <f>Проект!#REF!</f>
        <v>#REF!</v>
      </c>
      <c r="P113" s="84" t="e">
        <f>Проект!#REF!</f>
        <v>#REF!</v>
      </c>
      <c r="Q113" s="84">
        <f ca="1">Проект!$Q$362</f>
        <v>0</v>
      </c>
      <c r="R113" s="52"/>
      <c r="S113" s="41"/>
    </row>
    <row r="114" spans="1:19" hidden="1" x14ac:dyDescent="0.2">
      <c r="A114" s="48" t="str">
        <f ca="1">Проект!$A$363</f>
        <v xml:space="preserve">    остаточная стоимость</v>
      </c>
      <c r="B114" s="52"/>
      <c r="C114" s="88" t="str">
        <f ca="1">Проект!$C$363</f>
        <v>руб.</v>
      </c>
      <c r="D114" s="52" t="str">
        <f>Проект!$D$363</f>
        <v>1_10; int_end</v>
      </c>
      <c r="E114" s="52"/>
      <c r="F114" s="106">
        <f ca="1">Проект!$F$363</f>
        <v>0</v>
      </c>
      <c r="G114" s="106">
        <f ca="1">Проект!$G$363</f>
        <v>0</v>
      </c>
      <c r="H114" s="106">
        <f ca="1">Проект!$H$363</f>
        <v>0</v>
      </c>
      <c r="I114" s="106">
        <f ca="1">Проект!$I$363</f>
        <v>0</v>
      </c>
      <c r="J114" s="106">
        <f ca="1">Проект!$J$363</f>
        <v>0</v>
      </c>
      <c r="K114" s="106">
        <f ca="1">Проект!$K$363</f>
        <v>0</v>
      </c>
      <c r="L114" s="106">
        <f ca="1">Проект!$L$363</f>
        <v>0</v>
      </c>
      <c r="M114" s="106">
        <f ca="1">Проект!$M$363</f>
        <v>0</v>
      </c>
      <c r="N114" s="106" t="e">
        <f>Проект!#REF!</f>
        <v>#REF!</v>
      </c>
      <c r="O114" s="106" t="e">
        <f>Проект!#REF!</f>
        <v>#REF!</v>
      </c>
      <c r="P114" s="106" t="e">
        <f>Проект!#REF!</f>
        <v>#REF!</v>
      </c>
      <c r="Q114" s="106">
        <f ca="1">Проект!$Q$363</f>
        <v>0</v>
      </c>
      <c r="R114" s="52"/>
      <c r="S114" s="41"/>
    </row>
    <row r="115" spans="1:19" hidden="1" x14ac:dyDescent="0.2">
      <c r="A115" s="48" t="str">
        <f ca="1">Проект!$A$364</f>
        <v xml:space="preserve">    НДС к ранее осуществленным инвестициям</v>
      </c>
      <c r="B115" s="345">
        <f>Проект!$B$364</f>
        <v>0</v>
      </c>
      <c r="C115" s="88" t="str">
        <f ca="1">Проект!$C$364</f>
        <v>руб.</v>
      </c>
      <c r="D115" s="52" t="str">
        <f>Проект!$D$364</f>
        <v>1_11</v>
      </c>
      <c r="E115" s="52"/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  <c r="R115" s="52"/>
      <c r="S115" s="41"/>
    </row>
    <row r="116" spans="1:19" hidden="1" x14ac:dyDescent="0.2">
      <c r="A116" s="48" t="str">
        <f ca="1">Проект!$A$365</f>
        <v xml:space="preserve">    зачет НДС</v>
      </c>
      <c r="B116" s="52"/>
      <c r="C116" s="88" t="str">
        <f ca="1">Проект!$C$365</f>
        <v>руб.</v>
      </c>
      <c r="D116" s="338" t="str">
        <f>Проект!$D$365</f>
        <v>1_12</v>
      </c>
      <c r="E116" s="52"/>
      <c r="F116" s="83">
        <f ca="1">Проект!$F$365</f>
        <v>0</v>
      </c>
      <c r="G116" s="83">
        <f ca="1">Проект!$G$365</f>
        <v>0</v>
      </c>
      <c r="H116" s="83">
        <f ca="1">Проект!$H$365</f>
        <v>0</v>
      </c>
      <c r="I116" s="83">
        <f ca="1">Проект!$I$365</f>
        <v>0</v>
      </c>
      <c r="J116" s="83">
        <f ca="1">Проект!$J$365</f>
        <v>0</v>
      </c>
      <c r="K116" s="83">
        <f ca="1">Проект!$K$365</f>
        <v>0</v>
      </c>
      <c r="L116" s="83">
        <f ca="1">Проект!$L$365</f>
        <v>0</v>
      </c>
      <c r="M116" s="83">
        <f ca="1">Проект!$M$365</f>
        <v>0</v>
      </c>
      <c r="N116" s="83" t="e">
        <f>Проект!#REF!</f>
        <v>#REF!</v>
      </c>
      <c r="O116" s="83" t="e">
        <f>Проект!#REF!</f>
        <v>#REF!</v>
      </c>
      <c r="P116" s="83" t="e">
        <f>Проект!#REF!</f>
        <v>#REF!</v>
      </c>
      <c r="Q116" s="83">
        <f ca="1">Проект!$Q$365</f>
        <v>0</v>
      </c>
      <c r="R116" s="52"/>
      <c r="S116" s="94">
        <f ca="1">Проект!$S$365</f>
        <v>0</v>
      </c>
    </row>
    <row r="117" spans="1:19" hidden="1" x14ac:dyDescent="0.2">
      <c r="A117" s="76" t="str">
        <f ca="1">Проект!$A$366</f>
        <v xml:space="preserve">    реализация актива (без НДС)</v>
      </c>
      <c r="B117" s="339"/>
      <c r="C117" s="340" t="str">
        <f ca="1">Проект!$C$366</f>
        <v>руб.</v>
      </c>
      <c r="D117" s="52" t="str">
        <f>Проект!$D$366</f>
        <v>1_13</v>
      </c>
      <c r="E117" s="339"/>
      <c r="F117" s="341">
        <f>Проект!$F$366</f>
        <v>0</v>
      </c>
      <c r="G117" s="341">
        <f>Проект!$G$366</f>
        <v>0</v>
      </c>
      <c r="H117" s="341">
        <f>Проект!$H$366</f>
        <v>0</v>
      </c>
      <c r="I117" s="341">
        <f>Проект!$I$366</f>
        <v>0</v>
      </c>
      <c r="J117" s="341">
        <f>Проект!$J$366</f>
        <v>0</v>
      </c>
      <c r="K117" s="341">
        <f>Проект!$K$366</f>
        <v>0</v>
      </c>
      <c r="L117" s="341">
        <f>Проект!$L$366</f>
        <v>0</v>
      </c>
      <c r="M117" s="341">
        <f>Проект!$M$366</f>
        <v>0</v>
      </c>
      <c r="N117" s="341" t="e">
        <f>Проект!#REF!</f>
        <v>#REF!</v>
      </c>
      <c r="O117" s="341" t="e">
        <f>Проект!#REF!</f>
        <v>#REF!</v>
      </c>
      <c r="P117" s="341" t="e">
        <f>Проект!#REF!</f>
        <v>#REF!</v>
      </c>
      <c r="Q117" s="341">
        <f>Проект!$Q$366</f>
        <v>0</v>
      </c>
      <c r="R117" s="52"/>
      <c r="S117" s="94">
        <f>Проект!$S$366</f>
        <v>0</v>
      </c>
    </row>
    <row r="118" spans="1:19" hidden="1" x14ac:dyDescent="0.2">
      <c r="A118" s="45" t="str">
        <f ca="1">Проект!$A$367</f>
        <v xml:space="preserve">    прибыль/убыток от реализации актива</v>
      </c>
      <c r="B118" s="128"/>
      <c r="C118" s="342" t="str">
        <f ca="1">Проект!$C$367</f>
        <v>руб.</v>
      </c>
      <c r="D118" s="52" t="str">
        <f>Проект!$D$367</f>
        <v>1_14</v>
      </c>
      <c r="E118" s="128"/>
      <c r="F118" s="83">
        <f>Проект!$F$367</f>
        <v>0</v>
      </c>
      <c r="G118" s="83">
        <f>Проект!$G$367</f>
        <v>0</v>
      </c>
      <c r="H118" s="83">
        <f>Проект!$H$367</f>
        <v>0</v>
      </c>
      <c r="I118" s="83">
        <f>Проект!$I$367</f>
        <v>0</v>
      </c>
      <c r="J118" s="83">
        <f>Проект!$J$367</f>
        <v>0</v>
      </c>
      <c r="K118" s="83">
        <f>Проект!$K$367</f>
        <v>0</v>
      </c>
      <c r="L118" s="83">
        <f>Проект!$L$367</f>
        <v>0</v>
      </c>
      <c r="M118" s="83">
        <f>Проект!$M$367</f>
        <v>0</v>
      </c>
      <c r="N118" s="83" t="e">
        <f>Проект!#REF!</f>
        <v>#REF!</v>
      </c>
      <c r="O118" s="83" t="e">
        <f>Проект!#REF!</f>
        <v>#REF!</v>
      </c>
      <c r="P118" s="83" t="e">
        <f>Проект!#REF!</f>
        <v>#REF!</v>
      </c>
      <c r="Q118" s="83">
        <f>Проект!$Q$367</f>
        <v>0</v>
      </c>
      <c r="R118" s="52"/>
      <c r="S118" s="94">
        <f>Проект!$S$367</f>
        <v>0</v>
      </c>
    </row>
    <row r="119" spans="1:19" hidden="1" x14ac:dyDescent="0.2">
      <c r="A119" s="48" t="str">
        <f ca="1">Проект!$A$368</f>
        <v xml:space="preserve">    НДС к выручке от реализации актива</v>
      </c>
      <c r="B119" s="344">
        <f>Проект!$B$368</f>
        <v>0</v>
      </c>
      <c r="C119" s="88" t="str">
        <f ca="1">Проект!$C$368</f>
        <v>руб.</v>
      </c>
      <c r="D119" s="52" t="str">
        <f>Проект!$D$368</f>
        <v>1_15</v>
      </c>
      <c r="E119" s="52"/>
      <c r="F119" s="48">
        <f>Проект!$F$368</f>
        <v>0</v>
      </c>
      <c r="G119" s="48">
        <f>Проект!$G$368</f>
        <v>0</v>
      </c>
      <c r="H119" s="48">
        <f>Проект!$H$368</f>
        <v>0</v>
      </c>
      <c r="I119" s="48">
        <f>Проект!$I$368</f>
        <v>0</v>
      </c>
      <c r="J119" s="48">
        <f>Проект!$J$368</f>
        <v>0</v>
      </c>
      <c r="K119" s="48">
        <f>Проект!$K$368</f>
        <v>0</v>
      </c>
      <c r="L119" s="48">
        <f>Проект!$L$368</f>
        <v>0</v>
      </c>
      <c r="M119" s="48">
        <f>Проект!$M$368</f>
        <v>0</v>
      </c>
      <c r="N119" s="48" t="e">
        <f>Проект!#REF!</f>
        <v>#REF!</v>
      </c>
      <c r="O119" s="48" t="e">
        <f>Проект!#REF!</f>
        <v>#REF!</v>
      </c>
      <c r="P119" s="48" t="e">
        <f>Проект!#REF!</f>
        <v>#REF!</v>
      </c>
      <c r="Q119" s="48">
        <f>Проект!$Q$368</f>
        <v>0</v>
      </c>
      <c r="R119" s="52"/>
      <c r="S119" s="94">
        <f>Проект!$S$368</f>
        <v>0</v>
      </c>
    </row>
    <row r="120" spans="1:19" ht="11.25" customHeight="1" x14ac:dyDescent="0.25">
      <c r="A120" s="130"/>
      <c r="B120" s="52"/>
      <c r="C120" s="52"/>
      <c r="D120" s="52"/>
      <c r="E120" s="52"/>
      <c r="F120" s="52"/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  <c r="R120" s="52"/>
      <c r="S120" s="41"/>
    </row>
    <row r="121" spans="1:19" ht="11.25" customHeight="1" x14ac:dyDescent="0.25">
      <c r="A121" s="130" t="str">
        <f ca="1">Проект!$A$370</f>
        <v>Финансовые вложения</v>
      </c>
      <c r="B121" s="48"/>
      <c r="C121" s="48"/>
      <c r="D121" s="48">
        <f>Проект!$D$370</f>
        <v>1</v>
      </c>
      <c r="E121" s="48">
        <f>Проект!$E$370</f>
        <v>15</v>
      </c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1"/>
    </row>
    <row r="122" spans="1:19" ht="11.25" customHeight="1" x14ac:dyDescent="0.2">
      <c r="A122" s="333" t="str">
        <f ca="1">Проект!$A$371</f>
        <v>Наименование</v>
      </c>
      <c r="B122" s="197" t="str">
        <f ca="1">Проект!$B$371</f>
        <v>Валюта</v>
      </c>
      <c r="C122" s="52"/>
      <c r="D122" s="52"/>
      <c r="E122" s="5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52"/>
      <c r="S122" s="92"/>
    </row>
    <row r="123" spans="1:19" ht="11.25" customHeight="1" x14ac:dyDescent="0.2">
      <c r="A123" s="48" t="str">
        <f ca="1">Проект!$A$372</f>
        <v xml:space="preserve">    величина платежей</v>
      </c>
      <c r="B123" s="334">
        <f>Проект!$B$372</f>
        <v>1</v>
      </c>
      <c r="C123" s="88" t="str">
        <f ca="1">Проект!$C$372</f>
        <v>руб.</v>
      </c>
      <c r="D123" s="101" t="str">
        <f>Проект!$D$372</f>
        <v>1_00</v>
      </c>
      <c r="E123" s="52"/>
      <c r="F123" s="335">
        <f>Проект!$F$372</f>
        <v>0</v>
      </c>
      <c r="G123" s="335">
        <f>Проект!$G$372</f>
        <v>0</v>
      </c>
      <c r="H123" s="335">
        <f>Проект!$H$372</f>
        <v>0</v>
      </c>
      <c r="I123" s="335">
        <f>Проект!$I$372</f>
        <v>0</v>
      </c>
      <c r="J123" s="335">
        <f>Проект!$J$372</f>
        <v>0</v>
      </c>
      <c r="K123" s="335">
        <f>Проект!$K$372</f>
        <v>0</v>
      </c>
      <c r="L123" s="335">
        <f>Проект!$L$372</f>
        <v>0</v>
      </c>
      <c r="M123" s="335">
        <f>Проект!$M$372</f>
        <v>0</v>
      </c>
      <c r="N123" s="335" t="e">
        <f>Проект!#REF!</f>
        <v>#REF!</v>
      </c>
      <c r="O123" s="335" t="e">
        <f>Проект!#REF!</f>
        <v>#REF!</v>
      </c>
      <c r="P123" s="335" t="e">
        <f>Проект!#REF!</f>
        <v>#REF!</v>
      </c>
      <c r="Q123" s="335">
        <f>Проект!$Q$372</f>
        <v>0</v>
      </c>
      <c r="R123" s="52"/>
      <c r="S123" s="94">
        <f>Проект!$S$372</f>
        <v>0</v>
      </c>
    </row>
    <row r="124" spans="1:19" hidden="1" x14ac:dyDescent="0.2">
      <c r="A124" s="48" t="str">
        <f ca="1">Проект!$A$373</f>
        <v xml:space="preserve">    поставить на баланс с</v>
      </c>
      <c r="B124" s="337">
        <f ca="1">Проект!$B$373</f>
        <v>1</v>
      </c>
      <c r="C124" s="88" t="str">
        <f ca="1">Проект!$C$373</f>
        <v>периода</v>
      </c>
      <c r="D124" s="52"/>
      <c r="E124" s="52"/>
      <c r="F124" s="52"/>
      <c r="G124" s="52"/>
      <c r="H124" s="52"/>
      <c r="I124" s="52"/>
      <c r="J124" s="52"/>
      <c r="K124" s="52"/>
      <c r="L124" s="52"/>
      <c r="M124" s="52"/>
      <c r="N124" s="52"/>
      <c r="O124" s="52"/>
      <c r="P124" s="52"/>
      <c r="Q124" s="52"/>
      <c r="R124" s="52"/>
      <c r="S124" s="41"/>
    </row>
    <row r="125" spans="1:19" hidden="1" x14ac:dyDescent="0.2">
      <c r="A125" s="48" t="str">
        <f ca="1">Проект!$A$374</f>
        <v xml:space="preserve">    выплаченный НДС</v>
      </c>
      <c r="B125" s="344">
        <f>Проект!$B$374</f>
        <v>0</v>
      </c>
      <c r="C125" s="88" t="str">
        <f ca="1">Проект!$C$374</f>
        <v>руб.</v>
      </c>
      <c r="D125" s="52" t="str">
        <f>Проект!$D$374</f>
        <v>1_04</v>
      </c>
      <c r="E125" s="52"/>
      <c r="F125" s="83">
        <f>Проект!$F$374</f>
        <v>0</v>
      </c>
      <c r="G125" s="83">
        <f>Проект!$G$374</f>
        <v>0</v>
      </c>
      <c r="H125" s="83">
        <f>Проект!$H$374</f>
        <v>0</v>
      </c>
      <c r="I125" s="83">
        <f>Проект!$I$374</f>
        <v>0</v>
      </c>
      <c r="J125" s="83">
        <f>Проект!$J$374</f>
        <v>0</v>
      </c>
      <c r="K125" s="83">
        <f>Проект!$K$374</f>
        <v>0</v>
      </c>
      <c r="L125" s="83">
        <f>Проект!$L$374</f>
        <v>0</v>
      </c>
      <c r="M125" s="83">
        <f>Проект!$M$374</f>
        <v>0</v>
      </c>
      <c r="N125" s="83" t="e">
        <f>Проект!#REF!</f>
        <v>#REF!</v>
      </c>
      <c r="O125" s="83" t="e">
        <f>Проект!#REF!</f>
        <v>#REF!</v>
      </c>
      <c r="P125" s="83" t="e">
        <f>Проект!#REF!</f>
        <v>#REF!</v>
      </c>
      <c r="Q125" s="83">
        <f>Проект!$Q$374</f>
        <v>0</v>
      </c>
      <c r="R125" s="52"/>
      <c r="S125" s="94">
        <f>Проект!$S$374</f>
        <v>0</v>
      </c>
    </row>
    <row r="126" spans="1:19" hidden="1" x14ac:dyDescent="0.2">
      <c r="A126" s="52" t="str">
        <f ca="1">Проект!$A$375</f>
        <v xml:space="preserve">    доходность финансовых вложений</v>
      </c>
      <c r="B126" s="344">
        <f>Проект!$B$375</f>
        <v>0.1</v>
      </c>
      <c r="C126" s="73" t="str">
        <f ca="1">Проект!$C$375</f>
        <v>руб.</v>
      </c>
      <c r="D126" s="48" t="str">
        <f>Проект!$D$375</f>
        <v>1_16</v>
      </c>
      <c r="E126" s="48"/>
      <c r="F126" s="341">
        <f ca="1">Проект!$F$375</f>
        <v>0</v>
      </c>
      <c r="G126" s="341">
        <f ca="1">Проект!$G$375</f>
        <v>0</v>
      </c>
      <c r="H126" s="341">
        <f ca="1">Проект!$H$375</f>
        <v>0</v>
      </c>
      <c r="I126" s="341">
        <f ca="1">Проект!$I$375</f>
        <v>0</v>
      </c>
      <c r="J126" s="341">
        <f ca="1">Проект!$J$375</f>
        <v>0</v>
      </c>
      <c r="K126" s="341">
        <f ca="1">Проект!$K$375</f>
        <v>0</v>
      </c>
      <c r="L126" s="341">
        <f ca="1">Проект!$L$375</f>
        <v>0</v>
      </c>
      <c r="M126" s="341">
        <f ca="1">Проект!$M$375</f>
        <v>0</v>
      </c>
      <c r="N126" s="341" t="e">
        <f>Проект!#REF!</f>
        <v>#REF!</v>
      </c>
      <c r="O126" s="341" t="e">
        <f>Проект!#REF!</f>
        <v>#REF!</v>
      </c>
      <c r="P126" s="341" t="e">
        <f>Проект!#REF!</f>
        <v>#REF!</v>
      </c>
      <c r="Q126" s="341">
        <f ca="1">Проект!$Q$375</f>
        <v>0</v>
      </c>
      <c r="R126" s="48"/>
      <c r="S126" s="94">
        <f ca="1">Проект!$S$375</f>
        <v>0</v>
      </c>
    </row>
    <row r="127" spans="1:19" hidden="1" x14ac:dyDescent="0.2">
      <c r="A127" s="48" t="str">
        <f ca="1">Проект!$A$376</f>
        <v xml:space="preserve">    сумма платежей без НДС</v>
      </c>
      <c r="B127" s="52"/>
      <c r="C127" s="88" t="str">
        <f ca="1">Проект!$C$376</f>
        <v>руб.</v>
      </c>
      <c r="D127" s="52" t="str">
        <f>Проект!$D$376</f>
        <v>1_01</v>
      </c>
      <c r="E127" s="52"/>
      <c r="F127" s="84">
        <f>Проект!$F$376</f>
        <v>0</v>
      </c>
      <c r="G127" s="84">
        <f>Проект!$G$376</f>
        <v>0</v>
      </c>
      <c r="H127" s="84">
        <f>Проект!$H$376</f>
        <v>0</v>
      </c>
      <c r="I127" s="84">
        <f>Проект!$I$376</f>
        <v>0</v>
      </c>
      <c r="J127" s="84">
        <f>Проект!$J$376</f>
        <v>0</v>
      </c>
      <c r="K127" s="84">
        <f>Проект!$K$376</f>
        <v>0</v>
      </c>
      <c r="L127" s="84">
        <f>Проект!$L$376</f>
        <v>0</v>
      </c>
      <c r="M127" s="84">
        <f>Проект!$M$376</f>
        <v>0</v>
      </c>
      <c r="N127" s="84" t="e">
        <f>Проект!#REF!</f>
        <v>#REF!</v>
      </c>
      <c r="O127" s="84" t="e">
        <f>Проект!#REF!</f>
        <v>#REF!</v>
      </c>
      <c r="P127" s="84" t="e">
        <f>Проект!#REF!</f>
        <v>#REF!</v>
      </c>
      <c r="Q127" s="84">
        <f>Проект!$Q$376</f>
        <v>0</v>
      </c>
      <c r="R127" s="52"/>
      <c r="S127" s="94">
        <f>Проект!$S$376</f>
        <v>0</v>
      </c>
    </row>
    <row r="128" spans="1:19" ht="10.5" hidden="1" x14ac:dyDescent="0.2">
      <c r="A128" s="48" t="str">
        <f ca="1">Проект!$A$377</f>
        <v xml:space="preserve">    общая стоимость актива (без НДС)</v>
      </c>
      <c r="B128" s="312">
        <f>Проект!$B$377</f>
        <v>0</v>
      </c>
      <c r="C128" s="88" t="str">
        <f ca="1">Проект!$C$377</f>
        <v>руб.</v>
      </c>
      <c r="D128" s="52"/>
      <c r="E128" s="52"/>
      <c r="F128" s="52"/>
      <c r="G128" s="52"/>
      <c r="H128" s="52"/>
      <c r="I128" s="52"/>
      <c r="J128" s="52"/>
      <c r="K128" s="52"/>
      <c r="L128" s="52"/>
      <c r="M128" s="52"/>
      <c r="N128" s="52"/>
      <c r="O128" s="52"/>
      <c r="P128" s="52"/>
      <c r="Q128" s="52"/>
      <c r="R128" s="52"/>
      <c r="S128" s="41"/>
    </row>
    <row r="129" spans="1:19" hidden="1" x14ac:dyDescent="0.2">
      <c r="A129" s="48" t="str">
        <f ca="1">Проект!$A$378</f>
        <v xml:space="preserve">    полная сумма вложений в актив (без НДС)</v>
      </c>
      <c r="B129" s="52"/>
      <c r="C129" s="88" t="str">
        <f ca="1">Проект!$C$378</f>
        <v>руб.</v>
      </c>
      <c r="D129" s="52" t="str">
        <f>Проект!$D$378</f>
        <v>1_05; int_end</v>
      </c>
      <c r="E129" s="52"/>
      <c r="F129" s="84">
        <f>Проект!$F$378</f>
        <v>0</v>
      </c>
      <c r="G129" s="84">
        <f>Проект!$G$378</f>
        <v>0</v>
      </c>
      <c r="H129" s="84">
        <f>Проект!$H$378</f>
        <v>0</v>
      </c>
      <c r="I129" s="84">
        <f>Проект!$I$378</f>
        <v>0</v>
      </c>
      <c r="J129" s="84">
        <f>Проект!$J$378</f>
        <v>0</v>
      </c>
      <c r="K129" s="84">
        <f>Проект!$K$378</f>
        <v>0</v>
      </c>
      <c r="L129" s="84">
        <f>Проект!$L$378</f>
        <v>0</v>
      </c>
      <c r="M129" s="84">
        <f>Проект!$M$378</f>
        <v>0</v>
      </c>
      <c r="N129" s="84" t="e">
        <f>Проект!#REF!</f>
        <v>#REF!</v>
      </c>
      <c r="O129" s="84" t="e">
        <f>Проект!#REF!</f>
        <v>#REF!</v>
      </c>
      <c r="P129" s="84" t="e">
        <f>Проект!#REF!</f>
        <v>#REF!</v>
      </c>
      <c r="Q129" s="84">
        <f>Проект!$Q$378</f>
        <v>0</v>
      </c>
      <c r="R129" s="52"/>
      <c r="S129" s="94"/>
    </row>
    <row r="130" spans="1:19" hidden="1" x14ac:dyDescent="0.2">
      <c r="A130" s="48" t="str">
        <f ca="1">Проект!$A$379</f>
        <v xml:space="preserve">    полная балансовая стоимость</v>
      </c>
      <c r="B130" s="52"/>
      <c r="C130" s="88" t="str">
        <f ca="1">Проект!$C$379</f>
        <v>руб.</v>
      </c>
      <c r="D130" s="52" t="str">
        <f>Проект!$D$379</f>
        <v>1_06; int_end</v>
      </c>
      <c r="E130" s="52"/>
      <c r="F130" s="84">
        <f ca="1">Проект!$F$379</f>
        <v>0</v>
      </c>
      <c r="G130" s="84">
        <f ca="1">Проект!$G$379</f>
        <v>0</v>
      </c>
      <c r="H130" s="84">
        <f ca="1">Проект!$H$379</f>
        <v>0</v>
      </c>
      <c r="I130" s="84">
        <f ca="1">Проект!$I$379</f>
        <v>0</v>
      </c>
      <c r="J130" s="84">
        <f ca="1">Проект!$J$379</f>
        <v>0</v>
      </c>
      <c r="K130" s="84">
        <f ca="1">Проект!$K$379</f>
        <v>0</v>
      </c>
      <c r="L130" s="84">
        <f ca="1">Проект!$L$379</f>
        <v>0</v>
      </c>
      <c r="M130" s="84">
        <f ca="1">Проект!$M$379</f>
        <v>0</v>
      </c>
      <c r="N130" s="84" t="e">
        <f>Проект!#REF!</f>
        <v>#REF!</v>
      </c>
      <c r="O130" s="84" t="e">
        <f>Проект!#REF!</f>
        <v>#REF!</v>
      </c>
      <c r="P130" s="84" t="e">
        <f>Проект!#REF!</f>
        <v>#REF!</v>
      </c>
      <c r="Q130" s="84">
        <f ca="1">Проект!$Q$379</f>
        <v>0</v>
      </c>
      <c r="R130" s="52"/>
      <c r="S130" s="41"/>
    </row>
    <row r="131" spans="1:19" hidden="1" x14ac:dyDescent="0.2">
      <c r="A131" s="48" t="str">
        <f ca="1">Проект!$A$380</f>
        <v xml:space="preserve">    авансы выданные</v>
      </c>
      <c r="B131" s="52"/>
      <c r="C131" s="88" t="str">
        <f ca="1">Проект!$C$380</f>
        <v>руб.</v>
      </c>
      <c r="D131" s="52" t="str">
        <f>Проект!$D$380</f>
        <v>1_17; int_end</v>
      </c>
      <c r="E131" s="52"/>
      <c r="F131" s="84">
        <f ca="1">Проект!$F$380</f>
        <v>0</v>
      </c>
      <c r="G131" s="84">
        <f ca="1">Проект!$G$380</f>
        <v>0</v>
      </c>
      <c r="H131" s="84">
        <f ca="1">Проект!$H$380</f>
        <v>0</v>
      </c>
      <c r="I131" s="84">
        <f ca="1">Проект!$I$380</f>
        <v>0</v>
      </c>
      <c r="J131" s="84">
        <f ca="1">Проект!$J$380</f>
        <v>0</v>
      </c>
      <c r="K131" s="84">
        <f ca="1">Проект!$K$380</f>
        <v>0</v>
      </c>
      <c r="L131" s="84">
        <f ca="1">Проект!$L$380</f>
        <v>0</v>
      </c>
      <c r="M131" s="84">
        <f ca="1">Проект!$M$380</f>
        <v>0</v>
      </c>
      <c r="N131" s="84" t="e">
        <f>Проект!#REF!</f>
        <v>#REF!</v>
      </c>
      <c r="O131" s="84" t="e">
        <f>Проект!#REF!</f>
        <v>#REF!</v>
      </c>
      <c r="P131" s="84" t="e">
        <f>Проект!#REF!</f>
        <v>#REF!</v>
      </c>
      <c r="Q131" s="84">
        <f ca="1">Проект!$Q$380</f>
        <v>0</v>
      </c>
      <c r="R131" s="52"/>
      <c r="S131" s="41"/>
    </row>
    <row r="132" spans="1:19" hidden="1" x14ac:dyDescent="0.2">
      <c r="A132" s="48" t="str">
        <f ca="1">Проект!$A$381</f>
        <v xml:space="preserve">    кредиторская задолженность</v>
      </c>
      <c r="B132" s="52"/>
      <c r="C132" s="88" t="str">
        <f ca="1">Проект!$C$381</f>
        <v>руб.</v>
      </c>
      <c r="D132" s="52" t="str">
        <f>Проект!$D$381</f>
        <v>1_08; int_end</v>
      </c>
      <c r="E132" s="52"/>
      <c r="F132" s="84">
        <f ca="1">Проект!$F$381</f>
        <v>0</v>
      </c>
      <c r="G132" s="84">
        <f ca="1">Проект!$G$381</f>
        <v>0</v>
      </c>
      <c r="H132" s="84">
        <f ca="1">Проект!$H$381</f>
        <v>0</v>
      </c>
      <c r="I132" s="84">
        <f ca="1">Проект!$I$381</f>
        <v>0</v>
      </c>
      <c r="J132" s="84">
        <f ca="1">Проект!$J$381</f>
        <v>0</v>
      </c>
      <c r="K132" s="84">
        <f ca="1">Проект!$K$381</f>
        <v>0</v>
      </c>
      <c r="L132" s="84">
        <f ca="1">Проект!$L$381</f>
        <v>0</v>
      </c>
      <c r="M132" s="84">
        <f ca="1">Проект!$M$381</f>
        <v>0</v>
      </c>
      <c r="N132" s="84" t="e">
        <f>Проект!#REF!</f>
        <v>#REF!</v>
      </c>
      <c r="O132" s="84" t="e">
        <f>Проект!#REF!</f>
        <v>#REF!</v>
      </c>
      <c r="P132" s="84" t="e">
        <f>Проект!#REF!</f>
        <v>#REF!</v>
      </c>
      <c r="Q132" s="84">
        <f ca="1">Проект!$Q$381</f>
        <v>0</v>
      </c>
      <c r="R132" s="52"/>
      <c r="S132" s="41"/>
    </row>
    <row r="133" spans="1:19" hidden="1" x14ac:dyDescent="0.2">
      <c r="A133" s="48" t="str">
        <f ca="1">Проект!$A$382</f>
        <v xml:space="preserve">    зачет НДС</v>
      </c>
      <c r="B133" s="52"/>
      <c r="C133" s="88" t="str">
        <f ca="1">Проект!$C$382</f>
        <v>руб.</v>
      </c>
      <c r="D133" s="338" t="str">
        <f>Проект!$D$382</f>
        <v>1_12</v>
      </c>
      <c r="E133" s="52"/>
      <c r="F133" s="83">
        <f ca="1">Проект!$F$382</f>
        <v>0</v>
      </c>
      <c r="G133" s="83">
        <f ca="1">Проект!$G$382</f>
        <v>0</v>
      </c>
      <c r="H133" s="83">
        <f ca="1">Проект!$H$382</f>
        <v>0</v>
      </c>
      <c r="I133" s="83">
        <f ca="1">Проект!$I$382</f>
        <v>0</v>
      </c>
      <c r="J133" s="83">
        <f ca="1">Проект!$J$382</f>
        <v>0</v>
      </c>
      <c r="K133" s="83">
        <f ca="1">Проект!$K$382</f>
        <v>0</v>
      </c>
      <c r="L133" s="83">
        <f ca="1">Проект!$L$382</f>
        <v>0</v>
      </c>
      <c r="M133" s="83">
        <f ca="1">Проект!$M$382</f>
        <v>0</v>
      </c>
      <c r="N133" s="83" t="e">
        <f>Проект!#REF!</f>
        <v>#REF!</v>
      </c>
      <c r="O133" s="83" t="e">
        <f>Проект!#REF!</f>
        <v>#REF!</v>
      </c>
      <c r="P133" s="83" t="e">
        <f>Проект!#REF!</f>
        <v>#REF!</v>
      </c>
      <c r="Q133" s="83">
        <f ca="1">Проект!$Q$382</f>
        <v>0</v>
      </c>
      <c r="R133" s="52"/>
      <c r="S133" s="94">
        <f ca="1">Проект!$S$382</f>
        <v>0</v>
      </c>
    </row>
    <row r="134" spans="1:19" hidden="1" x14ac:dyDescent="0.2">
      <c r="A134" s="76" t="str">
        <f ca="1">Проект!$A$383</f>
        <v xml:space="preserve">    реализация актива (без НДС)</v>
      </c>
      <c r="B134" s="339"/>
      <c r="C134" s="340" t="str">
        <f ca="1">Проект!$C$383</f>
        <v>руб.</v>
      </c>
      <c r="D134" s="52" t="str">
        <f>Проект!$D$383</f>
        <v>1_13</v>
      </c>
      <c r="E134" s="339"/>
      <c r="F134" s="341">
        <f>Проект!$F$383</f>
        <v>0</v>
      </c>
      <c r="G134" s="341">
        <f>Проект!$G$383</f>
        <v>0</v>
      </c>
      <c r="H134" s="341">
        <f>Проект!$H$383</f>
        <v>0</v>
      </c>
      <c r="I134" s="341">
        <f>Проект!$I$383</f>
        <v>0</v>
      </c>
      <c r="J134" s="341">
        <f>Проект!$J$383</f>
        <v>0</v>
      </c>
      <c r="K134" s="341">
        <f>Проект!$K$383</f>
        <v>0</v>
      </c>
      <c r="L134" s="341">
        <f>Проект!$L$383</f>
        <v>0</v>
      </c>
      <c r="M134" s="341">
        <f>Проект!$M$383</f>
        <v>0</v>
      </c>
      <c r="N134" s="341" t="e">
        <f>Проект!#REF!</f>
        <v>#REF!</v>
      </c>
      <c r="O134" s="341" t="e">
        <f>Проект!#REF!</f>
        <v>#REF!</v>
      </c>
      <c r="P134" s="341" t="e">
        <f>Проект!#REF!</f>
        <v>#REF!</v>
      </c>
      <c r="Q134" s="341">
        <f>Проект!$Q$383</f>
        <v>0</v>
      </c>
      <c r="R134" s="52"/>
      <c r="S134" s="94">
        <f>Проект!$S$383</f>
        <v>0</v>
      </c>
    </row>
    <row r="135" spans="1:19" hidden="1" x14ac:dyDescent="0.2">
      <c r="A135" s="45" t="str">
        <f ca="1">Проект!$A$384</f>
        <v xml:space="preserve">    прибыль/убыток от реализации актива</v>
      </c>
      <c r="B135" s="128"/>
      <c r="C135" s="342" t="str">
        <f ca="1">Проект!$C$384</f>
        <v>руб.</v>
      </c>
      <c r="D135" s="52" t="str">
        <f>Проект!$D$384</f>
        <v>1_14</v>
      </c>
      <c r="E135" s="128"/>
      <c r="F135" s="83">
        <f>Проект!$F$384</f>
        <v>0</v>
      </c>
      <c r="G135" s="83">
        <f>Проект!$G$384</f>
        <v>0</v>
      </c>
      <c r="H135" s="83">
        <f>Проект!$H$384</f>
        <v>0</v>
      </c>
      <c r="I135" s="83">
        <f>Проект!$I$384</f>
        <v>0</v>
      </c>
      <c r="J135" s="83">
        <f>Проект!$J$384</f>
        <v>0</v>
      </c>
      <c r="K135" s="83">
        <f>Проект!$K$384</f>
        <v>0</v>
      </c>
      <c r="L135" s="83">
        <f>Проект!$L$384</f>
        <v>0</v>
      </c>
      <c r="M135" s="83">
        <f>Проект!$M$384</f>
        <v>0</v>
      </c>
      <c r="N135" s="83" t="e">
        <f>Проект!#REF!</f>
        <v>#REF!</v>
      </c>
      <c r="O135" s="83" t="e">
        <f>Проект!#REF!</f>
        <v>#REF!</v>
      </c>
      <c r="P135" s="83" t="e">
        <f>Проект!#REF!</f>
        <v>#REF!</v>
      </c>
      <c r="Q135" s="83">
        <f>Проект!$Q$384</f>
        <v>0</v>
      </c>
      <c r="R135" s="52"/>
      <c r="S135" s="94">
        <f>Проект!$S$384</f>
        <v>0</v>
      </c>
    </row>
    <row r="136" spans="1:19" hidden="1" x14ac:dyDescent="0.2">
      <c r="A136" s="48" t="str">
        <f ca="1">Проект!$A$385</f>
        <v xml:space="preserve">    НДС к выручке от реализации актива</v>
      </c>
      <c r="B136" s="344">
        <f>Проект!$B$385</f>
        <v>0</v>
      </c>
      <c r="C136" s="88" t="str">
        <f ca="1">Проект!$C$385</f>
        <v>руб.</v>
      </c>
      <c r="D136" s="52" t="str">
        <f>Проект!$D$385</f>
        <v>1_15</v>
      </c>
      <c r="E136" s="52"/>
      <c r="F136" s="48">
        <f>Проект!$F$385</f>
        <v>0</v>
      </c>
      <c r="G136" s="48">
        <f>Проект!$G$385</f>
        <v>0</v>
      </c>
      <c r="H136" s="48">
        <f>Проект!$H$385</f>
        <v>0</v>
      </c>
      <c r="I136" s="48">
        <f>Проект!$I$385</f>
        <v>0</v>
      </c>
      <c r="J136" s="48">
        <f>Проект!$J$385</f>
        <v>0</v>
      </c>
      <c r="K136" s="48">
        <f>Проект!$K$385</f>
        <v>0</v>
      </c>
      <c r="L136" s="48">
        <f>Проект!$L$385</f>
        <v>0</v>
      </c>
      <c r="M136" s="48">
        <f>Проект!$M$385</f>
        <v>0</v>
      </c>
      <c r="N136" s="48" t="e">
        <f>Проект!#REF!</f>
        <v>#REF!</v>
      </c>
      <c r="O136" s="48" t="e">
        <f>Проект!#REF!</f>
        <v>#REF!</v>
      </c>
      <c r="P136" s="48" t="e">
        <f>Проект!#REF!</f>
        <v>#REF!</v>
      </c>
      <c r="Q136" s="48">
        <f>Проект!$Q$385</f>
        <v>0</v>
      </c>
      <c r="R136" s="52"/>
      <c r="S136" s="94">
        <f>Проект!$S$385</f>
        <v>0</v>
      </c>
    </row>
    <row r="137" spans="1:19" ht="11.25" customHeight="1" x14ac:dyDescent="0.2">
      <c r="A137" s="333" t="e">
        <f>Проект!#REF!</f>
        <v>#REF!</v>
      </c>
      <c r="B137" s="197" t="e">
        <f>Проект!#REF!</f>
        <v>#REF!</v>
      </c>
      <c r="C137" s="52"/>
      <c r="D137" s="52"/>
      <c r="E137" s="5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52"/>
      <c r="S137" s="92"/>
    </row>
    <row r="138" spans="1:19" ht="11.25" customHeight="1" x14ac:dyDescent="0.2">
      <c r="A138" s="48" t="e">
        <f>Проект!#REF!</f>
        <v>#REF!</v>
      </c>
      <c r="B138" s="334" t="e">
        <f>Проект!#REF!</f>
        <v>#REF!</v>
      </c>
      <c r="C138" s="88" t="e">
        <f>Проект!#REF!</f>
        <v>#REF!</v>
      </c>
      <c r="D138" s="101" t="e">
        <f>Проект!#REF!</f>
        <v>#REF!</v>
      </c>
      <c r="E138" s="52"/>
      <c r="F138" s="335" t="e">
        <f>Проект!#REF!</f>
        <v>#REF!</v>
      </c>
      <c r="G138" s="335" t="e">
        <f>Проект!#REF!</f>
        <v>#REF!</v>
      </c>
      <c r="H138" s="335" t="e">
        <f>Проект!#REF!</f>
        <v>#REF!</v>
      </c>
      <c r="I138" s="335" t="e">
        <f>Проект!#REF!</f>
        <v>#REF!</v>
      </c>
      <c r="J138" s="335" t="e">
        <f>Проект!#REF!</f>
        <v>#REF!</v>
      </c>
      <c r="K138" s="335" t="e">
        <f>Проект!#REF!</f>
        <v>#REF!</v>
      </c>
      <c r="L138" s="335" t="e">
        <f>Проект!#REF!</f>
        <v>#REF!</v>
      </c>
      <c r="M138" s="335" t="e">
        <f>Проект!#REF!</f>
        <v>#REF!</v>
      </c>
      <c r="N138" s="335" t="e">
        <f>Проект!#REF!</f>
        <v>#REF!</v>
      </c>
      <c r="O138" s="335" t="e">
        <f>Проект!#REF!</f>
        <v>#REF!</v>
      </c>
      <c r="P138" s="335" t="e">
        <f>Проект!#REF!</f>
        <v>#REF!</v>
      </c>
      <c r="Q138" s="335" t="e">
        <f>Проект!#REF!</f>
        <v>#REF!</v>
      </c>
      <c r="R138" s="52"/>
      <c r="S138" s="94" t="e">
        <f>Проект!#REF!</f>
        <v>#REF!</v>
      </c>
    </row>
    <row r="139" spans="1:19" hidden="1" x14ac:dyDescent="0.2">
      <c r="A139" s="48" t="e">
        <f>Проект!#REF!</f>
        <v>#REF!</v>
      </c>
      <c r="B139" s="337" t="e">
        <f>Проект!#REF!</f>
        <v>#REF!</v>
      </c>
      <c r="C139" s="88" t="e">
        <f>Проект!#REF!</f>
        <v>#REF!</v>
      </c>
      <c r="D139" s="52"/>
      <c r="E139" s="52"/>
      <c r="F139" s="52"/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52"/>
      <c r="R139" s="52"/>
      <c r="S139" s="41"/>
    </row>
    <row r="140" spans="1:19" hidden="1" x14ac:dyDescent="0.2">
      <c r="A140" s="48" t="e">
        <f>Проект!#REF!</f>
        <v>#REF!</v>
      </c>
      <c r="B140" s="344" t="e">
        <f>Проект!#REF!</f>
        <v>#REF!</v>
      </c>
      <c r="C140" s="88" t="e">
        <f>Проект!#REF!</f>
        <v>#REF!</v>
      </c>
      <c r="D140" s="52" t="e">
        <f>Проект!#REF!</f>
        <v>#REF!</v>
      </c>
      <c r="E140" s="52"/>
      <c r="F140" s="83" t="e">
        <f>Проект!#REF!</f>
        <v>#REF!</v>
      </c>
      <c r="G140" s="83" t="e">
        <f>Проект!#REF!</f>
        <v>#REF!</v>
      </c>
      <c r="H140" s="83" t="e">
        <f>Проект!#REF!</f>
        <v>#REF!</v>
      </c>
      <c r="I140" s="83" t="e">
        <f>Проект!#REF!</f>
        <v>#REF!</v>
      </c>
      <c r="J140" s="83" t="e">
        <f>Проект!#REF!</f>
        <v>#REF!</v>
      </c>
      <c r="K140" s="83" t="e">
        <f>Проект!#REF!</f>
        <v>#REF!</v>
      </c>
      <c r="L140" s="83" t="e">
        <f>Проект!#REF!</f>
        <v>#REF!</v>
      </c>
      <c r="M140" s="83" t="e">
        <f>Проект!#REF!</f>
        <v>#REF!</v>
      </c>
      <c r="N140" s="83" t="e">
        <f>Проект!#REF!</f>
        <v>#REF!</v>
      </c>
      <c r="O140" s="83" t="e">
        <f>Проект!#REF!</f>
        <v>#REF!</v>
      </c>
      <c r="P140" s="83" t="e">
        <f>Проект!#REF!</f>
        <v>#REF!</v>
      </c>
      <c r="Q140" s="83" t="e">
        <f>Проект!#REF!</f>
        <v>#REF!</v>
      </c>
      <c r="R140" s="52"/>
      <c r="S140" s="94" t="e">
        <f>Проект!#REF!</f>
        <v>#REF!</v>
      </c>
    </row>
    <row r="141" spans="1:19" hidden="1" x14ac:dyDescent="0.2">
      <c r="A141" s="52" t="e">
        <f>Проект!#REF!</f>
        <v>#REF!</v>
      </c>
      <c r="B141" s="344" t="e">
        <f>Проект!#REF!</f>
        <v>#REF!</v>
      </c>
      <c r="C141" s="73" t="e">
        <f>Проект!#REF!</f>
        <v>#REF!</v>
      </c>
      <c r="D141" s="48" t="e">
        <f>Проект!#REF!</f>
        <v>#REF!</v>
      </c>
      <c r="E141" s="48"/>
      <c r="F141" s="341" t="e">
        <f>Проект!#REF!</f>
        <v>#REF!</v>
      </c>
      <c r="G141" s="341" t="e">
        <f>Проект!#REF!</f>
        <v>#REF!</v>
      </c>
      <c r="H141" s="341" t="e">
        <f>Проект!#REF!</f>
        <v>#REF!</v>
      </c>
      <c r="I141" s="341" t="e">
        <f>Проект!#REF!</f>
        <v>#REF!</v>
      </c>
      <c r="J141" s="341" t="e">
        <f>Проект!#REF!</f>
        <v>#REF!</v>
      </c>
      <c r="K141" s="341" t="e">
        <f>Проект!#REF!</f>
        <v>#REF!</v>
      </c>
      <c r="L141" s="341" t="e">
        <f>Проект!#REF!</f>
        <v>#REF!</v>
      </c>
      <c r="M141" s="341" t="e">
        <f>Проект!#REF!</f>
        <v>#REF!</v>
      </c>
      <c r="N141" s="341" t="e">
        <f>Проект!#REF!</f>
        <v>#REF!</v>
      </c>
      <c r="O141" s="341" t="e">
        <f>Проект!#REF!</f>
        <v>#REF!</v>
      </c>
      <c r="P141" s="341" t="e">
        <f>Проект!#REF!</f>
        <v>#REF!</v>
      </c>
      <c r="Q141" s="341" t="e">
        <f>Проект!#REF!</f>
        <v>#REF!</v>
      </c>
      <c r="R141" s="48"/>
      <c r="S141" s="94" t="e">
        <f>Проект!#REF!</f>
        <v>#REF!</v>
      </c>
    </row>
    <row r="142" spans="1:19" hidden="1" x14ac:dyDescent="0.2">
      <c r="A142" s="48" t="e">
        <f>Проект!#REF!</f>
        <v>#REF!</v>
      </c>
      <c r="B142" s="52"/>
      <c r="C142" s="88" t="e">
        <f>Проект!#REF!</f>
        <v>#REF!</v>
      </c>
      <c r="D142" s="52" t="e">
        <f>Проект!#REF!</f>
        <v>#REF!</v>
      </c>
      <c r="E142" s="52"/>
      <c r="F142" s="84" t="e">
        <f>Проект!#REF!</f>
        <v>#REF!</v>
      </c>
      <c r="G142" s="84" t="e">
        <f>Проект!#REF!</f>
        <v>#REF!</v>
      </c>
      <c r="H142" s="84" t="e">
        <f>Проект!#REF!</f>
        <v>#REF!</v>
      </c>
      <c r="I142" s="84" t="e">
        <f>Проект!#REF!</f>
        <v>#REF!</v>
      </c>
      <c r="J142" s="84" t="e">
        <f>Проект!#REF!</f>
        <v>#REF!</v>
      </c>
      <c r="K142" s="84" t="e">
        <f>Проект!#REF!</f>
        <v>#REF!</v>
      </c>
      <c r="L142" s="84" t="e">
        <f>Проект!#REF!</f>
        <v>#REF!</v>
      </c>
      <c r="M142" s="84" t="e">
        <f>Проект!#REF!</f>
        <v>#REF!</v>
      </c>
      <c r="N142" s="84" t="e">
        <f>Проект!#REF!</f>
        <v>#REF!</v>
      </c>
      <c r="O142" s="84" t="e">
        <f>Проект!#REF!</f>
        <v>#REF!</v>
      </c>
      <c r="P142" s="84" t="e">
        <f>Проект!#REF!</f>
        <v>#REF!</v>
      </c>
      <c r="Q142" s="84" t="e">
        <f>Проект!#REF!</f>
        <v>#REF!</v>
      </c>
      <c r="R142" s="52"/>
      <c r="S142" s="94" t="e">
        <f>Проект!#REF!</f>
        <v>#REF!</v>
      </c>
    </row>
    <row r="143" spans="1:19" ht="10.5" hidden="1" x14ac:dyDescent="0.2">
      <c r="A143" s="48" t="e">
        <f>Проект!#REF!</f>
        <v>#REF!</v>
      </c>
      <c r="B143" s="312" t="e">
        <f>Проект!#REF!</f>
        <v>#REF!</v>
      </c>
      <c r="C143" s="88" t="e">
        <f>Проект!#REF!</f>
        <v>#REF!</v>
      </c>
      <c r="D143" s="52"/>
      <c r="E143" s="52"/>
      <c r="F143" s="52"/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  <c r="R143" s="52"/>
      <c r="S143" s="41"/>
    </row>
    <row r="144" spans="1:19" hidden="1" x14ac:dyDescent="0.2">
      <c r="A144" s="48" t="e">
        <f>Проект!#REF!</f>
        <v>#REF!</v>
      </c>
      <c r="B144" s="52"/>
      <c r="C144" s="88" t="e">
        <f>Проект!#REF!</f>
        <v>#REF!</v>
      </c>
      <c r="D144" s="52" t="e">
        <f>Проект!#REF!</f>
        <v>#REF!</v>
      </c>
      <c r="E144" s="52"/>
      <c r="F144" s="84" t="e">
        <f>Проект!#REF!</f>
        <v>#REF!</v>
      </c>
      <c r="G144" s="84" t="e">
        <f>Проект!#REF!</f>
        <v>#REF!</v>
      </c>
      <c r="H144" s="84" t="e">
        <f>Проект!#REF!</f>
        <v>#REF!</v>
      </c>
      <c r="I144" s="84" t="e">
        <f>Проект!#REF!</f>
        <v>#REF!</v>
      </c>
      <c r="J144" s="84" t="e">
        <f>Проект!#REF!</f>
        <v>#REF!</v>
      </c>
      <c r="K144" s="84" t="e">
        <f>Проект!#REF!</f>
        <v>#REF!</v>
      </c>
      <c r="L144" s="84" t="e">
        <f>Проект!#REF!</f>
        <v>#REF!</v>
      </c>
      <c r="M144" s="84" t="e">
        <f>Проект!#REF!</f>
        <v>#REF!</v>
      </c>
      <c r="N144" s="84" t="e">
        <f>Проект!#REF!</f>
        <v>#REF!</v>
      </c>
      <c r="O144" s="84" t="e">
        <f>Проект!#REF!</f>
        <v>#REF!</v>
      </c>
      <c r="P144" s="84" t="e">
        <f>Проект!#REF!</f>
        <v>#REF!</v>
      </c>
      <c r="Q144" s="84" t="e">
        <f>Проект!#REF!</f>
        <v>#REF!</v>
      </c>
      <c r="R144" s="52"/>
      <c r="S144" s="94"/>
    </row>
    <row r="145" spans="1:19" hidden="1" x14ac:dyDescent="0.2">
      <c r="A145" s="48" t="e">
        <f>Проект!#REF!</f>
        <v>#REF!</v>
      </c>
      <c r="B145" s="52"/>
      <c r="C145" s="88" t="e">
        <f>Проект!#REF!</f>
        <v>#REF!</v>
      </c>
      <c r="D145" s="52" t="e">
        <f>Проект!#REF!</f>
        <v>#REF!</v>
      </c>
      <c r="E145" s="52"/>
      <c r="F145" s="84" t="e">
        <f>Проект!#REF!</f>
        <v>#REF!</v>
      </c>
      <c r="G145" s="84" t="e">
        <f>Проект!#REF!</f>
        <v>#REF!</v>
      </c>
      <c r="H145" s="84" t="e">
        <f>Проект!#REF!</f>
        <v>#REF!</v>
      </c>
      <c r="I145" s="84" t="e">
        <f>Проект!#REF!</f>
        <v>#REF!</v>
      </c>
      <c r="J145" s="84" t="e">
        <f>Проект!#REF!</f>
        <v>#REF!</v>
      </c>
      <c r="K145" s="84" t="e">
        <f>Проект!#REF!</f>
        <v>#REF!</v>
      </c>
      <c r="L145" s="84" t="e">
        <f>Проект!#REF!</f>
        <v>#REF!</v>
      </c>
      <c r="M145" s="84" t="e">
        <f>Проект!#REF!</f>
        <v>#REF!</v>
      </c>
      <c r="N145" s="84" t="e">
        <f>Проект!#REF!</f>
        <v>#REF!</v>
      </c>
      <c r="O145" s="84" t="e">
        <f>Проект!#REF!</f>
        <v>#REF!</v>
      </c>
      <c r="P145" s="84" t="e">
        <f>Проект!#REF!</f>
        <v>#REF!</v>
      </c>
      <c r="Q145" s="84" t="e">
        <f>Проект!#REF!</f>
        <v>#REF!</v>
      </c>
      <c r="R145" s="52"/>
      <c r="S145" s="41"/>
    </row>
    <row r="146" spans="1:19" hidden="1" x14ac:dyDescent="0.2">
      <c r="A146" s="48" t="e">
        <f>Проект!#REF!</f>
        <v>#REF!</v>
      </c>
      <c r="B146" s="52"/>
      <c r="C146" s="88" t="e">
        <f>Проект!#REF!</f>
        <v>#REF!</v>
      </c>
      <c r="D146" s="52" t="e">
        <f>Проект!#REF!</f>
        <v>#REF!</v>
      </c>
      <c r="E146" s="52"/>
      <c r="F146" s="84" t="e">
        <f>Проект!#REF!</f>
        <v>#REF!</v>
      </c>
      <c r="G146" s="84" t="e">
        <f>Проект!#REF!</f>
        <v>#REF!</v>
      </c>
      <c r="H146" s="84" t="e">
        <f>Проект!#REF!</f>
        <v>#REF!</v>
      </c>
      <c r="I146" s="84" t="e">
        <f>Проект!#REF!</f>
        <v>#REF!</v>
      </c>
      <c r="J146" s="84" t="e">
        <f>Проект!#REF!</f>
        <v>#REF!</v>
      </c>
      <c r="K146" s="84" t="e">
        <f>Проект!#REF!</f>
        <v>#REF!</v>
      </c>
      <c r="L146" s="84" t="e">
        <f>Проект!#REF!</f>
        <v>#REF!</v>
      </c>
      <c r="M146" s="84" t="e">
        <f>Проект!#REF!</f>
        <v>#REF!</v>
      </c>
      <c r="N146" s="84" t="e">
        <f>Проект!#REF!</f>
        <v>#REF!</v>
      </c>
      <c r="O146" s="84" t="e">
        <f>Проект!#REF!</f>
        <v>#REF!</v>
      </c>
      <c r="P146" s="84" t="e">
        <f>Проект!#REF!</f>
        <v>#REF!</v>
      </c>
      <c r="Q146" s="84" t="e">
        <f>Проект!#REF!</f>
        <v>#REF!</v>
      </c>
      <c r="R146" s="52"/>
      <c r="S146" s="41"/>
    </row>
    <row r="147" spans="1:19" hidden="1" x14ac:dyDescent="0.2">
      <c r="A147" s="48" t="e">
        <f>Проект!#REF!</f>
        <v>#REF!</v>
      </c>
      <c r="B147" s="52"/>
      <c r="C147" s="88" t="e">
        <f>Проект!#REF!</f>
        <v>#REF!</v>
      </c>
      <c r="D147" s="52" t="e">
        <f>Проект!#REF!</f>
        <v>#REF!</v>
      </c>
      <c r="E147" s="52"/>
      <c r="F147" s="84" t="e">
        <f>Проект!#REF!</f>
        <v>#REF!</v>
      </c>
      <c r="G147" s="84" t="e">
        <f>Проект!#REF!</f>
        <v>#REF!</v>
      </c>
      <c r="H147" s="84" t="e">
        <f>Проект!#REF!</f>
        <v>#REF!</v>
      </c>
      <c r="I147" s="84" t="e">
        <f>Проект!#REF!</f>
        <v>#REF!</v>
      </c>
      <c r="J147" s="84" t="e">
        <f>Проект!#REF!</f>
        <v>#REF!</v>
      </c>
      <c r="K147" s="84" t="e">
        <f>Проект!#REF!</f>
        <v>#REF!</v>
      </c>
      <c r="L147" s="84" t="e">
        <f>Проект!#REF!</f>
        <v>#REF!</v>
      </c>
      <c r="M147" s="84" t="e">
        <f>Проект!#REF!</f>
        <v>#REF!</v>
      </c>
      <c r="N147" s="84" t="e">
        <f>Проект!#REF!</f>
        <v>#REF!</v>
      </c>
      <c r="O147" s="84" t="e">
        <f>Проект!#REF!</f>
        <v>#REF!</v>
      </c>
      <c r="P147" s="84" t="e">
        <f>Проект!#REF!</f>
        <v>#REF!</v>
      </c>
      <c r="Q147" s="84" t="e">
        <f>Проект!#REF!</f>
        <v>#REF!</v>
      </c>
      <c r="R147" s="52"/>
      <c r="S147" s="41"/>
    </row>
    <row r="148" spans="1:19" hidden="1" x14ac:dyDescent="0.2">
      <c r="A148" s="48" t="e">
        <f>Проект!#REF!</f>
        <v>#REF!</v>
      </c>
      <c r="B148" s="52"/>
      <c r="C148" s="88" t="e">
        <f>Проект!#REF!</f>
        <v>#REF!</v>
      </c>
      <c r="D148" s="338" t="e">
        <f>Проект!#REF!</f>
        <v>#REF!</v>
      </c>
      <c r="E148" s="52"/>
      <c r="F148" s="83" t="e">
        <f>Проект!#REF!</f>
        <v>#REF!</v>
      </c>
      <c r="G148" s="83" t="e">
        <f>Проект!#REF!</f>
        <v>#REF!</v>
      </c>
      <c r="H148" s="83" t="e">
        <f>Проект!#REF!</f>
        <v>#REF!</v>
      </c>
      <c r="I148" s="83" t="e">
        <f>Проект!#REF!</f>
        <v>#REF!</v>
      </c>
      <c r="J148" s="83" t="e">
        <f>Проект!#REF!</f>
        <v>#REF!</v>
      </c>
      <c r="K148" s="83" t="e">
        <f>Проект!#REF!</f>
        <v>#REF!</v>
      </c>
      <c r="L148" s="83" t="e">
        <f>Проект!#REF!</f>
        <v>#REF!</v>
      </c>
      <c r="M148" s="83" t="e">
        <f>Проект!#REF!</f>
        <v>#REF!</v>
      </c>
      <c r="N148" s="83" t="e">
        <f>Проект!#REF!</f>
        <v>#REF!</v>
      </c>
      <c r="O148" s="83" t="e">
        <f>Проект!#REF!</f>
        <v>#REF!</v>
      </c>
      <c r="P148" s="83" t="e">
        <f>Проект!#REF!</f>
        <v>#REF!</v>
      </c>
      <c r="Q148" s="83" t="e">
        <f>Проект!#REF!</f>
        <v>#REF!</v>
      </c>
      <c r="R148" s="52"/>
      <c r="S148" s="94" t="e">
        <f>Проект!#REF!</f>
        <v>#REF!</v>
      </c>
    </row>
    <row r="149" spans="1:19" hidden="1" x14ac:dyDescent="0.2">
      <c r="A149" s="76" t="e">
        <f>Проект!#REF!</f>
        <v>#REF!</v>
      </c>
      <c r="B149" s="339"/>
      <c r="C149" s="340" t="e">
        <f>Проект!#REF!</f>
        <v>#REF!</v>
      </c>
      <c r="D149" s="52" t="e">
        <f>Проект!#REF!</f>
        <v>#REF!</v>
      </c>
      <c r="E149" s="339"/>
      <c r="F149" s="341" t="e">
        <f>Проект!#REF!</f>
        <v>#REF!</v>
      </c>
      <c r="G149" s="341" t="e">
        <f>Проект!#REF!</f>
        <v>#REF!</v>
      </c>
      <c r="H149" s="341" t="e">
        <f>Проект!#REF!</f>
        <v>#REF!</v>
      </c>
      <c r="I149" s="341" t="e">
        <f>Проект!#REF!</f>
        <v>#REF!</v>
      </c>
      <c r="J149" s="341" t="e">
        <f>Проект!#REF!</f>
        <v>#REF!</v>
      </c>
      <c r="K149" s="341" t="e">
        <f>Проект!#REF!</f>
        <v>#REF!</v>
      </c>
      <c r="L149" s="341" t="e">
        <f>Проект!#REF!</f>
        <v>#REF!</v>
      </c>
      <c r="M149" s="341" t="e">
        <f>Проект!#REF!</f>
        <v>#REF!</v>
      </c>
      <c r="N149" s="341" t="e">
        <f>Проект!#REF!</f>
        <v>#REF!</v>
      </c>
      <c r="O149" s="341" t="e">
        <f>Проект!#REF!</f>
        <v>#REF!</v>
      </c>
      <c r="P149" s="341" t="e">
        <f>Проект!#REF!</f>
        <v>#REF!</v>
      </c>
      <c r="Q149" s="341" t="e">
        <f>Проект!#REF!</f>
        <v>#REF!</v>
      </c>
      <c r="R149" s="52"/>
      <c r="S149" s="94" t="e">
        <f>Проект!#REF!</f>
        <v>#REF!</v>
      </c>
    </row>
    <row r="150" spans="1:19" hidden="1" x14ac:dyDescent="0.2">
      <c r="A150" s="45" t="e">
        <f>Проект!#REF!</f>
        <v>#REF!</v>
      </c>
      <c r="B150" s="128"/>
      <c r="C150" s="342" t="e">
        <f>Проект!#REF!</f>
        <v>#REF!</v>
      </c>
      <c r="D150" s="52" t="e">
        <f>Проект!#REF!</f>
        <v>#REF!</v>
      </c>
      <c r="E150" s="128"/>
      <c r="F150" s="83" t="e">
        <f>Проект!#REF!</f>
        <v>#REF!</v>
      </c>
      <c r="G150" s="83" t="e">
        <f>Проект!#REF!</f>
        <v>#REF!</v>
      </c>
      <c r="H150" s="83" t="e">
        <f>Проект!#REF!</f>
        <v>#REF!</v>
      </c>
      <c r="I150" s="83" t="e">
        <f>Проект!#REF!</f>
        <v>#REF!</v>
      </c>
      <c r="J150" s="83" t="e">
        <f>Проект!#REF!</f>
        <v>#REF!</v>
      </c>
      <c r="K150" s="83" t="e">
        <f>Проект!#REF!</f>
        <v>#REF!</v>
      </c>
      <c r="L150" s="83" t="e">
        <f>Проект!#REF!</f>
        <v>#REF!</v>
      </c>
      <c r="M150" s="83" t="e">
        <f>Проект!#REF!</f>
        <v>#REF!</v>
      </c>
      <c r="N150" s="83" t="e">
        <f>Проект!#REF!</f>
        <v>#REF!</v>
      </c>
      <c r="O150" s="83" t="e">
        <f>Проект!#REF!</f>
        <v>#REF!</v>
      </c>
      <c r="P150" s="83" t="e">
        <f>Проект!#REF!</f>
        <v>#REF!</v>
      </c>
      <c r="Q150" s="83" t="e">
        <f>Проект!#REF!</f>
        <v>#REF!</v>
      </c>
      <c r="R150" s="52"/>
      <c r="S150" s="94" t="e">
        <f>Проект!#REF!</f>
        <v>#REF!</v>
      </c>
    </row>
    <row r="151" spans="1:19" hidden="1" x14ac:dyDescent="0.2">
      <c r="A151" s="48" t="e">
        <f>Проект!#REF!</f>
        <v>#REF!</v>
      </c>
      <c r="B151" s="344" t="e">
        <f>Проект!#REF!</f>
        <v>#REF!</v>
      </c>
      <c r="C151" s="88" t="e">
        <f>Проект!#REF!</f>
        <v>#REF!</v>
      </c>
      <c r="D151" s="52" t="e">
        <f>Проект!#REF!</f>
        <v>#REF!</v>
      </c>
      <c r="E151" s="52"/>
      <c r="F151" s="48" t="e">
        <f>Проект!#REF!</f>
        <v>#REF!</v>
      </c>
      <c r="G151" s="48" t="e">
        <f>Проект!#REF!</f>
        <v>#REF!</v>
      </c>
      <c r="H151" s="48" t="e">
        <f>Проект!#REF!</f>
        <v>#REF!</v>
      </c>
      <c r="I151" s="48" t="e">
        <f>Проект!#REF!</f>
        <v>#REF!</v>
      </c>
      <c r="J151" s="48" t="e">
        <f>Проект!#REF!</f>
        <v>#REF!</v>
      </c>
      <c r="K151" s="48" t="e">
        <f>Проект!#REF!</f>
        <v>#REF!</v>
      </c>
      <c r="L151" s="48" t="e">
        <f>Проект!#REF!</f>
        <v>#REF!</v>
      </c>
      <c r="M151" s="48" t="e">
        <f>Проект!#REF!</f>
        <v>#REF!</v>
      </c>
      <c r="N151" s="48" t="e">
        <f>Проект!#REF!</f>
        <v>#REF!</v>
      </c>
      <c r="O151" s="48" t="e">
        <f>Проект!#REF!</f>
        <v>#REF!</v>
      </c>
      <c r="P151" s="48" t="e">
        <f>Проект!#REF!</f>
        <v>#REF!</v>
      </c>
      <c r="Q151" s="48" t="e">
        <f>Проект!#REF!</f>
        <v>#REF!</v>
      </c>
      <c r="R151" s="52"/>
      <c r="S151" s="94" t="e">
        <f>Проект!#REF!</f>
        <v>#REF!</v>
      </c>
    </row>
    <row r="152" spans="1:19" ht="11.25" customHeight="1" x14ac:dyDescent="0.25">
      <c r="A152" s="130"/>
      <c r="B152" s="52"/>
      <c r="C152" s="52"/>
      <c r="D152" s="52"/>
      <c r="E152" s="52"/>
      <c r="F152" s="52"/>
      <c r="G152" s="52"/>
      <c r="H152" s="52"/>
      <c r="I152" s="52"/>
      <c r="J152" s="52"/>
      <c r="K152" s="52"/>
      <c r="L152" s="52"/>
      <c r="M152" s="52"/>
      <c r="N152" s="52"/>
      <c r="O152" s="52"/>
      <c r="P152" s="52"/>
      <c r="Q152" s="52"/>
      <c r="R152" s="52"/>
      <c r="S152" s="41"/>
    </row>
    <row r="153" spans="1:19" ht="11.25" customHeight="1" x14ac:dyDescent="0.25">
      <c r="A153" s="130" t="str">
        <f ca="1">Проект!$A$387</f>
        <v>Расходы будущих периодов</v>
      </c>
      <c r="B153" s="48"/>
      <c r="C153" s="48"/>
      <c r="D153" s="48">
        <f>Проект!$D$387</f>
        <v>1</v>
      </c>
      <c r="E153" s="48">
        <f>Проект!$E$387</f>
        <v>14</v>
      </c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1"/>
    </row>
    <row r="154" spans="1:19" ht="11.25" customHeight="1" x14ac:dyDescent="0.2">
      <c r="A154" s="333" t="str">
        <f ca="1">Проект!$A$388</f>
        <v>Наименование</v>
      </c>
      <c r="B154" s="197" t="str">
        <f ca="1">Проект!$B$388</f>
        <v>Валюта</v>
      </c>
      <c r="C154" s="52"/>
      <c r="D154" s="52"/>
      <c r="E154" s="5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52"/>
      <c r="S154" s="92"/>
    </row>
    <row r="155" spans="1:19" ht="11.25" customHeight="1" x14ac:dyDescent="0.2">
      <c r="A155" s="48" t="str">
        <f ca="1">Проект!$A$389</f>
        <v xml:space="preserve">    величина платежей (с НДС)</v>
      </c>
      <c r="B155" s="334">
        <f>Проект!$B$389</f>
        <v>1</v>
      </c>
      <c r="C155" s="88" t="str">
        <f ca="1">Проект!$C$389</f>
        <v>руб.</v>
      </c>
      <c r="D155" s="101" t="str">
        <f>Проект!$D$389</f>
        <v>1_00</v>
      </c>
      <c r="E155" s="52"/>
      <c r="F155" s="335">
        <f>Проект!$F$389</f>
        <v>0</v>
      </c>
      <c r="G155" s="335">
        <f>Проект!$G$389</f>
        <v>0</v>
      </c>
      <c r="H155" s="335">
        <f>Проект!$H$389</f>
        <v>0</v>
      </c>
      <c r="I155" s="335">
        <f>Проект!$I$389</f>
        <v>0</v>
      </c>
      <c r="J155" s="335">
        <f>Проект!$J$389</f>
        <v>0</v>
      </c>
      <c r="K155" s="335">
        <f>Проект!$K$389</f>
        <v>0</v>
      </c>
      <c r="L155" s="335">
        <f>Проект!$L$389</f>
        <v>0</v>
      </c>
      <c r="M155" s="335">
        <f>Проект!$M$389</f>
        <v>0</v>
      </c>
      <c r="N155" s="335" t="e">
        <f>Проект!#REF!</f>
        <v>#REF!</v>
      </c>
      <c r="O155" s="335" t="e">
        <f>Проект!#REF!</f>
        <v>#REF!</v>
      </c>
      <c r="P155" s="335" t="e">
        <f>Проект!#REF!</f>
        <v>#REF!</v>
      </c>
      <c r="Q155" s="335">
        <f>Проект!$Q$389</f>
        <v>0</v>
      </c>
      <c r="R155" s="52"/>
      <c r="S155" s="94">
        <f>Проект!$S$389</f>
        <v>0</v>
      </c>
    </row>
    <row r="156" spans="1:19" hidden="1" x14ac:dyDescent="0.2">
      <c r="A156" s="48" t="str">
        <f ca="1">Проект!$A$390</f>
        <v xml:space="preserve">    поставить на баланс с</v>
      </c>
      <c r="B156" s="337">
        <f ca="1">Проект!$B$390</f>
        <v>1</v>
      </c>
      <c r="C156" s="88" t="str">
        <f ca="1">Проект!$C$390</f>
        <v>периода</v>
      </c>
      <c r="D156" s="52"/>
      <c r="E156" s="52"/>
      <c r="F156" s="52"/>
      <c r="G156" s="52"/>
      <c r="H156" s="52"/>
      <c r="I156" s="52"/>
      <c r="J156" s="52"/>
      <c r="K156" s="52"/>
      <c r="L156" s="52"/>
      <c r="M156" s="52"/>
      <c r="N156" s="52"/>
      <c r="O156" s="52"/>
      <c r="P156" s="52"/>
      <c r="Q156" s="52"/>
      <c r="R156" s="52"/>
      <c r="S156" s="41"/>
    </row>
    <row r="157" spans="1:19" hidden="1" x14ac:dyDescent="0.2">
      <c r="A157" s="48" t="str">
        <f ca="1">Проект!$A$391</f>
        <v xml:space="preserve">    амортизация (линейная),       для срока использования:</v>
      </c>
      <c r="B157" s="337">
        <f>Проект!$B$391</f>
        <v>2</v>
      </c>
      <c r="C157" s="88" t="str">
        <f ca="1">Проект!$C$391</f>
        <v>лет</v>
      </c>
      <c r="D157" s="343" t="str">
        <f>Проект!$D$391</f>
        <v>1_02</v>
      </c>
      <c r="E157" s="52"/>
      <c r="F157" s="84">
        <f ca="1">Проект!$F$391</f>
        <v>0</v>
      </c>
      <c r="G157" s="84">
        <f ca="1">Проект!$G$391</f>
        <v>0</v>
      </c>
      <c r="H157" s="84">
        <f ca="1">Проект!$H$391</f>
        <v>0</v>
      </c>
      <c r="I157" s="84">
        <f ca="1">Проект!$I$391</f>
        <v>0</v>
      </c>
      <c r="J157" s="84">
        <f ca="1">Проект!$J$391</f>
        <v>0</v>
      </c>
      <c r="K157" s="84">
        <f ca="1">Проект!$K$391</f>
        <v>0</v>
      </c>
      <c r="L157" s="84">
        <f ca="1">Проект!$L$391</f>
        <v>0</v>
      </c>
      <c r="M157" s="84">
        <f ca="1">Проект!$M$391</f>
        <v>0</v>
      </c>
      <c r="N157" s="84" t="e">
        <f>Проект!#REF!</f>
        <v>#REF!</v>
      </c>
      <c r="O157" s="84" t="e">
        <f>Проект!#REF!</f>
        <v>#REF!</v>
      </c>
      <c r="P157" s="84" t="e">
        <f>Проект!#REF!</f>
        <v>#REF!</v>
      </c>
      <c r="Q157" s="84">
        <f ca="1">Проект!$Q$391</f>
        <v>0</v>
      </c>
      <c r="R157" s="52"/>
      <c r="S157" s="94">
        <f ca="1">Проект!$S$391</f>
        <v>0</v>
      </c>
    </row>
    <row r="158" spans="1:19" hidden="1" x14ac:dyDescent="0.2">
      <c r="A158" s="48" t="str">
        <f ca="1">Проект!$A$392</f>
        <v xml:space="preserve">    выплаченный НДС</v>
      </c>
      <c r="B158" s="344">
        <f>Проект!$B$392</f>
        <v>0</v>
      </c>
      <c r="C158" s="88" t="str">
        <f ca="1">Проект!$C$392</f>
        <v>руб.</v>
      </c>
      <c r="D158" s="52" t="str">
        <f>Проект!$D$392</f>
        <v>1_04</v>
      </c>
      <c r="E158" s="52"/>
      <c r="F158" s="83">
        <f>Проект!$F$392</f>
        <v>0</v>
      </c>
      <c r="G158" s="83">
        <f>Проект!$G$392</f>
        <v>0</v>
      </c>
      <c r="H158" s="83">
        <f>Проект!$H$392</f>
        <v>0</v>
      </c>
      <c r="I158" s="83">
        <f>Проект!$I$392</f>
        <v>0</v>
      </c>
      <c r="J158" s="83">
        <f>Проект!$J$392</f>
        <v>0</v>
      </c>
      <c r="K158" s="83">
        <f>Проект!$K$392</f>
        <v>0</v>
      </c>
      <c r="L158" s="83">
        <f>Проект!$L$392</f>
        <v>0</v>
      </c>
      <c r="M158" s="83">
        <f>Проект!$M$392</f>
        <v>0</v>
      </c>
      <c r="N158" s="83" t="e">
        <f>Проект!#REF!</f>
        <v>#REF!</v>
      </c>
      <c r="O158" s="83" t="e">
        <f>Проект!#REF!</f>
        <v>#REF!</v>
      </c>
      <c r="P158" s="83" t="e">
        <f>Проект!#REF!</f>
        <v>#REF!</v>
      </c>
      <c r="Q158" s="83">
        <f>Проект!$Q$392</f>
        <v>0</v>
      </c>
      <c r="R158" s="52"/>
      <c r="S158" s="94">
        <f>Проект!$S$392</f>
        <v>0</v>
      </c>
    </row>
    <row r="159" spans="1:19" hidden="1" x14ac:dyDescent="0.2">
      <c r="A159" s="48" t="str">
        <f ca="1">Проект!$A$393</f>
        <v xml:space="preserve">    сумма платежей без НДС</v>
      </c>
      <c r="B159" s="52"/>
      <c r="C159" s="88" t="str">
        <f ca="1">Проект!$C$393</f>
        <v>руб.</v>
      </c>
      <c r="D159" s="52" t="str">
        <f>Проект!$D$393</f>
        <v>1_01</v>
      </c>
      <c r="E159" s="52"/>
      <c r="F159" s="84">
        <f>Проект!$F$393</f>
        <v>0</v>
      </c>
      <c r="G159" s="84">
        <f>Проект!$G$393</f>
        <v>0</v>
      </c>
      <c r="H159" s="84">
        <f>Проект!$H$393</f>
        <v>0</v>
      </c>
      <c r="I159" s="84">
        <f>Проект!$I$393</f>
        <v>0</v>
      </c>
      <c r="J159" s="84">
        <f>Проект!$J$393</f>
        <v>0</v>
      </c>
      <c r="K159" s="84">
        <f>Проект!$K$393</f>
        <v>0</v>
      </c>
      <c r="L159" s="84">
        <f>Проект!$L$393</f>
        <v>0</v>
      </c>
      <c r="M159" s="84">
        <f>Проект!$M$393</f>
        <v>0</v>
      </c>
      <c r="N159" s="84" t="e">
        <f>Проект!#REF!</f>
        <v>#REF!</v>
      </c>
      <c r="O159" s="84" t="e">
        <f>Проект!#REF!</f>
        <v>#REF!</v>
      </c>
      <c r="P159" s="84" t="e">
        <f>Проект!#REF!</f>
        <v>#REF!</v>
      </c>
      <c r="Q159" s="84">
        <f>Проект!$Q$393</f>
        <v>0</v>
      </c>
      <c r="R159" s="52"/>
      <c r="S159" s="94">
        <f>Проект!$S$393</f>
        <v>0</v>
      </c>
    </row>
    <row r="160" spans="1:19" ht="10.5" hidden="1" x14ac:dyDescent="0.2">
      <c r="A160" s="48" t="str">
        <f ca="1">Проект!$A$394</f>
        <v xml:space="preserve">    общая стоимость актива (без НДС)</v>
      </c>
      <c r="B160" s="312">
        <f>Проект!$B$394</f>
        <v>0</v>
      </c>
      <c r="C160" s="88" t="str">
        <f ca="1">Проект!$C$394</f>
        <v>руб.</v>
      </c>
      <c r="D160" s="52"/>
      <c r="E160" s="52"/>
      <c r="F160" s="52"/>
      <c r="G160" s="52"/>
      <c r="H160" s="52"/>
      <c r="I160" s="52"/>
      <c r="J160" s="52"/>
      <c r="K160" s="52"/>
      <c r="L160" s="52"/>
      <c r="M160" s="52"/>
      <c r="N160" s="52"/>
      <c r="O160" s="52"/>
      <c r="P160" s="52"/>
      <c r="Q160" s="52"/>
      <c r="R160" s="52"/>
      <c r="S160" s="41"/>
    </row>
    <row r="161" spans="1:19" hidden="1" x14ac:dyDescent="0.2">
      <c r="A161" s="48" t="str">
        <f ca="1">Проект!$A$395</f>
        <v xml:space="preserve">    полная сумма вложений в актив (без НДС)</v>
      </c>
      <c r="B161" s="52"/>
      <c r="C161" s="88" t="str">
        <f ca="1">Проект!$C$395</f>
        <v>руб.</v>
      </c>
      <c r="D161" s="52" t="str">
        <f>Проект!$D$395</f>
        <v>1_05; int_end</v>
      </c>
      <c r="E161" s="52"/>
      <c r="F161" s="84">
        <f>Проект!$F$395</f>
        <v>0</v>
      </c>
      <c r="G161" s="84">
        <f>Проект!$G$395</f>
        <v>0</v>
      </c>
      <c r="H161" s="84">
        <f>Проект!$H$395</f>
        <v>0</v>
      </c>
      <c r="I161" s="84">
        <f>Проект!$I$395</f>
        <v>0</v>
      </c>
      <c r="J161" s="84">
        <f>Проект!$J$395</f>
        <v>0</v>
      </c>
      <c r="K161" s="84">
        <f>Проект!$K$395</f>
        <v>0</v>
      </c>
      <c r="L161" s="84">
        <f>Проект!$L$395</f>
        <v>0</v>
      </c>
      <c r="M161" s="84">
        <f>Проект!$M$395</f>
        <v>0</v>
      </c>
      <c r="N161" s="84" t="e">
        <f>Проект!#REF!</f>
        <v>#REF!</v>
      </c>
      <c r="O161" s="84" t="e">
        <f>Проект!#REF!</f>
        <v>#REF!</v>
      </c>
      <c r="P161" s="84" t="e">
        <f>Проект!#REF!</f>
        <v>#REF!</v>
      </c>
      <c r="Q161" s="84">
        <f>Проект!$Q$395</f>
        <v>0</v>
      </c>
      <c r="R161" s="52"/>
      <c r="S161" s="94"/>
    </row>
    <row r="162" spans="1:19" hidden="1" x14ac:dyDescent="0.2">
      <c r="A162" s="48" t="str">
        <f ca="1">Проект!$A$396</f>
        <v xml:space="preserve">    полная балансовая стоимость</v>
      </c>
      <c r="B162" s="52"/>
      <c r="C162" s="88" t="str">
        <f ca="1">Проект!$C$396</f>
        <v>руб.</v>
      </c>
      <c r="D162" s="52" t="str">
        <f>Проект!$D$396</f>
        <v>1_06; int_end</v>
      </c>
      <c r="E162" s="52"/>
      <c r="F162" s="84">
        <f ca="1">Проект!$F$396</f>
        <v>0</v>
      </c>
      <c r="G162" s="84">
        <f ca="1">Проект!$G$396</f>
        <v>0</v>
      </c>
      <c r="H162" s="84">
        <f ca="1">Проект!$H$396</f>
        <v>0</v>
      </c>
      <c r="I162" s="84">
        <f ca="1">Проект!$I$396</f>
        <v>0</v>
      </c>
      <c r="J162" s="84">
        <f ca="1">Проект!$J$396</f>
        <v>0</v>
      </c>
      <c r="K162" s="84">
        <f ca="1">Проект!$K$396</f>
        <v>0</v>
      </c>
      <c r="L162" s="84">
        <f ca="1">Проект!$L$396</f>
        <v>0</v>
      </c>
      <c r="M162" s="84">
        <f ca="1">Проект!$M$396</f>
        <v>0</v>
      </c>
      <c r="N162" s="84" t="e">
        <f>Проект!#REF!</f>
        <v>#REF!</v>
      </c>
      <c r="O162" s="84" t="e">
        <f>Проект!#REF!</f>
        <v>#REF!</v>
      </c>
      <c r="P162" s="84" t="e">
        <f>Проект!#REF!</f>
        <v>#REF!</v>
      </c>
      <c r="Q162" s="84">
        <f ca="1">Проект!$Q$396</f>
        <v>0</v>
      </c>
      <c r="R162" s="52"/>
      <c r="S162" s="41"/>
    </row>
    <row r="163" spans="1:19" hidden="1" x14ac:dyDescent="0.2">
      <c r="A163" s="48" t="str">
        <f ca="1">Проект!$A$397</f>
        <v xml:space="preserve">    авансы выданные</v>
      </c>
      <c r="B163" s="52"/>
      <c r="C163" s="88" t="str">
        <f ca="1">Проект!$C$397</f>
        <v>руб.</v>
      </c>
      <c r="D163" s="52" t="str">
        <f>Проект!$D$397</f>
        <v>1_17; int_end</v>
      </c>
      <c r="E163" s="52"/>
      <c r="F163" s="84">
        <f ca="1">Проект!$F$397</f>
        <v>0</v>
      </c>
      <c r="G163" s="84">
        <f ca="1">Проект!$G$397</f>
        <v>0</v>
      </c>
      <c r="H163" s="84">
        <f ca="1">Проект!$H$397</f>
        <v>0</v>
      </c>
      <c r="I163" s="84">
        <f ca="1">Проект!$I$397</f>
        <v>0</v>
      </c>
      <c r="J163" s="84">
        <f ca="1">Проект!$J$397</f>
        <v>0</v>
      </c>
      <c r="K163" s="84">
        <f ca="1">Проект!$K$397</f>
        <v>0</v>
      </c>
      <c r="L163" s="84">
        <f ca="1">Проект!$L$397</f>
        <v>0</v>
      </c>
      <c r="M163" s="84">
        <f ca="1">Проект!$M$397</f>
        <v>0</v>
      </c>
      <c r="N163" s="84" t="e">
        <f>Проект!#REF!</f>
        <v>#REF!</v>
      </c>
      <c r="O163" s="84" t="e">
        <f>Проект!#REF!</f>
        <v>#REF!</v>
      </c>
      <c r="P163" s="84" t="e">
        <f>Проект!#REF!</f>
        <v>#REF!</v>
      </c>
      <c r="Q163" s="84">
        <f ca="1">Проект!$Q$397</f>
        <v>0</v>
      </c>
      <c r="R163" s="52"/>
      <c r="S163" s="41"/>
    </row>
    <row r="164" spans="1:19" hidden="1" x14ac:dyDescent="0.2">
      <c r="A164" s="48" t="str">
        <f ca="1">Проект!$A$398</f>
        <v xml:space="preserve">    кредиторская задолженность</v>
      </c>
      <c r="B164" s="52"/>
      <c r="C164" s="88" t="str">
        <f ca="1">Проект!$C$398</f>
        <v>руб.</v>
      </c>
      <c r="D164" s="52" t="str">
        <f>Проект!$D$398</f>
        <v>1_08; int_end</v>
      </c>
      <c r="E164" s="52"/>
      <c r="F164" s="84">
        <f ca="1">Проект!$F$398</f>
        <v>0</v>
      </c>
      <c r="G164" s="84">
        <f ca="1">Проект!$G$398</f>
        <v>0</v>
      </c>
      <c r="H164" s="84">
        <f ca="1">Проект!$H$398</f>
        <v>0</v>
      </c>
      <c r="I164" s="84">
        <f ca="1">Проект!$I$398</f>
        <v>0</v>
      </c>
      <c r="J164" s="84">
        <f ca="1">Проект!$J$398</f>
        <v>0</v>
      </c>
      <c r="K164" s="84">
        <f ca="1">Проект!$K$398</f>
        <v>0</v>
      </c>
      <c r="L164" s="84">
        <f ca="1">Проект!$L$398</f>
        <v>0</v>
      </c>
      <c r="M164" s="84">
        <f ca="1">Проект!$M$398</f>
        <v>0</v>
      </c>
      <c r="N164" s="84" t="e">
        <f>Проект!#REF!</f>
        <v>#REF!</v>
      </c>
      <c r="O164" s="84" t="e">
        <f>Проект!#REF!</f>
        <v>#REF!</v>
      </c>
      <c r="P164" s="84" t="e">
        <f>Проект!#REF!</f>
        <v>#REF!</v>
      </c>
      <c r="Q164" s="84">
        <f ca="1">Проект!$Q$398</f>
        <v>0</v>
      </c>
      <c r="R164" s="52"/>
      <c r="S164" s="41"/>
    </row>
    <row r="165" spans="1:19" hidden="1" x14ac:dyDescent="0.2">
      <c r="A165" s="48" t="str">
        <f ca="1">Проект!$A$399</f>
        <v xml:space="preserve">    накопленная амортизация</v>
      </c>
      <c r="B165" s="52"/>
      <c r="C165" s="88" t="str">
        <f ca="1">Проект!$C$399</f>
        <v>руб.</v>
      </c>
      <c r="D165" s="52" t="str">
        <f>Проект!$D$399</f>
        <v>1_09; int_end</v>
      </c>
      <c r="E165" s="52"/>
      <c r="F165" s="84">
        <f ca="1">Проект!$F$399</f>
        <v>0</v>
      </c>
      <c r="G165" s="84">
        <f ca="1">Проект!$G$399</f>
        <v>0</v>
      </c>
      <c r="H165" s="84">
        <f ca="1">Проект!$H$399</f>
        <v>0</v>
      </c>
      <c r="I165" s="84">
        <f ca="1">Проект!$I$399</f>
        <v>0</v>
      </c>
      <c r="J165" s="84">
        <f ca="1">Проект!$J$399</f>
        <v>0</v>
      </c>
      <c r="K165" s="84">
        <f ca="1">Проект!$K$399</f>
        <v>0</v>
      </c>
      <c r="L165" s="84">
        <f ca="1">Проект!$L$399</f>
        <v>0</v>
      </c>
      <c r="M165" s="84">
        <f ca="1">Проект!$M$399</f>
        <v>0</v>
      </c>
      <c r="N165" s="84" t="e">
        <f>Проект!#REF!</f>
        <v>#REF!</v>
      </c>
      <c r="O165" s="84" t="e">
        <f>Проект!#REF!</f>
        <v>#REF!</v>
      </c>
      <c r="P165" s="84" t="e">
        <f>Проект!#REF!</f>
        <v>#REF!</v>
      </c>
      <c r="Q165" s="84">
        <f ca="1">Проект!$Q$399</f>
        <v>0</v>
      </c>
      <c r="R165" s="52"/>
      <c r="S165" s="41"/>
    </row>
    <row r="166" spans="1:19" hidden="1" x14ac:dyDescent="0.2">
      <c r="A166" s="48" t="str">
        <f ca="1">Проект!$A$400</f>
        <v xml:space="preserve">    остаточная стоимость</v>
      </c>
      <c r="B166" s="52"/>
      <c r="C166" s="88" t="str">
        <f ca="1">Проект!$C$400</f>
        <v>руб.</v>
      </c>
      <c r="D166" s="52" t="str">
        <f>Проект!$D$400</f>
        <v>1_10; int_end</v>
      </c>
      <c r="E166" s="52"/>
      <c r="F166" s="106">
        <f ca="1">Проект!$F$400</f>
        <v>0</v>
      </c>
      <c r="G166" s="106">
        <f ca="1">Проект!$G$400</f>
        <v>0</v>
      </c>
      <c r="H166" s="106">
        <f ca="1">Проект!$H$400</f>
        <v>0</v>
      </c>
      <c r="I166" s="106">
        <f ca="1">Проект!$I$400</f>
        <v>0</v>
      </c>
      <c r="J166" s="106">
        <f ca="1">Проект!$J$400</f>
        <v>0</v>
      </c>
      <c r="K166" s="106">
        <f ca="1">Проект!$K$400</f>
        <v>0</v>
      </c>
      <c r="L166" s="106">
        <f ca="1">Проект!$L$400</f>
        <v>0</v>
      </c>
      <c r="M166" s="106">
        <f ca="1">Проект!$M$400</f>
        <v>0</v>
      </c>
      <c r="N166" s="106" t="e">
        <f>Проект!#REF!</f>
        <v>#REF!</v>
      </c>
      <c r="O166" s="106" t="e">
        <f>Проект!#REF!</f>
        <v>#REF!</v>
      </c>
      <c r="P166" s="106" t="e">
        <f>Проект!#REF!</f>
        <v>#REF!</v>
      </c>
      <c r="Q166" s="106">
        <f ca="1">Проект!$Q$400</f>
        <v>0</v>
      </c>
      <c r="R166" s="52"/>
      <c r="S166" s="41"/>
    </row>
    <row r="167" spans="1:19" hidden="1" x14ac:dyDescent="0.2">
      <c r="A167" s="48" t="str">
        <f ca="1">Проект!$A$401</f>
        <v xml:space="preserve">    зачет НДС</v>
      </c>
      <c r="B167" s="52"/>
      <c r="C167" s="88" t="str">
        <f ca="1">Проект!$C$401</f>
        <v>руб.</v>
      </c>
      <c r="D167" s="128" t="str">
        <f>Проект!$D$401</f>
        <v>1_12</v>
      </c>
      <c r="E167" s="52"/>
      <c r="F167" s="83">
        <f ca="1">Проект!$F$401</f>
        <v>0</v>
      </c>
      <c r="G167" s="83">
        <f ca="1">Проект!$G$401</f>
        <v>0</v>
      </c>
      <c r="H167" s="83">
        <f ca="1">Проект!$H$401</f>
        <v>0</v>
      </c>
      <c r="I167" s="83">
        <f ca="1">Проект!$I$401</f>
        <v>0</v>
      </c>
      <c r="J167" s="83">
        <f ca="1">Проект!$J$401</f>
        <v>0</v>
      </c>
      <c r="K167" s="83">
        <f ca="1">Проект!$K$401</f>
        <v>0</v>
      </c>
      <c r="L167" s="83">
        <f ca="1">Проект!$L$401</f>
        <v>0</v>
      </c>
      <c r="M167" s="83">
        <f ca="1">Проект!$M$401</f>
        <v>0</v>
      </c>
      <c r="N167" s="83" t="e">
        <f>Проект!#REF!</f>
        <v>#REF!</v>
      </c>
      <c r="O167" s="83" t="e">
        <f>Проект!#REF!</f>
        <v>#REF!</v>
      </c>
      <c r="P167" s="83" t="e">
        <f>Проект!#REF!</f>
        <v>#REF!</v>
      </c>
      <c r="Q167" s="83">
        <f ca="1">Проект!$Q$401</f>
        <v>0</v>
      </c>
      <c r="R167" s="52"/>
      <c r="S167" s="94">
        <f ca="1">Проект!$S$401</f>
        <v>0</v>
      </c>
    </row>
    <row r="168" spans="1:19" ht="11.25" customHeight="1" x14ac:dyDescent="0.2">
      <c r="A168" s="48"/>
      <c r="B168" s="48"/>
      <c r="C168" s="48"/>
      <c r="D168" s="45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1"/>
    </row>
    <row r="169" spans="1:19" ht="11.25" customHeight="1" x14ac:dyDescent="0.25">
      <c r="A169" s="130" t="str">
        <f ca="1">Проект!$A$403</f>
        <v>Проценты по кредитам на инвестиционной фазе</v>
      </c>
      <c r="B169" s="48"/>
      <c r="C169" s="88" t="str">
        <f ca="1">Проект!$C$403</f>
        <v>руб.</v>
      </c>
      <c r="D169" s="48"/>
      <c r="E169" s="48"/>
      <c r="F169" s="84">
        <f>Проект!$F$403</f>
        <v>0</v>
      </c>
      <c r="G169" s="84">
        <f>Проект!$G$403</f>
        <v>0</v>
      </c>
      <c r="H169" s="84">
        <f>Проект!$H$403</f>
        <v>0</v>
      </c>
      <c r="I169" s="84">
        <f>Проект!$I$403</f>
        <v>0</v>
      </c>
      <c r="J169" s="84">
        <f>Проект!$J$403</f>
        <v>0</v>
      </c>
      <c r="K169" s="84">
        <f>Проект!$K$403</f>
        <v>0</v>
      </c>
      <c r="L169" s="84">
        <f>Проект!$L$403</f>
        <v>0</v>
      </c>
      <c r="M169" s="84">
        <f>Проект!$M$403</f>
        <v>0</v>
      </c>
      <c r="N169" s="84" t="e">
        <f>Проект!#REF!</f>
        <v>#REF!</v>
      </c>
      <c r="O169" s="84" t="e">
        <f>Проект!#REF!</f>
        <v>#REF!</v>
      </c>
      <c r="P169" s="84" t="e">
        <f>Проект!#REF!</f>
        <v>#REF!</v>
      </c>
      <c r="Q169" s="84">
        <f>Проект!$Q$403</f>
        <v>0</v>
      </c>
      <c r="R169" s="48"/>
      <c r="S169" s="94">
        <f>Проект!$S$403</f>
        <v>0</v>
      </c>
    </row>
    <row r="170" spans="1:19" ht="11.25" customHeight="1" x14ac:dyDescent="0.2">
      <c r="A170" s="48" t="str">
        <f ca="1">Проект!$A$404</f>
        <v xml:space="preserve">    инвестиционная фаза заканчивается с начала</v>
      </c>
      <c r="B170" s="348">
        <f>Проект!$B$404</f>
        <v>1</v>
      </c>
      <c r="C170" s="88" t="str">
        <f ca="1">Проект!$C$404</f>
        <v>периода</v>
      </c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1"/>
    </row>
    <row r="171" spans="1:19" hidden="1" x14ac:dyDescent="0.2">
      <c r="A171" s="48" t="str">
        <f ca="1">Проект!$A$405</f>
        <v xml:space="preserve">    амортизация (линейная),       для срока использования:</v>
      </c>
      <c r="B171" s="337">
        <f>Проект!$B$405</f>
        <v>2</v>
      </c>
      <c r="C171" s="88" t="str">
        <f ca="1">Проект!$C$405</f>
        <v>лет</v>
      </c>
      <c r="D171" s="48"/>
      <c r="E171" s="48"/>
      <c r="F171" s="83">
        <f>Проект!$F$405</f>
        <v>0</v>
      </c>
      <c r="G171" s="83">
        <f>Проект!$G$405</f>
        <v>0</v>
      </c>
      <c r="H171" s="83">
        <f>Проект!$H$405</f>
        <v>0</v>
      </c>
      <c r="I171" s="83">
        <f>Проект!$I$405</f>
        <v>0</v>
      </c>
      <c r="J171" s="83">
        <f>Проект!$J$405</f>
        <v>0</v>
      </c>
      <c r="K171" s="83">
        <f>Проект!$K$405</f>
        <v>0</v>
      </c>
      <c r="L171" s="83">
        <f>Проект!$L$405</f>
        <v>0</v>
      </c>
      <c r="M171" s="83">
        <f>Проект!$M$405</f>
        <v>0</v>
      </c>
      <c r="N171" s="83" t="e">
        <f>Проект!#REF!</f>
        <v>#REF!</v>
      </c>
      <c r="O171" s="83" t="e">
        <f>Проект!#REF!</f>
        <v>#REF!</v>
      </c>
      <c r="P171" s="83" t="e">
        <f>Проект!#REF!</f>
        <v>#REF!</v>
      </c>
      <c r="Q171" s="83">
        <f>Проект!$Q$405</f>
        <v>0</v>
      </c>
      <c r="R171" s="48"/>
      <c r="S171" s="94">
        <f>Проект!$S$405</f>
        <v>0</v>
      </c>
    </row>
    <row r="172" spans="1:19" hidden="1" x14ac:dyDescent="0.2">
      <c r="A172" s="48" t="str">
        <f ca="1">Проект!$A$406</f>
        <v xml:space="preserve">    незавершенные инвестиции</v>
      </c>
      <c r="B172" s="48"/>
      <c r="C172" s="88" t="str">
        <f ca="1">Проект!$C$406</f>
        <v>руб.</v>
      </c>
      <c r="D172" s="101" t="str">
        <f>Проект!$D$406</f>
        <v>int_end</v>
      </c>
      <c r="E172" s="48"/>
      <c r="F172" s="84">
        <f>Проект!$F$406</f>
        <v>0</v>
      </c>
      <c r="G172" s="84">
        <f>Проект!$G$406</f>
        <v>0</v>
      </c>
      <c r="H172" s="84">
        <f>Проект!$H$406</f>
        <v>0</v>
      </c>
      <c r="I172" s="84">
        <f>Проект!$I$406</f>
        <v>0</v>
      </c>
      <c r="J172" s="84">
        <f>Проект!$J$406</f>
        <v>0</v>
      </c>
      <c r="K172" s="84">
        <f>Проект!$K$406</f>
        <v>0</v>
      </c>
      <c r="L172" s="84">
        <f>Проект!$L$406</f>
        <v>0</v>
      </c>
      <c r="M172" s="84">
        <f>Проект!$M$406</f>
        <v>0</v>
      </c>
      <c r="N172" s="84" t="e">
        <f>Проект!#REF!</f>
        <v>#REF!</v>
      </c>
      <c r="O172" s="84" t="e">
        <f>Проект!#REF!</f>
        <v>#REF!</v>
      </c>
      <c r="P172" s="84" t="e">
        <f>Проект!#REF!</f>
        <v>#REF!</v>
      </c>
      <c r="Q172" s="84">
        <f>Проект!$Q$406</f>
        <v>0</v>
      </c>
      <c r="R172" s="48"/>
      <c r="S172" s="41"/>
    </row>
    <row r="173" spans="1:19" hidden="1" x14ac:dyDescent="0.2">
      <c r="A173" s="48" t="str">
        <f ca="1">Проект!$A$407</f>
        <v xml:space="preserve">    полная балансовая стоимость</v>
      </c>
      <c r="B173" s="48"/>
      <c r="C173" s="88" t="str">
        <f ca="1">Проект!$C$407</f>
        <v>руб.</v>
      </c>
      <c r="D173" s="101" t="str">
        <f>Проект!$D$407</f>
        <v>int_end</v>
      </c>
      <c r="E173" s="48"/>
      <c r="F173" s="84">
        <f>Проект!$F$407</f>
        <v>0</v>
      </c>
      <c r="G173" s="84">
        <f>Проект!$G$407</f>
        <v>0</v>
      </c>
      <c r="H173" s="84">
        <f>Проект!$H$407</f>
        <v>0</v>
      </c>
      <c r="I173" s="84">
        <f>Проект!$I$407</f>
        <v>0</v>
      </c>
      <c r="J173" s="84">
        <f>Проект!$J$407</f>
        <v>0</v>
      </c>
      <c r="K173" s="84">
        <f>Проект!$K$407</f>
        <v>0</v>
      </c>
      <c r="L173" s="84">
        <f>Проект!$L$407</f>
        <v>0</v>
      </c>
      <c r="M173" s="84">
        <f>Проект!$M$407</f>
        <v>0</v>
      </c>
      <c r="N173" s="84" t="e">
        <f>Проект!#REF!</f>
        <v>#REF!</v>
      </c>
      <c r="O173" s="84" t="e">
        <f>Проект!#REF!</f>
        <v>#REF!</v>
      </c>
      <c r="P173" s="84" t="e">
        <f>Проект!#REF!</f>
        <v>#REF!</v>
      </c>
      <c r="Q173" s="84">
        <f>Проект!$Q$407</f>
        <v>0</v>
      </c>
      <c r="R173" s="48"/>
      <c r="S173" s="41"/>
    </row>
    <row r="174" spans="1:19" hidden="1" x14ac:dyDescent="0.2">
      <c r="A174" s="48" t="str">
        <f ca="1">Проект!$A$408</f>
        <v xml:space="preserve">    остаточная стоимость</v>
      </c>
      <c r="B174" s="48"/>
      <c r="C174" s="88" t="str">
        <f ca="1">Проект!$C$408</f>
        <v>руб.</v>
      </c>
      <c r="D174" s="101" t="str">
        <f>Проект!$D$408</f>
        <v>int_end</v>
      </c>
      <c r="E174" s="48"/>
      <c r="F174" s="84">
        <f>Проект!$F$408</f>
        <v>0</v>
      </c>
      <c r="G174" s="84">
        <f>Проект!$G$408</f>
        <v>0</v>
      </c>
      <c r="H174" s="84">
        <f>Проект!$H$408</f>
        <v>0</v>
      </c>
      <c r="I174" s="84">
        <f>Проект!$I$408</f>
        <v>0</v>
      </c>
      <c r="J174" s="84">
        <f>Проект!$J$408</f>
        <v>0</v>
      </c>
      <c r="K174" s="84">
        <f>Проект!$K$408</f>
        <v>0</v>
      </c>
      <c r="L174" s="84">
        <f>Проект!$L$408</f>
        <v>0</v>
      </c>
      <c r="M174" s="84">
        <f>Проект!$M$408</f>
        <v>0</v>
      </c>
      <c r="N174" s="84" t="e">
        <f>Проект!#REF!</f>
        <v>#REF!</v>
      </c>
      <c r="O174" s="84" t="e">
        <f>Проект!#REF!</f>
        <v>#REF!</v>
      </c>
      <c r="P174" s="84" t="e">
        <f>Проект!#REF!</f>
        <v>#REF!</v>
      </c>
      <c r="Q174" s="84">
        <f>Проект!$Q$408</f>
        <v>0</v>
      </c>
      <c r="R174" s="48"/>
      <c r="S174" s="41"/>
    </row>
    <row r="175" spans="1:19" ht="11.25" customHeight="1" x14ac:dyDescent="0.2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1"/>
    </row>
    <row r="176" spans="1:19" ht="11.25" customHeight="1" x14ac:dyDescent="0.25">
      <c r="A176" s="130" t="str">
        <f ca="1">Проект!$A$410</f>
        <v>Общая величина ранее осуществленных инвестиций</v>
      </c>
      <c r="B176" s="48"/>
      <c r="C176" s="8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1"/>
    </row>
    <row r="177" spans="1:19" ht="11.25" customHeight="1" x14ac:dyDescent="0.2">
      <c r="A177" s="52" t="str">
        <f ca="1">Проект!$A$411</f>
        <v>Незавершенные инвестиции в стартовом балансе</v>
      </c>
      <c r="B177" s="25">
        <f>Проект!$B$411</f>
        <v>0</v>
      </c>
      <c r="C177" s="88" t="str">
        <f ca="1">Проект!$C$411</f>
        <v>руб.</v>
      </c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1"/>
    </row>
    <row r="178" spans="1:19" ht="11.25" customHeight="1" x14ac:dyDescent="0.2">
      <c r="A178" s="52" t="str">
        <f ca="1">Проект!$A$412</f>
        <v xml:space="preserve">     НДС к ранее осуществленным инвестициям</v>
      </c>
      <c r="B178" s="25">
        <f>Проект!$B$412</f>
        <v>0</v>
      </c>
      <c r="C178" s="88" t="str">
        <f ca="1">Проект!$C$412</f>
        <v>руб.</v>
      </c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1"/>
    </row>
    <row r="179" spans="1:19" ht="11.25" customHeight="1" x14ac:dyDescent="0.2">
      <c r="A179" s="52" t="str">
        <f ca="1">Проект!$A$413</f>
        <v xml:space="preserve">   - здания и сооружения</v>
      </c>
      <c r="B179" s="25">
        <f>Проект!$B$413</f>
        <v>0</v>
      </c>
      <c r="C179" s="88" t="str">
        <f ca="1">Проект!$C$413</f>
        <v>руб.</v>
      </c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1"/>
    </row>
    <row r="180" spans="1:19" ht="11.25" customHeight="1" x14ac:dyDescent="0.2">
      <c r="A180" s="52" t="str">
        <f ca="1">Проект!$A$414</f>
        <v xml:space="preserve">   - земельные участки</v>
      </c>
      <c r="B180" s="25">
        <f>Проект!$B$414</f>
        <v>0</v>
      </c>
      <c r="C180" s="88" t="str">
        <f ca="1">Проект!$C$414</f>
        <v>руб.</v>
      </c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1"/>
    </row>
    <row r="181" spans="1:19" ht="11.25" customHeight="1" x14ac:dyDescent="0.2">
      <c r="A181" s="52" t="str">
        <f ca="1">Проект!$A$415</f>
        <v xml:space="preserve">   - нематериальные активы</v>
      </c>
      <c r="B181" s="25">
        <f>Проект!$B$415</f>
        <v>0</v>
      </c>
      <c r="C181" s="88" t="str">
        <f ca="1">Проект!$C$415</f>
        <v>руб.</v>
      </c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1"/>
    </row>
    <row r="182" spans="1:19" ht="11.25" customHeight="1" x14ac:dyDescent="0.2">
      <c r="A182" s="52" t="str">
        <f ca="1">Проект!$A$416</f>
        <v xml:space="preserve">   - оборудование и другие активы</v>
      </c>
      <c r="B182" s="25">
        <f>Проект!$B$416</f>
        <v>0</v>
      </c>
      <c r="C182" s="88" t="str">
        <f ca="1">Проект!$C$416</f>
        <v>руб.</v>
      </c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1"/>
    </row>
    <row r="183" spans="1:19" ht="11.25" customHeight="1" x14ac:dyDescent="0.2">
      <c r="A183" s="52" t="str">
        <f ca="1">Проект!$A$417</f>
        <v>Незавершенные инвестиции по данным текущей таблицы</v>
      </c>
      <c r="B183" s="25">
        <f>Проект!$B$417</f>
        <v>0</v>
      </c>
      <c r="C183" s="88" t="str">
        <f ca="1">Проект!$C$417</f>
        <v>руб.</v>
      </c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1"/>
    </row>
    <row r="184" spans="1:19" hidden="1" x14ac:dyDescent="0.2">
      <c r="A184" s="52" t="str">
        <f ca="1">Проект!$A$418</f>
        <v xml:space="preserve">   - здания и сооружения</v>
      </c>
      <c r="B184" s="25">
        <f>Проект!$B$418</f>
        <v>0</v>
      </c>
      <c r="C184" s="88" t="str">
        <f ca="1">Проект!$C$418</f>
        <v>руб.</v>
      </c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1"/>
    </row>
    <row r="185" spans="1:19" hidden="1" x14ac:dyDescent="0.2">
      <c r="A185" s="52" t="str">
        <f ca="1">Проект!$A$419</f>
        <v xml:space="preserve">   - земельные участки</v>
      </c>
      <c r="B185" s="25">
        <f>Проект!$B$419</f>
        <v>0</v>
      </c>
      <c r="C185" s="88" t="str">
        <f ca="1">Проект!$C$419</f>
        <v>руб.</v>
      </c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1"/>
    </row>
    <row r="186" spans="1:19" hidden="1" x14ac:dyDescent="0.2">
      <c r="A186" s="52" t="str">
        <f ca="1">Проект!$A$420</f>
        <v xml:space="preserve">   - нематериальные активы</v>
      </c>
      <c r="B186" s="25">
        <f>Проект!$B$420</f>
        <v>0</v>
      </c>
      <c r="C186" s="88" t="str">
        <f ca="1">Проект!$C$420</f>
        <v>руб.</v>
      </c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1"/>
    </row>
    <row r="187" spans="1:19" hidden="1" x14ac:dyDescent="0.2">
      <c r="A187" s="52" t="str">
        <f ca="1">Проект!$A$421</f>
        <v xml:space="preserve">   - оборудование и другие активы</v>
      </c>
      <c r="B187" s="25">
        <f>Проект!$B$421</f>
        <v>0</v>
      </c>
      <c r="C187" s="88" t="str">
        <f ca="1">Проект!$C$421</f>
        <v>руб.</v>
      </c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1"/>
    </row>
    <row r="188" spans="1:19" hidden="1" x14ac:dyDescent="0.2">
      <c r="A188" s="45" t="str">
        <f ca="1">Проект!$A$422</f>
        <v xml:space="preserve">     НДС к ранее осуществленным инвестициям</v>
      </c>
      <c r="B188" s="25">
        <f>Проект!$B$422</f>
        <v>0</v>
      </c>
      <c r="C188" s="88" t="str">
        <f ca="1">Проект!$C$422</f>
        <v>руб.</v>
      </c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1"/>
    </row>
    <row r="189" spans="1:19" ht="11.25" customHeight="1" x14ac:dyDescent="0.2">
      <c r="A189" s="45" t="str">
        <f ca="1">Проект!$A$423</f>
        <v>Существующие активы</v>
      </c>
      <c r="B189" s="25">
        <f>Проект!$B$423</f>
        <v>0</v>
      </c>
      <c r="C189" s="88" t="str">
        <f ca="1">Проект!$C$423</f>
        <v>руб.</v>
      </c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1"/>
    </row>
    <row r="190" spans="1:19" hidden="1" x14ac:dyDescent="0.2">
      <c r="A190" s="45" t="str">
        <f ca="1">Проект!$A$424</f>
        <v xml:space="preserve">     НДС к существующим активам</v>
      </c>
      <c r="B190" s="25">
        <f>Проект!$B$424</f>
        <v>0</v>
      </c>
      <c r="C190" s="88" t="str">
        <f ca="1">Проект!$C$424</f>
        <v>руб.</v>
      </c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1"/>
    </row>
    <row r="191" spans="1:19" ht="11.25" customHeight="1" x14ac:dyDescent="0.2">
      <c r="A191" s="48" t="str">
        <f ca="1">Проект!$A$425</f>
        <v>Учитывать при оценке эффективности в сумме</v>
      </c>
      <c r="B191" s="299">
        <f>Проект!$B$425</f>
        <v>0</v>
      </c>
      <c r="C191" s="88" t="str">
        <f ca="1">Проект!$C$425</f>
        <v>руб.</v>
      </c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1"/>
    </row>
    <row r="192" spans="1:19" hidden="1" x14ac:dyDescent="0.2">
      <c r="A192" s="48" t="str">
        <f ca="1">Проект!$A$426</f>
        <v xml:space="preserve">         то же, в итоговой валюте</v>
      </c>
      <c r="B192" s="299"/>
      <c r="C192" s="88" t="str">
        <f ca="1">Проект!$C$426</f>
        <v>руб.</v>
      </c>
      <c r="D192" s="48"/>
      <c r="E192" s="48"/>
      <c r="F192" s="106">
        <f>Проект!$F$426</f>
        <v>0</v>
      </c>
      <c r="G192" s="106">
        <f>Проект!$G$426</f>
        <v>0</v>
      </c>
      <c r="H192" s="106">
        <f>Проект!$H$426</f>
        <v>0</v>
      </c>
      <c r="I192" s="106">
        <f>Проект!$I$426</f>
        <v>0</v>
      </c>
      <c r="J192" s="106">
        <f>Проект!$J$426</f>
        <v>0</v>
      </c>
      <c r="K192" s="106">
        <f>Проект!$K$426</f>
        <v>0</v>
      </c>
      <c r="L192" s="106">
        <f>Проект!$L$426</f>
        <v>0</v>
      </c>
      <c r="M192" s="106">
        <f>Проект!$M$426</f>
        <v>0</v>
      </c>
      <c r="N192" s="106" t="e">
        <f>Проект!#REF!</f>
        <v>#REF!</v>
      </c>
      <c r="O192" s="106" t="e">
        <f>Проект!#REF!</f>
        <v>#REF!</v>
      </c>
      <c r="P192" s="106" t="e">
        <f>Проект!#REF!</f>
        <v>#REF!</v>
      </c>
      <c r="Q192" s="106">
        <f>Проект!$Q$426</f>
        <v>0</v>
      </c>
      <c r="R192" s="48"/>
      <c r="S192" s="41"/>
    </row>
    <row r="193" spans="1:19" ht="11.25" customHeight="1" x14ac:dyDescent="0.2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1"/>
    </row>
    <row r="194" spans="1:19" ht="11.25" customHeight="1" x14ac:dyDescent="0.25">
      <c r="A194" s="130" t="str">
        <f ca="1">Проект!$A$428</f>
        <v xml:space="preserve"> = Итого: Земельные участки</v>
      </c>
      <c r="B194" s="130"/>
      <c r="C194" s="88" t="str">
        <f ca="1">Проект!$C$428</f>
        <v>руб.</v>
      </c>
      <c r="D194" s="130"/>
      <c r="E194" s="130"/>
      <c r="F194" s="160">
        <f>Проект!$F$428</f>
        <v>0</v>
      </c>
      <c r="G194" s="160">
        <f>Проект!$G$428</f>
        <v>0</v>
      </c>
      <c r="H194" s="160">
        <f>Проект!$H$428</f>
        <v>0</v>
      </c>
      <c r="I194" s="160">
        <f>Проект!$I$428</f>
        <v>0</v>
      </c>
      <c r="J194" s="160">
        <f>Проект!$J$428</f>
        <v>0</v>
      </c>
      <c r="K194" s="160">
        <f>Проект!$K$428</f>
        <v>0</v>
      </c>
      <c r="L194" s="160">
        <f>Проект!$L$428</f>
        <v>0</v>
      </c>
      <c r="M194" s="160">
        <f>Проект!$M$428</f>
        <v>0</v>
      </c>
      <c r="N194" s="160" t="e">
        <f>Проект!#REF!</f>
        <v>#REF!</v>
      </c>
      <c r="O194" s="160" t="e">
        <f>Проект!#REF!</f>
        <v>#REF!</v>
      </c>
      <c r="P194" s="160" t="e">
        <f>Проект!#REF!</f>
        <v>#REF!</v>
      </c>
      <c r="Q194" s="160">
        <f>Проект!$Q$428</f>
        <v>0</v>
      </c>
      <c r="R194" s="160"/>
      <c r="S194" s="95">
        <f>Проект!$S$428</f>
        <v>0</v>
      </c>
    </row>
    <row r="195" spans="1:19" hidden="1" x14ac:dyDescent="0.2">
      <c r="A195" s="48" t="str">
        <f ca="1">Проект!$A$429</f>
        <v xml:space="preserve">    сумма платежей без НДС</v>
      </c>
      <c r="B195" s="48"/>
      <c r="C195" s="88" t="str">
        <f ca="1">Проект!$C$429</f>
        <v>руб.</v>
      </c>
      <c r="D195" s="48"/>
      <c r="E195" s="48"/>
      <c r="F195" s="106">
        <f>Проект!$F$429</f>
        <v>0</v>
      </c>
      <c r="G195" s="106">
        <f>Проект!$G$429</f>
        <v>0</v>
      </c>
      <c r="H195" s="106">
        <f>Проект!$H$429</f>
        <v>0</v>
      </c>
      <c r="I195" s="106">
        <f>Проект!$I$429</f>
        <v>0</v>
      </c>
      <c r="J195" s="106">
        <f>Проект!$J$429</f>
        <v>0</v>
      </c>
      <c r="K195" s="106">
        <f>Проект!$K$429</f>
        <v>0</v>
      </c>
      <c r="L195" s="106">
        <f>Проект!$L$429</f>
        <v>0</v>
      </c>
      <c r="M195" s="106">
        <f>Проект!$M$429</f>
        <v>0</v>
      </c>
      <c r="N195" s="106" t="e">
        <f>Проект!#REF!</f>
        <v>#REF!</v>
      </c>
      <c r="O195" s="106" t="e">
        <f>Проект!#REF!</f>
        <v>#REF!</v>
      </c>
      <c r="P195" s="106" t="e">
        <f>Проект!#REF!</f>
        <v>#REF!</v>
      </c>
      <c r="Q195" s="106">
        <f>Проект!$Q$429</f>
        <v>0</v>
      </c>
      <c r="R195" s="106"/>
      <c r="S195" s="94">
        <f>Проект!$S$429</f>
        <v>0</v>
      </c>
    </row>
    <row r="196" spans="1:19" hidden="1" x14ac:dyDescent="0.2">
      <c r="A196" s="48" t="str">
        <f ca="1">Проект!$A$430</f>
        <v xml:space="preserve">    полная балансовая стоимость</v>
      </c>
      <c r="B196" s="48"/>
      <c r="C196" s="88" t="str">
        <f ca="1">Проект!$C$430</f>
        <v>руб.</v>
      </c>
      <c r="D196" s="101" t="str">
        <f>Проект!$D$430</f>
        <v>int_end</v>
      </c>
      <c r="E196" s="48"/>
      <c r="F196" s="106">
        <f ca="1">Проект!$F$430</f>
        <v>0</v>
      </c>
      <c r="G196" s="106">
        <f ca="1">Проект!$G$430</f>
        <v>0</v>
      </c>
      <c r="H196" s="106">
        <f ca="1">Проект!$H$430</f>
        <v>0</v>
      </c>
      <c r="I196" s="106">
        <f ca="1">Проект!$I$430</f>
        <v>0</v>
      </c>
      <c r="J196" s="106">
        <f ca="1">Проект!$J$430</f>
        <v>0</v>
      </c>
      <c r="K196" s="106">
        <f ca="1">Проект!$K$430</f>
        <v>0</v>
      </c>
      <c r="L196" s="106">
        <f ca="1">Проект!$L$430</f>
        <v>0</v>
      </c>
      <c r="M196" s="106">
        <f ca="1">Проект!$M$430</f>
        <v>0</v>
      </c>
      <c r="N196" s="106" t="e">
        <f>Проект!#REF!</f>
        <v>#REF!</v>
      </c>
      <c r="O196" s="106" t="e">
        <f>Проект!#REF!</f>
        <v>#REF!</v>
      </c>
      <c r="P196" s="106" t="e">
        <f>Проект!#REF!</f>
        <v>#REF!</v>
      </c>
      <c r="Q196" s="106">
        <f ca="1">Проект!$Q$430</f>
        <v>0</v>
      </c>
      <c r="R196" s="106"/>
      <c r="S196" s="94"/>
    </row>
    <row r="197" spans="1:19" hidden="1" x14ac:dyDescent="0.2">
      <c r="A197" s="48" t="str">
        <f ca="1">Проект!$A$431</f>
        <v xml:space="preserve">    незавершенные инвестиции</v>
      </c>
      <c r="B197" s="48"/>
      <c r="C197" s="88" t="str">
        <f ca="1">Проект!$C$431</f>
        <v>руб.</v>
      </c>
      <c r="D197" s="101" t="str">
        <f>Проект!$D$431</f>
        <v>int_end</v>
      </c>
      <c r="E197" s="48"/>
      <c r="F197" s="106">
        <f ca="1">Проект!$F$431</f>
        <v>0</v>
      </c>
      <c r="G197" s="106">
        <f ca="1">Проект!$G$431</f>
        <v>0</v>
      </c>
      <c r="H197" s="106">
        <f ca="1">Проект!$H$431</f>
        <v>0</v>
      </c>
      <c r="I197" s="106">
        <f ca="1">Проект!$I$431</f>
        <v>0</v>
      </c>
      <c r="J197" s="106">
        <f ca="1">Проект!$J$431</f>
        <v>0</v>
      </c>
      <c r="K197" s="106">
        <f ca="1">Проект!$K$431</f>
        <v>0</v>
      </c>
      <c r="L197" s="106">
        <f ca="1">Проект!$L$431</f>
        <v>0</v>
      </c>
      <c r="M197" s="106">
        <f ca="1">Проект!$M$431</f>
        <v>0</v>
      </c>
      <c r="N197" s="106" t="e">
        <f>Проект!#REF!</f>
        <v>#REF!</v>
      </c>
      <c r="O197" s="106" t="e">
        <f>Проект!#REF!</f>
        <v>#REF!</v>
      </c>
      <c r="P197" s="106" t="e">
        <f>Проект!#REF!</f>
        <v>#REF!</v>
      </c>
      <c r="Q197" s="106">
        <f ca="1">Проект!$Q$431</f>
        <v>0</v>
      </c>
      <c r="R197" s="106"/>
      <c r="S197" s="94"/>
    </row>
    <row r="198" spans="1:19" hidden="1" x14ac:dyDescent="0.2">
      <c r="A198" s="48" t="str">
        <f ca="1">Проект!$A$432</f>
        <v xml:space="preserve">    кредиторская задолженность</v>
      </c>
      <c r="B198" s="48"/>
      <c r="C198" s="88" t="str">
        <f ca="1">Проект!$C$432</f>
        <v>руб.</v>
      </c>
      <c r="D198" s="101" t="str">
        <f>Проект!$D$432</f>
        <v>int_end</v>
      </c>
      <c r="E198" s="48"/>
      <c r="F198" s="106">
        <f ca="1">Проект!$F$432</f>
        <v>0</v>
      </c>
      <c r="G198" s="106">
        <f ca="1">Проект!$G$432</f>
        <v>0</v>
      </c>
      <c r="H198" s="106">
        <f ca="1">Проект!$H$432</f>
        <v>0</v>
      </c>
      <c r="I198" s="106">
        <f ca="1">Проект!$I$432</f>
        <v>0</v>
      </c>
      <c r="J198" s="106">
        <f ca="1">Проект!$J$432</f>
        <v>0</v>
      </c>
      <c r="K198" s="106">
        <f ca="1">Проект!$K$432</f>
        <v>0</v>
      </c>
      <c r="L198" s="106">
        <f ca="1">Проект!$L$432</f>
        <v>0</v>
      </c>
      <c r="M198" s="106">
        <f ca="1">Проект!$M$432</f>
        <v>0</v>
      </c>
      <c r="N198" s="106" t="e">
        <f>Проект!#REF!</f>
        <v>#REF!</v>
      </c>
      <c r="O198" s="106" t="e">
        <f>Проект!#REF!</f>
        <v>#REF!</v>
      </c>
      <c r="P198" s="106" t="e">
        <f>Проект!#REF!</f>
        <v>#REF!</v>
      </c>
      <c r="Q198" s="106">
        <f ca="1">Проект!$Q$432</f>
        <v>0</v>
      </c>
      <c r="R198" s="106"/>
      <c r="S198" s="94"/>
    </row>
    <row r="199" spans="1:19" hidden="1" x14ac:dyDescent="0.2">
      <c r="A199" s="48" t="str">
        <f ca="1">Проект!$A$433</f>
        <v xml:space="preserve">    остаточная стоимость</v>
      </c>
      <c r="B199" s="48"/>
      <c r="C199" s="88" t="str">
        <f ca="1">Проект!$C$433</f>
        <v>руб.</v>
      </c>
      <c r="D199" s="101" t="str">
        <f>Проект!$D$433</f>
        <v>int_end</v>
      </c>
      <c r="E199" s="48"/>
      <c r="F199" s="106">
        <f ca="1">Проект!$F$433</f>
        <v>0</v>
      </c>
      <c r="G199" s="106">
        <f ca="1">Проект!$G$433</f>
        <v>0</v>
      </c>
      <c r="H199" s="106">
        <f ca="1">Проект!$H$433</f>
        <v>0</v>
      </c>
      <c r="I199" s="106">
        <f ca="1">Проект!$I$433</f>
        <v>0</v>
      </c>
      <c r="J199" s="106">
        <f ca="1">Проект!$J$433</f>
        <v>0</v>
      </c>
      <c r="K199" s="106">
        <f ca="1">Проект!$K$433</f>
        <v>0</v>
      </c>
      <c r="L199" s="106">
        <f ca="1">Проект!$L$433</f>
        <v>0</v>
      </c>
      <c r="M199" s="106">
        <f ca="1">Проект!$M$433</f>
        <v>0</v>
      </c>
      <c r="N199" s="106" t="e">
        <f>Проект!#REF!</f>
        <v>#REF!</v>
      </c>
      <c r="O199" s="106" t="e">
        <f>Проект!#REF!</f>
        <v>#REF!</v>
      </c>
      <c r="P199" s="106" t="e">
        <f>Проект!#REF!</f>
        <v>#REF!</v>
      </c>
      <c r="Q199" s="106">
        <f ca="1">Проект!$Q$433</f>
        <v>0</v>
      </c>
      <c r="R199" s="106"/>
      <c r="S199" s="94"/>
    </row>
    <row r="200" spans="1:19" hidden="1" x14ac:dyDescent="0.2">
      <c r="A200" s="48" t="str">
        <f ca="1">Проект!$A$434</f>
        <v xml:space="preserve">    реализация актива (без НДС)</v>
      </c>
      <c r="B200" s="48"/>
      <c r="C200" s="88" t="str">
        <f ca="1">Проект!$C$434</f>
        <v>руб.</v>
      </c>
      <c r="D200" s="48"/>
      <c r="E200" s="48"/>
      <c r="F200" s="106">
        <f>Проект!$F$434</f>
        <v>0</v>
      </c>
      <c r="G200" s="106">
        <f>Проект!$G$434</f>
        <v>0</v>
      </c>
      <c r="H200" s="106">
        <f>Проект!$H$434</f>
        <v>0</v>
      </c>
      <c r="I200" s="106">
        <f>Проект!$I$434</f>
        <v>0</v>
      </c>
      <c r="J200" s="106">
        <f>Проект!$J$434</f>
        <v>0</v>
      </c>
      <c r="K200" s="106">
        <f>Проект!$K$434</f>
        <v>0</v>
      </c>
      <c r="L200" s="106">
        <f>Проект!$L$434</f>
        <v>0</v>
      </c>
      <c r="M200" s="106">
        <f>Проект!$M$434</f>
        <v>0</v>
      </c>
      <c r="N200" s="106" t="e">
        <f>Проект!#REF!</f>
        <v>#REF!</v>
      </c>
      <c r="O200" s="106" t="e">
        <f>Проект!#REF!</f>
        <v>#REF!</v>
      </c>
      <c r="P200" s="106" t="e">
        <f>Проект!#REF!</f>
        <v>#REF!</v>
      </c>
      <c r="Q200" s="106">
        <f>Проект!$Q$434</f>
        <v>0</v>
      </c>
      <c r="R200" s="106"/>
      <c r="S200" s="94">
        <f>Проект!$S$434</f>
        <v>0</v>
      </c>
    </row>
    <row r="201" spans="1:19" hidden="1" x14ac:dyDescent="0.2">
      <c r="A201" s="48" t="str">
        <f ca="1">Проект!$A$435</f>
        <v xml:space="preserve">    прибыль/убыток от реализации актива</v>
      </c>
      <c r="B201" s="48"/>
      <c r="C201" s="88" t="str">
        <f ca="1">Проект!$C$435</f>
        <v>руб.</v>
      </c>
      <c r="D201" s="48"/>
      <c r="E201" s="48"/>
      <c r="F201" s="106">
        <f>Проект!$F$435</f>
        <v>0</v>
      </c>
      <c r="G201" s="106">
        <f>Проект!$G$435</f>
        <v>0</v>
      </c>
      <c r="H201" s="106">
        <f>Проект!$H$435</f>
        <v>0</v>
      </c>
      <c r="I201" s="106">
        <f>Проект!$I$435</f>
        <v>0</v>
      </c>
      <c r="J201" s="106">
        <f>Проект!$J$435</f>
        <v>0</v>
      </c>
      <c r="K201" s="106">
        <f>Проект!$K$435</f>
        <v>0</v>
      </c>
      <c r="L201" s="106">
        <f>Проект!$L$435</f>
        <v>0</v>
      </c>
      <c r="M201" s="106">
        <f>Проект!$M$435</f>
        <v>0</v>
      </c>
      <c r="N201" s="106" t="e">
        <f>Проект!#REF!</f>
        <v>#REF!</v>
      </c>
      <c r="O201" s="106" t="e">
        <f>Проект!#REF!</f>
        <v>#REF!</v>
      </c>
      <c r="P201" s="106" t="e">
        <f>Проект!#REF!</f>
        <v>#REF!</v>
      </c>
      <c r="Q201" s="106">
        <f>Проект!$Q$435</f>
        <v>0</v>
      </c>
      <c r="R201" s="106"/>
      <c r="S201" s="94">
        <f>Проект!$S$435</f>
        <v>0</v>
      </c>
    </row>
    <row r="202" spans="1:19" ht="11.25" customHeight="1" x14ac:dyDescent="0.25">
      <c r="A202" s="130" t="str">
        <f ca="1">Проект!$A$436</f>
        <v xml:space="preserve"> = Итого: Здания и сооружения</v>
      </c>
      <c r="B202" s="130"/>
      <c r="C202" s="88" t="str">
        <f ca="1">Проект!$C$436</f>
        <v>руб.</v>
      </c>
      <c r="D202" s="130"/>
      <c r="E202" s="130"/>
      <c r="F202" s="160">
        <f>Проект!$F$436</f>
        <v>0</v>
      </c>
      <c r="G202" s="160">
        <f>Проект!$G$436</f>
        <v>0</v>
      </c>
      <c r="H202" s="160">
        <f>Проект!$H$436</f>
        <v>0</v>
      </c>
      <c r="I202" s="160">
        <f>Проект!$I$436</f>
        <v>0</v>
      </c>
      <c r="J202" s="160">
        <f>Проект!$J$436</f>
        <v>0</v>
      </c>
      <c r="K202" s="160">
        <f>Проект!$K$436</f>
        <v>0</v>
      </c>
      <c r="L202" s="160">
        <f>Проект!$L$436</f>
        <v>0</v>
      </c>
      <c r="M202" s="160">
        <f>Проект!$M$436</f>
        <v>0</v>
      </c>
      <c r="N202" s="160" t="e">
        <f>Проект!#REF!</f>
        <v>#REF!</v>
      </c>
      <c r="O202" s="160" t="e">
        <f>Проект!#REF!</f>
        <v>#REF!</v>
      </c>
      <c r="P202" s="160" t="e">
        <f>Проект!#REF!</f>
        <v>#REF!</v>
      </c>
      <c r="Q202" s="160">
        <f>Проект!$Q$436</f>
        <v>0</v>
      </c>
      <c r="R202" s="160"/>
      <c r="S202" s="95">
        <f>Проект!$S$436</f>
        <v>0</v>
      </c>
    </row>
    <row r="203" spans="1:19" hidden="1" x14ac:dyDescent="0.2">
      <c r="A203" s="48" t="str">
        <f ca="1">Проект!$A$437</f>
        <v xml:space="preserve">    сумма платежей без НДС</v>
      </c>
      <c r="B203" s="48"/>
      <c r="C203" s="88" t="str">
        <f ca="1">Проект!$C$437</f>
        <v>руб.</v>
      </c>
      <c r="D203" s="48"/>
      <c r="E203" s="48"/>
      <c r="F203" s="106">
        <f>Проект!$F$437</f>
        <v>0</v>
      </c>
      <c r="G203" s="106">
        <f>Проект!$G$437</f>
        <v>0</v>
      </c>
      <c r="H203" s="106">
        <f>Проект!$H$437</f>
        <v>0</v>
      </c>
      <c r="I203" s="106">
        <f>Проект!$I$437</f>
        <v>0</v>
      </c>
      <c r="J203" s="106">
        <f>Проект!$J$437</f>
        <v>0</v>
      </c>
      <c r="K203" s="106">
        <f>Проект!$K$437</f>
        <v>0</v>
      </c>
      <c r="L203" s="106">
        <f>Проект!$L$437</f>
        <v>0</v>
      </c>
      <c r="M203" s="106">
        <f>Проект!$M$437</f>
        <v>0</v>
      </c>
      <c r="N203" s="106" t="e">
        <f>Проект!#REF!</f>
        <v>#REF!</v>
      </c>
      <c r="O203" s="106" t="e">
        <f>Проект!#REF!</f>
        <v>#REF!</v>
      </c>
      <c r="P203" s="106" t="e">
        <f>Проект!#REF!</f>
        <v>#REF!</v>
      </c>
      <c r="Q203" s="106">
        <f>Проект!$Q$437</f>
        <v>0</v>
      </c>
      <c r="R203" s="106"/>
      <c r="S203" s="94">
        <f>Проект!$S$437</f>
        <v>0</v>
      </c>
    </row>
    <row r="204" spans="1:19" hidden="1" x14ac:dyDescent="0.2">
      <c r="A204" s="48" t="str">
        <f ca="1">Проект!$A$438</f>
        <v xml:space="preserve">    полная балансовая стоимость</v>
      </c>
      <c r="B204" s="48"/>
      <c r="C204" s="88" t="str">
        <f ca="1">Проект!$C$438</f>
        <v>руб.</v>
      </c>
      <c r="D204" s="101" t="str">
        <f>Проект!$D$438</f>
        <v>int_end</v>
      </c>
      <c r="E204" s="48"/>
      <c r="F204" s="106">
        <f ca="1">Проект!$F$438</f>
        <v>0</v>
      </c>
      <c r="G204" s="106">
        <f ca="1">Проект!$G$438</f>
        <v>0</v>
      </c>
      <c r="H204" s="106">
        <f ca="1">Проект!$H$438</f>
        <v>0</v>
      </c>
      <c r="I204" s="106">
        <f ca="1">Проект!$I$438</f>
        <v>0</v>
      </c>
      <c r="J204" s="106">
        <f ca="1">Проект!$J$438</f>
        <v>0</v>
      </c>
      <c r="K204" s="106">
        <f ca="1">Проект!$K$438</f>
        <v>0</v>
      </c>
      <c r="L204" s="106">
        <f ca="1">Проект!$L$438</f>
        <v>0</v>
      </c>
      <c r="M204" s="106">
        <f ca="1">Проект!$M$438</f>
        <v>0</v>
      </c>
      <c r="N204" s="106" t="e">
        <f>Проект!#REF!</f>
        <v>#REF!</v>
      </c>
      <c r="O204" s="106" t="e">
        <f>Проект!#REF!</f>
        <v>#REF!</v>
      </c>
      <c r="P204" s="106" t="e">
        <f>Проект!#REF!</f>
        <v>#REF!</v>
      </c>
      <c r="Q204" s="106">
        <f ca="1">Проект!$Q$438</f>
        <v>0</v>
      </c>
      <c r="R204" s="106"/>
      <c r="S204" s="94"/>
    </row>
    <row r="205" spans="1:19" hidden="1" x14ac:dyDescent="0.2">
      <c r="A205" s="48" t="str">
        <f ca="1">Проект!$A$439</f>
        <v xml:space="preserve">    незавершенные инвестиции</v>
      </c>
      <c r="B205" s="48"/>
      <c r="C205" s="88" t="str">
        <f ca="1">Проект!$C$439</f>
        <v>руб.</v>
      </c>
      <c r="D205" s="101" t="str">
        <f>Проект!$D$439</f>
        <v>int_end</v>
      </c>
      <c r="E205" s="48"/>
      <c r="F205" s="106">
        <f ca="1">Проект!$F$439</f>
        <v>0</v>
      </c>
      <c r="G205" s="106">
        <f ca="1">Проект!$G$439</f>
        <v>0</v>
      </c>
      <c r="H205" s="106">
        <f ca="1">Проект!$H$439</f>
        <v>0</v>
      </c>
      <c r="I205" s="106">
        <f ca="1">Проект!$I$439</f>
        <v>0</v>
      </c>
      <c r="J205" s="106">
        <f ca="1">Проект!$J$439</f>
        <v>0</v>
      </c>
      <c r="K205" s="106">
        <f ca="1">Проект!$K$439</f>
        <v>0</v>
      </c>
      <c r="L205" s="106">
        <f ca="1">Проект!$L$439</f>
        <v>0</v>
      </c>
      <c r="M205" s="106">
        <f ca="1">Проект!$M$439</f>
        <v>0</v>
      </c>
      <c r="N205" s="106" t="e">
        <f>Проект!#REF!</f>
        <v>#REF!</v>
      </c>
      <c r="O205" s="106" t="e">
        <f>Проект!#REF!</f>
        <v>#REF!</v>
      </c>
      <c r="P205" s="106" t="e">
        <f>Проект!#REF!</f>
        <v>#REF!</v>
      </c>
      <c r="Q205" s="106">
        <f ca="1">Проект!$Q$439</f>
        <v>0</v>
      </c>
      <c r="R205" s="106"/>
      <c r="S205" s="94"/>
    </row>
    <row r="206" spans="1:19" hidden="1" x14ac:dyDescent="0.2">
      <c r="A206" s="48" t="str">
        <f ca="1">Проект!$A$440</f>
        <v xml:space="preserve">    авансовая оплата</v>
      </c>
      <c r="B206" s="48"/>
      <c r="C206" s="88" t="str">
        <f ca="1">Проект!$C$440</f>
        <v>руб.</v>
      </c>
      <c r="D206" s="101" t="str">
        <f>Проект!$D$440</f>
        <v>int_end</v>
      </c>
      <c r="E206" s="48"/>
      <c r="F206" s="106">
        <f>Проект!$F$440</f>
        <v>0</v>
      </c>
      <c r="G206" s="106">
        <f>Проект!$G$440</f>
        <v>0</v>
      </c>
      <c r="H206" s="106">
        <f>Проект!$H$440</f>
        <v>0</v>
      </c>
      <c r="I206" s="106">
        <f>Проект!$I$440</f>
        <v>0</v>
      </c>
      <c r="J206" s="106">
        <f>Проект!$J$440</f>
        <v>0</v>
      </c>
      <c r="K206" s="106">
        <f>Проект!$K$440</f>
        <v>0</v>
      </c>
      <c r="L206" s="106">
        <f>Проект!$L$440</f>
        <v>0</v>
      </c>
      <c r="M206" s="106">
        <f>Проект!$M$440</f>
        <v>0</v>
      </c>
      <c r="N206" s="106" t="e">
        <f>Проект!#REF!</f>
        <v>#REF!</v>
      </c>
      <c r="O206" s="106" t="e">
        <f>Проект!#REF!</f>
        <v>#REF!</v>
      </c>
      <c r="P206" s="106" t="e">
        <f>Проект!#REF!</f>
        <v>#REF!</v>
      </c>
      <c r="Q206" s="106">
        <f>Проект!$Q$440</f>
        <v>0</v>
      </c>
      <c r="R206" s="106"/>
      <c r="S206" s="94"/>
    </row>
    <row r="207" spans="1:19" hidden="1" x14ac:dyDescent="0.2">
      <c r="A207" s="48" t="str">
        <f ca="1">Проект!$A$441</f>
        <v xml:space="preserve">    кредиторская задолженность</v>
      </c>
      <c r="B207" s="48"/>
      <c r="C207" s="88" t="str">
        <f ca="1">Проект!$C$441</f>
        <v>руб.</v>
      </c>
      <c r="D207" s="101" t="str">
        <f>Проект!$D$441</f>
        <v>int_end</v>
      </c>
      <c r="E207" s="48"/>
      <c r="F207" s="106">
        <f ca="1">Проект!$F$441</f>
        <v>0</v>
      </c>
      <c r="G207" s="106">
        <f ca="1">Проект!$G$441</f>
        <v>0</v>
      </c>
      <c r="H207" s="106">
        <f ca="1">Проект!$H$441</f>
        <v>0</v>
      </c>
      <c r="I207" s="106">
        <f ca="1">Проект!$I$441</f>
        <v>0</v>
      </c>
      <c r="J207" s="106">
        <f ca="1">Проект!$J$441</f>
        <v>0</v>
      </c>
      <c r="K207" s="106">
        <f ca="1">Проект!$K$441</f>
        <v>0</v>
      </c>
      <c r="L207" s="106">
        <f ca="1">Проект!$L$441</f>
        <v>0</v>
      </c>
      <c r="M207" s="106">
        <f ca="1">Проект!$M$441</f>
        <v>0</v>
      </c>
      <c r="N207" s="106" t="e">
        <f>Проект!#REF!</f>
        <v>#REF!</v>
      </c>
      <c r="O207" s="106" t="e">
        <f>Проект!#REF!</f>
        <v>#REF!</v>
      </c>
      <c r="P207" s="106" t="e">
        <f>Проект!#REF!</f>
        <v>#REF!</v>
      </c>
      <c r="Q207" s="106">
        <f ca="1">Проект!$Q$441</f>
        <v>0</v>
      </c>
      <c r="R207" s="106"/>
      <c r="S207" s="94"/>
    </row>
    <row r="208" spans="1:19" hidden="1" x14ac:dyDescent="0.2">
      <c r="A208" s="48" t="str">
        <f ca="1">Проект!$A$442</f>
        <v xml:space="preserve">    амортизация</v>
      </c>
      <c r="B208" s="48"/>
      <c r="C208" s="88" t="str">
        <f ca="1">Проект!$C$442</f>
        <v>руб.</v>
      </c>
      <c r="D208" s="48"/>
      <c r="E208" s="48"/>
      <c r="F208" s="106">
        <f ca="1">Проект!$F$442</f>
        <v>0</v>
      </c>
      <c r="G208" s="106">
        <f ca="1">Проект!$G$442</f>
        <v>0</v>
      </c>
      <c r="H208" s="106">
        <f ca="1">Проект!$H$442</f>
        <v>0</v>
      </c>
      <c r="I208" s="106">
        <f ca="1">Проект!$I$442</f>
        <v>0</v>
      </c>
      <c r="J208" s="106">
        <f ca="1">Проект!$J$442</f>
        <v>0</v>
      </c>
      <c r="K208" s="106">
        <f ca="1">Проект!$K$442</f>
        <v>0</v>
      </c>
      <c r="L208" s="106">
        <f ca="1">Проект!$L$442</f>
        <v>0</v>
      </c>
      <c r="M208" s="106">
        <f ca="1">Проект!$M$442</f>
        <v>0</v>
      </c>
      <c r="N208" s="106" t="e">
        <f>Проект!#REF!</f>
        <v>#REF!</v>
      </c>
      <c r="O208" s="106" t="e">
        <f>Проект!#REF!</f>
        <v>#REF!</v>
      </c>
      <c r="P208" s="106" t="e">
        <f>Проект!#REF!</f>
        <v>#REF!</v>
      </c>
      <c r="Q208" s="106">
        <f ca="1">Проект!$Q$442</f>
        <v>0</v>
      </c>
      <c r="R208" s="106"/>
      <c r="S208" s="94">
        <f ca="1">Проект!$S$442</f>
        <v>0</v>
      </c>
    </row>
    <row r="209" spans="1:19" hidden="1" x14ac:dyDescent="0.2">
      <c r="A209" s="48" t="str">
        <f ca="1">Проект!$A$443</f>
        <v xml:space="preserve">    остаточная стоимость</v>
      </c>
      <c r="B209" s="48"/>
      <c r="C209" s="88" t="str">
        <f ca="1">Проект!$C$443</f>
        <v>руб.</v>
      </c>
      <c r="D209" s="101" t="str">
        <f>Проект!$D$443</f>
        <v>int_end</v>
      </c>
      <c r="E209" s="48"/>
      <c r="F209" s="106">
        <f ca="1">Проект!$F$443</f>
        <v>0</v>
      </c>
      <c r="G209" s="106">
        <f ca="1">Проект!$G$443</f>
        <v>0</v>
      </c>
      <c r="H209" s="106">
        <f ca="1">Проект!$H$443</f>
        <v>0</v>
      </c>
      <c r="I209" s="106">
        <f ca="1">Проект!$I$443</f>
        <v>0</v>
      </c>
      <c r="J209" s="106">
        <f ca="1">Проект!$J$443</f>
        <v>0</v>
      </c>
      <c r="K209" s="106">
        <f ca="1">Проект!$K$443</f>
        <v>0</v>
      </c>
      <c r="L209" s="106">
        <f ca="1">Проект!$L$443</f>
        <v>0</v>
      </c>
      <c r="M209" s="106">
        <f ca="1">Проект!$M$443</f>
        <v>0</v>
      </c>
      <c r="N209" s="106" t="e">
        <f>Проект!#REF!</f>
        <v>#REF!</v>
      </c>
      <c r="O209" s="106" t="e">
        <f>Проект!#REF!</f>
        <v>#REF!</v>
      </c>
      <c r="P209" s="106" t="e">
        <f>Проект!#REF!</f>
        <v>#REF!</v>
      </c>
      <c r="Q209" s="106">
        <f ca="1">Проект!$Q$443</f>
        <v>0</v>
      </c>
      <c r="R209" s="106"/>
      <c r="S209" s="94"/>
    </row>
    <row r="210" spans="1:19" hidden="1" x14ac:dyDescent="0.2">
      <c r="A210" s="48" t="str">
        <f ca="1">Проект!$A$444</f>
        <v xml:space="preserve">    выплаченный НДС</v>
      </c>
      <c r="B210" s="48"/>
      <c r="C210" s="88" t="str">
        <f ca="1">Проект!$C$444</f>
        <v>руб.</v>
      </c>
      <c r="D210" s="48"/>
      <c r="E210" s="48"/>
      <c r="F210" s="106">
        <f>Проект!$F$444</f>
        <v>0</v>
      </c>
      <c r="G210" s="106">
        <f>Проект!$G$444</f>
        <v>0</v>
      </c>
      <c r="H210" s="106">
        <f>Проект!$H$444</f>
        <v>0</v>
      </c>
      <c r="I210" s="106">
        <f>Проект!$I$444</f>
        <v>0</v>
      </c>
      <c r="J210" s="106">
        <f>Проект!$J$444</f>
        <v>0</v>
      </c>
      <c r="K210" s="106">
        <f>Проект!$K$444</f>
        <v>0</v>
      </c>
      <c r="L210" s="106">
        <f>Проект!$L$444</f>
        <v>0</v>
      </c>
      <c r="M210" s="106">
        <f>Проект!$M$444</f>
        <v>0</v>
      </c>
      <c r="N210" s="106" t="e">
        <f>Проект!#REF!</f>
        <v>#REF!</v>
      </c>
      <c r="O210" s="106" t="e">
        <f>Проект!#REF!</f>
        <v>#REF!</v>
      </c>
      <c r="P210" s="106" t="e">
        <f>Проект!#REF!</f>
        <v>#REF!</v>
      </c>
      <c r="Q210" s="106">
        <f>Проект!$Q$444</f>
        <v>0</v>
      </c>
      <c r="R210" s="106"/>
      <c r="S210" s="94">
        <f>Проект!$S$444</f>
        <v>0</v>
      </c>
    </row>
    <row r="211" spans="1:19" hidden="1" x14ac:dyDescent="0.2">
      <c r="A211" s="48" t="str">
        <f ca="1">Проект!$A$445</f>
        <v xml:space="preserve">    зачет НДС</v>
      </c>
      <c r="B211" s="48"/>
      <c r="C211" s="88" t="str">
        <f ca="1">Проект!$C$445</f>
        <v>руб.</v>
      </c>
      <c r="D211" s="48"/>
      <c r="E211" s="48"/>
      <c r="F211" s="106">
        <f ca="1">Проект!$F$445</f>
        <v>0</v>
      </c>
      <c r="G211" s="106">
        <f ca="1">Проект!$G$445</f>
        <v>0</v>
      </c>
      <c r="H211" s="106">
        <f ca="1">Проект!$H$445</f>
        <v>0</v>
      </c>
      <c r="I211" s="106">
        <f ca="1">Проект!$I$445</f>
        <v>0</v>
      </c>
      <c r="J211" s="106">
        <f ca="1">Проект!$J$445</f>
        <v>0</v>
      </c>
      <c r="K211" s="106">
        <f ca="1">Проект!$K$445</f>
        <v>0</v>
      </c>
      <c r="L211" s="106">
        <f ca="1">Проект!$L$445</f>
        <v>0</v>
      </c>
      <c r="M211" s="106">
        <f ca="1">Проект!$M$445</f>
        <v>0</v>
      </c>
      <c r="N211" s="106" t="e">
        <f>Проект!#REF!</f>
        <v>#REF!</v>
      </c>
      <c r="O211" s="106" t="e">
        <f>Проект!#REF!</f>
        <v>#REF!</v>
      </c>
      <c r="P211" s="106" t="e">
        <f>Проект!#REF!</f>
        <v>#REF!</v>
      </c>
      <c r="Q211" s="106">
        <f ca="1">Проект!$Q$445</f>
        <v>0</v>
      </c>
      <c r="R211" s="106"/>
      <c r="S211" s="94">
        <f ca="1">Проект!$S$445</f>
        <v>0</v>
      </c>
    </row>
    <row r="212" spans="1:19" hidden="1" x14ac:dyDescent="0.2">
      <c r="A212" s="48" t="str">
        <f ca="1">Проект!$A$446</f>
        <v xml:space="preserve">    реализация актива (без НДС)</v>
      </c>
      <c r="B212" s="48"/>
      <c r="C212" s="88" t="str">
        <f ca="1">Проект!$C$446</f>
        <v>руб.</v>
      </c>
      <c r="D212" s="48"/>
      <c r="E212" s="48"/>
      <c r="F212" s="106">
        <f>Проект!$F$446</f>
        <v>0</v>
      </c>
      <c r="G212" s="106">
        <f>Проект!$G$446</f>
        <v>0</v>
      </c>
      <c r="H212" s="106">
        <f>Проект!$H$446</f>
        <v>0</v>
      </c>
      <c r="I212" s="106">
        <f>Проект!$I$446</f>
        <v>0</v>
      </c>
      <c r="J212" s="106">
        <f>Проект!$J$446</f>
        <v>0</v>
      </c>
      <c r="K212" s="106">
        <f>Проект!$K$446</f>
        <v>0</v>
      </c>
      <c r="L212" s="106">
        <f>Проект!$L$446</f>
        <v>0</v>
      </c>
      <c r="M212" s="106">
        <f>Проект!$M$446</f>
        <v>0</v>
      </c>
      <c r="N212" s="106" t="e">
        <f>Проект!#REF!</f>
        <v>#REF!</v>
      </c>
      <c r="O212" s="106" t="e">
        <f>Проект!#REF!</f>
        <v>#REF!</v>
      </c>
      <c r="P212" s="106" t="e">
        <f>Проект!#REF!</f>
        <v>#REF!</v>
      </c>
      <c r="Q212" s="106">
        <f>Проект!$Q$446</f>
        <v>0</v>
      </c>
      <c r="R212" s="106"/>
      <c r="S212" s="94">
        <f>Проект!$S$446</f>
        <v>0</v>
      </c>
    </row>
    <row r="213" spans="1:19" hidden="1" x14ac:dyDescent="0.2">
      <c r="A213" s="48" t="str">
        <f ca="1">Проект!$A$447</f>
        <v xml:space="preserve">    прибыль/убыток от реализации актива</v>
      </c>
      <c r="B213" s="48"/>
      <c r="C213" s="88" t="str">
        <f ca="1">Проект!$C$447</f>
        <v>руб.</v>
      </c>
      <c r="D213" s="48"/>
      <c r="E213" s="48"/>
      <c r="F213" s="106">
        <f>Проект!$F$447</f>
        <v>0</v>
      </c>
      <c r="G213" s="106">
        <f>Проект!$G$447</f>
        <v>0</v>
      </c>
      <c r="H213" s="106">
        <f>Проект!$H$447</f>
        <v>0</v>
      </c>
      <c r="I213" s="106">
        <f>Проект!$I$447</f>
        <v>0</v>
      </c>
      <c r="J213" s="106">
        <f>Проект!$J$447</f>
        <v>0</v>
      </c>
      <c r="K213" s="106">
        <f>Проект!$K$447</f>
        <v>0</v>
      </c>
      <c r="L213" s="106">
        <f>Проект!$L$447</f>
        <v>0</v>
      </c>
      <c r="M213" s="106">
        <f>Проект!$M$447</f>
        <v>0</v>
      </c>
      <c r="N213" s="106" t="e">
        <f>Проект!#REF!</f>
        <v>#REF!</v>
      </c>
      <c r="O213" s="106" t="e">
        <f>Проект!#REF!</f>
        <v>#REF!</v>
      </c>
      <c r="P213" s="106" t="e">
        <f>Проект!#REF!</f>
        <v>#REF!</v>
      </c>
      <c r="Q213" s="106">
        <f>Проект!$Q$447</f>
        <v>0</v>
      </c>
      <c r="R213" s="106"/>
      <c r="S213" s="94">
        <f>Проект!$S$447</f>
        <v>0</v>
      </c>
    </row>
    <row r="214" spans="1:19" hidden="1" x14ac:dyDescent="0.2">
      <c r="A214" s="48" t="str">
        <f ca="1">Проект!$A$448</f>
        <v xml:space="preserve">    прибыль/убыток от строительной деятельности</v>
      </c>
      <c r="B214" s="48"/>
      <c r="C214" s="88" t="str">
        <f ca="1">Проект!$C$448</f>
        <v>руб.</v>
      </c>
      <c r="D214" s="48"/>
      <c r="E214" s="48"/>
      <c r="F214" s="106">
        <f>Проект!$F$448</f>
        <v>0</v>
      </c>
      <c r="G214" s="106">
        <f>Проект!$G$448</f>
        <v>0</v>
      </c>
      <c r="H214" s="106">
        <f>Проект!$H$448</f>
        <v>0</v>
      </c>
      <c r="I214" s="106">
        <f>Проект!$I$448</f>
        <v>0</v>
      </c>
      <c r="J214" s="106">
        <f>Проект!$J$448</f>
        <v>0</v>
      </c>
      <c r="K214" s="106">
        <f>Проект!$K$448</f>
        <v>0</v>
      </c>
      <c r="L214" s="106">
        <f>Проект!$L$448</f>
        <v>0</v>
      </c>
      <c r="M214" s="106">
        <f>Проект!$M$448</f>
        <v>0</v>
      </c>
      <c r="N214" s="106" t="e">
        <f>Проект!#REF!</f>
        <v>#REF!</v>
      </c>
      <c r="O214" s="106" t="e">
        <f>Проект!#REF!</f>
        <v>#REF!</v>
      </c>
      <c r="P214" s="106" t="e">
        <f>Проект!#REF!</f>
        <v>#REF!</v>
      </c>
      <c r="Q214" s="106">
        <f>Проект!$Q$448</f>
        <v>0</v>
      </c>
      <c r="R214" s="106"/>
      <c r="S214" s="94">
        <f>Проект!$S$448</f>
        <v>0</v>
      </c>
    </row>
    <row r="215" spans="1:19" hidden="1" x14ac:dyDescent="0.2">
      <c r="A215" s="48" t="str">
        <f ca="1">Проект!$A$449</f>
        <v xml:space="preserve">    НДС к выручке от реализации актива</v>
      </c>
      <c r="B215" s="48"/>
      <c r="C215" s="88" t="str">
        <f ca="1">Проект!$C$449</f>
        <v>руб.</v>
      </c>
      <c r="D215" s="48"/>
      <c r="E215" s="48"/>
      <c r="F215" s="106">
        <f>Проект!$F$449</f>
        <v>0</v>
      </c>
      <c r="G215" s="106">
        <f>Проект!$G$449</f>
        <v>0</v>
      </c>
      <c r="H215" s="106">
        <f>Проект!$H$449</f>
        <v>0</v>
      </c>
      <c r="I215" s="106">
        <f>Проект!$I$449</f>
        <v>0</v>
      </c>
      <c r="J215" s="106">
        <f>Проект!$J$449</f>
        <v>0</v>
      </c>
      <c r="K215" s="106">
        <f>Проект!$K$449</f>
        <v>0</v>
      </c>
      <c r="L215" s="106">
        <f>Проект!$L$449</f>
        <v>0</v>
      </c>
      <c r="M215" s="106">
        <f>Проект!$M$449</f>
        <v>0</v>
      </c>
      <c r="N215" s="106" t="e">
        <f>Проект!#REF!</f>
        <v>#REF!</v>
      </c>
      <c r="O215" s="106" t="e">
        <f>Проект!#REF!</f>
        <v>#REF!</v>
      </c>
      <c r="P215" s="106" t="e">
        <f>Проект!#REF!</f>
        <v>#REF!</v>
      </c>
      <c r="Q215" s="106">
        <f>Проект!$Q$449</f>
        <v>0</v>
      </c>
      <c r="R215" s="106"/>
      <c r="S215" s="94">
        <f>Проект!$S$449</f>
        <v>0</v>
      </c>
    </row>
    <row r="216" spans="1:19" ht="11.25" customHeight="1" x14ac:dyDescent="0.25">
      <c r="A216" s="130" t="str">
        <f ca="1">Проект!$A$450</f>
        <v xml:space="preserve"> = Итого: Оборудование и другие активы</v>
      </c>
      <c r="B216" s="130"/>
      <c r="C216" s="88" t="str">
        <f ca="1">Проект!$C$450</f>
        <v>руб.</v>
      </c>
      <c r="D216" s="130"/>
      <c r="E216" s="130"/>
      <c r="F216" s="160">
        <f>Проект!$F$450</f>
        <v>0</v>
      </c>
      <c r="G216" s="160">
        <f>Проект!$G$450</f>
        <v>0</v>
      </c>
      <c r="H216" s="160">
        <f>Проект!$H$450</f>
        <v>0</v>
      </c>
      <c r="I216" s="160">
        <f>Проект!$I$450</f>
        <v>0</v>
      </c>
      <c r="J216" s="160">
        <f>Проект!$J$450</f>
        <v>0</v>
      </c>
      <c r="K216" s="160">
        <f>Проект!$K$450</f>
        <v>0</v>
      </c>
      <c r="L216" s="160">
        <f>Проект!$L$450</f>
        <v>0</v>
      </c>
      <c r="M216" s="160">
        <f>Проект!$M$450</f>
        <v>0</v>
      </c>
      <c r="N216" s="160" t="e">
        <f>Проект!#REF!</f>
        <v>#REF!</v>
      </c>
      <c r="O216" s="160" t="e">
        <f>Проект!#REF!</f>
        <v>#REF!</v>
      </c>
      <c r="P216" s="160" t="e">
        <f>Проект!#REF!</f>
        <v>#REF!</v>
      </c>
      <c r="Q216" s="160">
        <f>Проект!$Q$450</f>
        <v>0</v>
      </c>
      <c r="R216" s="160"/>
      <c r="S216" s="95">
        <f>Проект!$S$450</f>
        <v>0</v>
      </c>
    </row>
    <row r="217" spans="1:19" hidden="1" x14ac:dyDescent="0.2">
      <c r="A217" s="48" t="str">
        <f ca="1">Проект!$A$451</f>
        <v xml:space="preserve">    сумма платежей без НДС</v>
      </c>
      <c r="B217" s="48"/>
      <c r="C217" s="88" t="str">
        <f ca="1">Проект!$C$451</f>
        <v>руб.</v>
      </c>
      <c r="D217" s="48"/>
      <c r="E217" s="48"/>
      <c r="F217" s="106">
        <f>Проект!$F$451</f>
        <v>0</v>
      </c>
      <c r="G217" s="106">
        <f>Проект!$G$451</f>
        <v>0</v>
      </c>
      <c r="H217" s="106">
        <f>Проект!$H$451</f>
        <v>0</v>
      </c>
      <c r="I217" s="106">
        <f>Проект!$I$451</f>
        <v>0</v>
      </c>
      <c r="J217" s="106">
        <f>Проект!$J$451</f>
        <v>0</v>
      </c>
      <c r="K217" s="106">
        <f>Проект!$K$451</f>
        <v>0</v>
      </c>
      <c r="L217" s="106">
        <f>Проект!$L$451</f>
        <v>0</v>
      </c>
      <c r="M217" s="106">
        <f>Проект!$M$451</f>
        <v>0</v>
      </c>
      <c r="N217" s="106" t="e">
        <f>Проект!#REF!</f>
        <v>#REF!</v>
      </c>
      <c r="O217" s="106" t="e">
        <f>Проект!#REF!</f>
        <v>#REF!</v>
      </c>
      <c r="P217" s="106" t="e">
        <f>Проект!#REF!</f>
        <v>#REF!</v>
      </c>
      <c r="Q217" s="106">
        <f>Проект!$Q$451</f>
        <v>0</v>
      </c>
      <c r="R217" s="106"/>
      <c r="S217" s="94">
        <f>Проект!$S$451</f>
        <v>0</v>
      </c>
    </row>
    <row r="218" spans="1:19" hidden="1" x14ac:dyDescent="0.2">
      <c r="A218" s="48" t="str">
        <f ca="1">Проект!$A$452</f>
        <v xml:space="preserve">    полная балансовая стоимость</v>
      </c>
      <c r="B218" s="48"/>
      <c r="C218" s="88" t="str">
        <f ca="1">Проект!$C$452</f>
        <v>руб.</v>
      </c>
      <c r="D218" s="101" t="str">
        <f>Проект!$D$452</f>
        <v>int_end</v>
      </c>
      <c r="E218" s="48"/>
      <c r="F218" s="106">
        <f ca="1">Проект!$F$452</f>
        <v>0</v>
      </c>
      <c r="G218" s="106">
        <f ca="1">Проект!$G$452</f>
        <v>0</v>
      </c>
      <c r="H218" s="106">
        <f ca="1">Проект!$H$452</f>
        <v>0</v>
      </c>
      <c r="I218" s="106">
        <f ca="1">Проект!$I$452</f>
        <v>0</v>
      </c>
      <c r="J218" s="106">
        <f ca="1">Проект!$J$452</f>
        <v>0</v>
      </c>
      <c r="K218" s="106">
        <f ca="1">Проект!$K$452</f>
        <v>0</v>
      </c>
      <c r="L218" s="106">
        <f ca="1">Проект!$L$452</f>
        <v>0</v>
      </c>
      <c r="M218" s="106">
        <f ca="1">Проект!$M$452</f>
        <v>0</v>
      </c>
      <c r="N218" s="106" t="e">
        <f>Проект!#REF!</f>
        <v>#REF!</v>
      </c>
      <c r="O218" s="106" t="e">
        <f>Проект!#REF!</f>
        <v>#REF!</v>
      </c>
      <c r="P218" s="106" t="e">
        <f>Проект!#REF!</f>
        <v>#REF!</v>
      </c>
      <c r="Q218" s="106">
        <f ca="1">Проект!$Q$452</f>
        <v>0</v>
      </c>
      <c r="R218" s="106"/>
      <c r="S218" s="94"/>
    </row>
    <row r="219" spans="1:19" hidden="1" x14ac:dyDescent="0.2">
      <c r="A219" s="48" t="str">
        <f ca="1">Проект!$A$453</f>
        <v xml:space="preserve">    незавершенные инвестиции</v>
      </c>
      <c r="B219" s="48"/>
      <c r="C219" s="88" t="str">
        <f ca="1">Проект!$C$453</f>
        <v>руб.</v>
      </c>
      <c r="D219" s="101" t="str">
        <f>Проект!$D$453</f>
        <v>int_end</v>
      </c>
      <c r="E219" s="48"/>
      <c r="F219" s="106">
        <f ca="1">Проект!$F$453</f>
        <v>0</v>
      </c>
      <c r="G219" s="106">
        <f ca="1">Проект!$G$453</f>
        <v>0</v>
      </c>
      <c r="H219" s="106">
        <f ca="1">Проект!$H$453</f>
        <v>0</v>
      </c>
      <c r="I219" s="106">
        <f ca="1">Проект!$I$453</f>
        <v>0</v>
      </c>
      <c r="J219" s="106">
        <f ca="1">Проект!$J$453</f>
        <v>0</v>
      </c>
      <c r="K219" s="106">
        <f ca="1">Проект!$K$453</f>
        <v>0</v>
      </c>
      <c r="L219" s="106">
        <f ca="1">Проект!$L$453</f>
        <v>0</v>
      </c>
      <c r="M219" s="106">
        <f ca="1">Проект!$M$453</f>
        <v>0</v>
      </c>
      <c r="N219" s="106" t="e">
        <f>Проект!#REF!</f>
        <v>#REF!</v>
      </c>
      <c r="O219" s="106" t="e">
        <f>Проект!#REF!</f>
        <v>#REF!</v>
      </c>
      <c r="P219" s="106" t="e">
        <f>Проект!#REF!</f>
        <v>#REF!</v>
      </c>
      <c r="Q219" s="106">
        <f ca="1">Проект!$Q$453</f>
        <v>0</v>
      </c>
      <c r="R219" s="106"/>
      <c r="S219" s="94"/>
    </row>
    <row r="220" spans="1:19" hidden="1" x14ac:dyDescent="0.2">
      <c r="A220" s="48" t="str">
        <f ca="1">Проект!$A$454</f>
        <v xml:space="preserve">    кредиторская задолженность</v>
      </c>
      <c r="B220" s="48"/>
      <c r="C220" s="88" t="str">
        <f ca="1">Проект!$C$454</f>
        <v>руб.</v>
      </c>
      <c r="D220" s="101" t="str">
        <f>Проект!$D$454</f>
        <v>int_end</v>
      </c>
      <c r="E220" s="48"/>
      <c r="F220" s="106">
        <f ca="1">Проект!$F$454</f>
        <v>0</v>
      </c>
      <c r="G220" s="106">
        <f ca="1">Проект!$G$454</f>
        <v>0</v>
      </c>
      <c r="H220" s="106">
        <f ca="1">Проект!$H$454</f>
        <v>0</v>
      </c>
      <c r="I220" s="106">
        <f ca="1">Проект!$I$454</f>
        <v>0</v>
      </c>
      <c r="J220" s="106">
        <f ca="1">Проект!$J$454</f>
        <v>0</v>
      </c>
      <c r="K220" s="106">
        <f ca="1">Проект!$K$454</f>
        <v>0</v>
      </c>
      <c r="L220" s="106">
        <f ca="1">Проект!$L$454</f>
        <v>0</v>
      </c>
      <c r="M220" s="106">
        <f ca="1">Проект!$M$454</f>
        <v>0</v>
      </c>
      <c r="N220" s="106" t="e">
        <f>Проект!#REF!</f>
        <v>#REF!</v>
      </c>
      <c r="O220" s="106" t="e">
        <f>Проект!#REF!</f>
        <v>#REF!</v>
      </c>
      <c r="P220" s="106" t="e">
        <f>Проект!#REF!</f>
        <v>#REF!</v>
      </c>
      <c r="Q220" s="106">
        <f ca="1">Проект!$Q$454</f>
        <v>0</v>
      </c>
      <c r="R220" s="106"/>
      <c r="S220" s="94"/>
    </row>
    <row r="221" spans="1:19" hidden="1" x14ac:dyDescent="0.2">
      <c r="A221" s="48" t="str">
        <f ca="1">Проект!$A$455</f>
        <v xml:space="preserve">    амортизация</v>
      </c>
      <c r="B221" s="48"/>
      <c r="C221" s="88" t="str">
        <f ca="1">Проект!$C$455</f>
        <v>руб.</v>
      </c>
      <c r="D221" s="48"/>
      <c r="E221" s="48"/>
      <c r="F221" s="106">
        <f ca="1">Проект!$F$455</f>
        <v>0</v>
      </c>
      <c r="G221" s="106">
        <f ca="1">Проект!$G$455</f>
        <v>0</v>
      </c>
      <c r="H221" s="106">
        <f ca="1">Проект!$H$455</f>
        <v>0</v>
      </c>
      <c r="I221" s="106">
        <f ca="1">Проект!$I$455</f>
        <v>0</v>
      </c>
      <c r="J221" s="106">
        <f ca="1">Проект!$J$455</f>
        <v>0</v>
      </c>
      <c r="K221" s="106">
        <f ca="1">Проект!$K$455</f>
        <v>0</v>
      </c>
      <c r="L221" s="106">
        <f ca="1">Проект!$L$455</f>
        <v>0</v>
      </c>
      <c r="M221" s="106">
        <f ca="1">Проект!$M$455</f>
        <v>0</v>
      </c>
      <c r="N221" s="106" t="e">
        <f>Проект!#REF!</f>
        <v>#REF!</v>
      </c>
      <c r="O221" s="106" t="e">
        <f>Проект!#REF!</f>
        <v>#REF!</v>
      </c>
      <c r="P221" s="106" t="e">
        <f>Проект!#REF!</f>
        <v>#REF!</v>
      </c>
      <c r="Q221" s="106">
        <f ca="1">Проект!$Q$455</f>
        <v>0</v>
      </c>
      <c r="R221" s="106"/>
      <c r="S221" s="94">
        <f ca="1">Проект!$S$455</f>
        <v>0</v>
      </c>
    </row>
    <row r="222" spans="1:19" hidden="1" x14ac:dyDescent="0.2">
      <c r="A222" s="48" t="str">
        <f ca="1">Проект!$A$456</f>
        <v xml:space="preserve">    остаточная стоимость</v>
      </c>
      <c r="B222" s="48"/>
      <c r="C222" s="88" t="str">
        <f ca="1">Проект!$C$456</f>
        <v>руб.</v>
      </c>
      <c r="D222" s="101" t="str">
        <f>Проект!$D$456</f>
        <v>int_end</v>
      </c>
      <c r="E222" s="48"/>
      <c r="F222" s="106">
        <f ca="1">Проект!$F$456</f>
        <v>0</v>
      </c>
      <c r="G222" s="106">
        <f ca="1">Проект!$G$456</f>
        <v>0</v>
      </c>
      <c r="H222" s="106">
        <f ca="1">Проект!$H$456</f>
        <v>0</v>
      </c>
      <c r="I222" s="106">
        <f ca="1">Проект!$I$456</f>
        <v>0</v>
      </c>
      <c r="J222" s="106">
        <f ca="1">Проект!$J$456</f>
        <v>0</v>
      </c>
      <c r="K222" s="106">
        <f ca="1">Проект!$K$456</f>
        <v>0</v>
      </c>
      <c r="L222" s="106">
        <f ca="1">Проект!$L$456</f>
        <v>0</v>
      </c>
      <c r="M222" s="106">
        <f ca="1">Проект!$M$456</f>
        <v>0</v>
      </c>
      <c r="N222" s="106" t="e">
        <f>Проект!#REF!</f>
        <v>#REF!</v>
      </c>
      <c r="O222" s="106" t="e">
        <f>Проект!#REF!</f>
        <v>#REF!</v>
      </c>
      <c r="P222" s="106" t="e">
        <f>Проект!#REF!</f>
        <v>#REF!</v>
      </c>
      <c r="Q222" s="106">
        <f ca="1">Проект!$Q$456</f>
        <v>0</v>
      </c>
      <c r="R222" s="106"/>
      <c r="S222" s="94"/>
    </row>
    <row r="223" spans="1:19" hidden="1" x14ac:dyDescent="0.2">
      <c r="A223" s="48" t="str">
        <f ca="1">Проект!$A$457</f>
        <v xml:space="preserve">    выплаченный НДС</v>
      </c>
      <c r="B223" s="48"/>
      <c r="C223" s="88" t="str">
        <f ca="1">Проект!$C$457</f>
        <v>руб.</v>
      </c>
      <c r="D223" s="48"/>
      <c r="E223" s="48"/>
      <c r="F223" s="106">
        <f>Проект!$F$457</f>
        <v>0</v>
      </c>
      <c r="G223" s="106">
        <f>Проект!$G$457</f>
        <v>0</v>
      </c>
      <c r="H223" s="106">
        <f>Проект!$H$457</f>
        <v>0</v>
      </c>
      <c r="I223" s="106">
        <f>Проект!$I$457</f>
        <v>0</v>
      </c>
      <c r="J223" s="106">
        <f>Проект!$J$457</f>
        <v>0</v>
      </c>
      <c r="K223" s="106">
        <f>Проект!$K$457</f>
        <v>0</v>
      </c>
      <c r="L223" s="106">
        <f>Проект!$L$457</f>
        <v>0</v>
      </c>
      <c r="M223" s="106">
        <f>Проект!$M$457</f>
        <v>0</v>
      </c>
      <c r="N223" s="106" t="e">
        <f>Проект!#REF!</f>
        <v>#REF!</v>
      </c>
      <c r="O223" s="106" t="e">
        <f>Проект!#REF!</f>
        <v>#REF!</v>
      </c>
      <c r="P223" s="106" t="e">
        <f>Проект!#REF!</f>
        <v>#REF!</v>
      </c>
      <c r="Q223" s="106">
        <f>Проект!$Q$457</f>
        <v>0</v>
      </c>
      <c r="R223" s="106"/>
      <c r="S223" s="94">
        <f>Проект!$S$457</f>
        <v>0</v>
      </c>
    </row>
    <row r="224" spans="1:19" hidden="1" x14ac:dyDescent="0.2">
      <c r="A224" s="48" t="str">
        <f ca="1">Проект!$A$458</f>
        <v xml:space="preserve">    зачет НДС</v>
      </c>
      <c r="B224" s="48"/>
      <c r="C224" s="88" t="str">
        <f ca="1">Проект!$C$458</f>
        <v>руб.</v>
      </c>
      <c r="D224" s="48"/>
      <c r="E224" s="48"/>
      <c r="F224" s="106">
        <f ca="1">Проект!$F$458</f>
        <v>0</v>
      </c>
      <c r="G224" s="106">
        <f ca="1">Проект!$G$458</f>
        <v>0</v>
      </c>
      <c r="H224" s="106">
        <f ca="1">Проект!$H$458</f>
        <v>0</v>
      </c>
      <c r="I224" s="106">
        <f ca="1">Проект!$I$458</f>
        <v>0</v>
      </c>
      <c r="J224" s="106">
        <f ca="1">Проект!$J$458</f>
        <v>0</v>
      </c>
      <c r="K224" s="106">
        <f ca="1">Проект!$K$458</f>
        <v>0</v>
      </c>
      <c r="L224" s="106">
        <f ca="1">Проект!$L$458</f>
        <v>0</v>
      </c>
      <c r="M224" s="106">
        <f ca="1">Проект!$M$458</f>
        <v>0</v>
      </c>
      <c r="N224" s="106" t="e">
        <f>Проект!#REF!</f>
        <v>#REF!</v>
      </c>
      <c r="O224" s="106" t="e">
        <f>Проект!#REF!</f>
        <v>#REF!</v>
      </c>
      <c r="P224" s="106" t="e">
        <f>Проект!#REF!</f>
        <v>#REF!</v>
      </c>
      <c r="Q224" s="106">
        <f ca="1">Проект!$Q$458</f>
        <v>0</v>
      </c>
      <c r="R224" s="106"/>
      <c r="S224" s="94">
        <f ca="1">Проект!$S$458</f>
        <v>0</v>
      </c>
    </row>
    <row r="225" spans="1:19" hidden="1" x14ac:dyDescent="0.2">
      <c r="A225" s="74" t="str">
        <f ca="1">Проект!$A$459</f>
        <v xml:space="preserve">    импортная пошлина</v>
      </c>
      <c r="B225" s="48"/>
      <c r="C225" s="88" t="str">
        <f ca="1">Проект!$C$459</f>
        <v>руб.</v>
      </c>
      <c r="D225" s="48"/>
      <c r="E225" s="48"/>
      <c r="F225" s="106">
        <f>Проект!$F$459</f>
        <v>0</v>
      </c>
      <c r="G225" s="106">
        <f>Проект!$G$459</f>
        <v>0</v>
      </c>
      <c r="H225" s="106">
        <f>Проект!$H$459</f>
        <v>0</v>
      </c>
      <c r="I225" s="106">
        <f>Проект!$I$459</f>
        <v>0</v>
      </c>
      <c r="J225" s="106">
        <f>Проект!$J$459</f>
        <v>0</v>
      </c>
      <c r="K225" s="106">
        <f>Проект!$K$459</f>
        <v>0</v>
      </c>
      <c r="L225" s="106">
        <f>Проект!$L$459</f>
        <v>0</v>
      </c>
      <c r="M225" s="106">
        <f>Проект!$M$459</f>
        <v>0</v>
      </c>
      <c r="N225" s="106" t="e">
        <f>Проект!#REF!</f>
        <v>#REF!</v>
      </c>
      <c r="O225" s="106" t="e">
        <f>Проект!#REF!</f>
        <v>#REF!</v>
      </c>
      <c r="P225" s="106" t="e">
        <f>Проект!#REF!</f>
        <v>#REF!</v>
      </c>
      <c r="Q225" s="106">
        <f>Проект!$Q$459</f>
        <v>0</v>
      </c>
      <c r="R225" s="106"/>
      <c r="S225" s="94">
        <f>Проект!$S$459</f>
        <v>0</v>
      </c>
    </row>
    <row r="226" spans="1:19" hidden="1" x14ac:dyDescent="0.2">
      <c r="A226" s="45" t="str">
        <f ca="1">Проект!$A$460</f>
        <v xml:space="preserve">    реализация актива (без НДС)</v>
      </c>
      <c r="B226" s="48"/>
      <c r="C226" s="88" t="str">
        <f ca="1">Проект!$C$460</f>
        <v>руб.</v>
      </c>
      <c r="D226" s="48"/>
      <c r="E226" s="48"/>
      <c r="F226" s="106">
        <f>Проект!$F$460</f>
        <v>0</v>
      </c>
      <c r="G226" s="106">
        <f>Проект!$G$460</f>
        <v>0</v>
      </c>
      <c r="H226" s="106">
        <f>Проект!$H$460</f>
        <v>0</v>
      </c>
      <c r="I226" s="106">
        <f>Проект!$I$460</f>
        <v>0</v>
      </c>
      <c r="J226" s="106">
        <f>Проект!$J$460</f>
        <v>0</v>
      </c>
      <c r="K226" s="106">
        <f>Проект!$K$460</f>
        <v>0</v>
      </c>
      <c r="L226" s="106">
        <f>Проект!$L$460</f>
        <v>0</v>
      </c>
      <c r="M226" s="106">
        <f>Проект!$M$460</f>
        <v>0</v>
      </c>
      <c r="N226" s="106" t="e">
        <f>Проект!#REF!</f>
        <v>#REF!</v>
      </c>
      <c r="O226" s="106" t="e">
        <f>Проект!#REF!</f>
        <v>#REF!</v>
      </c>
      <c r="P226" s="106" t="e">
        <f>Проект!#REF!</f>
        <v>#REF!</v>
      </c>
      <c r="Q226" s="106">
        <f>Проект!$Q$460</f>
        <v>0</v>
      </c>
      <c r="R226" s="106"/>
      <c r="S226" s="94">
        <f>Проект!$S$460</f>
        <v>0</v>
      </c>
    </row>
    <row r="227" spans="1:19" hidden="1" x14ac:dyDescent="0.2">
      <c r="A227" s="45" t="str">
        <f ca="1">Проект!$A$461</f>
        <v xml:space="preserve">    прибыль/убыток от реализации актива</v>
      </c>
      <c r="B227" s="48"/>
      <c r="C227" s="88" t="str">
        <f ca="1">Проект!$C$461</f>
        <v>руб.</v>
      </c>
      <c r="D227" s="48"/>
      <c r="E227" s="48"/>
      <c r="F227" s="106">
        <f>Проект!$F$461</f>
        <v>0</v>
      </c>
      <c r="G227" s="106">
        <f>Проект!$G$461</f>
        <v>0</v>
      </c>
      <c r="H227" s="106">
        <f>Проект!$H$461</f>
        <v>0</v>
      </c>
      <c r="I227" s="106">
        <f>Проект!$I$461</f>
        <v>0</v>
      </c>
      <c r="J227" s="106">
        <f>Проект!$J$461</f>
        <v>0</v>
      </c>
      <c r="K227" s="106">
        <f>Проект!$K$461</f>
        <v>0</v>
      </c>
      <c r="L227" s="106">
        <f>Проект!$L$461</f>
        <v>0</v>
      </c>
      <c r="M227" s="106">
        <f>Проект!$M$461</f>
        <v>0</v>
      </c>
      <c r="N227" s="106" t="e">
        <f>Проект!#REF!</f>
        <v>#REF!</v>
      </c>
      <c r="O227" s="106" t="e">
        <f>Проект!#REF!</f>
        <v>#REF!</v>
      </c>
      <c r="P227" s="106" t="e">
        <f>Проект!#REF!</f>
        <v>#REF!</v>
      </c>
      <c r="Q227" s="106">
        <f>Проект!$Q$461</f>
        <v>0</v>
      </c>
      <c r="R227" s="106"/>
      <c r="S227" s="94">
        <f>Проект!$S$461</f>
        <v>0</v>
      </c>
    </row>
    <row r="228" spans="1:19" hidden="1" x14ac:dyDescent="0.2">
      <c r="A228" s="48" t="str">
        <f ca="1">Проект!$A$462</f>
        <v xml:space="preserve">    НДС к выручке от реализации актива</v>
      </c>
      <c r="B228" s="48"/>
      <c r="C228" s="88" t="str">
        <f ca="1">Проект!$C$462</f>
        <v>руб.</v>
      </c>
      <c r="D228" s="48"/>
      <c r="E228" s="48"/>
      <c r="F228" s="106">
        <f>Проект!$F$462</f>
        <v>0</v>
      </c>
      <c r="G228" s="106">
        <f>Проект!$G$462</f>
        <v>0</v>
      </c>
      <c r="H228" s="106">
        <f>Проект!$H$462</f>
        <v>0</v>
      </c>
      <c r="I228" s="106">
        <f>Проект!$I$462</f>
        <v>0</v>
      </c>
      <c r="J228" s="106">
        <f>Проект!$J$462</f>
        <v>0</v>
      </c>
      <c r="K228" s="106">
        <f>Проект!$K$462</f>
        <v>0</v>
      </c>
      <c r="L228" s="106">
        <f>Проект!$L$462</f>
        <v>0</v>
      </c>
      <c r="M228" s="106">
        <f>Проект!$M$462</f>
        <v>0</v>
      </c>
      <c r="N228" s="106" t="e">
        <f>Проект!#REF!</f>
        <v>#REF!</v>
      </c>
      <c r="O228" s="106" t="e">
        <f>Проект!#REF!</f>
        <v>#REF!</v>
      </c>
      <c r="P228" s="106" t="e">
        <f>Проект!#REF!</f>
        <v>#REF!</v>
      </c>
      <c r="Q228" s="106">
        <f>Проект!$Q$462</f>
        <v>0</v>
      </c>
      <c r="R228" s="106"/>
      <c r="S228" s="94">
        <f>Проект!$S$462</f>
        <v>0</v>
      </c>
    </row>
    <row r="229" spans="1:19" ht="11.25" customHeight="1" x14ac:dyDescent="0.25">
      <c r="A229" s="130" t="str">
        <f ca="1">Проект!$A$463</f>
        <v xml:space="preserve"> = Итого: Нематериальные активы</v>
      </c>
      <c r="B229" s="48"/>
      <c r="C229" s="88" t="str">
        <f ca="1">Проект!$C$463</f>
        <v>руб.</v>
      </c>
      <c r="D229" s="48"/>
      <c r="E229" s="48"/>
      <c r="F229" s="160">
        <f>Проект!$F$463</f>
        <v>0</v>
      </c>
      <c r="G229" s="160">
        <f>Проект!$G$463</f>
        <v>0</v>
      </c>
      <c r="H229" s="160">
        <f>Проект!$H$463</f>
        <v>0</v>
      </c>
      <c r="I229" s="160">
        <f>Проект!$I$463</f>
        <v>0</v>
      </c>
      <c r="J229" s="160">
        <f>Проект!$J$463</f>
        <v>0</v>
      </c>
      <c r="K229" s="160">
        <f>Проект!$K$463</f>
        <v>0</v>
      </c>
      <c r="L229" s="160">
        <f>Проект!$L$463</f>
        <v>0</v>
      </c>
      <c r="M229" s="160">
        <f>Проект!$M$463</f>
        <v>0</v>
      </c>
      <c r="N229" s="160" t="e">
        <f>Проект!#REF!</f>
        <v>#REF!</v>
      </c>
      <c r="O229" s="160" t="e">
        <f>Проект!#REF!</f>
        <v>#REF!</v>
      </c>
      <c r="P229" s="160" t="e">
        <f>Проект!#REF!</f>
        <v>#REF!</v>
      </c>
      <c r="Q229" s="160">
        <f>Проект!$Q$463</f>
        <v>0</v>
      </c>
      <c r="R229" s="106"/>
      <c r="S229" s="95">
        <f>Проект!$S$463</f>
        <v>0</v>
      </c>
    </row>
    <row r="230" spans="1:19" hidden="1" x14ac:dyDescent="0.2">
      <c r="A230" s="48" t="str">
        <f ca="1">Проект!$A$464</f>
        <v xml:space="preserve">    сумма платежей без НДС</v>
      </c>
      <c r="B230" s="48"/>
      <c r="C230" s="88" t="str">
        <f ca="1">Проект!$C$464</f>
        <v>руб.</v>
      </c>
      <c r="D230" s="48"/>
      <c r="E230" s="48"/>
      <c r="F230" s="106">
        <f>Проект!$F$464</f>
        <v>0</v>
      </c>
      <c r="G230" s="106">
        <f>Проект!$G$464</f>
        <v>0</v>
      </c>
      <c r="H230" s="106">
        <f>Проект!$H$464</f>
        <v>0</v>
      </c>
      <c r="I230" s="106">
        <f>Проект!$I$464</f>
        <v>0</v>
      </c>
      <c r="J230" s="106">
        <f>Проект!$J$464</f>
        <v>0</v>
      </c>
      <c r="K230" s="106">
        <f>Проект!$K$464</f>
        <v>0</v>
      </c>
      <c r="L230" s="106">
        <f>Проект!$L$464</f>
        <v>0</v>
      </c>
      <c r="M230" s="106">
        <f>Проект!$M$464</f>
        <v>0</v>
      </c>
      <c r="N230" s="106" t="e">
        <f>Проект!#REF!</f>
        <v>#REF!</v>
      </c>
      <c r="O230" s="106" t="e">
        <f>Проект!#REF!</f>
        <v>#REF!</v>
      </c>
      <c r="P230" s="106" t="e">
        <f>Проект!#REF!</f>
        <v>#REF!</v>
      </c>
      <c r="Q230" s="106">
        <f>Проект!$Q$464</f>
        <v>0</v>
      </c>
      <c r="R230" s="106"/>
      <c r="S230" s="94">
        <f>Проект!$S$464</f>
        <v>0</v>
      </c>
    </row>
    <row r="231" spans="1:19" hidden="1" x14ac:dyDescent="0.2">
      <c r="A231" s="48" t="str">
        <f ca="1">Проект!$A$465</f>
        <v xml:space="preserve">    полная балансовая стоимость</v>
      </c>
      <c r="B231" s="48"/>
      <c r="C231" s="88" t="str">
        <f ca="1">Проект!$C$465</f>
        <v>руб.</v>
      </c>
      <c r="D231" s="101" t="str">
        <f>Проект!$D$465</f>
        <v>int_end</v>
      </c>
      <c r="E231" s="48"/>
      <c r="F231" s="106">
        <f ca="1">Проект!$F$465</f>
        <v>0</v>
      </c>
      <c r="G231" s="106">
        <f ca="1">Проект!$G$465</f>
        <v>0</v>
      </c>
      <c r="H231" s="106">
        <f ca="1">Проект!$H$465</f>
        <v>0</v>
      </c>
      <c r="I231" s="106">
        <f ca="1">Проект!$I$465</f>
        <v>0</v>
      </c>
      <c r="J231" s="106">
        <f ca="1">Проект!$J$465</f>
        <v>0</v>
      </c>
      <c r="K231" s="106">
        <f ca="1">Проект!$K$465</f>
        <v>0</v>
      </c>
      <c r="L231" s="106">
        <f ca="1">Проект!$L$465</f>
        <v>0</v>
      </c>
      <c r="M231" s="106">
        <f ca="1">Проект!$M$465</f>
        <v>0</v>
      </c>
      <c r="N231" s="106" t="e">
        <f>Проект!#REF!</f>
        <v>#REF!</v>
      </c>
      <c r="O231" s="106" t="e">
        <f>Проект!#REF!</f>
        <v>#REF!</v>
      </c>
      <c r="P231" s="106" t="e">
        <f>Проект!#REF!</f>
        <v>#REF!</v>
      </c>
      <c r="Q231" s="106">
        <f ca="1">Проект!$Q$465</f>
        <v>0</v>
      </c>
      <c r="R231" s="106"/>
      <c r="S231" s="94"/>
    </row>
    <row r="232" spans="1:19" hidden="1" x14ac:dyDescent="0.2">
      <c r="A232" s="48" t="str">
        <f ca="1">Проект!$A$466</f>
        <v xml:space="preserve">    незавершенные инвестиции</v>
      </c>
      <c r="B232" s="48"/>
      <c r="C232" s="88" t="str">
        <f ca="1">Проект!$C$466</f>
        <v>руб.</v>
      </c>
      <c r="D232" s="101" t="str">
        <f>Проект!$D$466</f>
        <v>int_end</v>
      </c>
      <c r="E232" s="48"/>
      <c r="F232" s="106">
        <f ca="1">Проект!$F$466</f>
        <v>0</v>
      </c>
      <c r="G232" s="106">
        <f ca="1">Проект!$G$466</f>
        <v>0</v>
      </c>
      <c r="H232" s="106">
        <f ca="1">Проект!$H$466</f>
        <v>0</v>
      </c>
      <c r="I232" s="106">
        <f ca="1">Проект!$I$466</f>
        <v>0</v>
      </c>
      <c r="J232" s="106">
        <f ca="1">Проект!$J$466</f>
        <v>0</v>
      </c>
      <c r="K232" s="106">
        <f ca="1">Проект!$K$466</f>
        <v>0</v>
      </c>
      <c r="L232" s="106">
        <f ca="1">Проект!$L$466</f>
        <v>0</v>
      </c>
      <c r="M232" s="106">
        <f ca="1">Проект!$M$466</f>
        <v>0</v>
      </c>
      <c r="N232" s="106" t="e">
        <f>Проект!#REF!</f>
        <v>#REF!</v>
      </c>
      <c r="O232" s="106" t="e">
        <f>Проект!#REF!</f>
        <v>#REF!</v>
      </c>
      <c r="P232" s="106" t="e">
        <f>Проект!#REF!</f>
        <v>#REF!</v>
      </c>
      <c r="Q232" s="106">
        <f ca="1">Проект!$Q$466</f>
        <v>0</v>
      </c>
      <c r="R232" s="106"/>
      <c r="S232" s="94"/>
    </row>
    <row r="233" spans="1:19" hidden="1" x14ac:dyDescent="0.2">
      <c r="A233" s="48" t="str">
        <f ca="1">Проект!$A$467</f>
        <v xml:space="preserve">    кредиторская задолженность</v>
      </c>
      <c r="B233" s="48"/>
      <c r="C233" s="88" t="str">
        <f ca="1">Проект!$C$467</f>
        <v>руб.</v>
      </c>
      <c r="D233" s="101" t="str">
        <f>Проект!$D$467</f>
        <v>int_end</v>
      </c>
      <c r="E233" s="48"/>
      <c r="F233" s="106">
        <f ca="1">Проект!$F$467</f>
        <v>0</v>
      </c>
      <c r="G233" s="106">
        <f ca="1">Проект!$G$467</f>
        <v>0</v>
      </c>
      <c r="H233" s="106">
        <f ca="1">Проект!$H$467</f>
        <v>0</v>
      </c>
      <c r="I233" s="106">
        <f ca="1">Проект!$I$467</f>
        <v>0</v>
      </c>
      <c r="J233" s="106">
        <f ca="1">Проект!$J$467</f>
        <v>0</v>
      </c>
      <c r="K233" s="106">
        <f ca="1">Проект!$K$467</f>
        <v>0</v>
      </c>
      <c r="L233" s="106">
        <f ca="1">Проект!$L$467</f>
        <v>0</v>
      </c>
      <c r="M233" s="106">
        <f ca="1">Проект!$M$467</f>
        <v>0</v>
      </c>
      <c r="N233" s="106" t="e">
        <f>Проект!#REF!</f>
        <v>#REF!</v>
      </c>
      <c r="O233" s="106" t="e">
        <f>Проект!#REF!</f>
        <v>#REF!</v>
      </c>
      <c r="P233" s="106" t="e">
        <f>Проект!#REF!</f>
        <v>#REF!</v>
      </c>
      <c r="Q233" s="106">
        <f ca="1">Проект!$Q$467</f>
        <v>0</v>
      </c>
      <c r="R233" s="106"/>
      <c r="S233" s="94"/>
    </row>
    <row r="234" spans="1:19" hidden="1" x14ac:dyDescent="0.2">
      <c r="A234" s="48" t="str">
        <f ca="1">Проект!$A$468</f>
        <v xml:space="preserve">    амортизация</v>
      </c>
      <c r="B234" s="48"/>
      <c r="C234" s="88" t="str">
        <f ca="1">Проект!$C$468</f>
        <v>руб.</v>
      </c>
      <c r="D234" s="48"/>
      <c r="E234" s="48"/>
      <c r="F234" s="106">
        <f ca="1">Проект!$F$468</f>
        <v>0</v>
      </c>
      <c r="G234" s="106">
        <f ca="1">Проект!$G$468</f>
        <v>0</v>
      </c>
      <c r="H234" s="106">
        <f ca="1">Проект!$H$468</f>
        <v>0</v>
      </c>
      <c r="I234" s="106">
        <f ca="1">Проект!$I$468</f>
        <v>0</v>
      </c>
      <c r="J234" s="106">
        <f ca="1">Проект!$J$468</f>
        <v>0</v>
      </c>
      <c r="K234" s="106">
        <f ca="1">Проект!$K$468</f>
        <v>0</v>
      </c>
      <c r="L234" s="106">
        <f ca="1">Проект!$L$468</f>
        <v>0</v>
      </c>
      <c r="M234" s="106">
        <f ca="1">Проект!$M$468</f>
        <v>0</v>
      </c>
      <c r="N234" s="106" t="e">
        <f>Проект!#REF!</f>
        <v>#REF!</v>
      </c>
      <c r="O234" s="106" t="e">
        <f>Проект!#REF!</f>
        <v>#REF!</v>
      </c>
      <c r="P234" s="106" t="e">
        <f>Проект!#REF!</f>
        <v>#REF!</v>
      </c>
      <c r="Q234" s="106">
        <f ca="1">Проект!$Q$468</f>
        <v>0</v>
      </c>
      <c r="R234" s="106"/>
      <c r="S234" s="94">
        <f ca="1">Проект!$S$468</f>
        <v>0</v>
      </c>
    </row>
    <row r="235" spans="1:19" hidden="1" x14ac:dyDescent="0.2">
      <c r="A235" s="48" t="str">
        <f ca="1">Проект!$A$469</f>
        <v xml:space="preserve">    остаточная стоимость</v>
      </c>
      <c r="B235" s="48"/>
      <c r="C235" s="88" t="str">
        <f ca="1">Проект!$C$469</f>
        <v>руб.</v>
      </c>
      <c r="D235" s="101" t="str">
        <f>Проект!$D$469</f>
        <v>int_end</v>
      </c>
      <c r="E235" s="48"/>
      <c r="F235" s="106">
        <f ca="1">Проект!$F$469</f>
        <v>0</v>
      </c>
      <c r="G235" s="106">
        <f ca="1">Проект!$G$469</f>
        <v>0</v>
      </c>
      <c r="H235" s="106">
        <f ca="1">Проект!$H$469</f>
        <v>0</v>
      </c>
      <c r="I235" s="106">
        <f ca="1">Проект!$I$469</f>
        <v>0</v>
      </c>
      <c r="J235" s="106">
        <f ca="1">Проект!$J$469</f>
        <v>0</v>
      </c>
      <c r="K235" s="106">
        <f ca="1">Проект!$K$469</f>
        <v>0</v>
      </c>
      <c r="L235" s="106">
        <f ca="1">Проект!$L$469</f>
        <v>0</v>
      </c>
      <c r="M235" s="106">
        <f ca="1">Проект!$M$469</f>
        <v>0</v>
      </c>
      <c r="N235" s="106" t="e">
        <f>Проект!#REF!</f>
        <v>#REF!</v>
      </c>
      <c r="O235" s="106" t="e">
        <f>Проект!#REF!</f>
        <v>#REF!</v>
      </c>
      <c r="P235" s="106" t="e">
        <f>Проект!#REF!</f>
        <v>#REF!</v>
      </c>
      <c r="Q235" s="106">
        <f ca="1">Проект!$Q$469</f>
        <v>0</v>
      </c>
      <c r="R235" s="106"/>
      <c r="S235" s="94"/>
    </row>
    <row r="236" spans="1:19" hidden="1" x14ac:dyDescent="0.2">
      <c r="A236" s="48" t="str">
        <f ca="1">Проект!$A$470</f>
        <v xml:space="preserve">    выплаченный НДС</v>
      </c>
      <c r="B236" s="48"/>
      <c r="C236" s="88" t="str">
        <f ca="1">Проект!$C$470</f>
        <v>руб.</v>
      </c>
      <c r="D236" s="48"/>
      <c r="E236" s="48"/>
      <c r="F236" s="106">
        <f>Проект!$F$470</f>
        <v>0</v>
      </c>
      <c r="G236" s="106">
        <f>Проект!$G$470</f>
        <v>0</v>
      </c>
      <c r="H236" s="106">
        <f>Проект!$H$470</f>
        <v>0</v>
      </c>
      <c r="I236" s="106">
        <f>Проект!$I$470</f>
        <v>0</v>
      </c>
      <c r="J236" s="106">
        <f>Проект!$J$470</f>
        <v>0</v>
      </c>
      <c r="K236" s="106">
        <f>Проект!$K$470</f>
        <v>0</v>
      </c>
      <c r="L236" s="106">
        <f>Проект!$L$470</f>
        <v>0</v>
      </c>
      <c r="M236" s="106">
        <f>Проект!$M$470</f>
        <v>0</v>
      </c>
      <c r="N236" s="106" t="e">
        <f>Проект!#REF!</f>
        <v>#REF!</v>
      </c>
      <c r="O236" s="106" t="e">
        <f>Проект!#REF!</f>
        <v>#REF!</v>
      </c>
      <c r="P236" s="106" t="e">
        <f>Проект!#REF!</f>
        <v>#REF!</v>
      </c>
      <c r="Q236" s="106">
        <f>Проект!$Q$470</f>
        <v>0</v>
      </c>
      <c r="R236" s="106"/>
      <c r="S236" s="94">
        <f>Проект!$S$470</f>
        <v>0</v>
      </c>
    </row>
    <row r="237" spans="1:19" hidden="1" x14ac:dyDescent="0.2">
      <c r="A237" s="48" t="str">
        <f ca="1">Проект!$A$471</f>
        <v xml:space="preserve">    зачет НДС</v>
      </c>
      <c r="B237" s="48"/>
      <c r="C237" s="88" t="str">
        <f ca="1">Проект!$C$471</f>
        <v>руб.</v>
      </c>
      <c r="D237" s="48"/>
      <c r="E237" s="48"/>
      <c r="F237" s="106">
        <f ca="1">Проект!$F$471</f>
        <v>0</v>
      </c>
      <c r="G237" s="106">
        <f ca="1">Проект!$G$471</f>
        <v>0</v>
      </c>
      <c r="H237" s="106">
        <f ca="1">Проект!$H$471</f>
        <v>0</v>
      </c>
      <c r="I237" s="106">
        <f ca="1">Проект!$I$471</f>
        <v>0</v>
      </c>
      <c r="J237" s="106">
        <f ca="1">Проект!$J$471</f>
        <v>0</v>
      </c>
      <c r="K237" s="106">
        <f ca="1">Проект!$K$471</f>
        <v>0</v>
      </c>
      <c r="L237" s="106">
        <f ca="1">Проект!$L$471</f>
        <v>0</v>
      </c>
      <c r="M237" s="106">
        <f ca="1">Проект!$M$471</f>
        <v>0</v>
      </c>
      <c r="N237" s="106" t="e">
        <f>Проект!#REF!</f>
        <v>#REF!</v>
      </c>
      <c r="O237" s="106" t="e">
        <f>Проект!#REF!</f>
        <v>#REF!</v>
      </c>
      <c r="P237" s="106" t="e">
        <f>Проект!#REF!</f>
        <v>#REF!</v>
      </c>
      <c r="Q237" s="106">
        <f ca="1">Проект!$Q$471</f>
        <v>0</v>
      </c>
      <c r="R237" s="106"/>
      <c r="S237" s="94">
        <f ca="1">Проект!$S$471</f>
        <v>0</v>
      </c>
    </row>
    <row r="238" spans="1:19" hidden="1" x14ac:dyDescent="0.2">
      <c r="A238" s="45" t="str">
        <f ca="1">Проект!$A$472</f>
        <v xml:space="preserve">    реализация актива (без НДС)</v>
      </c>
      <c r="B238" s="48"/>
      <c r="C238" s="88" t="str">
        <f ca="1">Проект!$C$472</f>
        <v>руб.</v>
      </c>
      <c r="D238" s="48"/>
      <c r="E238" s="48"/>
      <c r="F238" s="106">
        <f>Проект!$F$472</f>
        <v>0</v>
      </c>
      <c r="G238" s="106">
        <f>Проект!$G$472</f>
        <v>0</v>
      </c>
      <c r="H238" s="106">
        <f>Проект!$H$472</f>
        <v>0</v>
      </c>
      <c r="I238" s="106">
        <f>Проект!$I$472</f>
        <v>0</v>
      </c>
      <c r="J238" s="106">
        <f>Проект!$J$472</f>
        <v>0</v>
      </c>
      <c r="K238" s="106">
        <f>Проект!$K$472</f>
        <v>0</v>
      </c>
      <c r="L238" s="106">
        <f>Проект!$L$472</f>
        <v>0</v>
      </c>
      <c r="M238" s="106">
        <f>Проект!$M$472</f>
        <v>0</v>
      </c>
      <c r="N238" s="106" t="e">
        <f>Проект!#REF!</f>
        <v>#REF!</v>
      </c>
      <c r="O238" s="106" t="e">
        <f>Проект!#REF!</f>
        <v>#REF!</v>
      </c>
      <c r="P238" s="106" t="e">
        <f>Проект!#REF!</f>
        <v>#REF!</v>
      </c>
      <c r="Q238" s="106">
        <f>Проект!$Q$472</f>
        <v>0</v>
      </c>
      <c r="R238" s="106"/>
      <c r="S238" s="94">
        <f>Проект!$S$472</f>
        <v>0</v>
      </c>
    </row>
    <row r="239" spans="1:19" hidden="1" x14ac:dyDescent="0.2">
      <c r="A239" s="45" t="str">
        <f ca="1">Проект!$A$473</f>
        <v xml:space="preserve">    прибыль/убыток от реализации актива</v>
      </c>
      <c r="B239" s="48"/>
      <c r="C239" s="88" t="str">
        <f ca="1">Проект!$C$473</f>
        <v>руб.</v>
      </c>
      <c r="D239" s="48"/>
      <c r="E239" s="48"/>
      <c r="F239" s="106">
        <f>Проект!$F$473</f>
        <v>0</v>
      </c>
      <c r="G239" s="106">
        <f>Проект!$G$473</f>
        <v>0</v>
      </c>
      <c r="H239" s="106">
        <f>Проект!$H$473</f>
        <v>0</v>
      </c>
      <c r="I239" s="106">
        <f>Проект!$I$473</f>
        <v>0</v>
      </c>
      <c r="J239" s="106">
        <f>Проект!$J$473</f>
        <v>0</v>
      </c>
      <c r="K239" s="106">
        <f>Проект!$K$473</f>
        <v>0</v>
      </c>
      <c r="L239" s="106">
        <f>Проект!$L$473</f>
        <v>0</v>
      </c>
      <c r="M239" s="106">
        <f>Проект!$M$473</f>
        <v>0</v>
      </c>
      <c r="N239" s="106" t="e">
        <f>Проект!#REF!</f>
        <v>#REF!</v>
      </c>
      <c r="O239" s="106" t="e">
        <f>Проект!#REF!</f>
        <v>#REF!</v>
      </c>
      <c r="P239" s="106" t="e">
        <f>Проект!#REF!</f>
        <v>#REF!</v>
      </c>
      <c r="Q239" s="106">
        <f>Проект!$Q$473</f>
        <v>0</v>
      </c>
      <c r="R239" s="106"/>
      <c r="S239" s="94">
        <f>Проект!$S$473</f>
        <v>0</v>
      </c>
    </row>
    <row r="240" spans="1:19" hidden="1" x14ac:dyDescent="0.2">
      <c r="A240" s="48" t="str">
        <f ca="1">Проект!$A$474</f>
        <v xml:space="preserve">    НДС к выручке от реализации актива</v>
      </c>
      <c r="B240" s="48"/>
      <c r="C240" s="88" t="str">
        <f ca="1">Проект!$C$474</f>
        <v>руб.</v>
      </c>
      <c r="D240" s="48"/>
      <c r="E240" s="48"/>
      <c r="F240" s="106">
        <f>Проект!$F$474</f>
        <v>0</v>
      </c>
      <c r="G240" s="106">
        <f>Проект!$G$474</f>
        <v>0</v>
      </c>
      <c r="H240" s="106">
        <f>Проект!$H$474</f>
        <v>0</v>
      </c>
      <c r="I240" s="106">
        <f>Проект!$I$474</f>
        <v>0</v>
      </c>
      <c r="J240" s="106">
        <f>Проект!$J$474</f>
        <v>0</v>
      </c>
      <c r="K240" s="106">
        <f>Проект!$K$474</f>
        <v>0</v>
      </c>
      <c r="L240" s="106">
        <f>Проект!$L$474</f>
        <v>0</v>
      </c>
      <c r="M240" s="106">
        <f>Проект!$M$474</f>
        <v>0</v>
      </c>
      <c r="N240" s="106" t="e">
        <f>Проект!#REF!</f>
        <v>#REF!</v>
      </c>
      <c r="O240" s="106" t="e">
        <f>Проект!#REF!</f>
        <v>#REF!</v>
      </c>
      <c r="P240" s="106" t="e">
        <f>Проект!#REF!</f>
        <v>#REF!</v>
      </c>
      <c r="Q240" s="106">
        <f>Проект!$Q$474</f>
        <v>0</v>
      </c>
      <c r="R240" s="106"/>
      <c r="S240" s="94">
        <f>Проект!$S$474</f>
        <v>0</v>
      </c>
    </row>
    <row r="241" spans="1:19" ht="11.25" customHeight="1" x14ac:dyDescent="0.25">
      <c r="A241" s="130" t="str">
        <f ca="1">Проект!$A$475</f>
        <v xml:space="preserve"> = Итого: Финансовые вложения</v>
      </c>
      <c r="B241" s="130"/>
      <c r="C241" s="88" t="str">
        <f ca="1">Проект!$C$475</f>
        <v>руб.</v>
      </c>
      <c r="D241" s="130"/>
      <c r="E241" s="130"/>
      <c r="F241" s="160">
        <f>Проект!$F$475</f>
        <v>0</v>
      </c>
      <c r="G241" s="160">
        <f>Проект!$G$475</f>
        <v>0</v>
      </c>
      <c r="H241" s="160">
        <f>Проект!$H$475</f>
        <v>0</v>
      </c>
      <c r="I241" s="160">
        <f>Проект!$I$475</f>
        <v>0</v>
      </c>
      <c r="J241" s="160">
        <f>Проект!$J$475</f>
        <v>0</v>
      </c>
      <c r="K241" s="160">
        <f>Проект!$K$475</f>
        <v>0</v>
      </c>
      <c r="L241" s="160">
        <f>Проект!$L$475</f>
        <v>0</v>
      </c>
      <c r="M241" s="160">
        <f>Проект!$M$475</f>
        <v>0</v>
      </c>
      <c r="N241" s="160" t="e">
        <f>Проект!#REF!</f>
        <v>#REF!</v>
      </c>
      <c r="O241" s="160" t="e">
        <f>Проект!#REF!</f>
        <v>#REF!</v>
      </c>
      <c r="P241" s="160" t="e">
        <f>Проект!#REF!</f>
        <v>#REF!</v>
      </c>
      <c r="Q241" s="160">
        <f>Проект!$Q$475</f>
        <v>0</v>
      </c>
      <c r="R241" s="160"/>
      <c r="S241" s="95">
        <f>Проект!$S$475</f>
        <v>0</v>
      </c>
    </row>
    <row r="242" spans="1:19" hidden="1" x14ac:dyDescent="0.2">
      <c r="A242" s="48" t="str">
        <f ca="1">Проект!$A$476</f>
        <v xml:space="preserve">    сумма платежей без НДС</v>
      </c>
      <c r="B242" s="48"/>
      <c r="C242" s="88" t="str">
        <f ca="1">Проект!$C$476</f>
        <v>руб.</v>
      </c>
      <c r="D242" s="48"/>
      <c r="E242" s="48"/>
      <c r="F242" s="106">
        <f>Проект!$F$476</f>
        <v>0</v>
      </c>
      <c r="G242" s="106">
        <f>Проект!$G$476</f>
        <v>0</v>
      </c>
      <c r="H242" s="106">
        <f>Проект!$H$476</f>
        <v>0</v>
      </c>
      <c r="I242" s="106">
        <f>Проект!$I$476</f>
        <v>0</v>
      </c>
      <c r="J242" s="106">
        <f>Проект!$J$476</f>
        <v>0</v>
      </c>
      <c r="K242" s="106">
        <f>Проект!$K$476</f>
        <v>0</v>
      </c>
      <c r="L242" s="106">
        <f>Проект!$L$476</f>
        <v>0</v>
      </c>
      <c r="M242" s="106">
        <f>Проект!$M$476</f>
        <v>0</v>
      </c>
      <c r="N242" s="106" t="e">
        <f>Проект!#REF!</f>
        <v>#REF!</v>
      </c>
      <c r="O242" s="106" t="e">
        <f>Проект!#REF!</f>
        <v>#REF!</v>
      </c>
      <c r="P242" s="106" t="e">
        <f>Проект!#REF!</f>
        <v>#REF!</v>
      </c>
      <c r="Q242" s="106">
        <f>Проект!$Q$476</f>
        <v>0</v>
      </c>
      <c r="R242" s="106"/>
      <c r="S242" s="94">
        <f>Проект!$S$476</f>
        <v>0</v>
      </c>
    </row>
    <row r="243" spans="1:19" hidden="1" x14ac:dyDescent="0.2">
      <c r="A243" s="48" t="str">
        <f ca="1">Проект!$A$477</f>
        <v xml:space="preserve">    полная балансовая стоимость</v>
      </c>
      <c r="B243" s="48"/>
      <c r="C243" s="88" t="str">
        <f ca="1">Проект!$C$477</f>
        <v>руб.</v>
      </c>
      <c r="D243" s="101" t="str">
        <f>Проект!$D$477</f>
        <v>int_end</v>
      </c>
      <c r="E243" s="48"/>
      <c r="F243" s="106">
        <f ca="1">Проект!$F$477</f>
        <v>0</v>
      </c>
      <c r="G243" s="106">
        <f ca="1">Проект!$G$477</f>
        <v>0</v>
      </c>
      <c r="H243" s="106">
        <f ca="1">Проект!$H$477</f>
        <v>0</v>
      </c>
      <c r="I243" s="106">
        <f ca="1">Проект!$I$477</f>
        <v>0</v>
      </c>
      <c r="J243" s="106">
        <f ca="1">Проект!$J$477</f>
        <v>0</v>
      </c>
      <c r="K243" s="106">
        <f ca="1">Проект!$K$477</f>
        <v>0</v>
      </c>
      <c r="L243" s="106">
        <f ca="1">Проект!$L$477</f>
        <v>0</v>
      </c>
      <c r="M243" s="106">
        <f ca="1">Проект!$M$477</f>
        <v>0</v>
      </c>
      <c r="N243" s="106" t="e">
        <f>Проект!#REF!</f>
        <v>#REF!</v>
      </c>
      <c r="O243" s="106" t="e">
        <f>Проект!#REF!</f>
        <v>#REF!</v>
      </c>
      <c r="P243" s="106" t="e">
        <f>Проект!#REF!</f>
        <v>#REF!</v>
      </c>
      <c r="Q243" s="106">
        <f ca="1">Проект!$Q$477</f>
        <v>0</v>
      </c>
      <c r="R243" s="106"/>
      <c r="S243" s="94"/>
    </row>
    <row r="244" spans="1:19" hidden="1" x14ac:dyDescent="0.2">
      <c r="A244" s="52" t="str">
        <f ca="1">Проект!$A$478</f>
        <v xml:space="preserve">    доходность финансовых вложений</v>
      </c>
      <c r="B244" s="48"/>
      <c r="C244" s="88" t="str">
        <f ca="1">Проект!$C$478</f>
        <v>руб.</v>
      </c>
      <c r="D244" s="101"/>
      <c r="E244" s="48"/>
      <c r="F244" s="106">
        <f ca="1">Проект!$F$478</f>
        <v>0</v>
      </c>
      <c r="G244" s="106">
        <f ca="1">Проект!$G$478</f>
        <v>0</v>
      </c>
      <c r="H244" s="106">
        <f ca="1">Проект!$H$478</f>
        <v>0</v>
      </c>
      <c r="I244" s="106">
        <f ca="1">Проект!$I$478</f>
        <v>0</v>
      </c>
      <c r="J244" s="106">
        <f ca="1">Проект!$J$478</f>
        <v>0</v>
      </c>
      <c r="K244" s="106">
        <f ca="1">Проект!$K$478</f>
        <v>0</v>
      </c>
      <c r="L244" s="106">
        <f ca="1">Проект!$L$478</f>
        <v>0</v>
      </c>
      <c r="M244" s="106">
        <f ca="1">Проект!$M$478</f>
        <v>0</v>
      </c>
      <c r="N244" s="106" t="e">
        <f>Проект!#REF!</f>
        <v>#REF!</v>
      </c>
      <c r="O244" s="106" t="e">
        <f>Проект!#REF!</f>
        <v>#REF!</v>
      </c>
      <c r="P244" s="106" t="e">
        <f>Проект!#REF!</f>
        <v>#REF!</v>
      </c>
      <c r="Q244" s="106">
        <f ca="1">Проект!$Q$478</f>
        <v>0</v>
      </c>
      <c r="R244" s="106"/>
      <c r="S244" s="94">
        <f ca="1">Проект!$S$478</f>
        <v>0</v>
      </c>
    </row>
    <row r="245" spans="1:19" hidden="1" x14ac:dyDescent="0.2">
      <c r="A245" s="48" t="str">
        <f ca="1">Проект!$A$479</f>
        <v xml:space="preserve">    авансы выданные</v>
      </c>
      <c r="B245" s="48"/>
      <c r="C245" s="88" t="str">
        <f ca="1">Проект!$C$479</f>
        <v>руб.</v>
      </c>
      <c r="D245" s="101" t="str">
        <f>Проект!$D$479</f>
        <v>int_end</v>
      </c>
      <c r="E245" s="48"/>
      <c r="F245" s="106">
        <f ca="1">Проект!$F$479</f>
        <v>0</v>
      </c>
      <c r="G245" s="106">
        <f ca="1">Проект!$G$479</f>
        <v>0</v>
      </c>
      <c r="H245" s="106">
        <f ca="1">Проект!$H$479</f>
        <v>0</v>
      </c>
      <c r="I245" s="106">
        <f ca="1">Проект!$I$479</f>
        <v>0</v>
      </c>
      <c r="J245" s="106">
        <f ca="1">Проект!$J$479</f>
        <v>0</v>
      </c>
      <c r="K245" s="106">
        <f ca="1">Проект!$K$479</f>
        <v>0</v>
      </c>
      <c r="L245" s="106">
        <f ca="1">Проект!$L$479</f>
        <v>0</v>
      </c>
      <c r="M245" s="106">
        <f ca="1">Проект!$M$479</f>
        <v>0</v>
      </c>
      <c r="N245" s="106" t="e">
        <f>Проект!#REF!</f>
        <v>#REF!</v>
      </c>
      <c r="O245" s="106" t="e">
        <f>Проект!#REF!</f>
        <v>#REF!</v>
      </c>
      <c r="P245" s="106" t="e">
        <f>Проект!#REF!</f>
        <v>#REF!</v>
      </c>
      <c r="Q245" s="106">
        <f ca="1">Проект!$Q$479</f>
        <v>0</v>
      </c>
      <c r="R245" s="106"/>
      <c r="S245" s="94"/>
    </row>
    <row r="246" spans="1:19" hidden="1" x14ac:dyDescent="0.2">
      <c r="A246" s="48" t="str">
        <f ca="1">Проект!$A$480</f>
        <v xml:space="preserve">    кредиторская задолженность</v>
      </c>
      <c r="B246" s="48"/>
      <c r="C246" s="88" t="str">
        <f ca="1">Проект!$C$480</f>
        <v>руб.</v>
      </c>
      <c r="D246" s="101" t="str">
        <f>Проект!$D$480</f>
        <v>int_end</v>
      </c>
      <c r="E246" s="48"/>
      <c r="F246" s="106">
        <f ca="1">Проект!$F$480</f>
        <v>0</v>
      </c>
      <c r="G246" s="106">
        <f ca="1">Проект!$G$480</f>
        <v>0</v>
      </c>
      <c r="H246" s="106">
        <f ca="1">Проект!$H$480</f>
        <v>0</v>
      </c>
      <c r="I246" s="106">
        <f ca="1">Проект!$I$480</f>
        <v>0</v>
      </c>
      <c r="J246" s="106">
        <f ca="1">Проект!$J$480</f>
        <v>0</v>
      </c>
      <c r="K246" s="106">
        <f ca="1">Проект!$K$480</f>
        <v>0</v>
      </c>
      <c r="L246" s="106">
        <f ca="1">Проект!$L$480</f>
        <v>0</v>
      </c>
      <c r="M246" s="106">
        <f ca="1">Проект!$M$480</f>
        <v>0</v>
      </c>
      <c r="N246" s="106" t="e">
        <f>Проект!#REF!</f>
        <v>#REF!</v>
      </c>
      <c r="O246" s="106" t="e">
        <f>Проект!#REF!</f>
        <v>#REF!</v>
      </c>
      <c r="P246" s="106" t="e">
        <f>Проект!#REF!</f>
        <v>#REF!</v>
      </c>
      <c r="Q246" s="106">
        <f ca="1">Проект!$Q$480</f>
        <v>0</v>
      </c>
      <c r="R246" s="106"/>
      <c r="S246" s="94"/>
    </row>
    <row r="247" spans="1:19" hidden="1" x14ac:dyDescent="0.2">
      <c r="A247" s="48" t="str">
        <f ca="1">Проект!$A$481</f>
        <v xml:space="preserve">    выплаченный НДС</v>
      </c>
      <c r="B247" s="48"/>
      <c r="C247" s="88" t="str">
        <f ca="1">Проект!$C$481</f>
        <v>руб.</v>
      </c>
      <c r="D247" s="48"/>
      <c r="E247" s="48"/>
      <c r="F247" s="106">
        <f>Проект!$F$481</f>
        <v>0</v>
      </c>
      <c r="G247" s="106">
        <f>Проект!$G$481</f>
        <v>0</v>
      </c>
      <c r="H247" s="106">
        <f>Проект!$H$481</f>
        <v>0</v>
      </c>
      <c r="I247" s="106">
        <f>Проект!$I$481</f>
        <v>0</v>
      </c>
      <c r="J247" s="106">
        <f>Проект!$J$481</f>
        <v>0</v>
      </c>
      <c r="K247" s="106">
        <f>Проект!$K$481</f>
        <v>0</v>
      </c>
      <c r="L247" s="106">
        <f>Проект!$L$481</f>
        <v>0</v>
      </c>
      <c r="M247" s="106">
        <f>Проект!$M$481</f>
        <v>0</v>
      </c>
      <c r="N247" s="106" t="e">
        <f>Проект!#REF!</f>
        <v>#REF!</v>
      </c>
      <c r="O247" s="106" t="e">
        <f>Проект!#REF!</f>
        <v>#REF!</v>
      </c>
      <c r="P247" s="106" t="e">
        <f>Проект!#REF!</f>
        <v>#REF!</v>
      </c>
      <c r="Q247" s="106">
        <f>Проект!$Q$481</f>
        <v>0</v>
      </c>
      <c r="R247" s="106"/>
      <c r="S247" s="94">
        <f>Проект!$S$481</f>
        <v>0</v>
      </c>
    </row>
    <row r="248" spans="1:19" hidden="1" x14ac:dyDescent="0.2">
      <c r="A248" s="48" t="str">
        <f ca="1">Проект!$A$482</f>
        <v xml:space="preserve">    зачет НДС</v>
      </c>
      <c r="B248" s="48"/>
      <c r="C248" s="88" t="str">
        <f ca="1">Проект!$C$482</f>
        <v>руб.</v>
      </c>
      <c r="D248" s="48"/>
      <c r="E248" s="48"/>
      <c r="F248" s="106">
        <f ca="1">Проект!$F$482</f>
        <v>0</v>
      </c>
      <c r="G248" s="106">
        <f ca="1">Проект!$G$482</f>
        <v>0</v>
      </c>
      <c r="H248" s="106">
        <f ca="1">Проект!$H$482</f>
        <v>0</v>
      </c>
      <c r="I248" s="106">
        <f ca="1">Проект!$I$482</f>
        <v>0</v>
      </c>
      <c r="J248" s="106">
        <f ca="1">Проект!$J$482</f>
        <v>0</v>
      </c>
      <c r="K248" s="106">
        <f ca="1">Проект!$K$482</f>
        <v>0</v>
      </c>
      <c r="L248" s="106">
        <f ca="1">Проект!$L$482</f>
        <v>0</v>
      </c>
      <c r="M248" s="106">
        <f ca="1">Проект!$M$482</f>
        <v>0</v>
      </c>
      <c r="N248" s="106" t="e">
        <f>Проект!#REF!</f>
        <v>#REF!</v>
      </c>
      <c r="O248" s="106" t="e">
        <f>Проект!#REF!</f>
        <v>#REF!</v>
      </c>
      <c r="P248" s="106" t="e">
        <f>Проект!#REF!</f>
        <v>#REF!</v>
      </c>
      <c r="Q248" s="106">
        <f ca="1">Проект!$Q$482</f>
        <v>0</v>
      </c>
      <c r="R248" s="106"/>
      <c r="S248" s="94">
        <f ca="1">Проект!$S$482</f>
        <v>0</v>
      </c>
    </row>
    <row r="249" spans="1:19" hidden="1" x14ac:dyDescent="0.2">
      <c r="A249" s="45" t="str">
        <f ca="1">Проект!$A$483</f>
        <v xml:space="preserve">    реализация актива (без НДС)</v>
      </c>
      <c r="B249" s="48"/>
      <c r="C249" s="88" t="str">
        <f ca="1">Проект!$C$483</f>
        <v>руб.</v>
      </c>
      <c r="D249" s="48"/>
      <c r="E249" s="48"/>
      <c r="F249" s="106">
        <f>Проект!$F$483</f>
        <v>0</v>
      </c>
      <c r="G249" s="106">
        <f>Проект!$G$483</f>
        <v>0</v>
      </c>
      <c r="H249" s="106">
        <f>Проект!$H$483</f>
        <v>0</v>
      </c>
      <c r="I249" s="106">
        <f>Проект!$I$483</f>
        <v>0</v>
      </c>
      <c r="J249" s="106">
        <f>Проект!$J$483</f>
        <v>0</v>
      </c>
      <c r="K249" s="106">
        <f>Проект!$K$483</f>
        <v>0</v>
      </c>
      <c r="L249" s="106">
        <f>Проект!$L$483</f>
        <v>0</v>
      </c>
      <c r="M249" s="106">
        <f>Проект!$M$483</f>
        <v>0</v>
      </c>
      <c r="N249" s="106" t="e">
        <f>Проект!#REF!</f>
        <v>#REF!</v>
      </c>
      <c r="O249" s="106" t="e">
        <f>Проект!#REF!</f>
        <v>#REF!</v>
      </c>
      <c r="P249" s="106" t="e">
        <f>Проект!#REF!</f>
        <v>#REF!</v>
      </c>
      <c r="Q249" s="106">
        <f>Проект!$Q$483</f>
        <v>0</v>
      </c>
      <c r="R249" s="106"/>
      <c r="S249" s="94">
        <f>Проект!$S$483</f>
        <v>0</v>
      </c>
    </row>
    <row r="250" spans="1:19" hidden="1" x14ac:dyDescent="0.2">
      <c r="A250" s="45" t="str">
        <f ca="1">Проект!$A$484</f>
        <v xml:space="preserve">    прибыль/убыток от реализации актива</v>
      </c>
      <c r="B250" s="48"/>
      <c r="C250" s="88" t="str">
        <f ca="1">Проект!$C$484</f>
        <v>руб.</v>
      </c>
      <c r="D250" s="48"/>
      <c r="E250" s="48"/>
      <c r="F250" s="106">
        <f>Проект!$F$484</f>
        <v>0</v>
      </c>
      <c r="G250" s="106">
        <f>Проект!$G$484</f>
        <v>0</v>
      </c>
      <c r="H250" s="106">
        <f>Проект!$H$484</f>
        <v>0</v>
      </c>
      <c r="I250" s="106">
        <f>Проект!$I$484</f>
        <v>0</v>
      </c>
      <c r="J250" s="106">
        <f>Проект!$J$484</f>
        <v>0</v>
      </c>
      <c r="K250" s="106">
        <f>Проект!$K$484</f>
        <v>0</v>
      </c>
      <c r="L250" s="106">
        <f>Проект!$L$484</f>
        <v>0</v>
      </c>
      <c r="M250" s="106">
        <f>Проект!$M$484</f>
        <v>0</v>
      </c>
      <c r="N250" s="106" t="e">
        <f>Проект!#REF!</f>
        <v>#REF!</v>
      </c>
      <c r="O250" s="106" t="e">
        <f>Проект!#REF!</f>
        <v>#REF!</v>
      </c>
      <c r="P250" s="106" t="e">
        <f>Проект!#REF!</f>
        <v>#REF!</v>
      </c>
      <c r="Q250" s="106">
        <f>Проект!$Q$484</f>
        <v>0</v>
      </c>
      <c r="R250" s="106"/>
      <c r="S250" s="94">
        <f>Проект!$S$484</f>
        <v>0</v>
      </c>
    </row>
    <row r="251" spans="1:19" hidden="1" x14ac:dyDescent="0.2">
      <c r="A251" s="48" t="str">
        <f ca="1">Проект!$A$485</f>
        <v xml:space="preserve">    НДС к выручке от реализации актива</v>
      </c>
      <c r="B251" s="48"/>
      <c r="C251" s="88" t="str">
        <f ca="1">Проект!$C$485</f>
        <v>руб.</v>
      </c>
      <c r="D251" s="48"/>
      <c r="E251" s="48"/>
      <c r="F251" s="106">
        <f>Проект!$F$485</f>
        <v>0</v>
      </c>
      <c r="G251" s="106">
        <f>Проект!$G$485</f>
        <v>0</v>
      </c>
      <c r="H251" s="106">
        <f>Проект!$H$485</f>
        <v>0</v>
      </c>
      <c r="I251" s="106">
        <f>Проект!$I$485</f>
        <v>0</v>
      </c>
      <c r="J251" s="106">
        <f>Проект!$J$485</f>
        <v>0</v>
      </c>
      <c r="K251" s="106">
        <f>Проект!$K$485</f>
        <v>0</v>
      </c>
      <c r="L251" s="106">
        <f>Проект!$L$485</f>
        <v>0</v>
      </c>
      <c r="M251" s="106">
        <f>Проект!$M$485</f>
        <v>0</v>
      </c>
      <c r="N251" s="106" t="e">
        <f>Проект!#REF!</f>
        <v>#REF!</v>
      </c>
      <c r="O251" s="106" t="e">
        <f>Проект!#REF!</f>
        <v>#REF!</v>
      </c>
      <c r="P251" s="106" t="e">
        <f>Проект!#REF!</f>
        <v>#REF!</v>
      </c>
      <c r="Q251" s="106">
        <f>Проект!$Q$485</f>
        <v>0</v>
      </c>
      <c r="R251" s="106"/>
      <c r="S251" s="94">
        <f>Проект!$S$485</f>
        <v>0</v>
      </c>
    </row>
    <row r="252" spans="1:19" ht="11.25" customHeight="1" x14ac:dyDescent="0.25">
      <c r="A252" s="130" t="str">
        <f>Проект!$A$486</f>
        <v xml:space="preserve"> = Итого: Расходы будущих периодов</v>
      </c>
      <c r="B252" s="130"/>
      <c r="C252" s="88" t="str">
        <f ca="1">Проект!$C$486</f>
        <v>руб.</v>
      </c>
      <c r="D252" s="130"/>
      <c r="E252" s="130"/>
      <c r="F252" s="160">
        <f>Проект!$F$486</f>
        <v>0</v>
      </c>
      <c r="G252" s="160">
        <f>Проект!$G$486</f>
        <v>0</v>
      </c>
      <c r="H252" s="160">
        <f>Проект!$H$486</f>
        <v>0</v>
      </c>
      <c r="I252" s="160">
        <f>Проект!$I$486</f>
        <v>0</v>
      </c>
      <c r="J252" s="160">
        <f>Проект!$J$486</f>
        <v>0</v>
      </c>
      <c r="K252" s="160">
        <f>Проект!$K$486</f>
        <v>0</v>
      </c>
      <c r="L252" s="160">
        <f>Проект!$L$486</f>
        <v>0</v>
      </c>
      <c r="M252" s="160">
        <f>Проект!$M$486</f>
        <v>0</v>
      </c>
      <c r="N252" s="160" t="e">
        <f>Проект!#REF!</f>
        <v>#REF!</v>
      </c>
      <c r="O252" s="160" t="e">
        <f>Проект!#REF!</f>
        <v>#REF!</v>
      </c>
      <c r="P252" s="160" t="e">
        <f>Проект!#REF!</f>
        <v>#REF!</v>
      </c>
      <c r="Q252" s="160">
        <f>Проект!$Q$486</f>
        <v>0</v>
      </c>
      <c r="R252" s="160"/>
      <c r="S252" s="95">
        <f>Проект!$S$486</f>
        <v>0</v>
      </c>
    </row>
    <row r="253" spans="1:19" hidden="1" x14ac:dyDescent="0.2">
      <c r="A253" s="48" t="str">
        <f ca="1">Проект!$A$487</f>
        <v xml:space="preserve">    сумма платежей без НДС</v>
      </c>
      <c r="B253" s="48"/>
      <c r="C253" s="88" t="str">
        <f ca="1">Проект!$C$487</f>
        <v>руб.</v>
      </c>
      <c r="D253" s="48"/>
      <c r="E253" s="48"/>
      <c r="F253" s="106">
        <f>Проект!$F$487</f>
        <v>0</v>
      </c>
      <c r="G253" s="106">
        <f>Проект!$G$487</f>
        <v>0</v>
      </c>
      <c r="H253" s="106">
        <f>Проект!$H$487</f>
        <v>0</v>
      </c>
      <c r="I253" s="106">
        <f>Проект!$I$487</f>
        <v>0</v>
      </c>
      <c r="J253" s="106">
        <f>Проект!$J$487</f>
        <v>0</v>
      </c>
      <c r="K253" s="106">
        <f>Проект!$K$487</f>
        <v>0</v>
      </c>
      <c r="L253" s="106">
        <f>Проект!$L$487</f>
        <v>0</v>
      </c>
      <c r="M253" s="106">
        <f>Проект!$M$487</f>
        <v>0</v>
      </c>
      <c r="N253" s="106" t="e">
        <f>Проект!#REF!</f>
        <v>#REF!</v>
      </c>
      <c r="O253" s="106" t="e">
        <f>Проект!#REF!</f>
        <v>#REF!</v>
      </c>
      <c r="P253" s="106" t="e">
        <f>Проект!#REF!</f>
        <v>#REF!</v>
      </c>
      <c r="Q253" s="106">
        <f>Проект!$Q$487</f>
        <v>0</v>
      </c>
      <c r="R253" s="106"/>
      <c r="S253" s="94">
        <f>Проект!$S$487</f>
        <v>0</v>
      </c>
    </row>
    <row r="254" spans="1:19" hidden="1" x14ac:dyDescent="0.2">
      <c r="A254" s="48" t="str">
        <f ca="1">Проект!$A$488</f>
        <v xml:space="preserve">    полная балансовая стоимость</v>
      </c>
      <c r="B254" s="48"/>
      <c r="C254" s="88" t="str">
        <f ca="1">Проект!$C$488</f>
        <v>руб.</v>
      </c>
      <c r="D254" s="101" t="str">
        <f>Проект!$D$488</f>
        <v>int_end</v>
      </c>
      <c r="E254" s="48"/>
      <c r="F254" s="106">
        <f ca="1">Проект!$F$488</f>
        <v>0</v>
      </c>
      <c r="G254" s="106">
        <f ca="1">Проект!$G$488</f>
        <v>0</v>
      </c>
      <c r="H254" s="106">
        <f ca="1">Проект!$H$488</f>
        <v>0</v>
      </c>
      <c r="I254" s="106">
        <f ca="1">Проект!$I$488</f>
        <v>0</v>
      </c>
      <c r="J254" s="106">
        <f ca="1">Проект!$J$488</f>
        <v>0</v>
      </c>
      <c r="K254" s="106">
        <f ca="1">Проект!$K$488</f>
        <v>0</v>
      </c>
      <c r="L254" s="106">
        <f ca="1">Проект!$L$488</f>
        <v>0</v>
      </c>
      <c r="M254" s="106">
        <f ca="1">Проект!$M$488</f>
        <v>0</v>
      </c>
      <c r="N254" s="106" t="e">
        <f>Проект!#REF!</f>
        <v>#REF!</v>
      </c>
      <c r="O254" s="106" t="e">
        <f>Проект!#REF!</f>
        <v>#REF!</v>
      </c>
      <c r="P254" s="106" t="e">
        <f>Проект!#REF!</f>
        <v>#REF!</v>
      </c>
      <c r="Q254" s="106">
        <f ca="1">Проект!$Q$488</f>
        <v>0</v>
      </c>
      <c r="R254" s="106"/>
      <c r="S254" s="94"/>
    </row>
    <row r="255" spans="1:19" hidden="1" x14ac:dyDescent="0.2">
      <c r="A255" s="48" t="str">
        <f ca="1">Проект!$A$489</f>
        <v xml:space="preserve">    авансы выданные</v>
      </c>
      <c r="B255" s="48"/>
      <c r="C255" s="88" t="str">
        <f ca="1">Проект!$C$489</f>
        <v>руб.</v>
      </c>
      <c r="D255" s="101" t="str">
        <f>Проект!$D$489</f>
        <v>int_end</v>
      </c>
      <c r="E255" s="48"/>
      <c r="F255" s="106">
        <f ca="1">Проект!$F$489</f>
        <v>0</v>
      </c>
      <c r="G255" s="106">
        <f ca="1">Проект!$G$489</f>
        <v>0</v>
      </c>
      <c r="H255" s="106">
        <f ca="1">Проект!$H$489</f>
        <v>0</v>
      </c>
      <c r="I255" s="106">
        <f ca="1">Проект!$I$489</f>
        <v>0</v>
      </c>
      <c r="J255" s="106">
        <f ca="1">Проект!$J$489</f>
        <v>0</v>
      </c>
      <c r="K255" s="106">
        <f ca="1">Проект!$K$489</f>
        <v>0</v>
      </c>
      <c r="L255" s="106">
        <f ca="1">Проект!$L$489</f>
        <v>0</v>
      </c>
      <c r="M255" s="106">
        <f ca="1">Проект!$M$489</f>
        <v>0</v>
      </c>
      <c r="N255" s="106" t="e">
        <f>Проект!#REF!</f>
        <v>#REF!</v>
      </c>
      <c r="O255" s="106" t="e">
        <f>Проект!#REF!</f>
        <v>#REF!</v>
      </c>
      <c r="P255" s="106" t="e">
        <f>Проект!#REF!</f>
        <v>#REF!</v>
      </c>
      <c r="Q255" s="106">
        <f ca="1">Проект!$Q$489</f>
        <v>0</v>
      </c>
      <c r="R255" s="106"/>
      <c r="S255" s="94"/>
    </row>
    <row r="256" spans="1:19" hidden="1" x14ac:dyDescent="0.2">
      <c r="A256" s="48" t="str">
        <f ca="1">Проект!$A$490</f>
        <v xml:space="preserve">    кредиторская задолженность</v>
      </c>
      <c r="B256" s="48"/>
      <c r="C256" s="88" t="str">
        <f ca="1">Проект!$C$490</f>
        <v>руб.</v>
      </c>
      <c r="D256" s="101" t="str">
        <f>Проект!$D$490</f>
        <v>int_end</v>
      </c>
      <c r="E256" s="48"/>
      <c r="F256" s="106">
        <f ca="1">Проект!$F$490</f>
        <v>0</v>
      </c>
      <c r="G256" s="106">
        <f ca="1">Проект!$G$490</f>
        <v>0</v>
      </c>
      <c r="H256" s="106">
        <f ca="1">Проект!$H$490</f>
        <v>0</v>
      </c>
      <c r="I256" s="106">
        <f ca="1">Проект!$I$490</f>
        <v>0</v>
      </c>
      <c r="J256" s="106">
        <f ca="1">Проект!$J$490</f>
        <v>0</v>
      </c>
      <c r="K256" s="106">
        <f ca="1">Проект!$K$490</f>
        <v>0</v>
      </c>
      <c r="L256" s="106">
        <f ca="1">Проект!$L$490</f>
        <v>0</v>
      </c>
      <c r="M256" s="106">
        <f ca="1">Проект!$M$490</f>
        <v>0</v>
      </c>
      <c r="N256" s="106" t="e">
        <f>Проект!#REF!</f>
        <v>#REF!</v>
      </c>
      <c r="O256" s="106" t="e">
        <f>Проект!#REF!</f>
        <v>#REF!</v>
      </c>
      <c r="P256" s="106" t="e">
        <f>Проект!#REF!</f>
        <v>#REF!</v>
      </c>
      <c r="Q256" s="106">
        <f ca="1">Проект!$Q$490</f>
        <v>0</v>
      </c>
      <c r="R256" s="106"/>
      <c r="S256" s="94"/>
    </row>
    <row r="257" spans="1:19" hidden="1" x14ac:dyDescent="0.2">
      <c r="A257" s="48" t="str">
        <f ca="1">Проект!$A$491</f>
        <v xml:space="preserve">    амортизация</v>
      </c>
      <c r="B257" s="48"/>
      <c r="C257" s="88" t="str">
        <f ca="1">Проект!$C$491</f>
        <v>руб.</v>
      </c>
      <c r="D257" s="48"/>
      <c r="E257" s="48"/>
      <c r="F257" s="106">
        <f ca="1">Проект!$F$491</f>
        <v>0</v>
      </c>
      <c r="G257" s="106">
        <f ca="1">Проект!$G$491</f>
        <v>0</v>
      </c>
      <c r="H257" s="106">
        <f ca="1">Проект!$H$491</f>
        <v>0</v>
      </c>
      <c r="I257" s="106">
        <f ca="1">Проект!$I$491</f>
        <v>0</v>
      </c>
      <c r="J257" s="106">
        <f ca="1">Проект!$J$491</f>
        <v>0</v>
      </c>
      <c r="K257" s="106">
        <f ca="1">Проект!$K$491</f>
        <v>0</v>
      </c>
      <c r="L257" s="106">
        <f ca="1">Проект!$L$491</f>
        <v>0</v>
      </c>
      <c r="M257" s="106">
        <f ca="1">Проект!$M$491</f>
        <v>0</v>
      </c>
      <c r="N257" s="106" t="e">
        <f>Проект!#REF!</f>
        <v>#REF!</v>
      </c>
      <c r="O257" s="106" t="e">
        <f>Проект!#REF!</f>
        <v>#REF!</v>
      </c>
      <c r="P257" s="106" t="e">
        <f>Проект!#REF!</f>
        <v>#REF!</v>
      </c>
      <c r="Q257" s="106">
        <f ca="1">Проект!$Q$491</f>
        <v>0</v>
      </c>
      <c r="R257" s="106"/>
      <c r="S257" s="94">
        <f ca="1">Проект!$S$491</f>
        <v>0</v>
      </c>
    </row>
    <row r="258" spans="1:19" hidden="1" x14ac:dyDescent="0.2">
      <c r="A258" s="48" t="str">
        <f ca="1">Проект!$A$492</f>
        <v xml:space="preserve">    остаточная стоимость</v>
      </c>
      <c r="B258" s="48"/>
      <c r="C258" s="88" t="str">
        <f ca="1">Проект!$C$492</f>
        <v>руб.</v>
      </c>
      <c r="D258" s="101" t="str">
        <f>Проект!$D$492</f>
        <v>int_end</v>
      </c>
      <c r="E258" s="48"/>
      <c r="F258" s="106">
        <f ca="1">Проект!$F$492</f>
        <v>0</v>
      </c>
      <c r="G258" s="106">
        <f ca="1">Проект!$G$492</f>
        <v>0</v>
      </c>
      <c r="H258" s="106">
        <f ca="1">Проект!$H$492</f>
        <v>0</v>
      </c>
      <c r="I258" s="106">
        <f ca="1">Проект!$I$492</f>
        <v>0</v>
      </c>
      <c r="J258" s="106">
        <f ca="1">Проект!$J$492</f>
        <v>0</v>
      </c>
      <c r="K258" s="106">
        <f ca="1">Проект!$K$492</f>
        <v>0</v>
      </c>
      <c r="L258" s="106">
        <f ca="1">Проект!$L$492</f>
        <v>0</v>
      </c>
      <c r="M258" s="106">
        <f ca="1">Проект!$M$492</f>
        <v>0</v>
      </c>
      <c r="N258" s="106" t="e">
        <f>Проект!#REF!</f>
        <v>#REF!</v>
      </c>
      <c r="O258" s="106" t="e">
        <f>Проект!#REF!</f>
        <v>#REF!</v>
      </c>
      <c r="P258" s="106" t="e">
        <f>Проект!#REF!</f>
        <v>#REF!</v>
      </c>
      <c r="Q258" s="106">
        <f ca="1">Проект!$Q$492</f>
        <v>0</v>
      </c>
      <c r="R258" s="106"/>
      <c r="S258" s="94"/>
    </row>
    <row r="259" spans="1:19" hidden="1" x14ac:dyDescent="0.2">
      <c r="A259" s="48" t="str">
        <f ca="1">Проект!$A$493</f>
        <v xml:space="preserve">    выплаченный НДС</v>
      </c>
      <c r="B259" s="48"/>
      <c r="C259" s="88" t="str">
        <f ca="1">Проект!$C$493</f>
        <v>руб.</v>
      </c>
      <c r="D259" s="48"/>
      <c r="E259" s="48"/>
      <c r="F259" s="106">
        <f>Проект!$F$493</f>
        <v>0</v>
      </c>
      <c r="G259" s="106">
        <f>Проект!$G$493</f>
        <v>0</v>
      </c>
      <c r="H259" s="106">
        <f>Проект!$H$493</f>
        <v>0</v>
      </c>
      <c r="I259" s="106">
        <f>Проект!$I$493</f>
        <v>0</v>
      </c>
      <c r="J259" s="106">
        <f>Проект!$J$493</f>
        <v>0</v>
      </c>
      <c r="K259" s="106">
        <f>Проект!$K$493</f>
        <v>0</v>
      </c>
      <c r="L259" s="106">
        <f>Проект!$L$493</f>
        <v>0</v>
      </c>
      <c r="M259" s="106">
        <f>Проект!$M$493</f>
        <v>0</v>
      </c>
      <c r="N259" s="106" t="e">
        <f>Проект!#REF!</f>
        <v>#REF!</v>
      </c>
      <c r="O259" s="106" t="e">
        <f>Проект!#REF!</f>
        <v>#REF!</v>
      </c>
      <c r="P259" s="106" t="e">
        <f>Проект!#REF!</f>
        <v>#REF!</v>
      </c>
      <c r="Q259" s="106">
        <f>Проект!$Q$493</f>
        <v>0</v>
      </c>
      <c r="R259" s="106"/>
      <c r="S259" s="94">
        <f>Проект!$S$493</f>
        <v>0</v>
      </c>
    </row>
    <row r="260" spans="1:19" hidden="1" x14ac:dyDescent="0.2">
      <c r="A260" s="48" t="str">
        <f ca="1">Проект!$A$494</f>
        <v xml:space="preserve">    зачет НДС</v>
      </c>
      <c r="B260" s="48"/>
      <c r="C260" s="88" t="str">
        <f ca="1">Проект!$C$494</f>
        <v>руб.</v>
      </c>
      <c r="D260" s="48"/>
      <c r="E260" s="48"/>
      <c r="F260" s="106">
        <f ca="1">Проект!$F$494</f>
        <v>0</v>
      </c>
      <c r="G260" s="106">
        <f ca="1">Проект!$G$494</f>
        <v>0</v>
      </c>
      <c r="H260" s="106">
        <f ca="1">Проект!$H$494</f>
        <v>0</v>
      </c>
      <c r="I260" s="106">
        <f ca="1">Проект!$I$494</f>
        <v>0</v>
      </c>
      <c r="J260" s="106">
        <f ca="1">Проект!$J$494</f>
        <v>0</v>
      </c>
      <c r="K260" s="106">
        <f ca="1">Проект!$K$494</f>
        <v>0</v>
      </c>
      <c r="L260" s="106">
        <f ca="1">Проект!$L$494</f>
        <v>0</v>
      </c>
      <c r="M260" s="106">
        <f ca="1">Проект!$M$494</f>
        <v>0</v>
      </c>
      <c r="N260" s="106" t="e">
        <f>Проект!#REF!</f>
        <v>#REF!</v>
      </c>
      <c r="O260" s="106" t="e">
        <f>Проект!#REF!</f>
        <v>#REF!</v>
      </c>
      <c r="P260" s="106" t="e">
        <f>Проект!#REF!</f>
        <v>#REF!</v>
      </c>
      <c r="Q260" s="106">
        <f ca="1">Проект!$Q$494</f>
        <v>0</v>
      </c>
      <c r="R260" s="106"/>
      <c r="S260" s="94">
        <f ca="1">Проект!$S$494</f>
        <v>0</v>
      </c>
    </row>
    <row r="261" spans="1:19" ht="11.25" customHeight="1" x14ac:dyDescent="0.25">
      <c r="A261" s="130" t="str">
        <f ca="1">Проект!$A$495</f>
        <v xml:space="preserve"> = Итого: ВСЕ АКТИВЫ</v>
      </c>
      <c r="B261" s="130"/>
      <c r="C261" s="88" t="str">
        <f ca="1">Проект!$C$495</f>
        <v>руб.</v>
      </c>
      <c r="D261" s="130"/>
      <c r="E261" s="130"/>
      <c r="F261" s="160">
        <f>Проект!$F$495</f>
        <v>0</v>
      </c>
      <c r="G261" s="160">
        <f>Проект!$G$495</f>
        <v>0</v>
      </c>
      <c r="H261" s="160">
        <f>Проект!$H$495</f>
        <v>0</v>
      </c>
      <c r="I261" s="160">
        <f>Проект!$I$495</f>
        <v>0</v>
      </c>
      <c r="J261" s="160">
        <f>Проект!$J$495</f>
        <v>0</v>
      </c>
      <c r="K261" s="160">
        <f>Проект!$K$495</f>
        <v>0</v>
      </c>
      <c r="L261" s="160">
        <f>Проект!$L$495</f>
        <v>0</v>
      </c>
      <c r="M261" s="160">
        <f>Проект!$M$495</f>
        <v>0</v>
      </c>
      <c r="N261" s="160" t="e">
        <f>Проект!#REF!</f>
        <v>#REF!</v>
      </c>
      <c r="O261" s="160" t="e">
        <f>Проект!#REF!</f>
        <v>#REF!</v>
      </c>
      <c r="P261" s="160" t="e">
        <f>Проект!#REF!</f>
        <v>#REF!</v>
      </c>
      <c r="Q261" s="160">
        <f>Проект!$Q$495</f>
        <v>0</v>
      </c>
      <c r="R261" s="160"/>
      <c r="S261" s="95">
        <f>Проект!$S$495</f>
        <v>0</v>
      </c>
    </row>
    <row r="264" spans="1:19" ht="16" customHeight="1" thickBot="1" x14ac:dyDescent="0.25">
      <c r="A264" s="166" t="str">
        <f ca="1">Проект!$A$538</f>
        <v xml:space="preserve">         ПЛАН РЕАЛИЗАЦИИ</v>
      </c>
      <c r="B264" s="166"/>
      <c r="C264" s="166"/>
      <c r="D264" s="166">
        <f>Проект!$D$538</f>
        <v>1</v>
      </c>
      <c r="E264" s="166"/>
      <c r="F264" s="178" t="str">
        <f>Проект!$F$538</f>
        <v>4/ 2024</v>
      </c>
      <c r="G264" s="178" t="str">
        <f>Проект!$G$538</f>
        <v>5/ 2024</v>
      </c>
      <c r="H264" s="178" t="str">
        <f>Проект!$H$538</f>
        <v>6/ 2024</v>
      </c>
      <c r="I264" s="178" t="str">
        <f>Проект!$I$538</f>
        <v>7/ 2024</v>
      </c>
      <c r="J264" s="178" t="str">
        <f>Проект!$J$538</f>
        <v>8/ 2024</v>
      </c>
      <c r="K264" s="178" t="str">
        <f>Проект!$K$538</f>
        <v>9/ 2024</v>
      </c>
      <c r="L264" s="178" t="str">
        <f>Проект!$L$538</f>
        <v>10/ 2024</v>
      </c>
      <c r="M264" s="178" t="str">
        <f>Проект!$M$538</f>
        <v>11/ 2024</v>
      </c>
      <c r="N264" s="178" t="e">
        <f>Проект!#REF!</f>
        <v>#REF!</v>
      </c>
      <c r="O264" s="178" t="e">
        <f>Проект!#REF!</f>
        <v>#REF!</v>
      </c>
      <c r="P264" s="178" t="e">
        <f>Проект!#REF!</f>
        <v>#REF!</v>
      </c>
      <c r="Q264" s="178" t="str">
        <f>Проект!$Q$538</f>
        <v>3/ 2025</v>
      </c>
      <c r="R264" s="166"/>
      <c r="S264" s="195" t="str">
        <f ca="1">Проект!$S$538</f>
        <v>ИТОГО</v>
      </c>
    </row>
    <row r="265" spans="1:19" ht="12" customHeight="1" thickTop="1" x14ac:dyDescent="0.2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1"/>
    </row>
    <row r="266" spans="1:19" ht="11.25" customHeight="1" x14ac:dyDescent="0.2">
      <c r="A266" s="48"/>
      <c r="B266" s="198" t="str">
        <f ca="1">Проект!$B$540</f>
        <v>Номинальный объем</v>
      </c>
      <c r="C266" s="48"/>
      <c r="D266" s="48">
        <f>Проект!$D$540</f>
        <v>5</v>
      </c>
      <c r="E266" s="48">
        <f>Проект!$E$540</f>
        <v>1</v>
      </c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1"/>
    </row>
    <row r="267" spans="1:19" ht="11.25" customHeight="1" x14ac:dyDescent="0.2">
      <c r="A267" s="333" t="str">
        <f>Проект!$A$541</f>
        <v>Наименование товара</v>
      </c>
      <c r="B267" s="350">
        <f>Проект!$B$541</f>
        <v>0</v>
      </c>
      <c r="C267" s="334" t="str">
        <f>Проект!$C$541</f>
        <v>шт</v>
      </c>
      <c r="D267" s="74" t="str">
        <f>Проект!$D$541</f>
        <v>int_avg</v>
      </c>
      <c r="E267" s="48"/>
      <c r="F267" s="351">
        <f>Проект!$F$541</f>
        <v>0</v>
      </c>
      <c r="G267" s="351">
        <f>Проект!$G$541</f>
        <v>0</v>
      </c>
      <c r="H267" s="351">
        <f>Проект!$H$541</f>
        <v>0.01</v>
      </c>
      <c r="I267" s="351">
        <f>Проект!$I$541</f>
        <v>0.05</v>
      </c>
      <c r="J267" s="351">
        <f>Проект!$J$541</f>
        <v>0.1</v>
      </c>
      <c r="K267" s="351">
        <f>Проект!$K$541</f>
        <v>0.2</v>
      </c>
      <c r="L267" s="351">
        <f>Проект!$L$541</f>
        <v>0.3</v>
      </c>
      <c r="M267" s="351">
        <f>Проект!$M$541</f>
        <v>0.4</v>
      </c>
      <c r="N267" s="351" t="e">
        <f>Проект!#REF!</f>
        <v>#REF!</v>
      </c>
      <c r="O267" s="351" t="e">
        <f>Проект!#REF!</f>
        <v>#REF!</v>
      </c>
      <c r="P267" s="351" t="e">
        <f>Проект!#REF!</f>
        <v>#REF!</v>
      </c>
      <c r="Q267" s="351">
        <f>Проект!$Q$541</f>
        <v>1</v>
      </c>
      <c r="R267" s="48"/>
      <c r="S267" s="41"/>
    </row>
    <row r="268" spans="1:19" ht="11.25" customHeight="1" x14ac:dyDescent="0.2">
      <c r="A268" s="333" t="e">
        <f>Проект!#REF!</f>
        <v>#REF!</v>
      </c>
      <c r="B268" s="350" t="e">
        <f>Проект!#REF!</f>
        <v>#REF!</v>
      </c>
      <c r="C268" s="334" t="e">
        <f>Проект!#REF!</f>
        <v>#REF!</v>
      </c>
      <c r="D268" s="74" t="e">
        <f>Проект!#REF!</f>
        <v>#REF!</v>
      </c>
      <c r="E268" s="48"/>
      <c r="F268" s="351" t="e">
        <f>Проект!#REF!</f>
        <v>#REF!</v>
      </c>
      <c r="G268" s="351" t="e">
        <f>Проект!#REF!</f>
        <v>#REF!</v>
      </c>
      <c r="H268" s="351" t="e">
        <f>Проект!#REF!</f>
        <v>#REF!</v>
      </c>
      <c r="I268" s="351" t="e">
        <f>Проект!#REF!</f>
        <v>#REF!</v>
      </c>
      <c r="J268" s="351" t="e">
        <f>Проект!#REF!</f>
        <v>#REF!</v>
      </c>
      <c r="K268" s="351" t="e">
        <f>Проект!#REF!</f>
        <v>#REF!</v>
      </c>
      <c r="L268" s="351" t="e">
        <f>Проект!#REF!</f>
        <v>#REF!</v>
      </c>
      <c r="M268" s="351" t="e">
        <f>Проект!#REF!</f>
        <v>#REF!</v>
      </c>
      <c r="N268" s="351" t="e">
        <f>Проект!#REF!</f>
        <v>#REF!</v>
      </c>
      <c r="O268" s="351" t="e">
        <f>Проект!#REF!</f>
        <v>#REF!</v>
      </c>
      <c r="P268" s="351" t="e">
        <f>Проект!#REF!</f>
        <v>#REF!</v>
      </c>
      <c r="Q268" s="351" t="e">
        <f>Проект!#REF!</f>
        <v>#REF!</v>
      </c>
      <c r="R268" s="48"/>
      <c r="S268" s="41"/>
    </row>
    <row r="269" spans="1:19" ht="11.25" customHeight="1" x14ac:dyDescent="0.2">
      <c r="A269" s="333" t="e">
        <f>Проект!#REF!</f>
        <v>#REF!</v>
      </c>
      <c r="B269" s="350" t="e">
        <f>Проект!#REF!</f>
        <v>#REF!</v>
      </c>
      <c r="C269" s="334" t="e">
        <f>Проект!#REF!</f>
        <v>#REF!</v>
      </c>
      <c r="D269" s="74" t="e">
        <f>Проект!#REF!</f>
        <v>#REF!</v>
      </c>
      <c r="E269" s="48"/>
      <c r="F269" s="351" t="e">
        <f>Проект!#REF!</f>
        <v>#REF!</v>
      </c>
      <c r="G269" s="351" t="e">
        <f>Проект!#REF!</f>
        <v>#REF!</v>
      </c>
      <c r="H269" s="351" t="e">
        <f>Проект!#REF!</f>
        <v>#REF!</v>
      </c>
      <c r="I269" s="351" t="e">
        <f>Проект!#REF!</f>
        <v>#REF!</v>
      </c>
      <c r="J269" s="351" t="e">
        <f>Проект!#REF!</f>
        <v>#REF!</v>
      </c>
      <c r="K269" s="351" t="e">
        <f>Проект!#REF!</f>
        <v>#REF!</v>
      </c>
      <c r="L269" s="351" t="e">
        <f>Проект!#REF!</f>
        <v>#REF!</v>
      </c>
      <c r="M269" s="351" t="e">
        <f>Проект!#REF!</f>
        <v>#REF!</v>
      </c>
      <c r="N269" s="351" t="e">
        <f>Проект!#REF!</f>
        <v>#REF!</v>
      </c>
      <c r="O269" s="351" t="e">
        <f>Проект!#REF!</f>
        <v>#REF!</v>
      </c>
      <c r="P269" s="351" t="e">
        <f>Проект!#REF!</f>
        <v>#REF!</v>
      </c>
      <c r="Q269" s="351" t="e">
        <f>Проект!#REF!</f>
        <v>#REF!</v>
      </c>
      <c r="R269" s="48"/>
      <c r="S269" s="41"/>
    </row>
    <row r="270" spans="1:19" ht="11.25" customHeight="1" x14ac:dyDescent="0.2">
      <c r="A270" s="333" t="e">
        <f>Проект!#REF!</f>
        <v>#REF!</v>
      </c>
      <c r="B270" s="350" t="e">
        <f>Проект!#REF!</f>
        <v>#REF!</v>
      </c>
      <c r="C270" s="334" t="e">
        <f>Проект!#REF!</f>
        <v>#REF!</v>
      </c>
      <c r="D270" s="74" t="e">
        <f>Проект!#REF!</f>
        <v>#REF!</v>
      </c>
      <c r="E270" s="48"/>
      <c r="F270" s="351" t="e">
        <f>Проект!#REF!</f>
        <v>#REF!</v>
      </c>
      <c r="G270" s="351" t="e">
        <f>Проект!#REF!</f>
        <v>#REF!</v>
      </c>
      <c r="H270" s="351" t="e">
        <f>Проект!#REF!</f>
        <v>#REF!</v>
      </c>
      <c r="I270" s="351" t="e">
        <f>Проект!#REF!</f>
        <v>#REF!</v>
      </c>
      <c r="J270" s="351" t="e">
        <f>Проект!#REF!</f>
        <v>#REF!</v>
      </c>
      <c r="K270" s="351" t="e">
        <f>Проект!#REF!</f>
        <v>#REF!</v>
      </c>
      <c r="L270" s="351" t="e">
        <f>Проект!#REF!</f>
        <v>#REF!</v>
      </c>
      <c r="M270" s="351" t="e">
        <f>Проект!#REF!</f>
        <v>#REF!</v>
      </c>
      <c r="N270" s="351" t="e">
        <f>Проект!#REF!</f>
        <v>#REF!</v>
      </c>
      <c r="O270" s="351" t="e">
        <f>Проект!#REF!</f>
        <v>#REF!</v>
      </c>
      <c r="P270" s="351" t="e">
        <f>Проект!#REF!</f>
        <v>#REF!</v>
      </c>
      <c r="Q270" s="351" t="e">
        <f>Проект!#REF!</f>
        <v>#REF!</v>
      </c>
      <c r="R270" s="48"/>
      <c r="S270" s="41"/>
    </row>
    <row r="271" spans="1:19" ht="11.25" customHeight="1" x14ac:dyDescent="0.2">
      <c r="A271" s="333" t="e">
        <f>Проект!#REF!</f>
        <v>#REF!</v>
      </c>
      <c r="B271" s="350" t="e">
        <f>Проект!#REF!</f>
        <v>#REF!</v>
      </c>
      <c r="C271" s="334" t="e">
        <f>Проект!#REF!</f>
        <v>#REF!</v>
      </c>
      <c r="D271" s="74" t="e">
        <f>Проект!#REF!</f>
        <v>#REF!</v>
      </c>
      <c r="E271" s="48"/>
      <c r="F271" s="351" t="e">
        <f>Проект!#REF!</f>
        <v>#REF!</v>
      </c>
      <c r="G271" s="351" t="e">
        <f>Проект!#REF!</f>
        <v>#REF!</v>
      </c>
      <c r="H271" s="351" t="e">
        <f>Проект!#REF!</f>
        <v>#REF!</v>
      </c>
      <c r="I271" s="351" t="e">
        <f>Проект!#REF!</f>
        <v>#REF!</v>
      </c>
      <c r="J271" s="351" t="e">
        <f>Проект!#REF!</f>
        <v>#REF!</v>
      </c>
      <c r="K271" s="351" t="e">
        <f>Проект!#REF!</f>
        <v>#REF!</v>
      </c>
      <c r="L271" s="351" t="e">
        <f>Проект!#REF!</f>
        <v>#REF!</v>
      </c>
      <c r="M271" s="351" t="e">
        <f>Проект!#REF!</f>
        <v>#REF!</v>
      </c>
      <c r="N271" s="351" t="e">
        <f>Проект!#REF!</f>
        <v>#REF!</v>
      </c>
      <c r="O271" s="351" t="e">
        <f>Проект!#REF!</f>
        <v>#REF!</v>
      </c>
      <c r="P271" s="351" t="e">
        <f>Проект!#REF!</f>
        <v>#REF!</v>
      </c>
      <c r="Q271" s="351" t="e">
        <f>Проект!#REF!</f>
        <v>#REF!</v>
      </c>
      <c r="R271" s="48"/>
      <c r="S271" s="41"/>
    </row>
    <row r="272" spans="1:19" ht="11.25" customHeight="1" x14ac:dyDescent="0.2">
      <c r="A272" s="333" t="e">
        <f>Проект!#REF!</f>
        <v>#REF!</v>
      </c>
      <c r="B272" s="350" t="e">
        <f>Проект!#REF!</f>
        <v>#REF!</v>
      </c>
      <c r="C272" s="334" t="e">
        <f>Проект!#REF!</f>
        <v>#REF!</v>
      </c>
      <c r="D272" s="74" t="e">
        <f>Проект!#REF!</f>
        <v>#REF!</v>
      </c>
      <c r="E272" s="48"/>
      <c r="F272" s="351" t="e">
        <f>Проект!#REF!</f>
        <v>#REF!</v>
      </c>
      <c r="G272" s="351" t="e">
        <f>Проект!#REF!</f>
        <v>#REF!</v>
      </c>
      <c r="H272" s="351" t="e">
        <f>Проект!#REF!</f>
        <v>#REF!</v>
      </c>
      <c r="I272" s="351" t="e">
        <f>Проект!#REF!</f>
        <v>#REF!</v>
      </c>
      <c r="J272" s="351" t="e">
        <f>Проект!#REF!</f>
        <v>#REF!</v>
      </c>
      <c r="K272" s="351" t="e">
        <f>Проект!#REF!</f>
        <v>#REF!</v>
      </c>
      <c r="L272" s="351" t="e">
        <f>Проект!#REF!</f>
        <v>#REF!</v>
      </c>
      <c r="M272" s="351" t="e">
        <f>Проект!#REF!</f>
        <v>#REF!</v>
      </c>
      <c r="N272" s="351" t="e">
        <f>Проект!#REF!</f>
        <v>#REF!</v>
      </c>
      <c r="O272" s="351" t="e">
        <f>Проект!#REF!</f>
        <v>#REF!</v>
      </c>
      <c r="P272" s="351" t="e">
        <f>Проект!#REF!</f>
        <v>#REF!</v>
      </c>
      <c r="Q272" s="351" t="e">
        <f>Проект!#REF!</f>
        <v>#REF!</v>
      </c>
      <c r="R272" s="48"/>
      <c r="S272" s="41"/>
    </row>
    <row r="273" spans="1:19" ht="11.25" customHeight="1" x14ac:dyDescent="0.2">
      <c r="A273" s="333" t="e">
        <f>Проект!#REF!</f>
        <v>#REF!</v>
      </c>
      <c r="B273" s="350" t="e">
        <f>Проект!#REF!</f>
        <v>#REF!</v>
      </c>
      <c r="C273" s="334" t="e">
        <f>Проект!#REF!</f>
        <v>#REF!</v>
      </c>
      <c r="D273" s="74" t="e">
        <f>Проект!#REF!</f>
        <v>#REF!</v>
      </c>
      <c r="E273" s="48"/>
      <c r="F273" s="351" t="e">
        <f>Проект!#REF!</f>
        <v>#REF!</v>
      </c>
      <c r="G273" s="351" t="e">
        <f>Проект!#REF!</f>
        <v>#REF!</v>
      </c>
      <c r="H273" s="351" t="e">
        <f>Проект!#REF!</f>
        <v>#REF!</v>
      </c>
      <c r="I273" s="351" t="e">
        <f>Проект!#REF!</f>
        <v>#REF!</v>
      </c>
      <c r="J273" s="351" t="e">
        <f>Проект!#REF!</f>
        <v>#REF!</v>
      </c>
      <c r="K273" s="351" t="e">
        <f>Проект!#REF!</f>
        <v>#REF!</v>
      </c>
      <c r="L273" s="351" t="e">
        <f>Проект!#REF!</f>
        <v>#REF!</v>
      </c>
      <c r="M273" s="351" t="e">
        <f>Проект!#REF!</f>
        <v>#REF!</v>
      </c>
      <c r="N273" s="351" t="e">
        <f>Проект!#REF!</f>
        <v>#REF!</v>
      </c>
      <c r="O273" s="351" t="e">
        <f>Проект!#REF!</f>
        <v>#REF!</v>
      </c>
      <c r="P273" s="351" t="e">
        <f>Проект!#REF!</f>
        <v>#REF!</v>
      </c>
      <c r="Q273" s="351" t="e">
        <f>Проект!#REF!</f>
        <v>#REF!</v>
      </c>
      <c r="R273" s="48"/>
      <c r="S273" s="41"/>
    </row>
    <row r="274" spans="1:19" ht="11.25" customHeight="1" x14ac:dyDescent="0.2">
      <c r="A274" s="333" t="e">
        <f>Проект!#REF!</f>
        <v>#REF!</v>
      </c>
      <c r="B274" s="350" t="e">
        <f>Проект!#REF!</f>
        <v>#REF!</v>
      </c>
      <c r="C274" s="334" t="e">
        <f>Проект!#REF!</f>
        <v>#REF!</v>
      </c>
      <c r="D274" s="74" t="e">
        <f>Проект!#REF!</f>
        <v>#REF!</v>
      </c>
      <c r="E274" s="48"/>
      <c r="F274" s="351" t="e">
        <f>Проект!#REF!</f>
        <v>#REF!</v>
      </c>
      <c r="G274" s="351" t="e">
        <f>Проект!#REF!</f>
        <v>#REF!</v>
      </c>
      <c r="H274" s="351" t="e">
        <f>Проект!#REF!</f>
        <v>#REF!</v>
      </c>
      <c r="I274" s="351" t="e">
        <f>Проект!#REF!</f>
        <v>#REF!</v>
      </c>
      <c r="J274" s="351" t="e">
        <f>Проект!#REF!</f>
        <v>#REF!</v>
      </c>
      <c r="K274" s="351" t="e">
        <f>Проект!#REF!</f>
        <v>#REF!</v>
      </c>
      <c r="L274" s="351" t="e">
        <f>Проект!#REF!</f>
        <v>#REF!</v>
      </c>
      <c r="M274" s="351" t="e">
        <f>Проект!#REF!</f>
        <v>#REF!</v>
      </c>
      <c r="N274" s="351" t="e">
        <f>Проект!#REF!</f>
        <v>#REF!</v>
      </c>
      <c r="O274" s="351" t="e">
        <f>Проект!#REF!</f>
        <v>#REF!</v>
      </c>
      <c r="P274" s="351" t="e">
        <f>Проект!#REF!</f>
        <v>#REF!</v>
      </c>
      <c r="Q274" s="351" t="e">
        <f>Проект!#REF!</f>
        <v>#REF!</v>
      </c>
      <c r="R274" s="48"/>
      <c r="S274" s="41"/>
    </row>
    <row r="275" spans="1:19" ht="11.25" customHeight="1" x14ac:dyDescent="0.2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1"/>
    </row>
    <row r="278" spans="1:19" ht="16" customHeight="1" thickBot="1" x14ac:dyDescent="0.25">
      <c r="A278" s="166" t="str">
        <f ca="1">Проект!$A$549</f>
        <v xml:space="preserve">         ОБЪЕМЫ РЕАЛИЗАЦИИ (в единицах)</v>
      </c>
      <c r="B278" s="166"/>
      <c r="C278" s="166"/>
      <c r="D278" s="166"/>
      <c r="E278" s="166"/>
      <c r="F278" s="178" t="str">
        <f>Проект!$F$549</f>
        <v>4/ 2024</v>
      </c>
      <c r="G278" s="178" t="str">
        <f>Проект!$G$549</f>
        <v>5/ 2024</v>
      </c>
      <c r="H278" s="178" t="str">
        <f>Проект!$H$549</f>
        <v>6/ 2024</v>
      </c>
      <c r="I278" s="178" t="str">
        <f>Проект!$I$549</f>
        <v>7/ 2024</v>
      </c>
      <c r="J278" s="178" t="str">
        <f>Проект!$J$549</f>
        <v>8/ 2024</v>
      </c>
      <c r="K278" s="178" t="str">
        <f>Проект!$K$549</f>
        <v>9/ 2024</v>
      </c>
      <c r="L278" s="178" t="str">
        <f>Проект!$L$549</f>
        <v>10/ 2024</v>
      </c>
      <c r="M278" s="178" t="str">
        <f>Проект!$M$549</f>
        <v>11/ 2024</v>
      </c>
      <c r="N278" s="178" t="e">
        <f>Проект!#REF!</f>
        <v>#REF!</v>
      </c>
      <c r="O278" s="178" t="e">
        <f>Проект!#REF!</f>
        <v>#REF!</v>
      </c>
      <c r="P278" s="178" t="e">
        <f>Проект!#REF!</f>
        <v>#REF!</v>
      </c>
      <c r="Q278" s="178" t="str">
        <f>Проект!$Q$549</f>
        <v>3/ 2025</v>
      </c>
      <c r="R278" s="166"/>
      <c r="S278" s="195" t="str">
        <f ca="1">Проект!$S$549</f>
        <v>ИТОГО</v>
      </c>
    </row>
    <row r="279" spans="1:19" ht="12" customHeight="1" thickTop="1" x14ac:dyDescent="0.2">
      <c r="A279" s="48"/>
      <c r="B279" s="48"/>
      <c r="C279" s="48"/>
      <c r="D279" s="48">
        <f>Проект!$D$550</f>
        <v>0</v>
      </c>
      <c r="E279" s="48">
        <f>Проект!$E$550</f>
        <v>1</v>
      </c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1"/>
    </row>
    <row r="280" spans="1:19" ht="11.25" customHeight="1" x14ac:dyDescent="0.2">
      <c r="A280" s="48" t="str">
        <f>Проект!$A$551</f>
        <v>Наименование товара</v>
      </c>
      <c r="B280" s="330"/>
      <c r="C280" s="73" t="str">
        <f>Проект!$C$551</f>
        <v>шт</v>
      </c>
      <c r="D280" s="48"/>
      <c r="E280" s="48"/>
      <c r="F280" s="352">
        <f>Проект!$F$551</f>
        <v>0</v>
      </c>
      <c r="G280" s="352">
        <f>Проект!$G$551</f>
        <v>0</v>
      </c>
      <c r="H280" s="352">
        <f>Проект!$H$551</f>
        <v>0</v>
      </c>
      <c r="I280" s="352">
        <f>Проект!$I$551</f>
        <v>0</v>
      </c>
      <c r="J280" s="352">
        <f>Проект!$J$551</f>
        <v>0</v>
      </c>
      <c r="K280" s="352">
        <f>Проект!$K$551</f>
        <v>0</v>
      </c>
      <c r="L280" s="352">
        <f>Проект!$L$551</f>
        <v>0</v>
      </c>
      <c r="M280" s="352">
        <f>Проект!$M$551</f>
        <v>0</v>
      </c>
      <c r="N280" s="352" t="e">
        <f>Проект!#REF!</f>
        <v>#REF!</v>
      </c>
      <c r="O280" s="352" t="e">
        <f>Проект!#REF!</f>
        <v>#REF!</v>
      </c>
      <c r="P280" s="352" t="e">
        <f>Проект!#REF!</f>
        <v>#REF!</v>
      </c>
      <c r="Q280" s="352">
        <f>Проект!$Q$551</f>
        <v>0</v>
      </c>
      <c r="R280" s="106"/>
      <c r="S280" s="95">
        <f>Проект!$S$551</f>
        <v>0</v>
      </c>
    </row>
    <row r="281" spans="1:19" ht="11.25" customHeight="1" x14ac:dyDescent="0.2">
      <c r="A281" s="48" t="e">
        <f>Проект!#REF!</f>
        <v>#REF!</v>
      </c>
      <c r="B281" s="330"/>
      <c r="C281" s="73" t="e">
        <f>Проект!#REF!</f>
        <v>#REF!</v>
      </c>
      <c r="D281" s="48"/>
      <c r="E281" s="48"/>
      <c r="F281" s="352" t="e">
        <f>Проект!#REF!</f>
        <v>#REF!</v>
      </c>
      <c r="G281" s="352" t="e">
        <f>Проект!#REF!</f>
        <v>#REF!</v>
      </c>
      <c r="H281" s="352" t="e">
        <f>Проект!#REF!</f>
        <v>#REF!</v>
      </c>
      <c r="I281" s="352" t="e">
        <f>Проект!#REF!</f>
        <v>#REF!</v>
      </c>
      <c r="J281" s="352" t="e">
        <f>Проект!#REF!</f>
        <v>#REF!</v>
      </c>
      <c r="K281" s="352" t="e">
        <f>Проект!#REF!</f>
        <v>#REF!</v>
      </c>
      <c r="L281" s="352" t="e">
        <f>Проект!#REF!</f>
        <v>#REF!</v>
      </c>
      <c r="M281" s="352" t="e">
        <f>Проект!#REF!</f>
        <v>#REF!</v>
      </c>
      <c r="N281" s="352" t="e">
        <f>Проект!#REF!</f>
        <v>#REF!</v>
      </c>
      <c r="O281" s="352" t="e">
        <f>Проект!#REF!</f>
        <v>#REF!</v>
      </c>
      <c r="P281" s="352" t="e">
        <f>Проект!#REF!</f>
        <v>#REF!</v>
      </c>
      <c r="Q281" s="352" t="e">
        <f>Проект!#REF!</f>
        <v>#REF!</v>
      </c>
      <c r="R281" s="106"/>
      <c r="S281" s="95" t="e">
        <f>Проект!#REF!</f>
        <v>#REF!</v>
      </c>
    </row>
    <row r="282" spans="1:19" ht="11.25" customHeight="1" x14ac:dyDescent="0.2">
      <c r="A282" s="48" t="e">
        <f>Проект!#REF!</f>
        <v>#REF!</v>
      </c>
      <c r="B282" s="330"/>
      <c r="C282" s="73" t="e">
        <f>Проект!#REF!</f>
        <v>#REF!</v>
      </c>
      <c r="D282" s="48"/>
      <c r="E282" s="48"/>
      <c r="F282" s="352" t="e">
        <f>Проект!#REF!</f>
        <v>#REF!</v>
      </c>
      <c r="G282" s="352" t="e">
        <f>Проект!#REF!</f>
        <v>#REF!</v>
      </c>
      <c r="H282" s="352" t="e">
        <f>Проект!#REF!</f>
        <v>#REF!</v>
      </c>
      <c r="I282" s="352" t="e">
        <f>Проект!#REF!</f>
        <v>#REF!</v>
      </c>
      <c r="J282" s="352" t="e">
        <f>Проект!#REF!</f>
        <v>#REF!</v>
      </c>
      <c r="K282" s="352" t="e">
        <f>Проект!#REF!</f>
        <v>#REF!</v>
      </c>
      <c r="L282" s="352" t="e">
        <f>Проект!#REF!</f>
        <v>#REF!</v>
      </c>
      <c r="M282" s="352" t="e">
        <f>Проект!#REF!</f>
        <v>#REF!</v>
      </c>
      <c r="N282" s="352" t="e">
        <f>Проект!#REF!</f>
        <v>#REF!</v>
      </c>
      <c r="O282" s="352" t="e">
        <f>Проект!#REF!</f>
        <v>#REF!</v>
      </c>
      <c r="P282" s="352" t="e">
        <f>Проект!#REF!</f>
        <v>#REF!</v>
      </c>
      <c r="Q282" s="352" t="e">
        <f>Проект!#REF!</f>
        <v>#REF!</v>
      </c>
      <c r="R282" s="106"/>
      <c r="S282" s="95" t="e">
        <f>Проект!#REF!</f>
        <v>#REF!</v>
      </c>
    </row>
    <row r="283" spans="1:19" ht="11.25" customHeight="1" x14ac:dyDescent="0.2">
      <c r="A283" s="48" t="e">
        <f>Проект!#REF!</f>
        <v>#REF!</v>
      </c>
      <c r="B283" s="330"/>
      <c r="C283" s="73" t="e">
        <f>Проект!#REF!</f>
        <v>#REF!</v>
      </c>
      <c r="D283" s="48"/>
      <c r="E283" s="48"/>
      <c r="F283" s="352" t="e">
        <f>Проект!#REF!</f>
        <v>#REF!</v>
      </c>
      <c r="G283" s="352" t="e">
        <f>Проект!#REF!</f>
        <v>#REF!</v>
      </c>
      <c r="H283" s="352" t="e">
        <f>Проект!#REF!</f>
        <v>#REF!</v>
      </c>
      <c r="I283" s="352" t="e">
        <f>Проект!#REF!</f>
        <v>#REF!</v>
      </c>
      <c r="J283" s="352" t="e">
        <f>Проект!#REF!</f>
        <v>#REF!</v>
      </c>
      <c r="K283" s="352" t="e">
        <f>Проект!#REF!</f>
        <v>#REF!</v>
      </c>
      <c r="L283" s="352" t="e">
        <f>Проект!#REF!</f>
        <v>#REF!</v>
      </c>
      <c r="M283" s="352" t="e">
        <f>Проект!#REF!</f>
        <v>#REF!</v>
      </c>
      <c r="N283" s="352" t="e">
        <f>Проект!#REF!</f>
        <v>#REF!</v>
      </c>
      <c r="O283" s="352" t="e">
        <f>Проект!#REF!</f>
        <v>#REF!</v>
      </c>
      <c r="P283" s="352" t="e">
        <f>Проект!#REF!</f>
        <v>#REF!</v>
      </c>
      <c r="Q283" s="352" t="e">
        <f>Проект!#REF!</f>
        <v>#REF!</v>
      </c>
      <c r="R283" s="106"/>
      <c r="S283" s="95" t="e">
        <f>Проект!#REF!</f>
        <v>#REF!</v>
      </c>
    </row>
    <row r="284" spans="1:19" ht="11.25" customHeight="1" x14ac:dyDescent="0.2">
      <c r="A284" s="48" t="e">
        <f>Проект!#REF!</f>
        <v>#REF!</v>
      </c>
      <c r="B284" s="330"/>
      <c r="C284" s="73" t="e">
        <f>Проект!#REF!</f>
        <v>#REF!</v>
      </c>
      <c r="D284" s="48"/>
      <c r="E284" s="48"/>
      <c r="F284" s="352" t="e">
        <f>Проект!#REF!</f>
        <v>#REF!</v>
      </c>
      <c r="G284" s="352" t="e">
        <f>Проект!#REF!</f>
        <v>#REF!</v>
      </c>
      <c r="H284" s="352" t="e">
        <f>Проект!#REF!</f>
        <v>#REF!</v>
      </c>
      <c r="I284" s="352" t="e">
        <f>Проект!#REF!</f>
        <v>#REF!</v>
      </c>
      <c r="J284" s="352" t="e">
        <f>Проект!#REF!</f>
        <v>#REF!</v>
      </c>
      <c r="K284" s="352" t="e">
        <f>Проект!#REF!</f>
        <v>#REF!</v>
      </c>
      <c r="L284" s="352" t="e">
        <f>Проект!#REF!</f>
        <v>#REF!</v>
      </c>
      <c r="M284" s="352" t="e">
        <f>Проект!#REF!</f>
        <v>#REF!</v>
      </c>
      <c r="N284" s="352" t="e">
        <f>Проект!#REF!</f>
        <v>#REF!</v>
      </c>
      <c r="O284" s="352" t="e">
        <f>Проект!#REF!</f>
        <v>#REF!</v>
      </c>
      <c r="P284" s="352" t="e">
        <f>Проект!#REF!</f>
        <v>#REF!</v>
      </c>
      <c r="Q284" s="352" t="e">
        <f>Проект!#REF!</f>
        <v>#REF!</v>
      </c>
      <c r="R284" s="106"/>
      <c r="S284" s="95" t="e">
        <f>Проект!#REF!</f>
        <v>#REF!</v>
      </c>
    </row>
    <row r="285" spans="1:19" ht="11.25" customHeight="1" x14ac:dyDescent="0.2">
      <c r="A285" s="48" t="e">
        <f>Проект!#REF!</f>
        <v>#REF!</v>
      </c>
      <c r="B285" s="330"/>
      <c r="C285" s="73" t="e">
        <f>Проект!#REF!</f>
        <v>#REF!</v>
      </c>
      <c r="D285" s="48"/>
      <c r="E285" s="48"/>
      <c r="F285" s="352" t="e">
        <f>Проект!#REF!</f>
        <v>#REF!</v>
      </c>
      <c r="G285" s="352" t="e">
        <f>Проект!#REF!</f>
        <v>#REF!</v>
      </c>
      <c r="H285" s="352" t="e">
        <f>Проект!#REF!</f>
        <v>#REF!</v>
      </c>
      <c r="I285" s="352" t="e">
        <f>Проект!#REF!</f>
        <v>#REF!</v>
      </c>
      <c r="J285" s="352" t="e">
        <f>Проект!#REF!</f>
        <v>#REF!</v>
      </c>
      <c r="K285" s="352" t="e">
        <f>Проект!#REF!</f>
        <v>#REF!</v>
      </c>
      <c r="L285" s="352" t="e">
        <f>Проект!#REF!</f>
        <v>#REF!</v>
      </c>
      <c r="M285" s="352" t="e">
        <f>Проект!#REF!</f>
        <v>#REF!</v>
      </c>
      <c r="N285" s="352" t="e">
        <f>Проект!#REF!</f>
        <v>#REF!</v>
      </c>
      <c r="O285" s="352" t="e">
        <f>Проект!#REF!</f>
        <v>#REF!</v>
      </c>
      <c r="P285" s="352" t="e">
        <f>Проект!#REF!</f>
        <v>#REF!</v>
      </c>
      <c r="Q285" s="352" t="e">
        <f>Проект!#REF!</f>
        <v>#REF!</v>
      </c>
      <c r="R285" s="106"/>
      <c r="S285" s="95" t="e">
        <f>Проект!#REF!</f>
        <v>#REF!</v>
      </c>
    </row>
    <row r="286" spans="1:19" ht="11.25" customHeight="1" x14ac:dyDescent="0.2">
      <c r="A286" s="48" t="e">
        <f>Проект!#REF!</f>
        <v>#REF!</v>
      </c>
      <c r="B286" s="330"/>
      <c r="C286" s="73" t="e">
        <f>Проект!#REF!</f>
        <v>#REF!</v>
      </c>
      <c r="D286" s="48"/>
      <c r="E286" s="48"/>
      <c r="F286" s="352" t="e">
        <f>Проект!#REF!</f>
        <v>#REF!</v>
      </c>
      <c r="G286" s="352" t="e">
        <f>Проект!#REF!</f>
        <v>#REF!</v>
      </c>
      <c r="H286" s="352" t="e">
        <f>Проект!#REF!</f>
        <v>#REF!</v>
      </c>
      <c r="I286" s="352" t="e">
        <f>Проект!#REF!</f>
        <v>#REF!</v>
      </c>
      <c r="J286" s="352" t="e">
        <f>Проект!#REF!</f>
        <v>#REF!</v>
      </c>
      <c r="K286" s="352" t="e">
        <f>Проект!#REF!</f>
        <v>#REF!</v>
      </c>
      <c r="L286" s="352" t="e">
        <f>Проект!#REF!</f>
        <v>#REF!</v>
      </c>
      <c r="M286" s="352" t="e">
        <f>Проект!#REF!</f>
        <v>#REF!</v>
      </c>
      <c r="N286" s="352" t="e">
        <f>Проект!#REF!</f>
        <v>#REF!</v>
      </c>
      <c r="O286" s="352" t="e">
        <f>Проект!#REF!</f>
        <v>#REF!</v>
      </c>
      <c r="P286" s="352" t="e">
        <f>Проект!#REF!</f>
        <v>#REF!</v>
      </c>
      <c r="Q286" s="352" t="e">
        <f>Проект!#REF!</f>
        <v>#REF!</v>
      </c>
      <c r="R286" s="106"/>
      <c r="S286" s="95" t="e">
        <f>Проект!#REF!</f>
        <v>#REF!</v>
      </c>
    </row>
    <row r="287" spans="1:19" ht="11.25" customHeight="1" x14ac:dyDescent="0.2">
      <c r="A287" s="48" t="e">
        <f>Проект!#REF!</f>
        <v>#REF!</v>
      </c>
      <c r="B287" s="330"/>
      <c r="C287" s="73" t="e">
        <f>Проект!#REF!</f>
        <v>#REF!</v>
      </c>
      <c r="D287" s="48"/>
      <c r="E287" s="48"/>
      <c r="F287" s="352" t="e">
        <f>Проект!#REF!</f>
        <v>#REF!</v>
      </c>
      <c r="G287" s="352" t="e">
        <f>Проект!#REF!</f>
        <v>#REF!</v>
      </c>
      <c r="H287" s="352" t="e">
        <f>Проект!#REF!</f>
        <v>#REF!</v>
      </c>
      <c r="I287" s="352" t="e">
        <f>Проект!#REF!</f>
        <v>#REF!</v>
      </c>
      <c r="J287" s="352" t="e">
        <f>Проект!#REF!</f>
        <v>#REF!</v>
      </c>
      <c r="K287" s="352" t="e">
        <f>Проект!#REF!</f>
        <v>#REF!</v>
      </c>
      <c r="L287" s="352" t="e">
        <f>Проект!#REF!</f>
        <v>#REF!</v>
      </c>
      <c r="M287" s="352" t="e">
        <f>Проект!#REF!</f>
        <v>#REF!</v>
      </c>
      <c r="N287" s="352" t="e">
        <f>Проект!#REF!</f>
        <v>#REF!</v>
      </c>
      <c r="O287" s="352" t="e">
        <f>Проект!#REF!</f>
        <v>#REF!</v>
      </c>
      <c r="P287" s="352" t="e">
        <f>Проект!#REF!</f>
        <v>#REF!</v>
      </c>
      <c r="Q287" s="352" t="e">
        <f>Проект!#REF!</f>
        <v>#REF!</v>
      </c>
      <c r="R287" s="106"/>
      <c r="S287" s="95" t="e">
        <f>Проект!#REF!</f>
        <v>#REF!</v>
      </c>
    </row>
    <row r="288" spans="1:19" ht="11.25" customHeight="1" x14ac:dyDescent="0.2">
      <c r="A288" s="41"/>
      <c r="B288" s="72"/>
      <c r="C288" s="73"/>
      <c r="D288" s="74"/>
      <c r="E288" s="48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48"/>
      <c r="S288" s="41"/>
    </row>
    <row r="291" spans="1:19" ht="16" customHeight="1" thickBot="1" x14ac:dyDescent="0.25">
      <c r="A291" s="166" t="str">
        <f ca="1">Проект!$A$599</f>
        <v xml:space="preserve">         ДОХОДЫ ОТ ПРОДАЖ</v>
      </c>
      <c r="B291" s="166"/>
      <c r="C291" s="166"/>
      <c r="D291" s="166"/>
      <c r="E291" s="166"/>
      <c r="F291" s="178" t="str">
        <f>Проект!$F$599</f>
        <v>4/ 2024</v>
      </c>
      <c r="G291" s="178" t="str">
        <f>Проект!$G$599</f>
        <v>5/ 2024</v>
      </c>
      <c r="H291" s="178" t="str">
        <f>Проект!$H$599</f>
        <v>6/ 2024</v>
      </c>
      <c r="I291" s="178" t="str">
        <f>Проект!$I$599</f>
        <v>7/ 2024</v>
      </c>
      <c r="J291" s="178" t="str">
        <f>Проект!$J$599</f>
        <v>8/ 2024</v>
      </c>
      <c r="K291" s="178" t="str">
        <f>Проект!$K$599</f>
        <v>9/ 2024</v>
      </c>
      <c r="L291" s="178" t="str">
        <f>Проект!$L$599</f>
        <v>10/ 2024</v>
      </c>
      <c r="M291" s="178" t="str">
        <f>Проект!$M$599</f>
        <v>11/ 2024</v>
      </c>
      <c r="N291" s="178" t="e">
        <f>Проект!#REF!</f>
        <v>#REF!</v>
      </c>
      <c r="O291" s="178" t="e">
        <f>Проект!#REF!</f>
        <v>#REF!</v>
      </c>
      <c r="P291" s="178" t="e">
        <f>Проект!#REF!</f>
        <v>#REF!</v>
      </c>
      <c r="Q291" s="178" t="str">
        <f>Проект!$Q$599</f>
        <v>3/ 2025</v>
      </c>
      <c r="R291" s="166"/>
      <c r="S291" s="195" t="str">
        <f ca="1">Проект!$S$599</f>
        <v>ИТОГО</v>
      </c>
    </row>
    <row r="292" spans="1:19" ht="12" customHeight="1" thickTop="1" x14ac:dyDescent="0.2">
      <c r="A292" s="48"/>
      <c r="B292" s="48"/>
      <c r="C292" s="48"/>
      <c r="D292" s="48">
        <f>Проект!$D$600</f>
        <v>0</v>
      </c>
      <c r="E292" s="48">
        <f>Проект!$E$600</f>
        <v>8</v>
      </c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1"/>
    </row>
    <row r="293" spans="1:19" ht="11.25" customHeight="1" x14ac:dyDescent="0.2">
      <c r="A293" s="48" t="str">
        <f>Проект!$A$601</f>
        <v>Наименование товара</v>
      </c>
      <c r="B293" s="48"/>
      <c r="C293" s="73" t="str">
        <f ca="1">Проект!$C$601</f>
        <v>руб.</v>
      </c>
      <c r="D293" s="74" t="str">
        <f>Проект!$D$601</f>
        <v>1_01</v>
      </c>
      <c r="E293" s="48"/>
      <c r="F293" s="83">
        <f>Проект!$F$601</f>
        <v>0</v>
      </c>
      <c r="G293" s="83">
        <f>Проект!$G$601</f>
        <v>0</v>
      </c>
      <c r="H293" s="83">
        <f>Проект!$H$601</f>
        <v>0</v>
      </c>
      <c r="I293" s="83">
        <f>Проект!$I$601</f>
        <v>0</v>
      </c>
      <c r="J293" s="83">
        <f>Проект!$J$601</f>
        <v>0</v>
      </c>
      <c r="K293" s="83">
        <f>Проект!$K$601</f>
        <v>0</v>
      </c>
      <c r="L293" s="83">
        <f>Проект!$L$601</f>
        <v>0</v>
      </c>
      <c r="M293" s="83">
        <f>Проект!$M$601</f>
        <v>0</v>
      </c>
      <c r="N293" s="83" t="e">
        <f>Проект!#REF!</f>
        <v>#REF!</v>
      </c>
      <c r="O293" s="83" t="e">
        <f>Проект!#REF!</f>
        <v>#REF!</v>
      </c>
      <c r="P293" s="83" t="e">
        <f>Проект!#REF!</f>
        <v>#REF!</v>
      </c>
      <c r="Q293" s="83">
        <f>Проект!$Q$601</f>
        <v>0</v>
      </c>
      <c r="R293" s="48"/>
      <c r="S293" s="95">
        <f>Проект!$S$601</f>
        <v>0</v>
      </c>
    </row>
    <row r="294" spans="1:19" hidden="1" x14ac:dyDescent="0.2">
      <c r="A294" s="48" t="str">
        <f ca="1">Проект!$A$602</f>
        <v xml:space="preserve">    к оплате от покупателей (без НДС)</v>
      </c>
      <c r="B294" s="48"/>
      <c r="C294" s="73" t="str">
        <f ca="1">Проект!$C$602</f>
        <v>руб.</v>
      </c>
      <c r="D294" s="48" t="str">
        <f>Проект!$D$602</f>
        <v>1_02</v>
      </c>
      <c r="E294" s="48"/>
      <c r="F294" s="84">
        <f>Проект!$F$602</f>
        <v>0</v>
      </c>
      <c r="G294" s="84">
        <f>Проект!$G$602</f>
        <v>0</v>
      </c>
      <c r="H294" s="84">
        <f>Проект!$H$602</f>
        <v>0</v>
      </c>
      <c r="I294" s="84">
        <f>Проект!$I$602</f>
        <v>0</v>
      </c>
      <c r="J294" s="84">
        <f>Проект!$J$602</f>
        <v>0</v>
      </c>
      <c r="K294" s="84">
        <f>Проект!$K$602</f>
        <v>0</v>
      </c>
      <c r="L294" s="84">
        <f>Проект!$L$602</f>
        <v>0</v>
      </c>
      <c r="M294" s="84">
        <f>Проект!$M$602</f>
        <v>0</v>
      </c>
      <c r="N294" s="84" t="e">
        <f>Проект!#REF!</f>
        <v>#REF!</v>
      </c>
      <c r="O294" s="84" t="e">
        <f>Проект!#REF!</f>
        <v>#REF!</v>
      </c>
      <c r="P294" s="84" t="e">
        <f>Проект!#REF!</f>
        <v>#REF!</v>
      </c>
      <c r="Q294" s="84">
        <f>Проект!$Q$602</f>
        <v>0</v>
      </c>
      <c r="R294" s="48"/>
      <c r="S294" s="94">
        <f>Проект!$S$602</f>
        <v>0</v>
      </c>
    </row>
    <row r="295" spans="1:19" hidden="1" x14ac:dyDescent="0.2">
      <c r="A295" s="48" t="str">
        <f ca="1">Проект!$A$603</f>
        <v xml:space="preserve">    в т.ч. акцизов, налогов и пошлин</v>
      </c>
      <c r="B295" s="48"/>
      <c r="C295" s="73" t="str">
        <f ca="1">Проект!$C$603</f>
        <v>руб.</v>
      </c>
      <c r="D295" s="48" t="str">
        <f>Проект!$D$603</f>
        <v>1_03</v>
      </c>
      <c r="E295" s="48"/>
      <c r="F295" s="84">
        <f>Проект!$F$603</f>
        <v>0</v>
      </c>
      <c r="G295" s="84">
        <f>Проект!$G$603</f>
        <v>0</v>
      </c>
      <c r="H295" s="84">
        <f>Проект!$H$603</f>
        <v>0</v>
      </c>
      <c r="I295" s="84">
        <f>Проект!$I$603</f>
        <v>0</v>
      </c>
      <c r="J295" s="84">
        <f>Проект!$J$603</f>
        <v>0</v>
      </c>
      <c r="K295" s="84">
        <f>Проект!$K$603</f>
        <v>0</v>
      </c>
      <c r="L295" s="84">
        <f>Проект!$L$603</f>
        <v>0</v>
      </c>
      <c r="M295" s="84">
        <f>Проект!$M$603</f>
        <v>0</v>
      </c>
      <c r="N295" s="84" t="e">
        <f>Проект!#REF!</f>
        <v>#REF!</v>
      </c>
      <c r="O295" s="84" t="e">
        <f>Проект!#REF!</f>
        <v>#REF!</v>
      </c>
      <c r="P295" s="84" t="e">
        <f>Проект!#REF!</f>
        <v>#REF!</v>
      </c>
      <c r="Q295" s="84">
        <f>Проект!$Q$603</f>
        <v>0</v>
      </c>
      <c r="R295" s="48"/>
      <c r="S295" s="94">
        <f>Проект!$S$603</f>
        <v>0</v>
      </c>
    </row>
    <row r="296" spans="1:19" hidden="1" x14ac:dyDescent="0.2">
      <c r="A296" s="48" t="str">
        <f ca="1">Проект!$A$604</f>
        <v xml:space="preserve">    НДС на поставленную продукцию</v>
      </c>
      <c r="B296" s="48"/>
      <c r="C296" s="73" t="str">
        <f ca="1">Проект!$C$604</f>
        <v>руб.</v>
      </c>
      <c r="D296" s="48" t="str">
        <f>Проект!$D$604</f>
        <v>1_08</v>
      </c>
      <c r="E296" s="48"/>
      <c r="F296" s="84">
        <f>Проект!$F$604</f>
        <v>0</v>
      </c>
      <c r="G296" s="84">
        <f>Проект!$G$604</f>
        <v>0</v>
      </c>
      <c r="H296" s="84">
        <f>Проект!$H$604</f>
        <v>0</v>
      </c>
      <c r="I296" s="84">
        <f>Проект!$I$604</f>
        <v>0</v>
      </c>
      <c r="J296" s="84">
        <f>Проект!$J$604</f>
        <v>0</v>
      </c>
      <c r="K296" s="84">
        <f>Проект!$K$604</f>
        <v>0</v>
      </c>
      <c r="L296" s="84">
        <f>Проект!$L$604</f>
        <v>0</v>
      </c>
      <c r="M296" s="84">
        <f>Проект!$M$604</f>
        <v>0</v>
      </c>
      <c r="N296" s="84" t="e">
        <f>Проект!#REF!</f>
        <v>#REF!</v>
      </c>
      <c r="O296" s="84" t="e">
        <f>Проект!#REF!</f>
        <v>#REF!</v>
      </c>
      <c r="P296" s="84" t="e">
        <f>Проект!#REF!</f>
        <v>#REF!</v>
      </c>
      <c r="Q296" s="84">
        <f>Проект!$Q$604</f>
        <v>0</v>
      </c>
      <c r="R296" s="48"/>
      <c r="S296" s="94">
        <f>Проект!$S$604</f>
        <v>0</v>
      </c>
    </row>
    <row r="297" spans="1:19" hidden="1" x14ac:dyDescent="0.2">
      <c r="A297" s="48" t="str">
        <f ca="1">Проект!$A$605</f>
        <v xml:space="preserve">    график оплаты (без НДС)</v>
      </c>
      <c r="B297" s="48"/>
      <c r="C297" s="73" t="str">
        <f ca="1">Проект!$C$605</f>
        <v>руб.</v>
      </c>
      <c r="D297" s="48" t="str">
        <f>Проект!$D$605</f>
        <v>1_04</v>
      </c>
      <c r="E297" s="48"/>
      <c r="F297" s="341">
        <f>Проект!$F$605</f>
        <v>0</v>
      </c>
      <c r="G297" s="341">
        <f>Проект!$G$605</f>
        <v>0</v>
      </c>
      <c r="H297" s="341">
        <f>Проект!$H$605</f>
        <v>0</v>
      </c>
      <c r="I297" s="341">
        <f>Проект!$I$605</f>
        <v>0</v>
      </c>
      <c r="J297" s="341">
        <f>Проект!$J$605</f>
        <v>0</v>
      </c>
      <c r="K297" s="341">
        <f>Проект!$K$605</f>
        <v>0</v>
      </c>
      <c r="L297" s="341">
        <f>Проект!$L$605</f>
        <v>0</v>
      </c>
      <c r="M297" s="341">
        <f>Проект!$M$605</f>
        <v>0</v>
      </c>
      <c r="N297" s="341" t="e">
        <f>Проект!#REF!</f>
        <v>#REF!</v>
      </c>
      <c r="O297" s="341" t="e">
        <f>Проект!#REF!</f>
        <v>#REF!</v>
      </c>
      <c r="P297" s="341" t="e">
        <f>Проект!#REF!</f>
        <v>#REF!</v>
      </c>
      <c r="Q297" s="341">
        <f>Проект!$Q$605</f>
        <v>0</v>
      </c>
      <c r="R297" s="48"/>
      <c r="S297" s="94">
        <f>Проект!$S$605</f>
        <v>0</v>
      </c>
    </row>
    <row r="298" spans="1:19" hidden="1" x14ac:dyDescent="0.2">
      <c r="A298" s="48" t="str">
        <f ca="1">Проект!$A$606</f>
        <v xml:space="preserve">    полученный НДС</v>
      </c>
      <c r="B298" s="48"/>
      <c r="C298" s="73" t="str">
        <f ca="1">Проект!$C$606</f>
        <v>руб.</v>
      </c>
      <c r="D298" s="48" t="str">
        <f>Проект!$D$606</f>
        <v>1_05</v>
      </c>
      <c r="E298" s="48"/>
      <c r="F298" s="84">
        <f>Проект!$F$606</f>
        <v>0</v>
      </c>
      <c r="G298" s="84">
        <f>Проект!$G$606</f>
        <v>0</v>
      </c>
      <c r="H298" s="84">
        <f>Проект!$H$606</f>
        <v>0</v>
      </c>
      <c r="I298" s="84">
        <f>Проект!$I$606</f>
        <v>0</v>
      </c>
      <c r="J298" s="84">
        <f>Проект!$J$606</f>
        <v>0</v>
      </c>
      <c r="K298" s="84">
        <f>Проект!$K$606</f>
        <v>0</v>
      </c>
      <c r="L298" s="84">
        <f>Проект!$L$606</f>
        <v>0</v>
      </c>
      <c r="M298" s="84">
        <f>Проект!$M$606</f>
        <v>0</v>
      </c>
      <c r="N298" s="84" t="e">
        <f>Проект!#REF!</f>
        <v>#REF!</v>
      </c>
      <c r="O298" s="84" t="e">
        <f>Проект!#REF!</f>
        <v>#REF!</v>
      </c>
      <c r="P298" s="84" t="e">
        <f>Проект!#REF!</f>
        <v>#REF!</v>
      </c>
      <c r="Q298" s="84">
        <f>Проект!$Q$606</f>
        <v>0</v>
      </c>
      <c r="R298" s="48"/>
      <c r="S298" s="94">
        <f>Проект!$S$606</f>
        <v>0</v>
      </c>
    </row>
    <row r="299" spans="1:19" hidden="1" x14ac:dyDescent="0.2">
      <c r="A299" s="48" t="str">
        <f ca="1">Проект!$A$607</f>
        <v xml:space="preserve">    дебиторская задолженность</v>
      </c>
      <c r="B299" s="48"/>
      <c r="C299" s="73" t="str">
        <f ca="1">Проект!$C$607</f>
        <v>руб.</v>
      </c>
      <c r="D299" s="48" t="str">
        <f>Проект!$D$607</f>
        <v>1_06;int_end</v>
      </c>
      <c r="E299" s="48"/>
      <c r="F299" s="84">
        <f>Проект!$F$607</f>
        <v>0</v>
      </c>
      <c r="G299" s="84">
        <f>Проект!$G$607</f>
        <v>0</v>
      </c>
      <c r="H299" s="84">
        <f>Проект!$H$607</f>
        <v>0</v>
      </c>
      <c r="I299" s="84">
        <f>Проект!$I$607</f>
        <v>0</v>
      </c>
      <c r="J299" s="84">
        <f>Проект!$J$607</f>
        <v>0</v>
      </c>
      <c r="K299" s="84">
        <f>Проект!$K$607</f>
        <v>0</v>
      </c>
      <c r="L299" s="84">
        <f>Проект!$L$607</f>
        <v>0</v>
      </c>
      <c r="M299" s="84">
        <f>Проект!$M$607</f>
        <v>0</v>
      </c>
      <c r="N299" s="84" t="e">
        <f>Проект!#REF!</f>
        <v>#REF!</v>
      </c>
      <c r="O299" s="84" t="e">
        <f>Проект!#REF!</f>
        <v>#REF!</v>
      </c>
      <c r="P299" s="84" t="e">
        <f>Проект!#REF!</f>
        <v>#REF!</v>
      </c>
      <c r="Q299" s="84">
        <f>Проект!$Q$607</f>
        <v>0</v>
      </c>
      <c r="R299" s="48"/>
      <c r="S299" s="41"/>
    </row>
    <row r="300" spans="1:19" hidden="1" x14ac:dyDescent="0.2">
      <c r="A300" s="48" t="str">
        <f ca="1">Проект!$A$608</f>
        <v xml:space="preserve">    полученные авансы</v>
      </c>
      <c r="B300" s="48"/>
      <c r="C300" s="73" t="str">
        <f ca="1">Проект!$C$608</f>
        <v>руб.</v>
      </c>
      <c r="D300" s="48" t="str">
        <f>Проект!$D$608</f>
        <v>1_07;int_end</v>
      </c>
      <c r="E300" s="48"/>
      <c r="F300" s="84">
        <f>Проект!$F$608</f>
        <v>0</v>
      </c>
      <c r="G300" s="84">
        <f>Проект!$G$608</f>
        <v>0</v>
      </c>
      <c r="H300" s="84">
        <f>Проект!$H$608</f>
        <v>0</v>
      </c>
      <c r="I300" s="84">
        <f>Проект!$I$608</f>
        <v>0</v>
      </c>
      <c r="J300" s="84">
        <f>Проект!$J$608</f>
        <v>0</v>
      </c>
      <c r="K300" s="84">
        <f>Проект!$K$608</f>
        <v>0</v>
      </c>
      <c r="L300" s="84">
        <f>Проект!$L$608</f>
        <v>0</v>
      </c>
      <c r="M300" s="84">
        <f>Проект!$M$608</f>
        <v>0</v>
      </c>
      <c r="N300" s="84" t="e">
        <f>Проект!#REF!</f>
        <v>#REF!</v>
      </c>
      <c r="O300" s="84" t="e">
        <f>Проект!#REF!</f>
        <v>#REF!</v>
      </c>
      <c r="P300" s="84" t="e">
        <f>Проект!#REF!</f>
        <v>#REF!</v>
      </c>
      <c r="Q300" s="84">
        <f>Проект!$Q$608</f>
        <v>0</v>
      </c>
      <c r="R300" s="48"/>
      <c r="S300" s="41"/>
    </row>
    <row r="301" spans="1:19" ht="11.25" customHeight="1" x14ac:dyDescent="0.2">
      <c r="A301" s="48" t="e">
        <f>Проект!#REF!</f>
        <v>#REF!</v>
      </c>
      <c r="B301" s="48"/>
      <c r="C301" s="73" t="e">
        <f>Проект!#REF!</f>
        <v>#REF!</v>
      </c>
      <c r="D301" s="74" t="e">
        <f>Проект!#REF!</f>
        <v>#REF!</v>
      </c>
      <c r="E301" s="48"/>
      <c r="F301" s="83" t="e">
        <f>Проект!#REF!</f>
        <v>#REF!</v>
      </c>
      <c r="G301" s="83" t="e">
        <f>Проект!#REF!</f>
        <v>#REF!</v>
      </c>
      <c r="H301" s="83" t="e">
        <f>Проект!#REF!</f>
        <v>#REF!</v>
      </c>
      <c r="I301" s="83" t="e">
        <f>Проект!#REF!</f>
        <v>#REF!</v>
      </c>
      <c r="J301" s="83" t="e">
        <f>Проект!#REF!</f>
        <v>#REF!</v>
      </c>
      <c r="K301" s="83" t="e">
        <f>Проект!#REF!</f>
        <v>#REF!</v>
      </c>
      <c r="L301" s="83" t="e">
        <f>Проект!#REF!</f>
        <v>#REF!</v>
      </c>
      <c r="M301" s="83" t="e">
        <f>Проект!#REF!</f>
        <v>#REF!</v>
      </c>
      <c r="N301" s="83" t="e">
        <f>Проект!#REF!</f>
        <v>#REF!</v>
      </c>
      <c r="O301" s="83" t="e">
        <f>Проект!#REF!</f>
        <v>#REF!</v>
      </c>
      <c r="P301" s="83" t="e">
        <f>Проект!#REF!</f>
        <v>#REF!</v>
      </c>
      <c r="Q301" s="83" t="e">
        <f>Проект!#REF!</f>
        <v>#REF!</v>
      </c>
      <c r="R301" s="48"/>
      <c r="S301" s="95" t="e">
        <f>Проект!#REF!</f>
        <v>#REF!</v>
      </c>
    </row>
    <row r="302" spans="1:19" hidden="1" x14ac:dyDescent="0.2">
      <c r="A302" s="48" t="e">
        <f>Проект!#REF!</f>
        <v>#REF!</v>
      </c>
      <c r="B302" s="48"/>
      <c r="C302" s="73" t="e">
        <f>Проект!#REF!</f>
        <v>#REF!</v>
      </c>
      <c r="D302" s="48" t="e">
        <f>Проект!#REF!</f>
        <v>#REF!</v>
      </c>
      <c r="E302" s="48"/>
      <c r="F302" s="84" t="e">
        <f>Проект!#REF!</f>
        <v>#REF!</v>
      </c>
      <c r="G302" s="84" t="e">
        <f>Проект!#REF!</f>
        <v>#REF!</v>
      </c>
      <c r="H302" s="84" t="e">
        <f>Проект!#REF!</f>
        <v>#REF!</v>
      </c>
      <c r="I302" s="84" t="e">
        <f>Проект!#REF!</f>
        <v>#REF!</v>
      </c>
      <c r="J302" s="84" t="e">
        <f>Проект!#REF!</f>
        <v>#REF!</v>
      </c>
      <c r="K302" s="84" t="e">
        <f>Проект!#REF!</f>
        <v>#REF!</v>
      </c>
      <c r="L302" s="84" t="e">
        <f>Проект!#REF!</f>
        <v>#REF!</v>
      </c>
      <c r="M302" s="84" t="e">
        <f>Проект!#REF!</f>
        <v>#REF!</v>
      </c>
      <c r="N302" s="84" t="e">
        <f>Проект!#REF!</f>
        <v>#REF!</v>
      </c>
      <c r="O302" s="84" t="e">
        <f>Проект!#REF!</f>
        <v>#REF!</v>
      </c>
      <c r="P302" s="84" t="e">
        <f>Проект!#REF!</f>
        <v>#REF!</v>
      </c>
      <c r="Q302" s="84" t="e">
        <f>Проект!#REF!</f>
        <v>#REF!</v>
      </c>
      <c r="R302" s="48"/>
      <c r="S302" s="94" t="e">
        <f>Проект!#REF!</f>
        <v>#REF!</v>
      </c>
    </row>
    <row r="303" spans="1:19" hidden="1" x14ac:dyDescent="0.2">
      <c r="A303" s="48" t="e">
        <f>Проект!#REF!</f>
        <v>#REF!</v>
      </c>
      <c r="B303" s="48"/>
      <c r="C303" s="73" t="e">
        <f>Проект!#REF!</f>
        <v>#REF!</v>
      </c>
      <c r="D303" s="48" t="e">
        <f>Проект!#REF!</f>
        <v>#REF!</v>
      </c>
      <c r="E303" s="48"/>
      <c r="F303" s="84" t="e">
        <f>Проект!#REF!</f>
        <v>#REF!</v>
      </c>
      <c r="G303" s="84" t="e">
        <f>Проект!#REF!</f>
        <v>#REF!</v>
      </c>
      <c r="H303" s="84" t="e">
        <f>Проект!#REF!</f>
        <v>#REF!</v>
      </c>
      <c r="I303" s="84" t="e">
        <f>Проект!#REF!</f>
        <v>#REF!</v>
      </c>
      <c r="J303" s="84" t="e">
        <f>Проект!#REF!</f>
        <v>#REF!</v>
      </c>
      <c r="K303" s="84" t="e">
        <f>Проект!#REF!</f>
        <v>#REF!</v>
      </c>
      <c r="L303" s="84" t="e">
        <f>Проект!#REF!</f>
        <v>#REF!</v>
      </c>
      <c r="M303" s="84" t="e">
        <f>Проект!#REF!</f>
        <v>#REF!</v>
      </c>
      <c r="N303" s="84" t="e">
        <f>Проект!#REF!</f>
        <v>#REF!</v>
      </c>
      <c r="O303" s="84" t="e">
        <f>Проект!#REF!</f>
        <v>#REF!</v>
      </c>
      <c r="P303" s="84" t="e">
        <f>Проект!#REF!</f>
        <v>#REF!</v>
      </c>
      <c r="Q303" s="84" t="e">
        <f>Проект!#REF!</f>
        <v>#REF!</v>
      </c>
      <c r="R303" s="48"/>
      <c r="S303" s="94" t="e">
        <f>Проект!#REF!</f>
        <v>#REF!</v>
      </c>
    </row>
    <row r="304" spans="1:19" hidden="1" x14ac:dyDescent="0.2">
      <c r="A304" s="48" t="e">
        <f>Проект!#REF!</f>
        <v>#REF!</v>
      </c>
      <c r="B304" s="48"/>
      <c r="C304" s="73" t="e">
        <f>Проект!#REF!</f>
        <v>#REF!</v>
      </c>
      <c r="D304" s="48" t="e">
        <f>Проект!#REF!</f>
        <v>#REF!</v>
      </c>
      <c r="E304" s="48"/>
      <c r="F304" s="84" t="e">
        <f>Проект!#REF!</f>
        <v>#REF!</v>
      </c>
      <c r="G304" s="84" t="e">
        <f>Проект!#REF!</f>
        <v>#REF!</v>
      </c>
      <c r="H304" s="84" t="e">
        <f>Проект!#REF!</f>
        <v>#REF!</v>
      </c>
      <c r="I304" s="84" t="e">
        <f>Проект!#REF!</f>
        <v>#REF!</v>
      </c>
      <c r="J304" s="84" t="e">
        <f>Проект!#REF!</f>
        <v>#REF!</v>
      </c>
      <c r="K304" s="84" t="e">
        <f>Проект!#REF!</f>
        <v>#REF!</v>
      </c>
      <c r="L304" s="84" t="e">
        <f>Проект!#REF!</f>
        <v>#REF!</v>
      </c>
      <c r="M304" s="84" t="e">
        <f>Проект!#REF!</f>
        <v>#REF!</v>
      </c>
      <c r="N304" s="84" t="e">
        <f>Проект!#REF!</f>
        <v>#REF!</v>
      </c>
      <c r="O304" s="84" t="e">
        <f>Проект!#REF!</f>
        <v>#REF!</v>
      </c>
      <c r="P304" s="84" t="e">
        <f>Проект!#REF!</f>
        <v>#REF!</v>
      </c>
      <c r="Q304" s="84" t="e">
        <f>Проект!#REF!</f>
        <v>#REF!</v>
      </c>
      <c r="R304" s="48"/>
      <c r="S304" s="94" t="e">
        <f>Проект!#REF!</f>
        <v>#REF!</v>
      </c>
    </row>
    <row r="305" spans="1:19" hidden="1" x14ac:dyDescent="0.2">
      <c r="A305" s="48" t="e">
        <f>Проект!#REF!</f>
        <v>#REF!</v>
      </c>
      <c r="B305" s="48"/>
      <c r="C305" s="73" t="e">
        <f>Проект!#REF!</f>
        <v>#REF!</v>
      </c>
      <c r="D305" s="48" t="e">
        <f>Проект!#REF!</f>
        <v>#REF!</v>
      </c>
      <c r="E305" s="48"/>
      <c r="F305" s="341" t="e">
        <f>Проект!#REF!</f>
        <v>#REF!</v>
      </c>
      <c r="G305" s="341" t="e">
        <f>Проект!#REF!</f>
        <v>#REF!</v>
      </c>
      <c r="H305" s="341" t="e">
        <f>Проект!#REF!</f>
        <v>#REF!</v>
      </c>
      <c r="I305" s="341" t="e">
        <f>Проект!#REF!</f>
        <v>#REF!</v>
      </c>
      <c r="J305" s="341" t="e">
        <f>Проект!#REF!</f>
        <v>#REF!</v>
      </c>
      <c r="K305" s="341" t="e">
        <f>Проект!#REF!</f>
        <v>#REF!</v>
      </c>
      <c r="L305" s="341" t="e">
        <f>Проект!#REF!</f>
        <v>#REF!</v>
      </c>
      <c r="M305" s="341" t="e">
        <f>Проект!#REF!</f>
        <v>#REF!</v>
      </c>
      <c r="N305" s="341" t="e">
        <f>Проект!#REF!</f>
        <v>#REF!</v>
      </c>
      <c r="O305" s="341" t="e">
        <f>Проект!#REF!</f>
        <v>#REF!</v>
      </c>
      <c r="P305" s="341" t="e">
        <f>Проект!#REF!</f>
        <v>#REF!</v>
      </c>
      <c r="Q305" s="341" t="e">
        <f>Проект!#REF!</f>
        <v>#REF!</v>
      </c>
      <c r="R305" s="48"/>
      <c r="S305" s="94" t="e">
        <f>Проект!#REF!</f>
        <v>#REF!</v>
      </c>
    </row>
    <row r="306" spans="1:19" hidden="1" x14ac:dyDescent="0.2">
      <c r="A306" s="48" t="e">
        <f>Проект!#REF!</f>
        <v>#REF!</v>
      </c>
      <c r="B306" s="48"/>
      <c r="C306" s="73" t="e">
        <f>Проект!#REF!</f>
        <v>#REF!</v>
      </c>
      <c r="D306" s="48" t="e">
        <f>Проект!#REF!</f>
        <v>#REF!</v>
      </c>
      <c r="E306" s="48"/>
      <c r="F306" s="84" t="e">
        <f>Проект!#REF!</f>
        <v>#REF!</v>
      </c>
      <c r="G306" s="84" t="e">
        <f>Проект!#REF!</f>
        <v>#REF!</v>
      </c>
      <c r="H306" s="84" t="e">
        <f>Проект!#REF!</f>
        <v>#REF!</v>
      </c>
      <c r="I306" s="84" t="e">
        <f>Проект!#REF!</f>
        <v>#REF!</v>
      </c>
      <c r="J306" s="84" t="e">
        <f>Проект!#REF!</f>
        <v>#REF!</v>
      </c>
      <c r="K306" s="84" t="e">
        <f>Проект!#REF!</f>
        <v>#REF!</v>
      </c>
      <c r="L306" s="84" t="e">
        <f>Проект!#REF!</f>
        <v>#REF!</v>
      </c>
      <c r="M306" s="84" t="e">
        <f>Проект!#REF!</f>
        <v>#REF!</v>
      </c>
      <c r="N306" s="84" t="e">
        <f>Проект!#REF!</f>
        <v>#REF!</v>
      </c>
      <c r="O306" s="84" t="e">
        <f>Проект!#REF!</f>
        <v>#REF!</v>
      </c>
      <c r="P306" s="84" t="e">
        <f>Проект!#REF!</f>
        <v>#REF!</v>
      </c>
      <c r="Q306" s="84" t="e">
        <f>Проект!#REF!</f>
        <v>#REF!</v>
      </c>
      <c r="R306" s="48"/>
      <c r="S306" s="94" t="e">
        <f>Проект!#REF!</f>
        <v>#REF!</v>
      </c>
    </row>
    <row r="307" spans="1:19" hidden="1" x14ac:dyDescent="0.2">
      <c r="A307" s="48" t="e">
        <f>Проект!#REF!</f>
        <v>#REF!</v>
      </c>
      <c r="B307" s="48"/>
      <c r="C307" s="73" t="e">
        <f>Проект!#REF!</f>
        <v>#REF!</v>
      </c>
      <c r="D307" s="48" t="e">
        <f>Проект!#REF!</f>
        <v>#REF!</v>
      </c>
      <c r="E307" s="48"/>
      <c r="F307" s="84" t="e">
        <f>Проект!#REF!</f>
        <v>#REF!</v>
      </c>
      <c r="G307" s="84" t="e">
        <f>Проект!#REF!</f>
        <v>#REF!</v>
      </c>
      <c r="H307" s="84" t="e">
        <f>Проект!#REF!</f>
        <v>#REF!</v>
      </c>
      <c r="I307" s="84" t="e">
        <f>Проект!#REF!</f>
        <v>#REF!</v>
      </c>
      <c r="J307" s="84" t="e">
        <f>Проект!#REF!</f>
        <v>#REF!</v>
      </c>
      <c r="K307" s="84" t="e">
        <f>Проект!#REF!</f>
        <v>#REF!</v>
      </c>
      <c r="L307" s="84" t="e">
        <f>Проект!#REF!</f>
        <v>#REF!</v>
      </c>
      <c r="M307" s="84" t="e">
        <f>Проект!#REF!</f>
        <v>#REF!</v>
      </c>
      <c r="N307" s="84" t="e">
        <f>Проект!#REF!</f>
        <v>#REF!</v>
      </c>
      <c r="O307" s="84" t="e">
        <f>Проект!#REF!</f>
        <v>#REF!</v>
      </c>
      <c r="P307" s="84" t="e">
        <f>Проект!#REF!</f>
        <v>#REF!</v>
      </c>
      <c r="Q307" s="84" t="e">
        <f>Проект!#REF!</f>
        <v>#REF!</v>
      </c>
      <c r="R307" s="48"/>
      <c r="S307" s="41"/>
    </row>
    <row r="308" spans="1:19" hidden="1" x14ac:dyDescent="0.2">
      <c r="A308" s="48" t="e">
        <f>Проект!#REF!</f>
        <v>#REF!</v>
      </c>
      <c r="B308" s="48"/>
      <c r="C308" s="73" t="e">
        <f>Проект!#REF!</f>
        <v>#REF!</v>
      </c>
      <c r="D308" s="48" t="e">
        <f>Проект!#REF!</f>
        <v>#REF!</v>
      </c>
      <c r="E308" s="48"/>
      <c r="F308" s="84" t="e">
        <f>Проект!#REF!</f>
        <v>#REF!</v>
      </c>
      <c r="G308" s="84" t="e">
        <f>Проект!#REF!</f>
        <v>#REF!</v>
      </c>
      <c r="H308" s="84" t="e">
        <f>Проект!#REF!</f>
        <v>#REF!</v>
      </c>
      <c r="I308" s="84" t="e">
        <f>Проект!#REF!</f>
        <v>#REF!</v>
      </c>
      <c r="J308" s="84" t="e">
        <f>Проект!#REF!</f>
        <v>#REF!</v>
      </c>
      <c r="K308" s="84" t="e">
        <f>Проект!#REF!</f>
        <v>#REF!</v>
      </c>
      <c r="L308" s="84" t="e">
        <f>Проект!#REF!</f>
        <v>#REF!</v>
      </c>
      <c r="M308" s="84" t="e">
        <f>Проект!#REF!</f>
        <v>#REF!</v>
      </c>
      <c r="N308" s="84" t="e">
        <f>Проект!#REF!</f>
        <v>#REF!</v>
      </c>
      <c r="O308" s="84" t="e">
        <f>Проект!#REF!</f>
        <v>#REF!</v>
      </c>
      <c r="P308" s="84" t="e">
        <f>Проект!#REF!</f>
        <v>#REF!</v>
      </c>
      <c r="Q308" s="84" t="e">
        <f>Проект!#REF!</f>
        <v>#REF!</v>
      </c>
      <c r="R308" s="48"/>
      <c r="S308" s="41"/>
    </row>
    <row r="309" spans="1:19" ht="11.25" customHeight="1" x14ac:dyDescent="0.2">
      <c r="A309" s="48" t="e">
        <f>Проект!#REF!</f>
        <v>#REF!</v>
      </c>
      <c r="B309" s="48"/>
      <c r="C309" s="73" t="e">
        <f>Проект!#REF!</f>
        <v>#REF!</v>
      </c>
      <c r="D309" s="74" t="e">
        <f>Проект!#REF!</f>
        <v>#REF!</v>
      </c>
      <c r="E309" s="48"/>
      <c r="F309" s="83" t="e">
        <f>Проект!#REF!</f>
        <v>#REF!</v>
      </c>
      <c r="G309" s="83" t="e">
        <f>Проект!#REF!</f>
        <v>#REF!</v>
      </c>
      <c r="H309" s="83" t="e">
        <f>Проект!#REF!</f>
        <v>#REF!</v>
      </c>
      <c r="I309" s="83" t="e">
        <f>Проект!#REF!</f>
        <v>#REF!</v>
      </c>
      <c r="J309" s="83" t="e">
        <f>Проект!#REF!</f>
        <v>#REF!</v>
      </c>
      <c r="K309" s="83" t="e">
        <f>Проект!#REF!</f>
        <v>#REF!</v>
      </c>
      <c r="L309" s="83" t="e">
        <f>Проект!#REF!</f>
        <v>#REF!</v>
      </c>
      <c r="M309" s="83" t="e">
        <f>Проект!#REF!</f>
        <v>#REF!</v>
      </c>
      <c r="N309" s="83" t="e">
        <f>Проект!#REF!</f>
        <v>#REF!</v>
      </c>
      <c r="O309" s="83" t="e">
        <f>Проект!#REF!</f>
        <v>#REF!</v>
      </c>
      <c r="P309" s="83" t="e">
        <f>Проект!#REF!</f>
        <v>#REF!</v>
      </c>
      <c r="Q309" s="83" t="e">
        <f>Проект!#REF!</f>
        <v>#REF!</v>
      </c>
      <c r="R309" s="48"/>
      <c r="S309" s="95" t="e">
        <f>Проект!#REF!</f>
        <v>#REF!</v>
      </c>
    </row>
    <row r="310" spans="1:19" hidden="1" x14ac:dyDescent="0.2">
      <c r="A310" s="48" t="e">
        <f>Проект!#REF!</f>
        <v>#REF!</v>
      </c>
      <c r="B310" s="48"/>
      <c r="C310" s="73" t="e">
        <f>Проект!#REF!</f>
        <v>#REF!</v>
      </c>
      <c r="D310" s="48" t="e">
        <f>Проект!#REF!</f>
        <v>#REF!</v>
      </c>
      <c r="E310" s="48"/>
      <c r="F310" s="84" t="e">
        <f>Проект!#REF!</f>
        <v>#REF!</v>
      </c>
      <c r="G310" s="84" t="e">
        <f>Проект!#REF!</f>
        <v>#REF!</v>
      </c>
      <c r="H310" s="84" t="e">
        <f>Проект!#REF!</f>
        <v>#REF!</v>
      </c>
      <c r="I310" s="84" t="e">
        <f>Проект!#REF!</f>
        <v>#REF!</v>
      </c>
      <c r="J310" s="84" t="e">
        <f>Проект!#REF!</f>
        <v>#REF!</v>
      </c>
      <c r="K310" s="84" t="e">
        <f>Проект!#REF!</f>
        <v>#REF!</v>
      </c>
      <c r="L310" s="84" t="e">
        <f>Проект!#REF!</f>
        <v>#REF!</v>
      </c>
      <c r="M310" s="84" t="e">
        <f>Проект!#REF!</f>
        <v>#REF!</v>
      </c>
      <c r="N310" s="84" t="e">
        <f>Проект!#REF!</f>
        <v>#REF!</v>
      </c>
      <c r="O310" s="84" t="e">
        <f>Проект!#REF!</f>
        <v>#REF!</v>
      </c>
      <c r="P310" s="84" t="e">
        <f>Проект!#REF!</f>
        <v>#REF!</v>
      </c>
      <c r="Q310" s="84" t="e">
        <f>Проект!#REF!</f>
        <v>#REF!</v>
      </c>
      <c r="R310" s="48"/>
      <c r="S310" s="94" t="e">
        <f>Проект!#REF!</f>
        <v>#REF!</v>
      </c>
    </row>
    <row r="311" spans="1:19" hidden="1" x14ac:dyDescent="0.2">
      <c r="A311" s="48" t="e">
        <f>Проект!#REF!</f>
        <v>#REF!</v>
      </c>
      <c r="B311" s="48"/>
      <c r="C311" s="73" t="e">
        <f>Проект!#REF!</f>
        <v>#REF!</v>
      </c>
      <c r="D311" s="48" t="e">
        <f>Проект!#REF!</f>
        <v>#REF!</v>
      </c>
      <c r="E311" s="48"/>
      <c r="F311" s="84" t="e">
        <f>Проект!#REF!</f>
        <v>#REF!</v>
      </c>
      <c r="G311" s="84" t="e">
        <f>Проект!#REF!</f>
        <v>#REF!</v>
      </c>
      <c r="H311" s="84" t="e">
        <f>Проект!#REF!</f>
        <v>#REF!</v>
      </c>
      <c r="I311" s="84" t="e">
        <f>Проект!#REF!</f>
        <v>#REF!</v>
      </c>
      <c r="J311" s="84" t="e">
        <f>Проект!#REF!</f>
        <v>#REF!</v>
      </c>
      <c r="K311" s="84" t="e">
        <f>Проект!#REF!</f>
        <v>#REF!</v>
      </c>
      <c r="L311" s="84" t="e">
        <f>Проект!#REF!</f>
        <v>#REF!</v>
      </c>
      <c r="M311" s="84" t="e">
        <f>Проект!#REF!</f>
        <v>#REF!</v>
      </c>
      <c r="N311" s="84" t="e">
        <f>Проект!#REF!</f>
        <v>#REF!</v>
      </c>
      <c r="O311" s="84" t="e">
        <f>Проект!#REF!</f>
        <v>#REF!</v>
      </c>
      <c r="P311" s="84" t="e">
        <f>Проект!#REF!</f>
        <v>#REF!</v>
      </c>
      <c r="Q311" s="84" t="e">
        <f>Проект!#REF!</f>
        <v>#REF!</v>
      </c>
      <c r="R311" s="48"/>
      <c r="S311" s="94" t="e">
        <f>Проект!#REF!</f>
        <v>#REF!</v>
      </c>
    </row>
    <row r="312" spans="1:19" hidden="1" x14ac:dyDescent="0.2">
      <c r="A312" s="48" t="e">
        <f>Проект!#REF!</f>
        <v>#REF!</v>
      </c>
      <c r="B312" s="48"/>
      <c r="C312" s="73" t="e">
        <f>Проект!#REF!</f>
        <v>#REF!</v>
      </c>
      <c r="D312" s="48" t="e">
        <f>Проект!#REF!</f>
        <v>#REF!</v>
      </c>
      <c r="E312" s="48"/>
      <c r="F312" s="84" t="e">
        <f>Проект!#REF!</f>
        <v>#REF!</v>
      </c>
      <c r="G312" s="84" t="e">
        <f>Проект!#REF!</f>
        <v>#REF!</v>
      </c>
      <c r="H312" s="84" t="e">
        <f>Проект!#REF!</f>
        <v>#REF!</v>
      </c>
      <c r="I312" s="84" t="e">
        <f>Проект!#REF!</f>
        <v>#REF!</v>
      </c>
      <c r="J312" s="84" t="e">
        <f>Проект!#REF!</f>
        <v>#REF!</v>
      </c>
      <c r="K312" s="84" t="e">
        <f>Проект!#REF!</f>
        <v>#REF!</v>
      </c>
      <c r="L312" s="84" t="e">
        <f>Проект!#REF!</f>
        <v>#REF!</v>
      </c>
      <c r="M312" s="84" t="e">
        <f>Проект!#REF!</f>
        <v>#REF!</v>
      </c>
      <c r="N312" s="84" t="e">
        <f>Проект!#REF!</f>
        <v>#REF!</v>
      </c>
      <c r="O312" s="84" t="e">
        <f>Проект!#REF!</f>
        <v>#REF!</v>
      </c>
      <c r="P312" s="84" t="e">
        <f>Проект!#REF!</f>
        <v>#REF!</v>
      </c>
      <c r="Q312" s="84" t="e">
        <f>Проект!#REF!</f>
        <v>#REF!</v>
      </c>
      <c r="R312" s="48"/>
      <c r="S312" s="94" t="e">
        <f>Проект!#REF!</f>
        <v>#REF!</v>
      </c>
    </row>
    <row r="313" spans="1:19" hidden="1" x14ac:dyDescent="0.2">
      <c r="A313" s="48" t="e">
        <f>Проект!#REF!</f>
        <v>#REF!</v>
      </c>
      <c r="B313" s="48"/>
      <c r="C313" s="73" t="e">
        <f>Проект!#REF!</f>
        <v>#REF!</v>
      </c>
      <c r="D313" s="48" t="e">
        <f>Проект!#REF!</f>
        <v>#REF!</v>
      </c>
      <c r="E313" s="48"/>
      <c r="F313" s="341" t="e">
        <f>Проект!#REF!</f>
        <v>#REF!</v>
      </c>
      <c r="G313" s="341" t="e">
        <f>Проект!#REF!</f>
        <v>#REF!</v>
      </c>
      <c r="H313" s="341" t="e">
        <f>Проект!#REF!</f>
        <v>#REF!</v>
      </c>
      <c r="I313" s="341" t="e">
        <f>Проект!#REF!</f>
        <v>#REF!</v>
      </c>
      <c r="J313" s="341" t="e">
        <f>Проект!#REF!</f>
        <v>#REF!</v>
      </c>
      <c r="K313" s="341" t="e">
        <f>Проект!#REF!</f>
        <v>#REF!</v>
      </c>
      <c r="L313" s="341" t="e">
        <f>Проект!#REF!</f>
        <v>#REF!</v>
      </c>
      <c r="M313" s="341" t="e">
        <f>Проект!#REF!</f>
        <v>#REF!</v>
      </c>
      <c r="N313" s="341" t="e">
        <f>Проект!#REF!</f>
        <v>#REF!</v>
      </c>
      <c r="O313" s="341" t="e">
        <f>Проект!#REF!</f>
        <v>#REF!</v>
      </c>
      <c r="P313" s="341" t="e">
        <f>Проект!#REF!</f>
        <v>#REF!</v>
      </c>
      <c r="Q313" s="341" t="e">
        <f>Проект!#REF!</f>
        <v>#REF!</v>
      </c>
      <c r="R313" s="48"/>
      <c r="S313" s="94" t="e">
        <f>Проект!#REF!</f>
        <v>#REF!</v>
      </c>
    </row>
    <row r="314" spans="1:19" hidden="1" x14ac:dyDescent="0.2">
      <c r="A314" s="48" t="e">
        <f>Проект!#REF!</f>
        <v>#REF!</v>
      </c>
      <c r="B314" s="48"/>
      <c r="C314" s="73" t="e">
        <f>Проект!#REF!</f>
        <v>#REF!</v>
      </c>
      <c r="D314" s="48" t="e">
        <f>Проект!#REF!</f>
        <v>#REF!</v>
      </c>
      <c r="E314" s="48"/>
      <c r="F314" s="84" t="e">
        <f>Проект!#REF!</f>
        <v>#REF!</v>
      </c>
      <c r="G314" s="84" t="e">
        <f>Проект!#REF!</f>
        <v>#REF!</v>
      </c>
      <c r="H314" s="84" t="e">
        <f>Проект!#REF!</f>
        <v>#REF!</v>
      </c>
      <c r="I314" s="84" t="e">
        <f>Проект!#REF!</f>
        <v>#REF!</v>
      </c>
      <c r="J314" s="84" t="e">
        <f>Проект!#REF!</f>
        <v>#REF!</v>
      </c>
      <c r="K314" s="84" t="e">
        <f>Проект!#REF!</f>
        <v>#REF!</v>
      </c>
      <c r="L314" s="84" t="e">
        <f>Проект!#REF!</f>
        <v>#REF!</v>
      </c>
      <c r="M314" s="84" t="e">
        <f>Проект!#REF!</f>
        <v>#REF!</v>
      </c>
      <c r="N314" s="84" t="e">
        <f>Проект!#REF!</f>
        <v>#REF!</v>
      </c>
      <c r="O314" s="84" t="e">
        <f>Проект!#REF!</f>
        <v>#REF!</v>
      </c>
      <c r="P314" s="84" t="e">
        <f>Проект!#REF!</f>
        <v>#REF!</v>
      </c>
      <c r="Q314" s="84" t="e">
        <f>Проект!#REF!</f>
        <v>#REF!</v>
      </c>
      <c r="R314" s="48"/>
      <c r="S314" s="94" t="e">
        <f>Проект!#REF!</f>
        <v>#REF!</v>
      </c>
    </row>
    <row r="315" spans="1:19" hidden="1" x14ac:dyDescent="0.2">
      <c r="A315" s="48" t="e">
        <f>Проект!#REF!</f>
        <v>#REF!</v>
      </c>
      <c r="B315" s="48"/>
      <c r="C315" s="73" t="e">
        <f>Проект!#REF!</f>
        <v>#REF!</v>
      </c>
      <c r="D315" s="48" t="e">
        <f>Проект!#REF!</f>
        <v>#REF!</v>
      </c>
      <c r="E315" s="48"/>
      <c r="F315" s="84" t="e">
        <f>Проект!#REF!</f>
        <v>#REF!</v>
      </c>
      <c r="G315" s="84" t="e">
        <f>Проект!#REF!</f>
        <v>#REF!</v>
      </c>
      <c r="H315" s="84" t="e">
        <f>Проект!#REF!</f>
        <v>#REF!</v>
      </c>
      <c r="I315" s="84" t="e">
        <f>Проект!#REF!</f>
        <v>#REF!</v>
      </c>
      <c r="J315" s="84" t="e">
        <f>Проект!#REF!</f>
        <v>#REF!</v>
      </c>
      <c r="K315" s="84" t="e">
        <f>Проект!#REF!</f>
        <v>#REF!</v>
      </c>
      <c r="L315" s="84" t="e">
        <f>Проект!#REF!</f>
        <v>#REF!</v>
      </c>
      <c r="M315" s="84" t="e">
        <f>Проект!#REF!</f>
        <v>#REF!</v>
      </c>
      <c r="N315" s="84" t="e">
        <f>Проект!#REF!</f>
        <v>#REF!</v>
      </c>
      <c r="O315" s="84" t="e">
        <f>Проект!#REF!</f>
        <v>#REF!</v>
      </c>
      <c r="P315" s="84" t="e">
        <f>Проект!#REF!</f>
        <v>#REF!</v>
      </c>
      <c r="Q315" s="84" t="e">
        <f>Проект!#REF!</f>
        <v>#REF!</v>
      </c>
      <c r="R315" s="48"/>
      <c r="S315" s="41"/>
    </row>
    <row r="316" spans="1:19" hidden="1" x14ac:dyDescent="0.2">
      <c r="A316" s="48" t="e">
        <f>Проект!#REF!</f>
        <v>#REF!</v>
      </c>
      <c r="B316" s="48"/>
      <c r="C316" s="73" t="e">
        <f>Проект!#REF!</f>
        <v>#REF!</v>
      </c>
      <c r="D316" s="48" t="e">
        <f>Проект!#REF!</f>
        <v>#REF!</v>
      </c>
      <c r="E316" s="48"/>
      <c r="F316" s="84" t="e">
        <f>Проект!#REF!</f>
        <v>#REF!</v>
      </c>
      <c r="G316" s="84" t="e">
        <f>Проект!#REF!</f>
        <v>#REF!</v>
      </c>
      <c r="H316" s="84" t="e">
        <f>Проект!#REF!</f>
        <v>#REF!</v>
      </c>
      <c r="I316" s="84" t="e">
        <f>Проект!#REF!</f>
        <v>#REF!</v>
      </c>
      <c r="J316" s="84" t="e">
        <f>Проект!#REF!</f>
        <v>#REF!</v>
      </c>
      <c r="K316" s="84" t="e">
        <f>Проект!#REF!</f>
        <v>#REF!</v>
      </c>
      <c r="L316" s="84" t="e">
        <f>Проект!#REF!</f>
        <v>#REF!</v>
      </c>
      <c r="M316" s="84" t="e">
        <f>Проект!#REF!</f>
        <v>#REF!</v>
      </c>
      <c r="N316" s="84" t="e">
        <f>Проект!#REF!</f>
        <v>#REF!</v>
      </c>
      <c r="O316" s="84" t="e">
        <f>Проект!#REF!</f>
        <v>#REF!</v>
      </c>
      <c r="P316" s="84" t="e">
        <f>Проект!#REF!</f>
        <v>#REF!</v>
      </c>
      <c r="Q316" s="84" t="e">
        <f>Проект!#REF!</f>
        <v>#REF!</v>
      </c>
      <c r="R316" s="48"/>
      <c r="S316" s="41"/>
    </row>
    <row r="317" spans="1:19" ht="11.25" customHeight="1" x14ac:dyDescent="0.2">
      <c r="A317" s="48" t="e">
        <f>Проект!#REF!</f>
        <v>#REF!</v>
      </c>
      <c r="B317" s="48"/>
      <c r="C317" s="73" t="e">
        <f>Проект!#REF!</f>
        <v>#REF!</v>
      </c>
      <c r="D317" s="74" t="e">
        <f>Проект!#REF!</f>
        <v>#REF!</v>
      </c>
      <c r="E317" s="48"/>
      <c r="F317" s="83" t="e">
        <f>Проект!#REF!</f>
        <v>#REF!</v>
      </c>
      <c r="G317" s="83" t="e">
        <f>Проект!#REF!</f>
        <v>#REF!</v>
      </c>
      <c r="H317" s="83" t="e">
        <f>Проект!#REF!</f>
        <v>#REF!</v>
      </c>
      <c r="I317" s="83" t="e">
        <f>Проект!#REF!</f>
        <v>#REF!</v>
      </c>
      <c r="J317" s="83" t="e">
        <f>Проект!#REF!</f>
        <v>#REF!</v>
      </c>
      <c r="K317" s="83" t="e">
        <f>Проект!#REF!</f>
        <v>#REF!</v>
      </c>
      <c r="L317" s="83" t="e">
        <f>Проект!#REF!</f>
        <v>#REF!</v>
      </c>
      <c r="M317" s="83" t="e">
        <f>Проект!#REF!</f>
        <v>#REF!</v>
      </c>
      <c r="N317" s="83" t="e">
        <f>Проект!#REF!</f>
        <v>#REF!</v>
      </c>
      <c r="O317" s="83" t="e">
        <f>Проект!#REF!</f>
        <v>#REF!</v>
      </c>
      <c r="P317" s="83" t="e">
        <f>Проект!#REF!</f>
        <v>#REF!</v>
      </c>
      <c r="Q317" s="83" t="e">
        <f>Проект!#REF!</f>
        <v>#REF!</v>
      </c>
      <c r="R317" s="48"/>
      <c r="S317" s="95" t="e">
        <f>Проект!#REF!</f>
        <v>#REF!</v>
      </c>
    </row>
    <row r="318" spans="1:19" hidden="1" x14ac:dyDescent="0.2">
      <c r="A318" s="48" t="e">
        <f>Проект!#REF!</f>
        <v>#REF!</v>
      </c>
      <c r="B318" s="48"/>
      <c r="C318" s="73" t="e">
        <f>Проект!#REF!</f>
        <v>#REF!</v>
      </c>
      <c r="D318" s="48" t="e">
        <f>Проект!#REF!</f>
        <v>#REF!</v>
      </c>
      <c r="E318" s="48"/>
      <c r="F318" s="84" t="e">
        <f>Проект!#REF!</f>
        <v>#REF!</v>
      </c>
      <c r="G318" s="84" t="e">
        <f>Проект!#REF!</f>
        <v>#REF!</v>
      </c>
      <c r="H318" s="84" t="e">
        <f>Проект!#REF!</f>
        <v>#REF!</v>
      </c>
      <c r="I318" s="84" t="e">
        <f>Проект!#REF!</f>
        <v>#REF!</v>
      </c>
      <c r="J318" s="84" t="e">
        <f>Проект!#REF!</f>
        <v>#REF!</v>
      </c>
      <c r="K318" s="84" t="e">
        <f>Проект!#REF!</f>
        <v>#REF!</v>
      </c>
      <c r="L318" s="84" t="e">
        <f>Проект!#REF!</f>
        <v>#REF!</v>
      </c>
      <c r="M318" s="84" t="e">
        <f>Проект!#REF!</f>
        <v>#REF!</v>
      </c>
      <c r="N318" s="84" t="e">
        <f>Проект!#REF!</f>
        <v>#REF!</v>
      </c>
      <c r="O318" s="84" t="e">
        <f>Проект!#REF!</f>
        <v>#REF!</v>
      </c>
      <c r="P318" s="84" t="e">
        <f>Проект!#REF!</f>
        <v>#REF!</v>
      </c>
      <c r="Q318" s="84" t="e">
        <f>Проект!#REF!</f>
        <v>#REF!</v>
      </c>
      <c r="R318" s="48"/>
      <c r="S318" s="94" t="e">
        <f>Проект!#REF!</f>
        <v>#REF!</v>
      </c>
    </row>
    <row r="319" spans="1:19" hidden="1" x14ac:dyDescent="0.2">
      <c r="A319" s="48" t="e">
        <f>Проект!#REF!</f>
        <v>#REF!</v>
      </c>
      <c r="B319" s="48"/>
      <c r="C319" s="73" t="e">
        <f>Проект!#REF!</f>
        <v>#REF!</v>
      </c>
      <c r="D319" s="48" t="e">
        <f>Проект!#REF!</f>
        <v>#REF!</v>
      </c>
      <c r="E319" s="48"/>
      <c r="F319" s="84" t="e">
        <f>Проект!#REF!</f>
        <v>#REF!</v>
      </c>
      <c r="G319" s="84" t="e">
        <f>Проект!#REF!</f>
        <v>#REF!</v>
      </c>
      <c r="H319" s="84" t="e">
        <f>Проект!#REF!</f>
        <v>#REF!</v>
      </c>
      <c r="I319" s="84" t="e">
        <f>Проект!#REF!</f>
        <v>#REF!</v>
      </c>
      <c r="J319" s="84" t="e">
        <f>Проект!#REF!</f>
        <v>#REF!</v>
      </c>
      <c r="K319" s="84" t="e">
        <f>Проект!#REF!</f>
        <v>#REF!</v>
      </c>
      <c r="L319" s="84" t="e">
        <f>Проект!#REF!</f>
        <v>#REF!</v>
      </c>
      <c r="M319" s="84" t="e">
        <f>Проект!#REF!</f>
        <v>#REF!</v>
      </c>
      <c r="N319" s="84" t="e">
        <f>Проект!#REF!</f>
        <v>#REF!</v>
      </c>
      <c r="O319" s="84" t="e">
        <f>Проект!#REF!</f>
        <v>#REF!</v>
      </c>
      <c r="P319" s="84" t="e">
        <f>Проект!#REF!</f>
        <v>#REF!</v>
      </c>
      <c r="Q319" s="84" t="e">
        <f>Проект!#REF!</f>
        <v>#REF!</v>
      </c>
      <c r="R319" s="48"/>
      <c r="S319" s="94" t="e">
        <f>Проект!#REF!</f>
        <v>#REF!</v>
      </c>
    </row>
    <row r="320" spans="1:19" hidden="1" x14ac:dyDescent="0.2">
      <c r="A320" s="48" t="e">
        <f>Проект!#REF!</f>
        <v>#REF!</v>
      </c>
      <c r="B320" s="48"/>
      <c r="C320" s="73" t="e">
        <f>Проект!#REF!</f>
        <v>#REF!</v>
      </c>
      <c r="D320" s="48" t="e">
        <f>Проект!#REF!</f>
        <v>#REF!</v>
      </c>
      <c r="E320" s="48"/>
      <c r="F320" s="84" t="e">
        <f>Проект!#REF!</f>
        <v>#REF!</v>
      </c>
      <c r="G320" s="84" t="e">
        <f>Проект!#REF!</f>
        <v>#REF!</v>
      </c>
      <c r="H320" s="84" t="e">
        <f>Проект!#REF!</f>
        <v>#REF!</v>
      </c>
      <c r="I320" s="84" t="e">
        <f>Проект!#REF!</f>
        <v>#REF!</v>
      </c>
      <c r="J320" s="84" t="e">
        <f>Проект!#REF!</f>
        <v>#REF!</v>
      </c>
      <c r="K320" s="84" t="e">
        <f>Проект!#REF!</f>
        <v>#REF!</v>
      </c>
      <c r="L320" s="84" t="e">
        <f>Проект!#REF!</f>
        <v>#REF!</v>
      </c>
      <c r="M320" s="84" t="e">
        <f>Проект!#REF!</f>
        <v>#REF!</v>
      </c>
      <c r="N320" s="84" t="e">
        <f>Проект!#REF!</f>
        <v>#REF!</v>
      </c>
      <c r="O320" s="84" t="e">
        <f>Проект!#REF!</f>
        <v>#REF!</v>
      </c>
      <c r="P320" s="84" t="e">
        <f>Проект!#REF!</f>
        <v>#REF!</v>
      </c>
      <c r="Q320" s="84" t="e">
        <f>Проект!#REF!</f>
        <v>#REF!</v>
      </c>
      <c r="R320" s="48"/>
      <c r="S320" s="94" t="e">
        <f>Проект!#REF!</f>
        <v>#REF!</v>
      </c>
    </row>
    <row r="321" spans="1:19" hidden="1" x14ac:dyDescent="0.2">
      <c r="A321" s="48" t="e">
        <f>Проект!#REF!</f>
        <v>#REF!</v>
      </c>
      <c r="B321" s="48"/>
      <c r="C321" s="73" t="e">
        <f>Проект!#REF!</f>
        <v>#REF!</v>
      </c>
      <c r="D321" s="48" t="e">
        <f>Проект!#REF!</f>
        <v>#REF!</v>
      </c>
      <c r="E321" s="48"/>
      <c r="F321" s="341" t="e">
        <f>Проект!#REF!</f>
        <v>#REF!</v>
      </c>
      <c r="G321" s="341" t="e">
        <f>Проект!#REF!</f>
        <v>#REF!</v>
      </c>
      <c r="H321" s="341" t="e">
        <f>Проект!#REF!</f>
        <v>#REF!</v>
      </c>
      <c r="I321" s="341" t="e">
        <f>Проект!#REF!</f>
        <v>#REF!</v>
      </c>
      <c r="J321" s="341" t="e">
        <f>Проект!#REF!</f>
        <v>#REF!</v>
      </c>
      <c r="K321" s="341" t="e">
        <f>Проект!#REF!</f>
        <v>#REF!</v>
      </c>
      <c r="L321" s="341" t="e">
        <f>Проект!#REF!</f>
        <v>#REF!</v>
      </c>
      <c r="M321" s="341" t="e">
        <f>Проект!#REF!</f>
        <v>#REF!</v>
      </c>
      <c r="N321" s="341" t="e">
        <f>Проект!#REF!</f>
        <v>#REF!</v>
      </c>
      <c r="O321" s="341" t="e">
        <f>Проект!#REF!</f>
        <v>#REF!</v>
      </c>
      <c r="P321" s="341" t="e">
        <f>Проект!#REF!</f>
        <v>#REF!</v>
      </c>
      <c r="Q321" s="341" t="e">
        <f>Проект!#REF!</f>
        <v>#REF!</v>
      </c>
      <c r="R321" s="48"/>
      <c r="S321" s="94" t="e">
        <f>Проект!#REF!</f>
        <v>#REF!</v>
      </c>
    </row>
    <row r="322" spans="1:19" hidden="1" x14ac:dyDescent="0.2">
      <c r="A322" s="48" t="e">
        <f>Проект!#REF!</f>
        <v>#REF!</v>
      </c>
      <c r="B322" s="48"/>
      <c r="C322" s="73" t="e">
        <f>Проект!#REF!</f>
        <v>#REF!</v>
      </c>
      <c r="D322" s="48" t="e">
        <f>Проект!#REF!</f>
        <v>#REF!</v>
      </c>
      <c r="E322" s="48"/>
      <c r="F322" s="84" t="e">
        <f>Проект!#REF!</f>
        <v>#REF!</v>
      </c>
      <c r="G322" s="84" t="e">
        <f>Проект!#REF!</f>
        <v>#REF!</v>
      </c>
      <c r="H322" s="84" t="e">
        <f>Проект!#REF!</f>
        <v>#REF!</v>
      </c>
      <c r="I322" s="84" t="e">
        <f>Проект!#REF!</f>
        <v>#REF!</v>
      </c>
      <c r="J322" s="84" t="e">
        <f>Проект!#REF!</f>
        <v>#REF!</v>
      </c>
      <c r="K322" s="84" t="e">
        <f>Проект!#REF!</f>
        <v>#REF!</v>
      </c>
      <c r="L322" s="84" t="e">
        <f>Проект!#REF!</f>
        <v>#REF!</v>
      </c>
      <c r="M322" s="84" t="e">
        <f>Проект!#REF!</f>
        <v>#REF!</v>
      </c>
      <c r="N322" s="84" t="e">
        <f>Проект!#REF!</f>
        <v>#REF!</v>
      </c>
      <c r="O322" s="84" t="e">
        <f>Проект!#REF!</f>
        <v>#REF!</v>
      </c>
      <c r="P322" s="84" t="e">
        <f>Проект!#REF!</f>
        <v>#REF!</v>
      </c>
      <c r="Q322" s="84" t="e">
        <f>Проект!#REF!</f>
        <v>#REF!</v>
      </c>
      <c r="R322" s="48"/>
      <c r="S322" s="94" t="e">
        <f>Проект!#REF!</f>
        <v>#REF!</v>
      </c>
    </row>
    <row r="323" spans="1:19" hidden="1" x14ac:dyDescent="0.2">
      <c r="A323" s="48" t="e">
        <f>Проект!#REF!</f>
        <v>#REF!</v>
      </c>
      <c r="B323" s="48"/>
      <c r="C323" s="73" t="e">
        <f>Проект!#REF!</f>
        <v>#REF!</v>
      </c>
      <c r="D323" s="48" t="e">
        <f>Проект!#REF!</f>
        <v>#REF!</v>
      </c>
      <c r="E323" s="48"/>
      <c r="F323" s="84" t="e">
        <f>Проект!#REF!</f>
        <v>#REF!</v>
      </c>
      <c r="G323" s="84" t="e">
        <f>Проект!#REF!</f>
        <v>#REF!</v>
      </c>
      <c r="H323" s="84" t="e">
        <f>Проект!#REF!</f>
        <v>#REF!</v>
      </c>
      <c r="I323" s="84" t="e">
        <f>Проект!#REF!</f>
        <v>#REF!</v>
      </c>
      <c r="J323" s="84" t="e">
        <f>Проект!#REF!</f>
        <v>#REF!</v>
      </c>
      <c r="K323" s="84" t="e">
        <f>Проект!#REF!</f>
        <v>#REF!</v>
      </c>
      <c r="L323" s="84" t="e">
        <f>Проект!#REF!</f>
        <v>#REF!</v>
      </c>
      <c r="M323" s="84" t="e">
        <f>Проект!#REF!</f>
        <v>#REF!</v>
      </c>
      <c r="N323" s="84" t="e">
        <f>Проект!#REF!</f>
        <v>#REF!</v>
      </c>
      <c r="O323" s="84" t="e">
        <f>Проект!#REF!</f>
        <v>#REF!</v>
      </c>
      <c r="P323" s="84" t="e">
        <f>Проект!#REF!</f>
        <v>#REF!</v>
      </c>
      <c r="Q323" s="84" t="e">
        <f>Проект!#REF!</f>
        <v>#REF!</v>
      </c>
      <c r="R323" s="48"/>
      <c r="S323" s="41"/>
    </row>
    <row r="324" spans="1:19" hidden="1" x14ac:dyDescent="0.2">
      <c r="A324" s="48" t="e">
        <f>Проект!#REF!</f>
        <v>#REF!</v>
      </c>
      <c r="B324" s="48"/>
      <c r="C324" s="73" t="e">
        <f>Проект!#REF!</f>
        <v>#REF!</v>
      </c>
      <c r="D324" s="48" t="e">
        <f>Проект!#REF!</f>
        <v>#REF!</v>
      </c>
      <c r="E324" s="48"/>
      <c r="F324" s="84" t="e">
        <f>Проект!#REF!</f>
        <v>#REF!</v>
      </c>
      <c r="G324" s="84" t="e">
        <f>Проект!#REF!</f>
        <v>#REF!</v>
      </c>
      <c r="H324" s="84" t="e">
        <f>Проект!#REF!</f>
        <v>#REF!</v>
      </c>
      <c r="I324" s="84" t="e">
        <f>Проект!#REF!</f>
        <v>#REF!</v>
      </c>
      <c r="J324" s="84" t="e">
        <f>Проект!#REF!</f>
        <v>#REF!</v>
      </c>
      <c r="K324" s="84" t="e">
        <f>Проект!#REF!</f>
        <v>#REF!</v>
      </c>
      <c r="L324" s="84" t="e">
        <f>Проект!#REF!</f>
        <v>#REF!</v>
      </c>
      <c r="M324" s="84" t="e">
        <f>Проект!#REF!</f>
        <v>#REF!</v>
      </c>
      <c r="N324" s="84" t="e">
        <f>Проект!#REF!</f>
        <v>#REF!</v>
      </c>
      <c r="O324" s="84" t="e">
        <f>Проект!#REF!</f>
        <v>#REF!</v>
      </c>
      <c r="P324" s="84" t="e">
        <f>Проект!#REF!</f>
        <v>#REF!</v>
      </c>
      <c r="Q324" s="84" t="e">
        <f>Проект!#REF!</f>
        <v>#REF!</v>
      </c>
      <c r="R324" s="48"/>
      <c r="S324" s="41"/>
    </row>
    <row r="325" spans="1:19" ht="11.25" customHeight="1" x14ac:dyDescent="0.2">
      <c r="A325" s="48" t="e">
        <f>Проект!#REF!</f>
        <v>#REF!</v>
      </c>
      <c r="B325" s="48"/>
      <c r="C325" s="73" t="e">
        <f>Проект!#REF!</f>
        <v>#REF!</v>
      </c>
      <c r="D325" s="74" t="e">
        <f>Проект!#REF!</f>
        <v>#REF!</v>
      </c>
      <c r="E325" s="48"/>
      <c r="F325" s="83" t="e">
        <f>Проект!#REF!</f>
        <v>#REF!</v>
      </c>
      <c r="G325" s="83" t="e">
        <f>Проект!#REF!</f>
        <v>#REF!</v>
      </c>
      <c r="H325" s="83" t="e">
        <f>Проект!#REF!</f>
        <v>#REF!</v>
      </c>
      <c r="I325" s="83" t="e">
        <f>Проект!#REF!</f>
        <v>#REF!</v>
      </c>
      <c r="J325" s="83" t="e">
        <f>Проект!#REF!</f>
        <v>#REF!</v>
      </c>
      <c r="K325" s="83" t="e">
        <f>Проект!#REF!</f>
        <v>#REF!</v>
      </c>
      <c r="L325" s="83" t="e">
        <f>Проект!#REF!</f>
        <v>#REF!</v>
      </c>
      <c r="M325" s="83" t="e">
        <f>Проект!#REF!</f>
        <v>#REF!</v>
      </c>
      <c r="N325" s="83" t="e">
        <f>Проект!#REF!</f>
        <v>#REF!</v>
      </c>
      <c r="O325" s="83" t="e">
        <f>Проект!#REF!</f>
        <v>#REF!</v>
      </c>
      <c r="P325" s="83" t="e">
        <f>Проект!#REF!</f>
        <v>#REF!</v>
      </c>
      <c r="Q325" s="83" t="e">
        <f>Проект!#REF!</f>
        <v>#REF!</v>
      </c>
      <c r="R325" s="48"/>
      <c r="S325" s="95" t="e">
        <f>Проект!#REF!</f>
        <v>#REF!</v>
      </c>
    </row>
    <row r="326" spans="1:19" hidden="1" x14ac:dyDescent="0.2">
      <c r="A326" s="48" t="e">
        <f>Проект!#REF!</f>
        <v>#REF!</v>
      </c>
      <c r="B326" s="48"/>
      <c r="C326" s="73" t="e">
        <f>Проект!#REF!</f>
        <v>#REF!</v>
      </c>
      <c r="D326" s="48" t="e">
        <f>Проект!#REF!</f>
        <v>#REF!</v>
      </c>
      <c r="E326" s="48"/>
      <c r="F326" s="84" t="e">
        <f>Проект!#REF!</f>
        <v>#REF!</v>
      </c>
      <c r="G326" s="84" t="e">
        <f>Проект!#REF!</f>
        <v>#REF!</v>
      </c>
      <c r="H326" s="84" t="e">
        <f>Проект!#REF!</f>
        <v>#REF!</v>
      </c>
      <c r="I326" s="84" t="e">
        <f>Проект!#REF!</f>
        <v>#REF!</v>
      </c>
      <c r="J326" s="84" t="e">
        <f>Проект!#REF!</f>
        <v>#REF!</v>
      </c>
      <c r="K326" s="84" t="e">
        <f>Проект!#REF!</f>
        <v>#REF!</v>
      </c>
      <c r="L326" s="84" t="e">
        <f>Проект!#REF!</f>
        <v>#REF!</v>
      </c>
      <c r="M326" s="84" t="e">
        <f>Проект!#REF!</f>
        <v>#REF!</v>
      </c>
      <c r="N326" s="84" t="e">
        <f>Проект!#REF!</f>
        <v>#REF!</v>
      </c>
      <c r="O326" s="84" t="e">
        <f>Проект!#REF!</f>
        <v>#REF!</v>
      </c>
      <c r="P326" s="84" t="e">
        <f>Проект!#REF!</f>
        <v>#REF!</v>
      </c>
      <c r="Q326" s="84" t="e">
        <f>Проект!#REF!</f>
        <v>#REF!</v>
      </c>
      <c r="R326" s="48"/>
      <c r="S326" s="94" t="e">
        <f>Проект!#REF!</f>
        <v>#REF!</v>
      </c>
    </row>
    <row r="327" spans="1:19" hidden="1" x14ac:dyDescent="0.2">
      <c r="A327" s="48" t="e">
        <f>Проект!#REF!</f>
        <v>#REF!</v>
      </c>
      <c r="B327" s="48"/>
      <c r="C327" s="73" t="e">
        <f>Проект!#REF!</f>
        <v>#REF!</v>
      </c>
      <c r="D327" s="48" t="e">
        <f>Проект!#REF!</f>
        <v>#REF!</v>
      </c>
      <c r="E327" s="48"/>
      <c r="F327" s="84" t="e">
        <f>Проект!#REF!</f>
        <v>#REF!</v>
      </c>
      <c r="G327" s="84" t="e">
        <f>Проект!#REF!</f>
        <v>#REF!</v>
      </c>
      <c r="H327" s="84" t="e">
        <f>Проект!#REF!</f>
        <v>#REF!</v>
      </c>
      <c r="I327" s="84" t="e">
        <f>Проект!#REF!</f>
        <v>#REF!</v>
      </c>
      <c r="J327" s="84" t="e">
        <f>Проект!#REF!</f>
        <v>#REF!</v>
      </c>
      <c r="K327" s="84" t="e">
        <f>Проект!#REF!</f>
        <v>#REF!</v>
      </c>
      <c r="L327" s="84" t="e">
        <f>Проект!#REF!</f>
        <v>#REF!</v>
      </c>
      <c r="M327" s="84" t="e">
        <f>Проект!#REF!</f>
        <v>#REF!</v>
      </c>
      <c r="N327" s="84" t="e">
        <f>Проект!#REF!</f>
        <v>#REF!</v>
      </c>
      <c r="O327" s="84" t="e">
        <f>Проект!#REF!</f>
        <v>#REF!</v>
      </c>
      <c r="P327" s="84" t="e">
        <f>Проект!#REF!</f>
        <v>#REF!</v>
      </c>
      <c r="Q327" s="84" t="e">
        <f>Проект!#REF!</f>
        <v>#REF!</v>
      </c>
      <c r="R327" s="48"/>
      <c r="S327" s="94" t="e">
        <f>Проект!#REF!</f>
        <v>#REF!</v>
      </c>
    </row>
    <row r="328" spans="1:19" hidden="1" x14ac:dyDescent="0.2">
      <c r="A328" s="48" t="e">
        <f>Проект!#REF!</f>
        <v>#REF!</v>
      </c>
      <c r="B328" s="48"/>
      <c r="C328" s="73" t="e">
        <f>Проект!#REF!</f>
        <v>#REF!</v>
      </c>
      <c r="D328" s="48" t="e">
        <f>Проект!#REF!</f>
        <v>#REF!</v>
      </c>
      <c r="E328" s="48"/>
      <c r="F328" s="84" t="e">
        <f>Проект!#REF!</f>
        <v>#REF!</v>
      </c>
      <c r="G328" s="84" t="e">
        <f>Проект!#REF!</f>
        <v>#REF!</v>
      </c>
      <c r="H328" s="84" t="e">
        <f>Проект!#REF!</f>
        <v>#REF!</v>
      </c>
      <c r="I328" s="84" t="e">
        <f>Проект!#REF!</f>
        <v>#REF!</v>
      </c>
      <c r="J328" s="84" t="e">
        <f>Проект!#REF!</f>
        <v>#REF!</v>
      </c>
      <c r="K328" s="84" t="e">
        <f>Проект!#REF!</f>
        <v>#REF!</v>
      </c>
      <c r="L328" s="84" t="e">
        <f>Проект!#REF!</f>
        <v>#REF!</v>
      </c>
      <c r="M328" s="84" t="e">
        <f>Проект!#REF!</f>
        <v>#REF!</v>
      </c>
      <c r="N328" s="84" t="e">
        <f>Проект!#REF!</f>
        <v>#REF!</v>
      </c>
      <c r="O328" s="84" t="e">
        <f>Проект!#REF!</f>
        <v>#REF!</v>
      </c>
      <c r="P328" s="84" t="e">
        <f>Проект!#REF!</f>
        <v>#REF!</v>
      </c>
      <c r="Q328" s="84" t="e">
        <f>Проект!#REF!</f>
        <v>#REF!</v>
      </c>
      <c r="R328" s="48"/>
      <c r="S328" s="94" t="e">
        <f>Проект!#REF!</f>
        <v>#REF!</v>
      </c>
    </row>
    <row r="329" spans="1:19" hidden="1" x14ac:dyDescent="0.2">
      <c r="A329" s="48" t="e">
        <f>Проект!#REF!</f>
        <v>#REF!</v>
      </c>
      <c r="B329" s="48"/>
      <c r="C329" s="73" t="e">
        <f>Проект!#REF!</f>
        <v>#REF!</v>
      </c>
      <c r="D329" s="48" t="e">
        <f>Проект!#REF!</f>
        <v>#REF!</v>
      </c>
      <c r="E329" s="48"/>
      <c r="F329" s="341" t="e">
        <f>Проект!#REF!</f>
        <v>#REF!</v>
      </c>
      <c r="G329" s="341" t="e">
        <f>Проект!#REF!</f>
        <v>#REF!</v>
      </c>
      <c r="H329" s="341" t="e">
        <f>Проект!#REF!</f>
        <v>#REF!</v>
      </c>
      <c r="I329" s="341" t="e">
        <f>Проект!#REF!</f>
        <v>#REF!</v>
      </c>
      <c r="J329" s="341" t="e">
        <f>Проект!#REF!</f>
        <v>#REF!</v>
      </c>
      <c r="K329" s="341" t="e">
        <f>Проект!#REF!</f>
        <v>#REF!</v>
      </c>
      <c r="L329" s="341" t="e">
        <f>Проект!#REF!</f>
        <v>#REF!</v>
      </c>
      <c r="M329" s="341" t="e">
        <f>Проект!#REF!</f>
        <v>#REF!</v>
      </c>
      <c r="N329" s="341" t="e">
        <f>Проект!#REF!</f>
        <v>#REF!</v>
      </c>
      <c r="O329" s="341" t="e">
        <f>Проект!#REF!</f>
        <v>#REF!</v>
      </c>
      <c r="P329" s="341" t="e">
        <f>Проект!#REF!</f>
        <v>#REF!</v>
      </c>
      <c r="Q329" s="341" t="e">
        <f>Проект!#REF!</f>
        <v>#REF!</v>
      </c>
      <c r="R329" s="48"/>
      <c r="S329" s="94" t="e">
        <f>Проект!#REF!</f>
        <v>#REF!</v>
      </c>
    </row>
    <row r="330" spans="1:19" hidden="1" x14ac:dyDescent="0.2">
      <c r="A330" s="48" t="e">
        <f>Проект!#REF!</f>
        <v>#REF!</v>
      </c>
      <c r="B330" s="48"/>
      <c r="C330" s="73" t="e">
        <f>Проект!#REF!</f>
        <v>#REF!</v>
      </c>
      <c r="D330" s="48" t="e">
        <f>Проект!#REF!</f>
        <v>#REF!</v>
      </c>
      <c r="E330" s="48"/>
      <c r="F330" s="84" t="e">
        <f>Проект!#REF!</f>
        <v>#REF!</v>
      </c>
      <c r="G330" s="84" t="e">
        <f>Проект!#REF!</f>
        <v>#REF!</v>
      </c>
      <c r="H330" s="84" t="e">
        <f>Проект!#REF!</f>
        <v>#REF!</v>
      </c>
      <c r="I330" s="84" t="e">
        <f>Проект!#REF!</f>
        <v>#REF!</v>
      </c>
      <c r="J330" s="84" t="e">
        <f>Проект!#REF!</f>
        <v>#REF!</v>
      </c>
      <c r="K330" s="84" t="e">
        <f>Проект!#REF!</f>
        <v>#REF!</v>
      </c>
      <c r="L330" s="84" t="e">
        <f>Проект!#REF!</f>
        <v>#REF!</v>
      </c>
      <c r="M330" s="84" t="e">
        <f>Проект!#REF!</f>
        <v>#REF!</v>
      </c>
      <c r="N330" s="84" t="e">
        <f>Проект!#REF!</f>
        <v>#REF!</v>
      </c>
      <c r="O330" s="84" t="e">
        <f>Проект!#REF!</f>
        <v>#REF!</v>
      </c>
      <c r="P330" s="84" t="e">
        <f>Проект!#REF!</f>
        <v>#REF!</v>
      </c>
      <c r="Q330" s="84" t="e">
        <f>Проект!#REF!</f>
        <v>#REF!</v>
      </c>
      <c r="R330" s="48"/>
      <c r="S330" s="94" t="e">
        <f>Проект!#REF!</f>
        <v>#REF!</v>
      </c>
    </row>
    <row r="331" spans="1:19" hidden="1" x14ac:dyDescent="0.2">
      <c r="A331" s="48" t="e">
        <f>Проект!#REF!</f>
        <v>#REF!</v>
      </c>
      <c r="B331" s="48"/>
      <c r="C331" s="73" t="e">
        <f>Проект!#REF!</f>
        <v>#REF!</v>
      </c>
      <c r="D331" s="48" t="e">
        <f>Проект!#REF!</f>
        <v>#REF!</v>
      </c>
      <c r="E331" s="48"/>
      <c r="F331" s="84" t="e">
        <f>Проект!#REF!</f>
        <v>#REF!</v>
      </c>
      <c r="G331" s="84" t="e">
        <f>Проект!#REF!</f>
        <v>#REF!</v>
      </c>
      <c r="H331" s="84" t="e">
        <f>Проект!#REF!</f>
        <v>#REF!</v>
      </c>
      <c r="I331" s="84" t="e">
        <f>Проект!#REF!</f>
        <v>#REF!</v>
      </c>
      <c r="J331" s="84" t="e">
        <f>Проект!#REF!</f>
        <v>#REF!</v>
      </c>
      <c r="K331" s="84" t="e">
        <f>Проект!#REF!</f>
        <v>#REF!</v>
      </c>
      <c r="L331" s="84" t="e">
        <f>Проект!#REF!</f>
        <v>#REF!</v>
      </c>
      <c r="M331" s="84" t="e">
        <f>Проект!#REF!</f>
        <v>#REF!</v>
      </c>
      <c r="N331" s="84" t="e">
        <f>Проект!#REF!</f>
        <v>#REF!</v>
      </c>
      <c r="O331" s="84" t="e">
        <f>Проект!#REF!</f>
        <v>#REF!</v>
      </c>
      <c r="P331" s="84" t="e">
        <f>Проект!#REF!</f>
        <v>#REF!</v>
      </c>
      <c r="Q331" s="84" t="e">
        <f>Проект!#REF!</f>
        <v>#REF!</v>
      </c>
      <c r="R331" s="48"/>
      <c r="S331" s="41"/>
    </row>
    <row r="332" spans="1:19" hidden="1" x14ac:dyDescent="0.2">
      <c r="A332" s="48" t="e">
        <f>Проект!#REF!</f>
        <v>#REF!</v>
      </c>
      <c r="B332" s="48"/>
      <c r="C332" s="73" t="e">
        <f>Проект!#REF!</f>
        <v>#REF!</v>
      </c>
      <c r="D332" s="48" t="e">
        <f>Проект!#REF!</f>
        <v>#REF!</v>
      </c>
      <c r="E332" s="48"/>
      <c r="F332" s="84" t="e">
        <f>Проект!#REF!</f>
        <v>#REF!</v>
      </c>
      <c r="G332" s="84" t="e">
        <f>Проект!#REF!</f>
        <v>#REF!</v>
      </c>
      <c r="H332" s="84" t="e">
        <f>Проект!#REF!</f>
        <v>#REF!</v>
      </c>
      <c r="I332" s="84" t="e">
        <f>Проект!#REF!</f>
        <v>#REF!</v>
      </c>
      <c r="J332" s="84" t="e">
        <f>Проект!#REF!</f>
        <v>#REF!</v>
      </c>
      <c r="K332" s="84" t="e">
        <f>Проект!#REF!</f>
        <v>#REF!</v>
      </c>
      <c r="L332" s="84" t="e">
        <f>Проект!#REF!</f>
        <v>#REF!</v>
      </c>
      <c r="M332" s="84" t="e">
        <f>Проект!#REF!</f>
        <v>#REF!</v>
      </c>
      <c r="N332" s="84" t="e">
        <f>Проект!#REF!</f>
        <v>#REF!</v>
      </c>
      <c r="O332" s="84" t="e">
        <f>Проект!#REF!</f>
        <v>#REF!</v>
      </c>
      <c r="P332" s="84" t="e">
        <f>Проект!#REF!</f>
        <v>#REF!</v>
      </c>
      <c r="Q332" s="84" t="e">
        <f>Проект!#REF!</f>
        <v>#REF!</v>
      </c>
      <c r="R332" s="48"/>
      <c r="S332" s="41"/>
    </row>
    <row r="333" spans="1:19" ht="11.25" customHeight="1" x14ac:dyDescent="0.2">
      <c r="A333" s="48" t="e">
        <f>Проект!#REF!</f>
        <v>#REF!</v>
      </c>
      <c r="B333" s="48"/>
      <c r="C333" s="73" t="e">
        <f>Проект!#REF!</f>
        <v>#REF!</v>
      </c>
      <c r="D333" s="74" t="e">
        <f>Проект!#REF!</f>
        <v>#REF!</v>
      </c>
      <c r="E333" s="48"/>
      <c r="F333" s="83" t="e">
        <f>Проект!#REF!</f>
        <v>#REF!</v>
      </c>
      <c r="G333" s="83" t="e">
        <f>Проект!#REF!</f>
        <v>#REF!</v>
      </c>
      <c r="H333" s="83" t="e">
        <f>Проект!#REF!</f>
        <v>#REF!</v>
      </c>
      <c r="I333" s="83" t="e">
        <f>Проект!#REF!</f>
        <v>#REF!</v>
      </c>
      <c r="J333" s="83" t="e">
        <f>Проект!#REF!</f>
        <v>#REF!</v>
      </c>
      <c r="K333" s="83" t="e">
        <f>Проект!#REF!</f>
        <v>#REF!</v>
      </c>
      <c r="L333" s="83" t="e">
        <f>Проект!#REF!</f>
        <v>#REF!</v>
      </c>
      <c r="M333" s="83" t="e">
        <f>Проект!#REF!</f>
        <v>#REF!</v>
      </c>
      <c r="N333" s="83" t="e">
        <f>Проект!#REF!</f>
        <v>#REF!</v>
      </c>
      <c r="O333" s="83" t="e">
        <f>Проект!#REF!</f>
        <v>#REF!</v>
      </c>
      <c r="P333" s="83" t="e">
        <f>Проект!#REF!</f>
        <v>#REF!</v>
      </c>
      <c r="Q333" s="83" t="e">
        <f>Проект!#REF!</f>
        <v>#REF!</v>
      </c>
      <c r="R333" s="48"/>
      <c r="S333" s="95" t="e">
        <f>Проект!#REF!</f>
        <v>#REF!</v>
      </c>
    </row>
    <row r="334" spans="1:19" hidden="1" x14ac:dyDescent="0.2">
      <c r="A334" s="48" t="e">
        <f>Проект!#REF!</f>
        <v>#REF!</v>
      </c>
      <c r="B334" s="48"/>
      <c r="C334" s="73" t="e">
        <f>Проект!#REF!</f>
        <v>#REF!</v>
      </c>
      <c r="D334" s="48" t="e">
        <f>Проект!#REF!</f>
        <v>#REF!</v>
      </c>
      <c r="E334" s="48"/>
      <c r="F334" s="84" t="e">
        <f>Проект!#REF!</f>
        <v>#REF!</v>
      </c>
      <c r="G334" s="84" t="e">
        <f>Проект!#REF!</f>
        <v>#REF!</v>
      </c>
      <c r="H334" s="84" t="e">
        <f>Проект!#REF!</f>
        <v>#REF!</v>
      </c>
      <c r="I334" s="84" t="e">
        <f>Проект!#REF!</f>
        <v>#REF!</v>
      </c>
      <c r="J334" s="84" t="e">
        <f>Проект!#REF!</f>
        <v>#REF!</v>
      </c>
      <c r="K334" s="84" t="e">
        <f>Проект!#REF!</f>
        <v>#REF!</v>
      </c>
      <c r="L334" s="84" t="e">
        <f>Проект!#REF!</f>
        <v>#REF!</v>
      </c>
      <c r="M334" s="84" t="e">
        <f>Проект!#REF!</f>
        <v>#REF!</v>
      </c>
      <c r="N334" s="84" t="e">
        <f>Проект!#REF!</f>
        <v>#REF!</v>
      </c>
      <c r="O334" s="84" t="e">
        <f>Проект!#REF!</f>
        <v>#REF!</v>
      </c>
      <c r="P334" s="84" t="e">
        <f>Проект!#REF!</f>
        <v>#REF!</v>
      </c>
      <c r="Q334" s="84" t="e">
        <f>Проект!#REF!</f>
        <v>#REF!</v>
      </c>
      <c r="R334" s="48"/>
      <c r="S334" s="94" t="e">
        <f>Проект!#REF!</f>
        <v>#REF!</v>
      </c>
    </row>
    <row r="335" spans="1:19" hidden="1" x14ac:dyDescent="0.2">
      <c r="A335" s="48" t="e">
        <f>Проект!#REF!</f>
        <v>#REF!</v>
      </c>
      <c r="B335" s="48"/>
      <c r="C335" s="73" t="e">
        <f>Проект!#REF!</f>
        <v>#REF!</v>
      </c>
      <c r="D335" s="48" t="e">
        <f>Проект!#REF!</f>
        <v>#REF!</v>
      </c>
      <c r="E335" s="48"/>
      <c r="F335" s="84" t="e">
        <f>Проект!#REF!</f>
        <v>#REF!</v>
      </c>
      <c r="G335" s="84" t="e">
        <f>Проект!#REF!</f>
        <v>#REF!</v>
      </c>
      <c r="H335" s="84" t="e">
        <f>Проект!#REF!</f>
        <v>#REF!</v>
      </c>
      <c r="I335" s="84" t="e">
        <f>Проект!#REF!</f>
        <v>#REF!</v>
      </c>
      <c r="J335" s="84" t="e">
        <f>Проект!#REF!</f>
        <v>#REF!</v>
      </c>
      <c r="K335" s="84" t="e">
        <f>Проект!#REF!</f>
        <v>#REF!</v>
      </c>
      <c r="L335" s="84" t="e">
        <f>Проект!#REF!</f>
        <v>#REF!</v>
      </c>
      <c r="M335" s="84" t="e">
        <f>Проект!#REF!</f>
        <v>#REF!</v>
      </c>
      <c r="N335" s="84" t="e">
        <f>Проект!#REF!</f>
        <v>#REF!</v>
      </c>
      <c r="O335" s="84" t="e">
        <f>Проект!#REF!</f>
        <v>#REF!</v>
      </c>
      <c r="P335" s="84" t="e">
        <f>Проект!#REF!</f>
        <v>#REF!</v>
      </c>
      <c r="Q335" s="84" t="e">
        <f>Проект!#REF!</f>
        <v>#REF!</v>
      </c>
      <c r="R335" s="48"/>
      <c r="S335" s="94" t="e">
        <f>Проект!#REF!</f>
        <v>#REF!</v>
      </c>
    </row>
    <row r="336" spans="1:19" hidden="1" x14ac:dyDescent="0.2">
      <c r="A336" s="48" t="e">
        <f>Проект!#REF!</f>
        <v>#REF!</v>
      </c>
      <c r="B336" s="48"/>
      <c r="C336" s="73" t="e">
        <f>Проект!#REF!</f>
        <v>#REF!</v>
      </c>
      <c r="D336" s="48" t="e">
        <f>Проект!#REF!</f>
        <v>#REF!</v>
      </c>
      <c r="E336" s="48"/>
      <c r="F336" s="84" t="e">
        <f>Проект!#REF!</f>
        <v>#REF!</v>
      </c>
      <c r="G336" s="84" t="e">
        <f>Проект!#REF!</f>
        <v>#REF!</v>
      </c>
      <c r="H336" s="84" t="e">
        <f>Проект!#REF!</f>
        <v>#REF!</v>
      </c>
      <c r="I336" s="84" t="e">
        <f>Проект!#REF!</f>
        <v>#REF!</v>
      </c>
      <c r="J336" s="84" t="e">
        <f>Проект!#REF!</f>
        <v>#REF!</v>
      </c>
      <c r="K336" s="84" t="e">
        <f>Проект!#REF!</f>
        <v>#REF!</v>
      </c>
      <c r="L336" s="84" t="e">
        <f>Проект!#REF!</f>
        <v>#REF!</v>
      </c>
      <c r="M336" s="84" t="e">
        <f>Проект!#REF!</f>
        <v>#REF!</v>
      </c>
      <c r="N336" s="84" t="e">
        <f>Проект!#REF!</f>
        <v>#REF!</v>
      </c>
      <c r="O336" s="84" t="e">
        <f>Проект!#REF!</f>
        <v>#REF!</v>
      </c>
      <c r="P336" s="84" t="e">
        <f>Проект!#REF!</f>
        <v>#REF!</v>
      </c>
      <c r="Q336" s="84" t="e">
        <f>Проект!#REF!</f>
        <v>#REF!</v>
      </c>
      <c r="R336" s="48"/>
      <c r="S336" s="94" t="e">
        <f>Проект!#REF!</f>
        <v>#REF!</v>
      </c>
    </row>
    <row r="337" spans="1:19" hidden="1" x14ac:dyDescent="0.2">
      <c r="A337" s="48" t="e">
        <f>Проект!#REF!</f>
        <v>#REF!</v>
      </c>
      <c r="B337" s="48"/>
      <c r="C337" s="73" t="e">
        <f>Проект!#REF!</f>
        <v>#REF!</v>
      </c>
      <c r="D337" s="48" t="e">
        <f>Проект!#REF!</f>
        <v>#REF!</v>
      </c>
      <c r="E337" s="48"/>
      <c r="F337" s="341" t="e">
        <f>Проект!#REF!</f>
        <v>#REF!</v>
      </c>
      <c r="G337" s="341" t="e">
        <f>Проект!#REF!</f>
        <v>#REF!</v>
      </c>
      <c r="H337" s="341" t="e">
        <f>Проект!#REF!</f>
        <v>#REF!</v>
      </c>
      <c r="I337" s="341" t="e">
        <f>Проект!#REF!</f>
        <v>#REF!</v>
      </c>
      <c r="J337" s="341" t="e">
        <f>Проект!#REF!</f>
        <v>#REF!</v>
      </c>
      <c r="K337" s="341" t="e">
        <f>Проект!#REF!</f>
        <v>#REF!</v>
      </c>
      <c r="L337" s="341" t="e">
        <f>Проект!#REF!</f>
        <v>#REF!</v>
      </c>
      <c r="M337" s="341" t="e">
        <f>Проект!#REF!</f>
        <v>#REF!</v>
      </c>
      <c r="N337" s="341" t="e">
        <f>Проект!#REF!</f>
        <v>#REF!</v>
      </c>
      <c r="O337" s="341" t="e">
        <f>Проект!#REF!</f>
        <v>#REF!</v>
      </c>
      <c r="P337" s="341" t="e">
        <f>Проект!#REF!</f>
        <v>#REF!</v>
      </c>
      <c r="Q337" s="341" t="e">
        <f>Проект!#REF!</f>
        <v>#REF!</v>
      </c>
      <c r="R337" s="48"/>
      <c r="S337" s="94" t="e">
        <f>Проект!#REF!</f>
        <v>#REF!</v>
      </c>
    </row>
    <row r="338" spans="1:19" hidden="1" x14ac:dyDescent="0.2">
      <c r="A338" s="48" t="e">
        <f>Проект!#REF!</f>
        <v>#REF!</v>
      </c>
      <c r="B338" s="48"/>
      <c r="C338" s="73" t="e">
        <f>Проект!#REF!</f>
        <v>#REF!</v>
      </c>
      <c r="D338" s="48" t="e">
        <f>Проект!#REF!</f>
        <v>#REF!</v>
      </c>
      <c r="E338" s="48"/>
      <c r="F338" s="84" t="e">
        <f>Проект!#REF!</f>
        <v>#REF!</v>
      </c>
      <c r="G338" s="84" t="e">
        <f>Проект!#REF!</f>
        <v>#REF!</v>
      </c>
      <c r="H338" s="84" t="e">
        <f>Проект!#REF!</f>
        <v>#REF!</v>
      </c>
      <c r="I338" s="84" t="e">
        <f>Проект!#REF!</f>
        <v>#REF!</v>
      </c>
      <c r="J338" s="84" t="e">
        <f>Проект!#REF!</f>
        <v>#REF!</v>
      </c>
      <c r="K338" s="84" t="e">
        <f>Проект!#REF!</f>
        <v>#REF!</v>
      </c>
      <c r="L338" s="84" t="e">
        <f>Проект!#REF!</f>
        <v>#REF!</v>
      </c>
      <c r="M338" s="84" t="e">
        <f>Проект!#REF!</f>
        <v>#REF!</v>
      </c>
      <c r="N338" s="84" t="e">
        <f>Проект!#REF!</f>
        <v>#REF!</v>
      </c>
      <c r="O338" s="84" t="e">
        <f>Проект!#REF!</f>
        <v>#REF!</v>
      </c>
      <c r="P338" s="84" t="e">
        <f>Проект!#REF!</f>
        <v>#REF!</v>
      </c>
      <c r="Q338" s="84" t="e">
        <f>Проект!#REF!</f>
        <v>#REF!</v>
      </c>
      <c r="R338" s="48"/>
      <c r="S338" s="94" t="e">
        <f>Проект!#REF!</f>
        <v>#REF!</v>
      </c>
    </row>
    <row r="339" spans="1:19" hidden="1" x14ac:dyDescent="0.2">
      <c r="A339" s="48" t="e">
        <f>Проект!#REF!</f>
        <v>#REF!</v>
      </c>
      <c r="B339" s="48"/>
      <c r="C339" s="73" t="e">
        <f>Проект!#REF!</f>
        <v>#REF!</v>
      </c>
      <c r="D339" s="48" t="e">
        <f>Проект!#REF!</f>
        <v>#REF!</v>
      </c>
      <c r="E339" s="48"/>
      <c r="F339" s="84" t="e">
        <f>Проект!#REF!</f>
        <v>#REF!</v>
      </c>
      <c r="G339" s="84" t="e">
        <f>Проект!#REF!</f>
        <v>#REF!</v>
      </c>
      <c r="H339" s="84" t="e">
        <f>Проект!#REF!</f>
        <v>#REF!</v>
      </c>
      <c r="I339" s="84" t="e">
        <f>Проект!#REF!</f>
        <v>#REF!</v>
      </c>
      <c r="J339" s="84" t="e">
        <f>Проект!#REF!</f>
        <v>#REF!</v>
      </c>
      <c r="K339" s="84" t="e">
        <f>Проект!#REF!</f>
        <v>#REF!</v>
      </c>
      <c r="L339" s="84" t="e">
        <f>Проект!#REF!</f>
        <v>#REF!</v>
      </c>
      <c r="M339" s="84" t="e">
        <f>Проект!#REF!</f>
        <v>#REF!</v>
      </c>
      <c r="N339" s="84" t="e">
        <f>Проект!#REF!</f>
        <v>#REF!</v>
      </c>
      <c r="O339" s="84" t="e">
        <f>Проект!#REF!</f>
        <v>#REF!</v>
      </c>
      <c r="P339" s="84" t="e">
        <f>Проект!#REF!</f>
        <v>#REF!</v>
      </c>
      <c r="Q339" s="84" t="e">
        <f>Проект!#REF!</f>
        <v>#REF!</v>
      </c>
      <c r="R339" s="48"/>
      <c r="S339" s="41"/>
    </row>
    <row r="340" spans="1:19" hidden="1" x14ac:dyDescent="0.2">
      <c r="A340" s="48" t="e">
        <f>Проект!#REF!</f>
        <v>#REF!</v>
      </c>
      <c r="B340" s="48"/>
      <c r="C340" s="73" t="e">
        <f>Проект!#REF!</f>
        <v>#REF!</v>
      </c>
      <c r="D340" s="48" t="e">
        <f>Проект!#REF!</f>
        <v>#REF!</v>
      </c>
      <c r="E340" s="48"/>
      <c r="F340" s="84" t="e">
        <f>Проект!#REF!</f>
        <v>#REF!</v>
      </c>
      <c r="G340" s="84" t="e">
        <f>Проект!#REF!</f>
        <v>#REF!</v>
      </c>
      <c r="H340" s="84" t="e">
        <f>Проект!#REF!</f>
        <v>#REF!</v>
      </c>
      <c r="I340" s="84" t="e">
        <f>Проект!#REF!</f>
        <v>#REF!</v>
      </c>
      <c r="J340" s="84" t="e">
        <f>Проект!#REF!</f>
        <v>#REF!</v>
      </c>
      <c r="K340" s="84" t="e">
        <f>Проект!#REF!</f>
        <v>#REF!</v>
      </c>
      <c r="L340" s="84" t="e">
        <f>Проект!#REF!</f>
        <v>#REF!</v>
      </c>
      <c r="M340" s="84" t="e">
        <f>Проект!#REF!</f>
        <v>#REF!</v>
      </c>
      <c r="N340" s="84" t="e">
        <f>Проект!#REF!</f>
        <v>#REF!</v>
      </c>
      <c r="O340" s="84" t="e">
        <f>Проект!#REF!</f>
        <v>#REF!</v>
      </c>
      <c r="P340" s="84" t="e">
        <f>Проект!#REF!</f>
        <v>#REF!</v>
      </c>
      <c r="Q340" s="84" t="e">
        <f>Проект!#REF!</f>
        <v>#REF!</v>
      </c>
      <c r="R340" s="48"/>
      <c r="S340" s="41"/>
    </row>
    <row r="341" spans="1:19" ht="11.25" customHeight="1" x14ac:dyDescent="0.2">
      <c r="A341" s="48" t="e">
        <f>Проект!#REF!</f>
        <v>#REF!</v>
      </c>
      <c r="B341" s="48"/>
      <c r="C341" s="73" t="e">
        <f>Проект!#REF!</f>
        <v>#REF!</v>
      </c>
      <c r="D341" s="74" t="e">
        <f>Проект!#REF!</f>
        <v>#REF!</v>
      </c>
      <c r="E341" s="48"/>
      <c r="F341" s="83" t="e">
        <f>Проект!#REF!</f>
        <v>#REF!</v>
      </c>
      <c r="G341" s="83" t="e">
        <f>Проект!#REF!</f>
        <v>#REF!</v>
      </c>
      <c r="H341" s="83" t="e">
        <f>Проект!#REF!</f>
        <v>#REF!</v>
      </c>
      <c r="I341" s="83" t="e">
        <f>Проект!#REF!</f>
        <v>#REF!</v>
      </c>
      <c r="J341" s="83" t="e">
        <f>Проект!#REF!</f>
        <v>#REF!</v>
      </c>
      <c r="K341" s="83" t="e">
        <f>Проект!#REF!</f>
        <v>#REF!</v>
      </c>
      <c r="L341" s="83" t="e">
        <f>Проект!#REF!</f>
        <v>#REF!</v>
      </c>
      <c r="M341" s="83" t="e">
        <f>Проект!#REF!</f>
        <v>#REF!</v>
      </c>
      <c r="N341" s="83" t="e">
        <f>Проект!#REF!</f>
        <v>#REF!</v>
      </c>
      <c r="O341" s="83" t="e">
        <f>Проект!#REF!</f>
        <v>#REF!</v>
      </c>
      <c r="P341" s="83" t="e">
        <f>Проект!#REF!</f>
        <v>#REF!</v>
      </c>
      <c r="Q341" s="83" t="e">
        <f>Проект!#REF!</f>
        <v>#REF!</v>
      </c>
      <c r="R341" s="48"/>
      <c r="S341" s="95" t="e">
        <f>Проект!#REF!</f>
        <v>#REF!</v>
      </c>
    </row>
    <row r="342" spans="1:19" hidden="1" x14ac:dyDescent="0.2">
      <c r="A342" s="48" t="e">
        <f>Проект!#REF!</f>
        <v>#REF!</v>
      </c>
      <c r="B342" s="48"/>
      <c r="C342" s="73" t="e">
        <f>Проект!#REF!</f>
        <v>#REF!</v>
      </c>
      <c r="D342" s="48" t="e">
        <f>Проект!#REF!</f>
        <v>#REF!</v>
      </c>
      <c r="E342" s="48"/>
      <c r="F342" s="84" t="e">
        <f>Проект!#REF!</f>
        <v>#REF!</v>
      </c>
      <c r="G342" s="84" t="e">
        <f>Проект!#REF!</f>
        <v>#REF!</v>
      </c>
      <c r="H342" s="84" t="e">
        <f>Проект!#REF!</f>
        <v>#REF!</v>
      </c>
      <c r="I342" s="84" t="e">
        <f>Проект!#REF!</f>
        <v>#REF!</v>
      </c>
      <c r="J342" s="84" t="e">
        <f>Проект!#REF!</f>
        <v>#REF!</v>
      </c>
      <c r="K342" s="84" t="e">
        <f>Проект!#REF!</f>
        <v>#REF!</v>
      </c>
      <c r="L342" s="84" t="e">
        <f>Проект!#REF!</f>
        <v>#REF!</v>
      </c>
      <c r="M342" s="84" t="e">
        <f>Проект!#REF!</f>
        <v>#REF!</v>
      </c>
      <c r="N342" s="84" t="e">
        <f>Проект!#REF!</f>
        <v>#REF!</v>
      </c>
      <c r="O342" s="84" t="e">
        <f>Проект!#REF!</f>
        <v>#REF!</v>
      </c>
      <c r="P342" s="84" t="e">
        <f>Проект!#REF!</f>
        <v>#REF!</v>
      </c>
      <c r="Q342" s="84" t="e">
        <f>Проект!#REF!</f>
        <v>#REF!</v>
      </c>
      <c r="R342" s="48"/>
      <c r="S342" s="94" t="e">
        <f>Проект!#REF!</f>
        <v>#REF!</v>
      </c>
    </row>
    <row r="343" spans="1:19" hidden="1" x14ac:dyDescent="0.2">
      <c r="A343" s="48" t="e">
        <f>Проект!#REF!</f>
        <v>#REF!</v>
      </c>
      <c r="B343" s="48"/>
      <c r="C343" s="73" t="e">
        <f>Проект!#REF!</f>
        <v>#REF!</v>
      </c>
      <c r="D343" s="48" t="e">
        <f>Проект!#REF!</f>
        <v>#REF!</v>
      </c>
      <c r="E343" s="48"/>
      <c r="F343" s="84" t="e">
        <f>Проект!#REF!</f>
        <v>#REF!</v>
      </c>
      <c r="G343" s="84" t="e">
        <f>Проект!#REF!</f>
        <v>#REF!</v>
      </c>
      <c r="H343" s="84" t="e">
        <f>Проект!#REF!</f>
        <v>#REF!</v>
      </c>
      <c r="I343" s="84" t="e">
        <f>Проект!#REF!</f>
        <v>#REF!</v>
      </c>
      <c r="J343" s="84" t="e">
        <f>Проект!#REF!</f>
        <v>#REF!</v>
      </c>
      <c r="K343" s="84" t="e">
        <f>Проект!#REF!</f>
        <v>#REF!</v>
      </c>
      <c r="L343" s="84" t="e">
        <f>Проект!#REF!</f>
        <v>#REF!</v>
      </c>
      <c r="M343" s="84" t="e">
        <f>Проект!#REF!</f>
        <v>#REF!</v>
      </c>
      <c r="N343" s="84" t="e">
        <f>Проект!#REF!</f>
        <v>#REF!</v>
      </c>
      <c r="O343" s="84" t="e">
        <f>Проект!#REF!</f>
        <v>#REF!</v>
      </c>
      <c r="P343" s="84" t="e">
        <f>Проект!#REF!</f>
        <v>#REF!</v>
      </c>
      <c r="Q343" s="84" t="e">
        <f>Проект!#REF!</f>
        <v>#REF!</v>
      </c>
      <c r="R343" s="48"/>
      <c r="S343" s="94" t="e">
        <f>Проект!#REF!</f>
        <v>#REF!</v>
      </c>
    </row>
    <row r="344" spans="1:19" hidden="1" x14ac:dyDescent="0.2">
      <c r="A344" s="48" t="e">
        <f>Проект!#REF!</f>
        <v>#REF!</v>
      </c>
      <c r="B344" s="48"/>
      <c r="C344" s="73" t="e">
        <f>Проект!#REF!</f>
        <v>#REF!</v>
      </c>
      <c r="D344" s="48" t="e">
        <f>Проект!#REF!</f>
        <v>#REF!</v>
      </c>
      <c r="E344" s="48"/>
      <c r="F344" s="84" t="e">
        <f>Проект!#REF!</f>
        <v>#REF!</v>
      </c>
      <c r="G344" s="84" t="e">
        <f>Проект!#REF!</f>
        <v>#REF!</v>
      </c>
      <c r="H344" s="84" t="e">
        <f>Проект!#REF!</f>
        <v>#REF!</v>
      </c>
      <c r="I344" s="84" t="e">
        <f>Проект!#REF!</f>
        <v>#REF!</v>
      </c>
      <c r="J344" s="84" t="e">
        <f>Проект!#REF!</f>
        <v>#REF!</v>
      </c>
      <c r="K344" s="84" t="e">
        <f>Проект!#REF!</f>
        <v>#REF!</v>
      </c>
      <c r="L344" s="84" t="e">
        <f>Проект!#REF!</f>
        <v>#REF!</v>
      </c>
      <c r="M344" s="84" t="e">
        <f>Проект!#REF!</f>
        <v>#REF!</v>
      </c>
      <c r="N344" s="84" t="e">
        <f>Проект!#REF!</f>
        <v>#REF!</v>
      </c>
      <c r="O344" s="84" t="e">
        <f>Проект!#REF!</f>
        <v>#REF!</v>
      </c>
      <c r="P344" s="84" t="e">
        <f>Проект!#REF!</f>
        <v>#REF!</v>
      </c>
      <c r="Q344" s="84" t="e">
        <f>Проект!#REF!</f>
        <v>#REF!</v>
      </c>
      <c r="R344" s="48"/>
      <c r="S344" s="94" t="e">
        <f>Проект!#REF!</f>
        <v>#REF!</v>
      </c>
    </row>
    <row r="345" spans="1:19" hidden="1" x14ac:dyDescent="0.2">
      <c r="A345" s="48" t="e">
        <f>Проект!#REF!</f>
        <v>#REF!</v>
      </c>
      <c r="B345" s="48"/>
      <c r="C345" s="73" t="e">
        <f>Проект!#REF!</f>
        <v>#REF!</v>
      </c>
      <c r="D345" s="48" t="e">
        <f>Проект!#REF!</f>
        <v>#REF!</v>
      </c>
      <c r="E345" s="48"/>
      <c r="F345" s="341" t="e">
        <f>Проект!#REF!</f>
        <v>#REF!</v>
      </c>
      <c r="G345" s="341" t="e">
        <f>Проект!#REF!</f>
        <v>#REF!</v>
      </c>
      <c r="H345" s="341" t="e">
        <f>Проект!#REF!</f>
        <v>#REF!</v>
      </c>
      <c r="I345" s="341" t="e">
        <f>Проект!#REF!</f>
        <v>#REF!</v>
      </c>
      <c r="J345" s="341" t="e">
        <f>Проект!#REF!</f>
        <v>#REF!</v>
      </c>
      <c r="K345" s="341" t="e">
        <f>Проект!#REF!</f>
        <v>#REF!</v>
      </c>
      <c r="L345" s="341" t="e">
        <f>Проект!#REF!</f>
        <v>#REF!</v>
      </c>
      <c r="M345" s="341" t="e">
        <f>Проект!#REF!</f>
        <v>#REF!</v>
      </c>
      <c r="N345" s="341" t="e">
        <f>Проект!#REF!</f>
        <v>#REF!</v>
      </c>
      <c r="O345" s="341" t="e">
        <f>Проект!#REF!</f>
        <v>#REF!</v>
      </c>
      <c r="P345" s="341" t="e">
        <f>Проект!#REF!</f>
        <v>#REF!</v>
      </c>
      <c r="Q345" s="341" t="e">
        <f>Проект!#REF!</f>
        <v>#REF!</v>
      </c>
      <c r="R345" s="48"/>
      <c r="S345" s="94" t="e">
        <f>Проект!#REF!</f>
        <v>#REF!</v>
      </c>
    </row>
    <row r="346" spans="1:19" hidden="1" x14ac:dyDescent="0.2">
      <c r="A346" s="48" t="e">
        <f>Проект!#REF!</f>
        <v>#REF!</v>
      </c>
      <c r="B346" s="48"/>
      <c r="C346" s="73" t="e">
        <f>Проект!#REF!</f>
        <v>#REF!</v>
      </c>
      <c r="D346" s="48" t="e">
        <f>Проект!#REF!</f>
        <v>#REF!</v>
      </c>
      <c r="E346" s="48"/>
      <c r="F346" s="84" t="e">
        <f>Проект!#REF!</f>
        <v>#REF!</v>
      </c>
      <c r="G346" s="84" t="e">
        <f>Проект!#REF!</f>
        <v>#REF!</v>
      </c>
      <c r="H346" s="84" t="e">
        <f>Проект!#REF!</f>
        <v>#REF!</v>
      </c>
      <c r="I346" s="84" t="e">
        <f>Проект!#REF!</f>
        <v>#REF!</v>
      </c>
      <c r="J346" s="84" t="e">
        <f>Проект!#REF!</f>
        <v>#REF!</v>
      </c>
      <c r="K346" s="84" t="e">
        <f>Проект!#REF!</f>
        <v>#REF!</v>
      </c>
      <c r="L346" s="84" t="e">
        <f>Проект!#REF!</f>
        <v>#REF!</v>
      </c>
      <c r="M346" s="84" t="e">
        <f>Проект!#REF!</f>
        <v>#REF!</v>
      </c>
      <c r="N346" s="84" t="e">
        <f>Проект!#REF!</f>
        <v>#REF!</v>
      </c>
      <c r="O346" s="84" t="e">
        <f>Проект!#REF!</f>
        <v>#REF!</v>
      </c>
      <c r="P346" s="84" t="e">
        <f>Проект!#REF!</f>
        <v>#REF!</v>
      </c>
      <c r="Q346" s="84" t="e">
        <f>Проект!#REF!</f>
        <v>#REF!</v>
      </c>
      <c r="R346" s="48"/>
      <c r="S346" s="94" t="e">
        <f>Проект!#REF!</f>
        <v>#REF!</v>
      </c>
    </row>
    <row r="347" spans="1:19" hidden="1" x14ac:dyDescent="0.2">
      <c r="A347" s="48" t="e">
        <f>Проект!#REF!</f>
        <v>#REF!</v>
      </c>
      <c r="B347" s="48"/>
      <c r="C347" s="73" t="e">
        <f>Проект!#REF!</f>
        <v>#REF!</v>
      </c>
      <c r="D347" s="48" t="e">
        <f>Проект!#REF!</f>
        <v>#REF!</v>
      </c>
      <c r="E347" s="48"/>
      <c r="F347" s="84" t="e">
        <f>Проект!#REF!</f>
        <v>#REF!</v>
      </c>
      <c r="G347" s="84" t="e">
        <f>Проект!#REF!</f>
        <v>#REF!</v>
      </c>
      <c r="H347" s="84" t="e">
        <f>Проект!#REF!</f>
        <v>#REF!</v>
      </c>
      <c r="I347" s="84" t="e">
        <f>Проект!#REF!</f>
        <v>#REF!</v>
      </c>
      <c r="J347" s="84" t="e">
        <f>Проект!#REF!</f>
        <v>#REF!</v>
      </c>
      <c r="K347" s="84" t="e">
        <f>Проект!#REF!</f>
        <v>#REF!</v>
      </c>
      <c r="L347" s="84" t="e">
        <f>Проект!#REF!</f>
        <v>#REF!</v>
      </c>
      <c r="M347" s="84" t="e">
        <f>Проект!#REF!</f>
        <v>#REF!</v>
      </c>
      <c r="N347" s="84" t="e">
        <f>Проект!#REF!</f>
        <v>#REF!</v>
      </c>
      <c r="O347" s="84" t="e">
        <f>Проект!#REF!</f>
        <v>#REF!</v>
      </c>
      <c r="P347" s="84" t="e">
        <f>Проект!#REF!</f>
        <v>#REF!</v>
      </c>
      <c r="Q347" s="84" t="e">
        <f>Проект!#REF!</f>
        <v>#REF!</v>
      </c>
      <c r="R347" s="48"/>
      <c r="S347" s="41"/>
    </row>
    <row r="348" spans="1:19" hidden="1" x14ac:dyDescent="0.2">
      <c r="A348" s="48" t="e">
        <f>Проект!#REF!</f>
        <v>#REF!</v>
      </c>
      <c r="B348" s="48"/>
      <c r="C348" s="73" t="e">
        <f>Проект!#REF!</f>
        <v>#REF!</v>
      </c>
      <c r="D348" s="48" t="e">
        <f>Проект!#REF!</f>
        <v>#REF!</v>
      </c>
      <c r="E348" s="48"/>
      <c r="F348" s="84" t="e">
        <f>Проект!#REF!</f>
        <v>#REF!</v>
      </c>
      <c r="G348" s="84" t="e">
        <f>Проект!#REF!</f>
        <v>#REF!</v>
      </c>
      <c r="H348" s="84" t="e">
        <f>Проект!#REF!</f>
        <v>#REF!</v>
      </c>
      <c r="I348" s="84" t="e">
        <f>Проект!#REF!</f>
        <v>#REF!</v>
      </c>
      <c r="J348" s="84" t="e">
        <f>Проект!#REF!</f>
        <v>#REF!</v>
      </c>
      <c r="K348" s="84" t="e">
        <f>Проект!#REF!</f>
        <v>#REF!</v>
      </c>
      <c r="L348" s="84" t="e">
        <f>Проект!#REF!</f>
        <v>#REF!</v>
      </c>
      <c r="M348" s="84" t="e">
        <f>Проект!#REF!</f>
        <v>#REF!</v>
      </c>
      <c r="N348" s="84" t="e">
        <f>Проект!#REF!</f>
        <v>#REF!</v>
      </c>
      <c r="O348" s="84" t="e">
        <f>Проект!#REF!</f>
        <v>#REF!</v>
      </c>
      <c r="P348" s="84" t="e">
        <f>Проект!#REF!</f>
        <v>#REF!</v>
      </c>
      <c r="Q348" s="84" t="e">
        <f>Проект!#REF!</f>
        <v>#REF!</v>
      </c>
      <c r="R348" s="48"/>
      <c r="S348" s="41"/>
    </row>
    <row r="349" spans="1:19" ht="11.25" customHeight="1" x14ac:dyDescent="0.2">
      <c r="A349" s="48" t="e">
        <f>Проект!#REF!</f>
        <v>#REF!</v>
      </c>
      <c r="B349" s="48"/>
      <c r="C349" s="73" t="e">
        <f>Проект!#REF!</f>
        <v>#REF!</v>
      </c>
      <c r="D349" s="74" t="e">
        <f>Проект!#REF!</f>
        <v>#REF!</v>
      </c>
      <c r="E349" s="48"/>
      <c r="F349" s="83" t="e">
        <f>Проект!#REF!</f>
        <v>#REF!</v>
      </c>
      <c r="G349" s="83" t="e">
        <f>Проект!#REF!</f>
        <v>#REF!</v>
      </c>
      <c r="H349" s="83" t="e">
        <f>Проект!#REF!</f>
        <v>#REF!</v>
      </c>
      <c r="I349" s="83" t="e">
        <f>Проект!#REF!</f>
        <v>#REF!</v>
      </c>
      <c r="J349" s="83" t="e">
        <f>Проект!#REF!</f>
        <v>#REF!</v>
      </c>
      <c r="K349" s="83" t="e">
        <f>Проект!#REF!</f>
        <v>#REF!</v>
      </c>
      <c r="L349" s="83" t="e">
        <f>Проект!#REF!</f>
        <v>#REF!</v>
      </c>
      <c r="M349" s="83" t="e">
        <f>Проект!#REF!</f>
        <v>#REF!</v>
      </c>
      <c r="N349" s="83" t="e">
        <f>Проект!#REF!</f>
        <v>#REF!</v>
      </c>
      <c r="O349" s="83" t="e">
        <f>Проект!#REF!</f>
        <v>#REF!</v>
      </c>
      <c r="P349" s="83" t="e">
        <f>Проект!#REF!</f>
        <v>#REF!</v>
      </c>
      <c r="Q349" s="83" t="e">
        <f>Проект!#REF!</f>
        <v>#REF!</v>
      </c>
      <c r="R349" s="48"/>
      <c r="S349" s="95" t="e">
        <f>Проект!#REF!</f>
        <v>#REF!</v>
      </c>
    </row>
    <row r="350" spans="1:19" hidden="1" x14ac:dyDescent="0.2">
      <c r="A350" s="48" t="e">
        <f>Проект!#REF!</f>
        <v>#REF!</v>
      </c>
      <c r="B350" s="48"/>
      <c r="C350" s="73" t="e">
        <f>Проект!#REF!</f>
        <v>#REF!</v>
      </c>
      <c r="D350" s="48" t="e">
        <f>Проект!#REF!</f>
        <v>#REF!</v>
      </c>
      <c r="E350" s="48"/>
      <c r="F350" s="84" t="e">
        <f>Проект!#REF!</f>
        <v>#REF!</v>
      </c>
      <c r="G350" s="84" t="e">
        <f>Проект!#REF!</f>
        <v>#REF!</v>
      </c>
      <c r="H350" s="84" t="e">
        <f>Проект!#REF!</f>
        <v>#REF!</v>
      </c>
      <c r="I350" s="84" t="e">
        <f>Проект!#REF!</f>
        <v>#REF!</v>
      </c>
      <c r="J350" s="84" t="e">
        <f>Проект!#REF!</f>
        <v>#REF!</v>
      </c>
      <c r="K350" s="84" t="e">
        <f>Проект!#REF!</f>
        <v>#REF!</v>
      </c>
      <c r="L350" s="84" t="e">
        <f>Проект!#REF!</f>
        <v>#REF!</v>
      </c>
      <c r="M350" s="84" t="e">
        <f>Проект!#REF!</f>
        <v>#REF!</v>
      </c>
      <c r="N350" s="84" t="e">
        <f>Проект!#REF!</f>
        <v>#REF!</v>
      </c>
      <c r="O350" s="84" t="e">
        <f>Проект!#REF!</f>
        <v>#REF!</v>
      </c>
      <c r="P350" s="84" t="e">
        <f>Проект!#REF!</f>
        <v>#REF!</v>
      </c>
      <c r="Q350" s="84" t="e">
        <f>Проект!#REF!</f>
        <v>#REF!</v>
      </c>
      <c r="R350" s="48"/>
      <c r="S350" s="94" t="e">
        <f>Проект!#REF!</f>
        <v>#REF!</v>
      </c>
    </row>
    <row r="351" spans="1:19" hidden="1" x14ac:dyDescent="0.2">
      <c r="A351" s="48" t="e">
        <f>Проект!#REF!</f>
        <v>#REF!</v>
      </c>
      <c r="B351" s="48"/>
      <c r="C351" s="73" t="e">
        <f>Проект!#REF!</f>
        <v>#REF!</v>
      </c>
      <c r="D351" s="48" t="e">
        <f>Проект!#REF!</f>
        <v>#REF!</v>
      </c>
      <c r="E351" s="48"/>
      <c r="F351" s="84" t="e">
        <f>Проект!#REF!</f>
        <v>#REF!</v>
      </c>
      <c r="G351" s="84" t="e">
        <f>Проект!#REF!</f>
        <v>#REF!</v>
      </c>
      <c r="H351" s="84" t="e">
        <f>Проект!#REF!</f>
        <v>#REF!</v>
      </c>
      <c r="I351" s="84" t="e">
        <f>Проект!#REF!</f>
        <v>#REF!</v>
      </c>
      <c r="J351" s="84" t="e">
        <f>Проект!#REF!</f>
        <v>#REF!</v>
      </c>
      <c r="K351" s="84" t="e">
        <f>Проект!#REF!</f>
        <v>#REF!</v>
      </c>
      <c r="L351" s="84" t="e">
        <f>Проект!#REF!</f>
        <v>#REF!</v>
      </c>
      <c r="M351" s="84" t="e">
        <f>Проект!#REF!</f>
        <v>#REF!</v>
      </c>
      <c r="N351" s="84" t="e">
        <f>Проект!#REF!</f>
        <v>#REF!</v>
      </c>
      <c r="O351" s="84" t="e">
        <f>Проект!#REF!</f>
        <v>#REF!</v>
      </c>
      <c r="P351" s="84" t="e">
        <f>Проект!#REF!</f>
        <v>#REF!</v>
      </c>
      <c r="Q351" s="84" t="e">
        <f>Проект!#REF!</f>
        <v>#REF!</v>
      </c>
      <c r="R351" s="48"/>
      <c r="S351" s="94" t="e">
        <f>Проект!#REF!</f>
        <v>#REF!</v>
      </c>
    </row>
    <row r="352" spans="1:19" hidden="1" x14ac:dyDescent="0.2">
      <c r="A352" s="48" t="e">
        <f>Проект!#REF!</f>
        <v>#REF!</v>
      </c>
      <c r="B352" s="48"/>
      <c r="C352" s="73" t="e">
        <f>Проект!#REF!</f>
        <v>#REF!</v>
      </c>
      <c r="D352" s="48" t="e">
        <f>Проект!#REF!</f>
        <v>#REF!</v>
      </c>
      <c r="E352" s="48"/>
      <c r="F352" s="84" t="e">
        <f>Проект!#REF!</f>
        <v>#REF!</v>
      </c>
      <c r="G352" s="84" t="e">
        <f>Проект!#REF!</f>
        <v>#REF!</v>
      </c>
      <c r="H352" s="84" t="e">
        <f>Проект!#REF!</f>
        <v>#REF!</v>
      </c>
      <c r="I352" s="84" t="e">
        <f>Проект!#REF!</f>
        <v>#REF!</v>
      </c>
      <c r="J352" s="84" t="e">
        <f>Проект!#REF!</f>
        <v>#REF!</v>
      </c>
      <c r="K352" s="84" t="e">
        <f>Проект!#REF!</f>
        <v>#REF!</v>
      </c>
      <c r="L352" s="84" t="e">
        <f>Проект!#REF!</f>
        <v>#REF!</v>
      </c>
      <c r="M352" s="84" t="e">
        <f>Проект!#REF!</f>
        <v>#REF!</v>
      </c>
      <c r="N352" s="84" t="e">
        <f>Проект!#REF!</f>
        <v>#REF!</v>
      </c>
      <c r="O352" s="84" t="e">
        <f>Проект!#REF!</f>
        <v>#REF!</v>
      </c>
      <c r="P352" s="84" t="e">
        <f>Проект!#REF!</f>
        <v>#REF!</v>
      </c>
      <c r="Q352" s="84" t="e">
        <f>Проект!#REF!</f>
        <v>#REF!</v>
      </c>
      <c r="R352" s="48"/>
      <c r="S352" s="94" t="e">
        <f>Проект!#REF!</f>
        <v>#REF!</v>
      </c>
    </row>
    <row r="353" spans="1:19" hidden="1" x14ac:dyDescent="0.2">
      <c r="A353" s="48" t="e">
        <f>Проект!#REF!</f>
        <v>#REF!</v>
      </c>
      <c r="B353" s="48"/>
      <c r="C353" s="73" t="e">
        <f>Проект!#REF!</f>
        <v>#REF!</v>
      </c>
      <c r="D353" s="48" t="e">
        <f>Проект!#REF!</f>
        <v>#REF!</v>
      </c>
      <c r="E353" s="48"/>
      <c r="F353" s="341" t="e">
        <f>Проект!#REF!</f>
        <v>#REF!</v>
      </c>
      <c r="G353" s="341" t="e">
        <f>Проект!#REF!</f>
        <v>#REF!</v>
      </c>
      <c r="H353" s="341" t="e">
        <f>Проект!#REF!</f>
        <v>#REF!</v>
      </c>
      <c r="I353" s="341" t="e">
        <f>Проект!#REF!</f>
        <v>#REF!</v>
      </c>
      <c r="J353" s="341" t="e">
        <f>Проект!#REF!</f>
        <v>#REF!</v>
      </c>
      <c r="K353" s="341" t="e">
        <f>Проект!#REF!</f>
        <v>#REF!</v>
      </c>
      <c r="L353" s="341" t="e">
        <f>Проект!#REF!</f>
        <v>#REF!</v>
      </c>
      <c r="M353" s="341" t="e">
        <f>Проект!#REF!</f>
        <v>#REF!</v>
      </c>
      <c r="N353" s="341" t="e">
        <f>Проект!#REF!</f>
        <v>#REF!</v>
      </c>
      <c r="O353" s="341" t="e">
        <f>Проект!#REF!</f>
        <v>#REF!</v>
      </c>
      <c r="P353" s="341" t="e">
        <f>Проект!#REF!</f>
        <v>#REF!</v>
      </c>
      <c r="Q353" s="341" t="e">
        <f>Проект!#REF!</f>
        <v>#REF!</v>
      </c>
      <c r="R353" s="48"/>
      <c r="S353" s="94" t="e">
        <f>Проект!#REF!</f>
        <v>#REF!</v>
      </c>
    </row>
    <row r="354" spans="1:19" hidden="1" x14ac:dyDescent="0.2">
      <c r="A354" s="48" t="e">
        <f>Проект!#REF!</f>
        <v>#REF!</v>
      </c>
      <c r="B354" s="48"/>
      <c r="C354" s="73" t="e">
        <f>Проект!#REF!</f>
        <v>#REF!</v>
      </c>
      <c r="D354" s="48" t="e">
        <f>Проект!#REF!</f>
        <v>#REF!</v>
      </c>
      <c r="E354" s="48"/>
      <c r="F354" s="84" t="e">
        <f>Проект!#REF!</f>
        <v>#REF!</v>
      </c>
      <c r="G354" s="84" t="e">
        <f>Проект!#REF!</f>
        <v>#REF!</v>
      </c>
      <c r="H354" s="84" t="e">
        <f>Проект!#REF!</f>
        <v>#REF!</v>
      </c>
      <c r="I354" s="84" t="e">
        <f>Проект!#REF!</f>
        <v>#REF!</v>
      </c>
      <c r="J354" s="84" t="e">
        <f>Проект!#REF!</f>
        <v>#REF!</v>
      </c>
      <c r="K354" s="84" t="e">
        <f>Проект!#REF!</f>
        <v>#REF!</v>
      </c>
      <c r="L354" s="84" t="e">
        <f>Проект!#REF!</f>
        <v>#REF!</v>
      </c>
      <c r="M354" s="84" t="e">
        <f>Проект!#REF!</f>
        <v>#REF!</v>
      </c>
      <c r="N354" s="84" t="e">
        <f>Проект!#REF!</f>
        <v>#REF!</v>
      </c>
      <c r="O354" s="84" t="e">
        <f>Проект!#REF!</f>
        <v>#REF!</v>
      </c>
      <c r="P354" s="84" t="e">
        <f>Проект!#REF!</f>
        <v>#REF!</v>
      </c>
      <c r="Q354" s="84" t="e">
        <f>Проект!#REF!</f>
        <v>#REF!</v>
      </c>
      <c r="R354" s="48"/>
      <c r="S354" s="94" t="e">
        <f>Проект!#REF!</f>
        <v>#REF!</v>
      </c>
    </row>
    <row r="355" spans="1:19" hidden="1" x14ac:dyDescent="0.2">
      <c r="A355" s="48" t="e">
        <f>Проект!#REF!</f>
        <v>#REF!</v>
      </c>
      <c r="B355" s="48"/>
      <c r="C355" s="73" t="e">
        <f>Проект!#REF!</f>
        <v>#REF!</v>
      </c>
      <c r="D355" s="48" t="e">
        <f>Проект!#REF!</f>
        <v>#REF!</v>
      </c>
      <c r="E355" s="48"/>
      <c r="F355" s="84" t="e">
        <f>Проект!#REF!</f>
        <v>#REF!</v>
      </c>
      <c r="G355" s="84" t="e">
        <f>Проект!#REF!</f>
        <v>#REF!</v>
      </c>
      <c r="H355" s="84" t="e">
        <f>Проект!#REF!</f>
        <v>#REF!</v>
      </c>
      <c r="I355" s="84" t="e">
        <f>Проект!#REF!</f>
        <v>#REF!</v>
      </c>
      <c r="J355" s="84" t="e">
        <f>Проект!#REF!</f>
        <v>#REF!</v>
      </c>
      <c r="K355" s="84" t="e">
        <f>Проект!#REF!</f>
        <v>#REF!</v>
      </c>
      <c r="L355" s="84" t="e">
        <f>Проект!#REF!</f>
        <v>#REF!</v>
      </c>
      <c r="M355" s="84" t="e">
        <f>Проект!#REF!</f>
        <v>#REF!</v>
      </c>
      <c r="N355" s="84" t="e">
        <f>Проект!#REF!</f>
        <v>#REF!</v>
      </c>
      <c r="O355" s="84" t="e">
        <f>Проект!#REF!</f>
        <v>#REF!</v>
      </c>
      <c r="P355" s="84" t="e">
        <f>Проект!#REF!</f>
        <v>#REF!</v>
      </c>
      <c r="Q355" s="84" t="e">
        <f>Проект!#REF!</f>
        <v>#REF!</v>
      </c>
      <c r="R355" s="48"/>
      <c r="S355" s="41"/>
    </row>
    <row r="356" spans="1:19" hidden="1" x14ac:dyDescent="0.2">
      <c r="A356" s="48" t="e">
        <f>Проект!#REF!</f>
        <v>#REF!</v>
      </c>
      <c r="B356" s="48"/>
      <c r="C356" s="73" t="e">
        <f>Проект!#REF!</f>
        <v>#REF!</v>
      </c>
      <c r="D356" s="48" t="e">
        <f>Проект!#REF!</f>
        <v>#REF!</v>
      </c>
      <c r="E356" s="48"/>
      <c r="F356" s="84" t="e">
        <f>Проект!#REF!</f>
        <v>#REF!</v>
      </c>
      <c r="G356" s="84" t="e">
        <f>Проект!#REF!</f>
        <v>#REF!</v>
      </c>
      <c r="H356" s="84" t="e">
        <f>Проект!#REF!</f>
        <v>#REF!</v>
      </c>
      <c r="I356" s="84" t="e">
        <f>Проект!#REF!</f>
        <v>#REF!</v>
      </c>
      <c r="J356" s="84" t="e">
        <f>Проект!#REF!</f>
        <v>#REF!</v>
      </c>
      <c r="K356" s="84" t="e">
        <f>Проект!#REF!</f>
        <v>#REF!</v>
      </c>
      <c r="L356" s="84" t="e">
        <f>Проект!#REF!</f>
        <v>#REF!</v>
      </c>
      <c r="M356" s="84" t="e">
        <f>Проект!#REF!</f>
        <v>#REF!</v>
      </c>
      <c r="N356" s="84" t="e">
        <f>Проект!#REF!</f>
        <v>#REF!</v>
      </c>
      <c r="O356" s="84" t="e">
        <f>Проект!#REF!</f>
        <v>#REF!</v>
      </c>
      <c r="P356" s="84" t="e">
        <f>Проект!#REF!</f>
        <v>#REF!</v>
      </c>
      <c r="Q356" s="84" t="e">
        <f>Проект!#REF!</f>
        <v>#REF!</v>
      </c>
      <c r="R356" s="48"/>
      <c r="S356" s="41"/>
    </row>
    <row r="357" spans="1:19" ht="11.25" customHeight="1" x14ac:dyDescent="0.2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1"/>
    </row>
    <row r="358" spans="1:19" ht="11.25" customHeight="1" x14ac:dyDescent="0.25">
      <c r="A358" s="130" t="str">
        <f ca="1">Проект!$A$642</f>
        <v xml:space="preserve"> = Итого</v>
      </c>
      <c r="B358" s="48"/>
      <c r="C358" s="73" t="str">
        <f ca="1">Проект!$C$642</f>
        <v>руб.</v>
      </c>
      <c r="D358" s="48"/>
      <c r="E358" s="48"/>
      <c r="F358" s="84">
        <f>Проект!$F$642</f>
        <v>0</v>
      </c>
      <c r="G358" s="84">
        <f>Проект!$G$642</f>
        <v>0</v>
      </c>
      <c r="H358" s="84">
        <f>Проект!$H$642</f>
        <v>135920</v>
      </c>
      <c r="I358" s="84">
        <f>Проект!$I$642</f>
        <v>679600</v>
      </c>
      <c r="J358" s="84">
        <f>Проект!$J$642</f>
        <v>1359200</v>
      </c>
      <c r="K358" s="84">
        <f>Проект!$K$642</f>
        <v>2718400</v>
      </c>
      <c r="L358" s="84">
        <f>Проект!$L$642</f>
        <v>4077600</v>
      </c>
      <c r="M358" s="84">
        <f>Проект!$M$642</f>
        <v>5436800</v>
      </c>
      <c r="N358" s="84" t="e">
        <f>Проект!#REF!</f>
        <v>#REF!</v>
      </c>
      <c r="O358" s="84" t="e">
        <f>Проект!#REF!</f>
        <v>#REF!</v>
      </c>
      <c r="P358" s="84" t="e">
        <f>Проект!#REF!</f>
        <v>#REF!</v>
      </c>
      <c r="Q358" s="84">
        <f>Проект!$Q$642</f>
        <v>13592000</v>
      </c>
      <c r="R358" s="48"/>
      <c r="S358" s="95">
        <f>Проект!$S$642</f>
        <v>57901920</v>
      </c>
    </row>
    <row r="359" spans="1:19" hidden="1" x14ac:dyDescent="0.2">
      <c r="A359" s="48" t="str">
        <f ca="1">Проект!$A$643</f>
        <v xml:space="preserve">    к оплате от покупателей (без НДС)</v>
      </c>
      <c r="B359" s="48"/>
      <c r="C359" s="73" t="str">
        <f ca="1">Проект!$C$643</f>
        <v>руб.</v>
      </c>
      <c r="D359" s="48"/>
      <c r="E359" s="48"/>
      <c r="F359" s="84">
        <f>Проект!$F$643</f>
        <v>0</v>
      </c>
      <c r="G359" s="84">
        <f>Проект!$G$643</f>
        <v>0</v>
      </c>
      <c r="H359" s="84">
        <f>Проект!$H$643</f>
        <v>135920</v>
      </c>
      <c r="I359" s="84">
        <f>Проект!$I$643</f>
        <v>679600</v>
      </c>
      <c r="J359" s="84">
        <f>Проект!$J$643</f>
        <v>1359200</v>
      </c>
      <c r="K359" s="84">
        <f>Проект!$K$643</f>
        <v>2718400</v>
      </c>
      <c r="L359" s="84">
        <f>Проект!$L$643</f>
        <v>4077600</v>
      </c>
      <c r="M359" s="84">
        <f>Проект!$M$643</f>
        <v>5436800</v>
      </c>
      <c r="N359" s="84" t="e">
        <f>Проект!#REF!</f>
        <v>#REF!</v>
      </c>
      <c r="O359" s="84" t="e">
        <f>Проект!#REF!</f>
        <v>#REF!</v>
      </c>
      <c r="P359" s="84" t="e">
        <f>Проект!#REF!</f>
        <v>#REF!</v>
      </c>
      <c r="Q359" s="84">
        <f>Проект!$Q$643</f>
        <v>13592000</v>
      </c>
      <c r="R359" s="48"/>
      <c r="S359" s="94">
        <f>Проект!$S$643</f>
        <v>57901920</v>
      </c>
    </row>
    <row r="360" spans="1:19" hidden="1" x14ac:dyDescent="0.2">
      <c r="A360" s="48" t="str">
        <f ca="1">Проект!$A$644</f>
        <v xml:space="preserve">    в т.ч. акцизов, налогов и пошлин</v>
      </c>
      <c r="B360" s="48"/>
      <c r="C360" s="73" t="str">
        <f ca="1">Проект!$C$644</f>
        <v>руб.</v>
      </c>
      <c r="D360" s="48"/>
      <c r="E360" s="48"/>
      <c r="F360" s="84">
        <f>Проект!$F$644</f>
        <v>0</v>
      </c>
      <c r="G360" s="84">
        <f>Проект!$G$644</f>
        <v>0</v>
      </c>
      <c r="H360" s="84">
        <f>Проект!$H$644</f>
        <v>0</v>
      </c>
      <c r="I360" s="84">
        <f>Проект!$I$644</f>
        <v>0</v>
      </c>
      <c r="J360" s="84">
        <f>Проект!$J$644</f>
        <v>0</v>
      </c>
      <c r="K360" s="84">
        <f>Проект!$K$644</f>
        <v>0</v>
      </c>
      <c r="L360" s="84">
        <f>Проект!$L$644</f>
        <v>0</v>
      </c>
      <c r="M360" s="84">
        <f>Проект!$M$644</f>
        <v>0</v>
      </c>
      <c r="N360" s="84" t="e">
        <f>Проект!#REF!</f>
        <v>#REF!</v>
      </c>
      <c r="O360" s="84" t="e">
        <f>Проект!#REF!</f>
        <v>#REF!</v>
      </c>
      <c r="P360" s="84" t="e">
        <f>Проект!#REF!</f>
        <v>#REF!</v>
      </c>
      <c r="Q360" s="84">
        <f>Проект!$Q$644</f>
        <v>0</v>
      </c>
      <c r="R360" s="48"/>
      <c r="S360" s="94">
        <f>Проект!$S$644</f>
        <v>0</v>
      </c>
    </row>
    <row r="361" spans="1:19" hidden="1" x14ac:dyDescent="0.2">
      <c r="A361" s="48" t="str">
        <f ca="1">Проект!$A$645</f>
        <v xml:space="preserve">    НДС на поставленную продукцию</v>
      </c>
      <c r="B361" s="48"/>
      <c r="C361" s="73" t="str">
        <f ca="1">Проект!$C$645</f>
        <v>руб.</v>
      </c>
      <c r="D361" s="48"/>
      <c r="E361" s="48"/>
      <c r="F361" s="84">
        <f>Проект!$F$645</f>
        <v>0</v>
      </c>
      <c r="G361" s="84">
        <f>Проект!$G$645</f>
        <v>0</v>
      </c>
      <c r="H361" s="84">
        <f>Проект!$H$645</f>
        <v>0</v>
      </c>
      <c r="I361" s="84">
        <f>Проект!$I$645</f>
        <v>0</v>
      </c>
      <c r="J361" s="84">
        <f>Проект!$J$645</f>
        <v>0</v>
      </c>
      <c r="K361" s="84">
        <f>Проект!$K$645</f>
        <v>0</v>
      </c>
      <c r="L361" s="84">
        <f>Проект!$L$645</f>
        <v>0</v>
      </c>
      <c r="M361" s="84">
        <f>Проект!$M$645</f>
        <v>0</v>
      </c>
      <c r="N361" s="84" t="e">
        <f>Проект!#REF!</f>
        <v>#REF!</v>
      </c>
      <c r="O361" s="84" t="e">
        <f>Проект!#REF!</f>
        <v>#REF!</v>
      </c>
      <c r="P361" s="84" t="e">
        <f>Проект!#REF!</f>
        <v>#REF!</v>
      </c>
      <c r="Q361" s="84">
        <f>Проект!$Q$645</f>
        <v>0</v>
      </c>
      <c r="R361" s="48"/>
      <c r="S361" s="94">
        <f>Проект!$S$645</f>
        <v>0</v>
      </c>
    </row>
    <row r="362" spans="1:19" hidden="1" x14ac:dyDescent="0.2">
      <c r="A362" s="48" t="str">
        <f ca="1">Проект!$A$646</f>
        <v xml:space="preserve">    график оплаты (без НДС)</v>
      </c>
      <c r="B362" s="48"/>
      <c r="C362" s="73" t="str">
        <f ca="1">Проект!$C$646</f>
        <v>руб.</v>
      </c>
      <c r="D362" s="48"/>
      <c r="E362" s="48"/>
      <c r="F362" s="84">
        <f>Проект!$F$646</f>
        <v>0</v>
      </c>
      <c r="G362" s="84">
        <f>Проект!$G$646</f>
        <v>0</v>
      </c>
      <c r="H362" s="84">
        <f>Проект!$H$646</f>
        <v>135920</v>
      </c>
      <c r="I362" s="84">
        <f>Проект!$I$646</f>
        <v>679600</v>
      </c>
      <c r="J362" s="84">
        <f>Проект!$J$646</f>
        <v>1359200</v>
      </c>
      <c r="K362" s="84">
        <f>Проект!$K$646</f>
        <v>2718400</v>
      </c>
      <c r="L362" s="84">
        <f>Проект!$L$646</f>
        <v>4077600</v>
      </c>
      <c r="M362" s="84">
        <f>Проект!$M$646</f>
        <v>5436800</v>
      </c>
      <c r="N362" s="84" t="e">
        <f>Проект!#REF!</f>
        <v>#REF!</v>
      </c>
      <c r="O362" s="84" t="e">
        <f>Проект!#REF!</f>
        <v>#REF!</v>
      </c>
      <c r="P362" s="84" t="e">
        <f>Проект!#REF!</f>
        <v>#REF!</v>
      </c>
      <c r="Q362" s="84">
        <f>Проект!$Q$646</f>
        <v>13592000</v>
      </c>
      <c r="R362" s="48"/>
      <c r="S362" s="94">
        <f>Проект!$S$646</f>
        <v>57901920</v>
      </c>
    </row>
    <row r="363" spans="1:19" hidden="1" x14ac:dyDescent="0.2">
      <c r="A363" s="48" t="str">
        <f ca="1">Проект!$A$647</f>
        <v xml:space="preserve">    полученный НДС</v>
      </c>
      <c r="B363" s="48"/>
      <c r="C363" s="73" t="str">
        <f ca="1">Проект!$C$647</f>
        <v>руб.</v>
      </c>
      <c r="D363" s="48"/>
      <c r="E363" s="48"/>
      <c r="F363" s="84">
        <f>Проект!$F$647</f>
        <v>0</v>
      </c>
      <c r="G363" s="84">
        <f>Проект!$G$647</f>
        <v>0</v>
      </c>
      <c r="H363" s="84">
        <f>Проект!$H$647</f>
        <v>0</v>
      </c>
      <c r="I363" s="84">
        <f>Проект!$I$647</f>
        <v>0</v>
      </c>
      <c r="J363" s="84">
        <f>Проект!$J$647</f>
        <v>0</v>
      </c>
      <c r="K363" s="84">
        <f>Проект!$K$647</f>
        <v>0</v>
      </c>
      <c r="L363" s="84">
        <f>Проект!$L$647</f>
        <v>0</v>
      </c>
      <c r="M363" s="84">
        <f>Проект!$M$647</f>
        <v>0</v>
      </c>
      <c r="N363" s="84" t="e">
        <f>Проект!#REF!</f>
        <v>#REF!</v>
      </c>
      <c r="O363" s="84" t="e">
        <f>Проект!#REF!</f>
        <v>#REF!</v>
      </c>
      <c r="P363" s="84" t="e">
        <f>Проект!#REF!</f>
        <v>#REF!</v>
      </c>
      <c r="Q363" s="84">
        <f>Проект!$Q$647</f>
        <v>0</v>
      </c>
      <c r="R363" s="48"/>
      <c r="S363" s="94">
        <f>Проект!$S$647</f>
        <v>0</v>
      </c>
    </row>
    <row r="364" spans="1:19" hidden="1" x14ac:dyDescent="0.2">
      <c r="A364" s="48" t="str">
        <f ca="1">Проект!$A$648</f>
        <v xml:space="preserve">    дебиторская задолженность</v>
      </c>
      <c r="B364" s="48"/>
      <c r="C364" s="73" t="str">
        <f ca="1">Проект!$C$648</f>
        <v>руб.</v>
      </c>
      <c r="D364" s="101" t="str">
        <f>Проект!$D$648</f>
        <v>int_end</v>
      </c>
      <c r="E364" s="48"/>
      <c r="F364" s="84">
        <f>Проект!$F$648</f>
        <v>0</v>
      </c>
      <c r="G364" s="84">
        <f>Проект!$G$648</f>
        <v>0</v>
      </c>
      <c r="H364" s="84">
        <f>Проект!$H$648</f>
        <v>0</v>
      </c>
      <c r="I364" s="84">
        <f>Проект!$I$648</f>
        <v>0</v>
      </c>
      <c r="J364" s="84">
        <f>Проект!$J$648</f>
        <v>0</v>
      </c>
      <c r="K364" s="84">
        <f>Проект!$K$648</f>
        <v>0</v>
      </c>
      <c r="L364" s="84">
        <f>Проект!$L$648</f>
        <v>0</v>
      </c>
      <c r="M364" s="84">
        <f>Проект!$M$648</f>
        <v>0</v>
      </c>
      <c r="N364" s="84" t="e">
        <f>Проект!#REF!</f>
        <v>#REF!</v>
      </c>
      <c r="O364" s="84" t="e">
        <f>Проект!#REF!</f>
        <v>#REF!</v>
      </c>
      <c r="P364" s="84" t="e">
        <f>Проект!#REF!</f>
        <v>#REF!</v>
      </c>
      <c r="Q364" s="84">
        <f>Проект!$Q$648</f>
        <v>0</v>
      </c>
      <c r="R364" s="48"/>
      <c r="S364" s="41"/>
    </row>
    <row r="365" spans="1:19" hidden="1" x14ac:dyDescent="0.2">
      <c r="A365" s="48" t="str">
        <f ca="1">Проект!$A$649</f>
        <v xml:space="preserve">    полученные авансы</v>
      </c>
      <c r="B365" s="48"/>
      <c r="C365" s="73" t="str">
        <f ca="1">Проект!$C$649</f>
        <v>руб.</v>
      </c>
      <c r="D365" s="101" t="str">
        <f>Проект!$D$649</f>
        <v>int_end</v>
      </c>
      <c r="E365" s="48"/>
      <c r="F365" s="84">
        <f>Проект!$F$649</f>
        <v>0</v>
      </c>
      <c r="G365" s="84">
        <f>Проект!$G$649</f>
        <v>0</v>
      </c>
      <c r="H365" s="84">
        <f>Проект!$H$649</f>
        <v>0</v>
      </c>
      <c r="I365" s="84">
        <f>Проект!$I$649</f>
        <v>0</v>
      </c>
      <c r="J365" s="84">
        <f>Проект!$J$649</f>
        <v>0</v>
      </c>
      <c r="K365" s="84">
        <f>Проект!$K$649</f>
        <v>0</v>
      </c>
      <c r="L365" s="84">
        <f>Проект!$L$649</f>
        <v>0</v>
      </c>
      <c r="M365" s="84">
        <f>Проект!$M$649</f>
        <v>0</v>
      </c>
      <c r="N365" s="84" t="e">
        <f>Проект!#REF!</f>
        <v>#REF!</v>
      </c>
      <c r="O365" s="84" t="e">
        <f>Проект!#REF!</f>
        <v>#REF!</v>
      </c>
      <c r="P365" s="84" t="e">
        <f>Проект!#REF!</f>
        <v>#REF!</v>
      </c>
      <c r="Q365" s="84">
        <f>Проект!$Q$649</f>
        <v>0</v>
      </c>
      <c r="R365" s="48"/>
      <c r="S365" s="41"/>
    </row>
    <row r="368" spans="1:19" ht="16" customHeight="1" thickBot="1" x14ac:dyDescent="0.25">
      <c r="A368" s="166" t="str">
        <f ca="1">Проект!$A$652</f>
        <v xml:space="preserve">         ОБЪЕМЫ ПРОИЗВОДСТВА (в единицах)</v>
      </c>
      <c r="B368" s="166"/>
      <c r="C368" s="166"/>
      <c r="D368" s="166"/>
      <c r="E368" s="166"/>
      <c r="F368" s="178" t="str">
        <f>Проект!$F$652</f>
        <v>4/ 2024</v>
      </c>
      <c r="G368" s="178" t="str">
        <f>Проект!$G$652</f>
        <v>5/ 2024</v>
      </c>
      <c r="H368" s="178" t="str">
        <f>Проект!$H$652</f>
        <v>6/ 2024</v>
      </c>
      <c r="I368" s="178" t="str">
        <f>Проект!$I$652</f>
        <v>7/ 2024</v>
      </c>
      <c r="J368" s="178" t="str">
        <f>Проект!$J$652</f>
        <v>8/ 2024</v>
      </c>
      <c r="K368" s="178" t="str">
        <f>Проект!$K$652</f>
        <v>9/ 2024</v>
      </c>
      <c r="L368" s="178" t="str">
        <f>Проект!$L$652</f>
        <v>10/ 2024</v>
      </c>
      <c r="M368" s="178" t="str">
        <f>Проект!$M$652</f>
        <v>11/ 2024</v>
      </c>
      <c r="N368" s="178" t="e">
        <f>Проект!#REF!</f>
        <v>#REF!</v>
      </c>
      <c r="O368" s="178" t="e">
        <f>Проект!#REF!</f>
        <v>#REF!</v>
      </c>
      <c r="P368" s="178" t="e">
        <f>Проект!#REF!</f>
        <v>#REF!</v>
      </c>
      <c r="Q368" s="178" t="str">
        <f>Проект!$Q$652</f>
        <v>3/ 2025</v>
      </c>
      <c r="R368" s="166"/>
      <c r="S368" s="195" t="str">
        <f ca="1">Проект!$S$652</f>
        <v>ИТОГО</v>
      </c>
    </row>
    <row r="369" spans="1:19" ht="12" customHeight="1" thickTop="1" x14ac:dyDescent="0.2">
      <c r="A369" s="48"/>
      <c r="B369" s="48"/>
      <c r="C369" s="48"/>
      <c r="D369" s="48">
        <f>Проект!$D$653</f>
        <v>0</v>
      </c>
      <c r="E369" s="48">
        <f>Проект!$E$653</f>
        <v>4</v>
      </c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1"/>
    </row>
    <row r="370" spans="1:19" ht="11.25" customHeight="1" x14ac:dyDescent="0.2">
      <c r="A370" s="48" t="str">
        <f>Проект!$A$654</f>
        <v>Наименование товара</v>
      </c>
      <c r="B370" s="330"/>
      <c r="C370" s="73"/>
      <c r="D370" s="48"/>
      <c r="E370" s="48"/>
      <c r="F370" s="353" t="str">
        <f>Проект!$F$654</f>
        <v/>
      </c>
      <c r="G370" s="353" t="str">
        <f>Проект!$G$654</f>
        <v/>
      </c>
      <c r="H370" s="353" t="str">
        <f>Проект!$H$654</f>
        <v/>
      </c>
      <c r="I370" s="353" t="str">
        <f>Проект!$I$654</f>
        <v/>
      </c>
      <c r="J370" s="353" t="str">
        <f>Проект!$J$654</f>
        <v/>
      </c>
      <c r="K370" s="353" t="str">
        <f>Проект!$K$654</f>
        <v/>
      </c>
      <c r="L370" s="353" t="str">
        <f>Проект!$L$654</f>
        <v/>
      </c>
      <c r="M370" s="353" t="str">
        <f>Проект!$M$654</f>
        <v/>
      </c>
      <c r="N370" s="353" t="e">
        <f>Проект!#REF!</f>
        <v>#REF!</v>
      </c>
      <c r="O370" s="353" t="e">
        <f>Проект!#REF!</f>
        <v>#REF!</v>
      </c>
      <c r="P370" s="353" t="e">
        <f>Проект!#REF!</f>
        <v>#REF!</v>
      </c>
      <c r="Q370" s="353" t="str">
        <f>Проект!$Q$654</f>
        <v/>
      </c>
      <c r="R370" s="48"/>
      <c r="S370" s="354"/>
    </row>
    <row r="371" spans="1:19" ht="11.25" customHeight="1" x14ac:dyDescent="0.2">
      <c r="A371" s="41" t="str">
        <f ca="1">Проект!$A$655</f>
        <v xml:space="preserve">    план производства</v>
      </c>
      <c r="B371" s="72"/>
      <c r="C371" s="73" t="str">
        <f>Проект!$C$655</f>
        <v>шт</v>
      </c>
      <c r="D371" s="74" t="str">
        <f>Проект!$D$655</f>
        <v>1_01</v>
      </c>
      <c r="E371" s="48"/>
      <c r="F371" s="352">
        <f>Проект!$F$655</f>
        <v>0</v>
      </c>
      <c r="G371" s="352">
        <f>Проект!$G$655</f>
        <v>0</v>
      </c>
      <c r="H371" s="352">
        <f>Проект!$H$655</f>
        <v>0</v>
      </c>
      <c r="I371" s="352">
        <f>Проект!$I$655</f>
        <v>0</v>
      </c>
      <c r="J371" s="352">
        <f>Проект!$J$655</f>
        <v>0</v>
      </c>
      <c r="K371" s="352">
        <f>Проект!$K$655</f>
        <v>0</v>
      </c>
      <c r="L371" s="352">
        <f>Проект!$L$655</f>
        <v>0</v>
      </c>
      <c r="M371" s="352">
        <f>Проект!$M$655</f>
        <v>0</v>
      </c>
      <c r="N371" s="352" t="e">
        <f>Проект!#REF!</f>
        <v>#REF!</v>
      </c>
      <c r="O371" s="352" t="e">
        <f>Проект!#REF!</f>
        <v>#REF!</v>
      </c>
      <c r="P371" s="352" t="e">
        <f>Проект!#REF!</f>
        <v>#REF!</v>
      </c>
      <c r="Q371" s="352">
        <f>Проект!$Q$655</f>
        <v>0</v>
      </c>
      <c r="R371" s="106"/>
      <c r="S371" s="94">
        <f>Проект!$S$655</f>
        <v>0</v>
      </c>
    </row>
    <row r="372" spans="1:19" ht="11.25" customHeight="1" x14ac:dyDescent="0.2">
      <c r="A372" s="41" t="str">
        <f ca="1">Проект!$A$656</f>
        <v xml:space="preserve">    план реализации</v>
      </c>
      <c r="B372" s="48"/>
      <c r="C372" s="73" t="str">
        <f>Проект!$C$656</f>
        <v>шт</v>
      </c>
      <c r="D372" s="101" t="str">
        <f>Проект!$D$656</f>
        <v>1_01</v>
      </c>
      <c r="E372" s="48"/>
      <c r="F372" s="83">
        <f>Проект!$F$656</f>
        <v>0</v>
      </c>
      <c r="G372" s="83">
        <f>Проект!$G$656</f>
        <v>0</v>
      </c>
      <c r="H372" s="83">
        <f>Проект!$H$656</f>
        <v>0</v>
      </c>
      <c r="I372" s="83">
        <f>Проект!$I$656</f>
        <v>0</v>
      </c>
      <c r="J372" s="83">
        <f>Проект!$J$656</f>
        <v>0</v>
      </c>
      <c r="K372" s="83">
        <f>Проект!$K$656</f>
        <v>0</v>
      </c>
      <c r="L372" s="83">
        <f>Проект!$L$656</f>
        <v>0</v>
      </c>
      <c r="M372" s="83">
        <f>Проект!$M$656</f>
        <v>0</v>
      </c>
      <c r="N372" s="83" t="e">
        <f>Проект!#REF!</f>
        <v>#REF!</v>
      </c>
      <c r="O372" s="83" t="e">
        <f>Проект!#REF!</f>
        <v>#REF!</v>
      </c>
      <c r="P372" s="83" t="e">
        <f>Проект!#REF!</f>
        <v>#REF!</v>
      </c>
      <c r="Q372" s="83">
        <f>Проект!$Q$656</f>
        <v>0</v>
      </c>
      <c r="R372" s="106"/>
      <c r="S372" s="94">
        <f>Проект!$S$656</f>
        <v>0</v>
      </c>
    </row>
    <row r="373" spans="1:19" ht="11.25" customHeight="1" x14ac:dyDescent="0.2">
      <c r="A373" s="41" t="str">
        <f ca="1">Проект!$A$657</f>
        <v xml:space="preserve">    склад готовой продукции</v>
      </c>
      <c r="B373" s="48"/>
      <c r="C373" s="73" t="str">
        <f>Проект!$C$657</f>
        <v>шт</v>
      </c>
      <c r="D373" s="101" t="str">
        <f>Проект!$D$657</f>
        <v>1_01;int_end</v>
      </c>
      <c r="E373" s="48">
        <f>Проект!$E$657</f>
        <v>0</v>
      </c>
      <c r="F373" s="83">
        <f>Проект!$F$657</f>
        <v>0</v>
      </c>
      <c r="G373" s="83">
        <f>Проект!$G$657</f>
        <v>0</v>
      </c>
      <c r="H373" s="83">
        <f>Проект!$H$657</f>
        <v>0</v>
      </c>
      <c r="I373" s="83">
        <f>Проект!$I$657</f>
        <v>0</v>
      </c>
      <c r="J373" s="83">
        <f>Проект!$J$657</f>
        <v>0</v>
      </c>
      <c r="K373" s="83">
        <f>Проект!$K$657</f>
        <v>0</v>
      </c>
      <c r="L373" s="83">
        <f>Проект!$L$657</f>
        <v>0</v>
      </c>
      <c r="M373" s="83">
        <f>Проект!$M$657</f>
        <v>0</v>
      </c>
      <c r="N373" s="83" t="e">
        <f>Проект!#REF!</f>
        <v>#REF!</v>
      </c>
      <c r="O373" s="83" t="e">
        <f>Проект!#REF!</f>
        <v>#REF!</v>
      </c>
      <c r="P373" s="83" t="e">
        <f>Проект!#REF!</f>
        <v>#REF!</v>
      </c>
      <c r="Q373" s="83">
        <f>Проект!$Q$657</f>
        <v>0</v>
      </c>
      <c r="R373" s="106"/>
      <c r="S373" s="94"/>
    </row>
    <row r="374" spans="1:19" ht="11.25" customHeight="1" x14ac:dyDescent="0.2">
      <c r="A374" s="48" t="e">
        <f>Проект!#REF!</f>
        <v>#REF!</v>
      </c>
      <c r="B374" s="330"/>
      <c r="C374" s="73"/>
      <c r="D374" s="48"/>
      <c r="E374" s="48"/>
      <c r="F374" s="353" t="e">
        <f>Проект!#REF!</f>
        <v>#REF!</v>
      </c>
      <c r="G374" s="353" t="e">
        <f>Проект!#REF!</f>
        <v>#REF!</v>
      </c>
      <c r="H374" s="353" t="e">
        <f>Проект!#REF!</f>
        <v>#REF!</v>
      </c>
      <c r="I374" s="353" t="e">
        <f>Проект!#REF!</f>
        <v>#REF!</v>
      </c>
      <c r="J374" s="353" t="e">
        <f>Проект!#REF!</f>
        <v>#REF!</v>
      </c>
      <c r="K374" s="353" t="e">
        <f>Проект!#REF!</f>
        <v>#REF!</v>
      </c>
      <c r="L374" s="353" t="e">
        <f>Проект!#REF!</f>
        <v>#REF!</v>
      </c>
      <c r="M374" s="353" t="e">
        <f>Проект!#REF!</f>
        <v>#REF!</v>
      </c>
      <c r="N374" s="353" t="e">
        <f>Проект!#REF!</f>
        <v>#REF!</v>
      </c>
      <c r="O374" s="353" t="e">
        <f>Проект!#REF!</f>
        <v>#REF!</v>
      </c>
      <c r="P374" s="353" t="e">
        <f>Проект!#REF!</f>
        <v>#REF!</v>
      </c>
      <c r="Q374" s="353" t="e">
        <f>Проект!#REF!</f>
        <v>#REF!</v>
      </c>
      <c r="R374" s="48"/>
      <c r="S374" s="354"/>
    </row>
    <row r="375" spans="1:19" ht="11.25" customHeight="1" x14ac:dyDescent="0.2">
      <c r="A375" s="41" t="e">
        <f>Проект!#REF!</f>
        <v>#REF!</v>
      </c>
      <c r="B375" s="72"/>
      <c r="C375" s="73" t="e">
        <f>Проект!#REF!</f>
        <v>#REF!</v>
      </c>
      <c r="D375" s="74" t="e">
        <f>Проект!#REF!</f>
        <v>#REF!</v>
      </c>
      <c r="E375" s="48"/>
      <c r="F375" s="352" t="e">
        <f>Проект!#REF!</f>
        <v>#REF!</v>
      </c>
      <c r="G375" s="352" t="e">
        <f>Проект!#REF!</f>
        <v>#REF!</v>
      </c>
      <c r="H375" s="352" t="e">
        <f>Проект!#REF!</f>
        <v>#REF!</v>
      </c>
      <c r="I375" s="352" t="e">
        <f>Проект!#REF!</f>
        <v>#REF!</v>
      </c>
      <c r="J375" s="352" t="e">
        <f>Проект!#REF!</f>
        <v>#REF!</v>
      </c>
      <c r="K375" s="352" t="e">
        <f>Проект!#REF!</f>
        <v>#REF!</v>
      </c>
      <c r="L375" s="352" t="e">
        <f>Проект!#REF!</f>
        <v>#REF!</v>
      </c>
      <c r="M375" s="352" t="e">
        <f>Проект!#REF!</f>
        <v>#REF!</v>
      </c>
      <c r="N375" s="352" t="e">
        <f>Проект!#REF!</f>
        <v>#REF!</v>
      </c>
      <c r="O375" s="352" t="e">
        <f>Проект!#REF!</f>
        <v>#REF!</v>
      </c>
      <c r="P375" s="352" t="e">
        <f>Проект!#REF!</f>
        <v>#REF!</v>
      </c>
      <c r="Q375" s="352" t="e">
        <f>Проект!#REF!</f>
        <v>#REF!</v>
      </c>
      <c r="R375" s="106"/>
      <c r="S375" s="94" t="e">
        <f>Проект!#REF!</f>
        <v>#REF!</v>
      </c>
    </row>
    <row r="376" spans="1:19" ht="11.25" customHeight="1" x14ac:dyDescent="0.2">
      <c r="A376" s="41" t="e">
        <f>Проект!#REF!</f>
        <v>#REF!</v>
      </c>
      <c r="B376" s="48"/>
      <c r="C376" s="73" t="e">
        <f>Проект!#REF!</f>
        <v>#REF!</v>
      </c>
      <c r="D376" s="101" t="e">
        <f>Проект!#REF!</f>
        <v>#REF!</v>
      </c>
      <c r="E376" s="48"/>
      <c r="F376" s="83" t="e">
        <f>Проект!#REF!</f>
        <v>#REF!</v>
      </c>
      <c r="G376" s="83" t="e">
        <f>Проект!#REF!</f>
        <v>#REF!</v>
      </c>
      <c r="H376" s="83" t="e">
        <f>Проект!#REF!</f>
        <v>#REF!</v>
      </c>
      <c r="I376" s="83" t="e">
        <f>Проект!#REF!</f>
        <v>#REF!</v>
      </c>
      <c r="J376" s="83" t="e">
        <f>Проект!#REF!</f>
        <v>#REF!</v>
      </c>
      <c r="K376" s="83" t="e">
        <f>Проект!#REF!</f>
        <v>#REF!</v>
      </c>
      <c r="L376" s="83" t="e">
        <f>Проект!#REF!</f>
        <v>#REF!</v>
      </c>
      <c r="M376" s="83" t="e">
        <f>Проект!#REF!</f>
        <v>#REF!</v>
      </c>
      <c r="N376" s="83" t="e">
        <f>Проект!#REF!</f>
        <v>#REF!</v>
      </c>
      <c r="O376" s="83" t="e">
        <f>Проект!#REF!</f>
        <v>#REF!</v>
      </c>
      <c r="P376" s="83" t="e">
        <f>Проект!#REF!</f>
        <v>#REF!</v>
      </c>
      <c r="Q376" s="83" t="e">
        <f>Проект!#REF!</f>
        <v>#REF!</v>
      </c>
      <c r="R376" s="106"/>
      <c r="S376" s="94" t="e">
        <f>Проект!#REF!</f>
        <v>#REF!</v>
      </c>
    </row>
    <row r="377" spans="1:19" ht="11.25" customHeight="1" x14ac:dyDescent="0.2">
      <c r="A377" s="41" t="e">
        <f>Проект!#REF!</f>
        <v>#REF!</v>
      </c>
      <c r="B377" s="48"/>
      <c r="C377" s="73" t="e">
        <f>Проект!#REF!</f>
        <v>#REF!</v>
      </c>
      <c r="D377" s="101" t="e">
        <f>Проект!#REF!</f>
        <v>#REF!</v>
      </c>
      <c r="E377" s="48" t="e">
        <f>Проект!#REF!</f>
        <v>#REF!</v>
      </c>
      <c r="F377" s="83" t="e">
        <f>Проект!#REF!</f>
        <v>#REF!</v>
      </c>
      <c r="G377" s="83" t="e">
        <f>Проект!#REF!</f>
        <v>#REF!</v>
      </c>
      <c r="H377" s="83" t="e">
        <f>Проект!#REF!</f>
        <v>#REF!</v>
      </c>
      <c r="I377" s="83" t="e">
        <f>Проект!#REF!</f>
        <v>#REF!</v>
      </c>
      <c r="J377" s="83" t="e">
        <f>Проект!#REF!</f>
        <v>#REF!</v>
      </c>
      <c r="K377" s="83" t="e">
        <f>Проект!#REF!</f>
        <v>#REF!</v>
      </c>
      <c r="L377" s="83" t="e">
        <f>Проект!#REF!</f>
        <v>#REF!</v>
      </c>
      <c r="M377" s="83" t="e">
        <f>Проект!#REF!</f>
        <v>#REF!</v>
      </c>
      <c r="N377" s="83" t="e">
        <f>Проект!#REF!</f>
        <v>#REF!</v>
      </c>
      <c r="O377" s="83" t="e">
        <f>Проект!#REF!</f>
        <v>#REF!</v>
      </c>
      <c r="P377" s="83" t="e">
        <f>Проект!#REF!</f>
        <v>#REF!</v>
      </c>
      <c r="Q377" s="83" t="e">
        <f>Проект!#REF!</f>
        <v>#REF!</v>
      </c>
      <c r="R377" s="106"/>
      <c r="S377" s="94"/>
    </row>
    <row r="378" spans="1:19" ht="11.25" customHeight="1" x14ac:dyDescent="0.2">
      <c r="A378" s="48" t="e">
        <f>Проект!#REF!</f>
        <v>#REF!</v>
      </c>
      <c r="B378" s="330"/>
      <c r="C378" s="73"/>
      <c r="D378" s="48"/>
      <c r="E378" s="48"/>
      <c r="F378" s="353" t="e">
        <f>Проект!#REF!</f>
        <v>#REF!</v>
      </c>
      <c r="G378" s="353" t="e">
        <f>Проект!#REF!</f>
        <v>#REF!</v>
      </c>
      <c r="H378" s="353" t="e">
        <f>Проект!#REF!</f>
        <v>#REF!</v>
      </c>
      <c r="I378" s="353" t="e">
        <f>Проект!#REF!</f>
        <v>#REF!</v>
      </c>
      <c r="J378" s="353" t="e">
        <f>Проект!#REF!</f>
        <v>#REF!</v>
      </c>
      <c r="K378" s="353" t="e">
        <f>Проект!#REF!</f>
        <v>#REF!</v>
      </c>
      <c r="L378" s="353" t="e">
        <f>Проект!#REF!</f>
        <v>#REF!</v>
      </c>
      <c r="M378" s="353" t="e">
        <f>Проект!#REF!</f>
        <v>#REF!</v>
      </c>
      <c r="N378" s="353" t="e">
        <f>Проект!#REF!</f>
        <v>#REF!</v>
      </c>
      <c r="O378" s="353" t="e">
        <f>Проект!#REF!</f>
        <v>#REF!</v>
      </c>
      <c r="P378" s="353" t="e">
        <f>Проект!#REF!</f>
        <v>#REF!</v>
      </c>
      <c r="Q378" s="353" t="e">
        <f>Проект!#REF!</f>
        <v>#REF!</v>
      </c>
      <c r="R378" s="48"/>
      <c r="S378" s="354"/>
    </row>
    <row r="379" spans="1:19" ht="11.25" customHeight="1" x14ac:dyDescent="0.2">
      <c r="A379" s="41" t="e">
        <f>Проект!#REF!</f>
        <v>#REF!</v>
      </c>
      <c r="B379" s="72"/>
      <c r="C379" s="73" t="e">
        <f>Проект!#REF!</f>
        <v>#REF!</v>
      </c>
      <c r="D379" s="74" t="e">
        <f>Проект!#REF!</f>
        <v>#REF!</v>
      </c>
      <c r="E379" s="48"/>
      <c r="F379" s="352" t="e">
        <f>Проект!#REF!</f>
        <v>#REF!</v>
      </c>
      <c r="G379" s="352" t="e">
        <f>Проект!#REF!</f>
        <v>#REF!</v>
      </c>
      <c r="H379" s="352" t="e">
        <f>Проект!#REF!</f>
        <v>#REF!</v>
      </c>
      <c r="I379" s="352" t="e">
        <f>Проект!#REF!</f>
        <v>#REF!</v>
      </c>
      <c r="J379" s="352" t="e">
        <f>Проект!#REF!</f>
        <v>#REF!</v>
      </c>
      <c r="K379" s="352" t="e">
        <f>Проект!#REF!</f>
        <v>#REF!</v>
      </c>
      <c r="L379" s="352" t="e">
        <f>Проект!#REF!</f>
        <v>#REF!</v>
      </c>
      <c r="M379" s="352" t="e">
        <f>Проект!#REF!</f>
        <v>#REF!</v>
      </c>
      <c r="N379" s="352" t="e">
        <f>Проект!#REF!</f>
        <v>#REF!</v>
      </c>
      <c r="O379" s="352" t="e">
        <f>Проект!#REF!</f>
        <v>#REF!</v>
      </c>
      <c r="P379" s="352" t="e">
        <f>Проект!#REF!</f>
        <v>#REF!</v>
      </c>
      <c r="Q379" s="352" t="e">
        <f>Проект!#REF!</f>
        <v>#REF!</v>
      </c>
      <c r="R379" s="106"/>
      <c r="S379" s="94" t="e">
        <f>Проект!#REF!</f>
        <v>#REF!</v>
      </c>
    </row>
    <row r="380" spans="1:19" ht="11.25" customHeight="1" x14ac:dyDescent="0.2">
      <c r="A380" s="41" t="e">
        <f>Проект!#REF!</f>
        <v>#REF!</v>
      </c>
      <c r="B380" s="48"/>
      <c r="C380" s="73" t="e">
        <f>Проект!#REF!</f>
        <v>#REF!</v>
      </c>
      <c r="D380" s="101" t="e">
        <f>Проект!#REF!</f>
        <v>#REF!</v>
      </c>
      <c r="E380" s="48"/>
      <c r="F380" s="83" t="e">
        <f>Проект!#REF!</f>
        <v>#REF!</v>
      </c>
      <c r="G380" s="83" t="e">
        <f>Проект!#REF!</f>
        <v>#REF!</v>
      </c>
      <c r="H380" s="83" t="e">
        <f>Проект!#REF!</f>
        <v>#REF!</v>
      </c>
      <c r="I380" s="83" t="e">
        <f>Проект!#REF!</f>
        <v>#REF!</v>
      </c>
      <c r="J380" s="83" t="e">
        <f>Проект!#REF!</f>
        <v>#REF!</v>
      </c>
      <c r="K380" s="83" t="e">
        <f>Проект!#REF!</f>
        <v>#REF!</v>
      </c>
      <c r="L380" s="83" t="e">
        <f>Проект!#REF!</f>
        <v>#REF!</v>
      </c>
      <c r="M380" s="83" t="e">
        <f>Проект!#REF!</f>
        <v>#REF!</v>
      </c>
      <c r="N380" s="83" t="e">
        <f>Проект!#REF!</f>
        <v>#REF!</v>
      </c>
      <c r="O380" s="83" t="e">
        <f>Проект!#REF!</f>
        <v>#REF!</v>
      </c>
      <c r="P380" s="83" t="e">
        <f>Проект!#REF!</f>
        <v>#REF!</v>
      </c>
      <c r="Q380" s="83" t="e">
        <f>Проект!#REF!</f>
        <v>#REF!</v>
      </c>
      <c r="R380" s="106"/>
      <c r="S380" s="94" t="e">
        <f>Проект!#REF!</f>
        <v>#REF!</v>
      </c>
    </row>
    <row r="381" spans="1:19" ht="11.25" customHeight="1" x14ac:dyDescent="0.2">
      <c r="A381" s="41" t="e">
        <f>Проект!#REF!</f>
        <v>#REF!</v>
      </c>
      <c r="B381" s="48"/>
      <c r="C381" s="73" t="e">
        <f>Проект!#REF!</f>
        <v>#REF!</v>
      </c>
      <c r="D381" s="101" t="e">
        <f>Проект!#REF!</f>
        <v>#REF!</v>
      </c>
      <c r="E381" s="48" t="e">
        <f>Проект!#REF!</f>
        <v>#REF!</v>
      </c>
      <c r="F381" s="83" t="e">
        <f>Проект!#REF!</f>
        <v>#REF!</v>
      </c>
      <c r="G381" s="83" t="e">
        <f>Проект!#REF!</f>
        <v>#REF!</v>
      </c>
      <c r="H381" s="83" t="e">
        <f>Проект!#REF!</f>
        <v>#REF!</v>
      </c>
      <c r="I381" s="83" t="e">
        <f>Проект!#REF!</f>
        <v>#REF!</v>
      </c>
      <c r="J381" s="83" t="e">
        <f>Проект!#REF!</f>
        <v>#REF!</v>
      </c>
      <c r="K381" s="83" t="e">
        <f>Проект!#REF!</f>
        <v>#REF!</v>
      </c>
      <c r="L381" s="83" t="e">
        <f>Проект!#REF!</f>
        <v>#REF!</v>
      </c>
      <c r="M381" s="83" t="e">
        <f>Проект!#REF!</f>
        <v>#REF!</v>
      </c>
      <c r="N381" s="83" t="e">
        <f>Проект!#REF!</f>
        <v>#REF!</v>
      </c>
      <c r="O381" s="83" t="e">
        <f>Проект!#REF!</f>
        <v>#REF!</v>
      </c>
      <c r="P381" s="83" t="e">
        <f>Проект!#REF!</f>
        <v>#REF!</v>
      </c>
      <c r="Q381" s="83" t="e">
        <f>Проект!#REF!</f>
        <v>#REF!</v>
      </c>
      <c r="R381" s="106"/>
      <c r="S381" s="94"/>
    </row>
    <row r="382" spans="1:19" ht="11.25" customHeight="1" x14ac:dyDescent="0.2">
      <c r="A382" s="48" t="e">
        <f>Проект!#REF!</f>
        <v>#REF!</v>
      </c>
      <c r="B382" s="330"/>
      <c r="C382" s="73"/>
      <c r="D382" s="48"/>
      <c r="E382" s="48"/>
      <c r="F382" s="353" t="e">
        <f>Проект!#REF!</f>
        <v>#REF!</v>
      </c>
      <c r="G382" s="353" t="e">
        <f>Проект!#REF!</f>
        <v>#REF!</v>
      </c>
      <c r="H382" s="353" t="e">
        <f>Проект!#REF!</f>
        <v>#REF!</v>
      </c>
      <c r="I382" s="353" t="e">
        <f>Проект!#REF!</f>
        <v>#REF!</v>
      </c>
      <c r="J382" s="353" t="e">
        <f>Проект!#REF!</f>
        <v>#REF!</v>
      </c>
      <c r="K382" s="353" t="e">
        <f>Проект!#REF!</f>
        <v>#REF!</v>
      </c>
      <c r="L382" s="353" t="e">
        <f>Проект!#REF!</f>
        <v>#REF!</v>
      </c>
      <c r="M382" s="353" t="e">
        <f>Проект!#REF!</f>
        <v>#REF!</v>
      </c>
      <c r="N382" s="353" t="e">
        <f>Проект!#REF!</f>
        <v>#REF!</v>
      </c>
      <c r="O382" s="353" t="e">
        <f>Проект!#REF!</f>
        <v>#REF!</v>
      </c>
      <c r="P382" s="353" t="e">
        <f>Проект!#REF!</f>
        <v>#REF!</v>
      </c>
      <c r="Q382" s="353" t="e">
        <f>Проект!#REF!</f>
        <v>#REF!</v>
      </c>
      <c r="R382" s="48"/>
      <c r="S382" s="354"/>
    </row>
    <row r="383" spans="1:19" ht="11.25" customHeight="1" x14ac:dyDescent="0.2">
      <c r="A383" s="41" t="e">
        <f>Проект!#REF!</f>
        <v>#REF!</v>
      </c>
      <c r="B383" s="72"/>
      <c r="C383" s="73" t="e">
        <f>Проект!#REF!</f>
        <v>#REF!</v>
      </c>
      <c r="D383" s="74" t="e">
        <f>Проект!#REF!</f>
        <v>#REF!</v>
      </c>
      <c r="E383" s="48"/>
      <c r="F383" s="352" t="e">
        <f>Проект!#REF!</f>
        <v>#REF!</v>
      </c>
      <c r="G383" s="352" t="e">
        <f>Проект!#REF!</f>
        <v>#REF!</v>
      </c>
      <c r="H383" s="352" t="e">
        <f>Проект!#REF!</f>
        <v>#REF!</v>
      </c>
      <c r="I383" s="352" t="e">
        <f>Проект!#REF!</f>
        <v>#REF!</v>
      </c>
      <c r="J383" s="352" t="e">
        <f>Проект!#REF!</f>
        <v>#REF!</v>
      </c>
      <c r="K383" s="352" t="e">
        <f>Проект!#REF!</f>
        <v>#REF!</v>
      </c>
      <c r="L383" s="352" t="e">
        <f>Проект!#REF!</f>
        <v>#REF!</v>
      </c>
      <c r="M383" s="352" t="e">
        <f>Проект!#REF!</f>
        <v>#REF!</v>
      </c>
      <c r="N383" s="352" t="e">
        <f>Проект!#REF!</f>
        <v>#REF!</v>
      </c>
      <c r="O383" s="352" t="e">
        <f>Проект!#REF!</f>
        <v>#REF!</v>
      </c>
      <c r="P383" s="352" t="e">
        <f>Проект!#REF!</f>
        <v>#REF!</v>
      </c>
      <c r="Q383" s="352" t="e">
        <f>Проект!#REF!</f>
        <v>#REF!</v>
      </c>
      <c r="R383" s="106"/>
      <c r="S383" s="94" t="e">
        <f>Проект!#REF!</f>
        <v>#REF!</v>
      </c>
    </row>
    <row r="384" spans="1:19" ht="11.25" customHeight="1" x14ac:dyDescent="0.2">
      <c r="A384" s="41" t="e">
        <f>Проект!#REF!</f>
        <v>#REF!</v>
      </c>
      <c r="B384" s="48"/>
      <c r="C384" s="73" t="e">
        <f>Проект!#REF!</f>
        <v>#REF!</v>
      </c>
      <c r="D384" s="101" t="e">
        <f>Проект!#REF!</f>
        <v>#REF!</v>
      </c>
      <c r="E384" s="48"/>
      <c r="F384" s="83" t="e">
        <f>Проект!#REF!</f>
        <v>#REF!</v>
      </c>
      <c r="G384" s="83" t="e">
        <f>Проект!#REF!</f>
        <v>#REF!</v>
      </c>
      <c r="H384" s="83" t="e">
        <f>Проект!#REF!</f>
        <v>#REF!</v>
      </c>
      <c r="I384" s="83" t="e">
        <f>Проект!#REF!</f>
        <v>#REF!</v>
      </c>
      <c r="J384" s="83" t="e">
        <f>Проект!#REF!</f>
        <v>#REF!</v>
      </c>
      <c r="K384" s="83" t="e">
        <f>Проект!#REF!</f>
        <v>#REF!</v>
      </c>
      <c r="L384" s="83" t="e">
        <f>Проект!#REF!</f>
        <v>#REF!</v>
      </c>
      <c r="M384" s="83" t="e">
        <f>Проект!#REF!</f>
        <v>#REF!</v>
      </c>
      <c r="N384" s="83" t="e">
        <f>Проект!#REF!</f>
        <v>#REF!</v>
      </c>
      <c r="O384" s="83" t="e">
        <f>Проект!#REF!</f>
        <v>#REF!</v>
      </c>
      <c r="P384" s="83" t="e">
        <f>Проект!#REF!</f>
        <v>#REF!</v>
      </c>
      <c r="Q384" s="83" t="e">
        <f>Проект!#REF!</f>
        <v>#REF!</v>
      </c>
      <c r="R384" s="106"/>
      <c r="S384" s="94" t="e">
        <f>Проект!#REF!</f>
        <v>#REF!</v>
      </c>
    </row>
    <row r="385" spans="1:19" ht="11.25" customHeight="1" x14ac:dyDescent="0.2">
      <c r="A385" s="41" t="e">
        <f>Проект!#REF!</f>
        <v>#REF!</v>
      </c>
      <c r="B385" s="48"/>
      <c r="C385" s="73" t="e">
        <f>Проект!#REF!</f>
        <v>#REF!</v>
      </c>
      <c r="D385" s="101" t="e">
        <f>Проект!#REF!</f>
        <v>#REF!</v>
      </c>
      <c r="E385" s="48" t="e">
        <f>Проект!#REF!</f>
        <v>#REF!</v>
      </c>
      <c r="F385" s="83" t="e">
        <f>Проект!#REF!</f>
        <v>#REF!</v>
      </c>
      <c r="G385" s="83" t="e">
        <f>Проект!#REF!</f>
        <v>#REF!</v>
      </c>
      <c r="H385" s="83" t="e">
        <f>Проект!#REF!</f>
        <v>#REF!</v>
      </c>
      <c r="I385" s="83" t="e">
        <f>Проект!#REF!</f>
        <v>#REF!</v>
      </c>
      <c r="J385" s="83" t="e">
        <f>Проект!#REF!</f>
        <v>#REF!</v>
      </c>
      <c r="K385" s="83" t="e">
        <f>Проект!#REF!</f>
        <v>#REF!</v>
      </c>
      <c r="L385" s="83" t="e">
        <f>Проект!#REF!</f>
        <v>#REF!</v>
      </c>
      <c r="M385" s="83" t="e">
        <f>Проект!#REF!</f>
        <v>#REF!</v>
      </c>
      <c r="N385" s="83" t="e">
        <f>Проект!#REF!</f>
        <v>#REF!</v>
      </c>
      <c r="O385" s="83" t="e">
        <f>Проект!#REF!</f>
        <v>#REF!</v>
      </c>
      <c r="P385" s="83" t="e">
        <f>Проект!#REF!</f>
        <v>#REF!</v>
      </c>
      <c r="Q385" s="83" t="e">
        <f>Проект!#REF!</f>
        <v>#REF!</v>
      </c>
      <c r="R385" s="106"/>
      <c r="S385" s="94"/>
    </row>
    <row r="386" spans="1:19" ht="11.25" customHeight="1" x14ac:dyDescent="0.2">
      <c r="A386" s="48" t="e">
        <f>Проект!#REF!</f>
        <v>#REF!</v>
      </c>
      <c r="B386" s="330"/>
      <c r="C386" s="73"/>
      <c r="D386" s="48"/>
      <c r="E386" s="48"/>
      <c r="F386" s="353" t="e">
        <f>Проект!#REF!</f>
        <v>#REF!</v>
      </c>
      <c r="G386" s="353" t="e">
        <f>Проект!#REF!</f>
        <v>#REF!</v>
      </c>
      <c r="H386" s="353" t="e">
        <f>Проект!#REF!</f>
        <v>#REF!</v>
      </c>
      <c r="I386" s="353" t="e">
        <f>Проект!#REF!</f>
        <v>#REF!</v>
      </c>
      <c r="J386" s="353" t="e">
        <f>Проект!#REF!</f>
        <v>#REF!</v>
      </c>
      <c r="K386" s="353" t="e">
        <f>Проект!#REF!</f>
        <v>#REF!</v>
      </c>
      <c r="L386" s="353" t="e">
        <f>Проект!#REF!</f>
        <v>#REF!</v>
      </c>
      <c r="M386" s="353" t="e">
        <f>Проект!#REF!</f>
        <v>#REF!</v>
      </c>
      <c r="N386" s="353" t="e">
        <f>Проект!#REF!</f>
        <v>#REF!</v>
      </c>
      <c r="O386" s="353" t="e">
        <f>Проект!#REF!</f>
        <v>#REF!</v>
      </c>
      <c r="P386" s="353" t="e">
        <f>Проект!#REF!</f>
        <v>#REF!</v>
      </c>
      <c r="Q386" s="353" t="e">
        <f>Проект!#REF!</f>
        <v>#REF!</v>
      </c>
      <c r="R386" s="48"/>
      <c r="S386" s="354"/>
    </row>
    <row r="387" spans="1:19" ht="11.25" customHeight="1" x14ac:dyDescent="0.2">
      <c r="A387" s="41" t="e">
        <f>Проект!#REF!</f>
        <v>#REF!</v>
      </c>
      <c r="B387" s="72"/>
      <c r="C387" s="73" t="e">
        <f>Проект!#REF!</f>
        <v>#REF!</v>
      </c>
      <c r="D387" s="74" t="e">
        <f>Проект!#REF!</f>
        <v>#REF!</v>
      </c>
      <c r="E387" s="48"/>
      <c r="F387" s="352" t="e">
        <f>Проект!#REF!</f>
        <v>#REF!</v>
      </c>
      <c r="G387" s="352" t="e">
        <f>Проект!#REF!</f>
        <v>#REF!</v>
      </c>
      <c r="H387" s="352" t="e">
        <f>Проект!#REF!</f>
        <v>#REF!</v>
      </c>
      <c r="I387" s="352" t="e">
        <f>Проект!#REF!</f>
        <v>#REF!</v>
      </c>
      <c r="J387" s="352" t="e">
        <f>Проект!#REF!</f>
        <v>#REF!</v>
      </c>
      <c r="K387" s="352" t="e">
        <f>Проект!#REF!</f>
        <v>#REF!</v>
      </c>
      <c r="L387" s="352" t="e">
        <f>Проект!#REF!</f>
        <v>#REF!</v>
      </c>
      <c r="M387" s="352" t="e">
        <f>Проект!#REF!</f>
        <v>#REF!</v>
      </c>
      <c r="N387" s="352" t="e">
        <f>Проект!#REF!</f>
        <v>#REF!</v>
      </c>
      <c r="O387" s="352" t="e">
        <f>Проект!#REF!</f>
        <v>#REF!</v>
      </c>
      <c r="P387" s="352" t="e">
        <f>Проект!#REF!</f>
        <v>#REF!</v>
      </c>
      <c r="Q387" s="352" t="e">
        <f>Проект!#REF!</f>
        <v>#REF!</v>
      </c>
      <c r="R387" s="106"/>
      <c r="S387" s="94" t="e">
        <f>Проект!#REF!</f>
        <v>#REF!</v>
      </c>
    </row>
    <row r="388" spans="1:19" ht="11.25" customHeight="1" x14ac:dyDescent="0.2">
      <c r="A388" s="41" t="e">
        <f>Проект!#REF!</f>
        <v>#REF!</v>
      </c>
      <c r="B388" s="48"/>
      <c r="C388" s="73" t="e">
        <f>Проект!#REF!</f>
        <v>#REF!</v>
      </c>
      <c r="D388" s="101" t="e">
        <f>Проект!#REF!</f>
        <v>#REF!</v>
      </c>
      <c r="E388" s="48"/>
      <c r="F388" s="83" t="e">
        <f>Проект!#REF!</f>
        <v>#REF!</v>
      </c>
      <c r="G388" s="83" t="e">
        <f>Проект!#REF!</f>
        <v>#REF!</v>
      </c>
      <c r="H388" s="83" t="e">
        <f>Проект!#REF!</f>
        <v>#REF!</v>
      </c>
      <c r="I388" s="83" t="e">
        <f>Проект!#REF!</f>
        <v>#REF!</v>
      </c>
      <c r="J388" s="83" t="e">
        <f>Проект!#REF!</f>
        <v>#REF!</v>
      </c>
      <c r="K388" s="83" t="e">
        <f>Проект!#REF!</f>
        <v>#REF!</v>
      </c>
      <c r="L388" s="83" t="e">
        <f>Проект!#REF!</f>
        <v>#REF!</v>
      </c>
      <c r="M388" s="83" t="e">
        <f>Проект!#REF!</f>
        <v>#REF!</v>
      </c>
      <c r="N388" s="83" t="e">
        <f>Проект!#REF!</f>
        <v>#REF!</v>
      </c>
      <c r="O388" s="83" t="e">
        <f>Проект!#REF!</f>
        <v>#REF!</v>
      </c>
      <c r="P388" s="83" t="e">
        <f>Проект!#REF!</f>
        <v>#REF!</v>
      </c>
      <c r="Q388" s="83" t="e">
        <f>Проект!#REF!</f>
        <v>#REF!</v>
      </c>
      <c r="R388" s="106"/>
      <c r="S388" s="94" t="e">
        <f>Проект!#REF!</f>
        <v>#REF!</v>
      </c>
    </row>
    <row r="389" spans="1:19" ht="11.25" customHeight="1" x14ac:dyDescent="0.2">
      <c r="A389" s="41" t="e">
        <f>Проект!#REF!</f>
        <v>#REF!</v>
      </c>
      <c r="B389" s="48"/>
      <c r="C389" s="73" t="e">
        <f>Проект!#REF!</f>
        <v>#REF!</v>
      </c>
      <c r="D389" s="101" t="e">
        <f>Проект!#REF!</f>
        <v>#REF!</v>
      </c>
      <c r="E389" s="48" t="e">
        <f>Проект!#REF!</f>
        <v>#REF!</v>
      </c>
      <c r="F389" s="83" t="e">
        <f>Проект!#REF!</f>
        <v>#REF!</v>
      </c>
      <c r="G389" s="83" t="e">
        <f>Проект!#REF!</f>
        <v>#REF!</v>
      </c>
      <c r="H389" s="83" t="e">
        <f>Проект!#REF!</f>
        <v>#REF!</v>
      </c>
      <c r="I389" s="83" t="e">
        <f>Проект!#REF!</f>
        <v>#REF!</v>
      </c>
      <c r="J389" s="83" t="e">
        <f>Проект!#REF!</f>
        <v>#REF!</v>
      </c>
      <c r="K389" s="83" t="e">
        <f>Проект!#REF!</f>
        <v>#REF!</v>
      </c>
      <c r="L389" s="83" t="e">
        <f>Проект!#REF!</f>
        <v>#REF!</v>
      </c>
      <c r="M389" s="83" t="e">
        <f>Проект!#REF!</f>
        <v>#REF!</v>
      </c>
      <c r="N389" s="83" t="e">
        <f>Проект!#REF!</f>
        <v>#REF!</v>
      </c>
      <c r="O389" s="83" t="e">
        <f>Проект!#REF!</f>
        <v>#REF!</v>
      </c>
      <c r="P389" s="83" t="e">
        <f>Проект!#REF!</f>
        <v>#REF!</v>
      </c>
      <c r="Q389" s="83" t="e">
        <f>Проект!#REF!</f>
        <v>#REF!</v>
      </c>
      <c r="R389" s="106"/>
      <c r="S389" s="94"/>
    </row>
    <row r="390" spans="1:19" ht="11.25" customHeight="1" x14ac:dyDescent="0.2">
      <c r="A390" s="48" t="e">
        <f>Проект!#REF!</f>
        <v>#REF!</v>
      </c>
      <c r="B390" s="330"/>
      <c r="C390" s="73"/>
      <c r="D390" s="48"/>
      <c r="E390" s="48"/>
      <c r="F390" s="353" t="e">
        <f>Проект!#REF!</f>
        <v>#REF!</v>
      </c>
      <c r="G390" s="353" t="e">
        <f>Проект!#REF!</f>
        <v>#REF!</v>
      </c>
      <c r="H390" s="353" t="e">
        <f>Проект!#REF!</f>
        <v>#REF!</v>
      </c>
      <c r="I390" s="353" t="e">
        <f>Проект!#REF!</f>
        <v>#REF!</v>
      </c>
      <c r="J390" s="353" t="e">
        <f>Проект!#REF!</f>
        <v>#REF!</v>
      </c>
      <c r="K390" s="353" t="e">
        <f>Проект!#REF!</f>
        <v>#REF!</v>
      </c>
      <c r="L390" s="353" t="e">
        <f>Проект!#REF!</f>
        <v>#REF!</v>
      </c>
      <c r="M390" s="353" t="e">
        <f>Проект!#REF!</f>
        <v>#REF!</v>
      </c>
      <c r="N390" s="353" t="e">
        <f>Проект!#REF!</f>
        <v>#REF!</v>
      </c>
      <c r="O390" s="353" t="e">
        <f>Проект!#REF!</f>
        <v>#REF!</v>
      </c>
      <c r="P390" s="353" t="e">
        <f>Проект!#REF!</f>
        <v>#REF!</v>
      </c>
      <c r="Q390" s="353" t="e">
        <f>Проект!#REF!</f>
        <v>#REF!</v>
      </c>
      <c r="R390" s="48"/>
      <c r="S390" s="354"/>
    </row>
    <row r="391" spans="1:19" ht="11.25" customHeight="1" x14ac:dyDescent="0.2">
      <c r="A391" s="41" t="e">
        <f>Проект!#REF!</f>
        <v>#REF!</v>
      </c>
      <c r="B391" s="72"/>
      <c r="C391" s="73" t="e">
        <f>Проект!#REF!</f>
        <v>#REF!</v>
      </c>
      <c r="D391" s="74" t="e">
        <f>Проект!#REF!</f>
        <v>#REF!</v>
      </c>
      <c r="E391" s="48"/>
      <c r="F391" s="352" t="e">
        <f>Проект!#REF!</f>
        <v>#REF!</v>
      </c>
      <c r="G391" s="352" t="e">
        <f>Проект!#REF!</f>
        <v>#REF!</v>
      </c>
      <c r="H391" s="352" t="e">
        <f>Проект!#REF!</f>
        <v>#REF!</v>
      </c>
      <c r="I391" s="352" t="e">
        <f>Проект!#REF!</f>
        <v>#REF!</v>
      </c>
      <c r="J391" s="352" t="e">
        <f>Проект!#REF!</f>
        <v>#REF!</v>
      </c>
      <c r="K391" s="352" t="e">
        <f>Проект!#REF!</f>
        <v>#REF!</v>
      </c>
      <c r="L391" s="352" t="e">
        <f>Проект!#REF!</f>
        <v>#REF!</v>
      </c>
      <c r="M391" s="352" t="e">
        <f>Проект!#REF!</f>
        <v>#REF!</v>
      </c>
      <c r="N391" s="352" t="e">
        <f>Проект!#REF!</f>
        <v>#REF!</v>
      </c>
      <c r="O391" s="352" t="e">
        <f>Проект!#REF!</f>
        <v>#REF!</v>
      </c>
      <c r="P391" s="352" t="e">
        <f>Проект!#REF!</f>
        <v>#REF!</v>
      </c>
      <c r="Q391" s="352" t="e">
        <f>Проект!#REF!</f>
        <v>#REF!</v>
      </c>
      <c r="R391" s="106"/>
      <c r="S391" s="94" t="e">
        <f>Проект!#REF!</f>
        <v>#REF!</v>
      </c>
    </row>
    <row r="392" spans="1:19" ht="11.25" customHeight="1" x14ac:dyDescent="0.2">
      <c r="A392" s="41" t="e">
        <f>Проект!#REF!</f>
        <v>#REF!</v>
      </c>
      <c r="B392" s="48"/>
      <c r="C392" s="73" t="e">
        <f>Проект!#REF!</f>
        <v>#REF!</v>
      </c>
      <c r="D392" s="101" t="e">
        <f>Проект!#REF!</f>
        <v>#REF!</v>
      </c>
      <c r="E392" s="48"/>
      <c r="F392" s="83" t="e">
        <f>Проект!#REF!</f>
        <v>#REF!</v>
      </c>
      <c r="G392" s="83" t="e">
        <f>Проект!#REF!</f>
        <v>#REF!</v>
      </c>
      <c r="H392" s="83" t="e">
        <f>Проект!#REF!</f>
        <v>#REF!</v>
      </c>
      <c r="I392" s="83" t="e">
        <f>Проект!#REF!</f>
        <v>#REF!</v>
      </c>
      <c r="J392" s="83" t="e">
        <f>Проект!#REF!</f>
        <v>#REF!</v>
      </c>
      <c r="K392" s="83" t="e">
        <f>Проект!#REF!</f>
        <v>#REF!</v>
      </c>
      <c r="L392" s="83" t="e">
        <f>Проект!#REF!</f>
        <v>#REF!</v>
      </c>
      <c r="M392" s="83" t="e">
        <f>Проект!#REF!</f>
        <v>#REF!</v>
      </c>
      <c r="N392" s="83" t="e">
        <f>Проект!#REF!</f>
        <v>#REF!</v>
      </c>
      <c r="O392" s="83" t="e">
        <f>Проект!#REF!</f>
        <v>#REF!</v>
      </c>
      <c r="P392" s="83" t="e">
        <f>Проект!#REF!</f>
        <v>#REF!</v>
      </c>
      <c r="Q392" s="83" t="e">
        <f>Проект!#REF!</f>
        <v>#REF!</v>
      </c>
      <c r="R392" s="106"/>
      <c r="S392" s="94" t="e">
        <f>Проект!#REF!</f>
        <v>#REF!</v>
      </c>
    </row>
    <row r="393" spans="1:19" ht="11.25" customHeight="1" x14ac:dyDescent="0.2">
      <c r="A393" s="41" t="e">
        <f>Проект!#REF!</f>
        <v>#REF!</v>
      </c>
      <c r="B393" s="48"/>
      <c r="C393" s="73" t="e">
        <f>Проект!#REF!</f>
        <v>#REF!</v>
      </c>
      <c r="D393" s="101" t="e">
        <f>Проект!#REF!</f>
        <v>#REF!</v>
      </c>
      <c r="E393" s="48" t="e">
        <f>Проект!#REF!</f>
        <v>#REF!</v>
      </c>
      <c r="F393" s="83" t="e">
        <f>Проект!#REF!</f>
        <v>#REF!</v>
      </c>
      <c r="G393" s="83" t="e">
        <f>Проект!#REF!</f>
        <v>#REF!</v>
      </c>
      <c r="H393" s="83" t="e">
        <f>Проект!#REF!</f>
        <v>#REF!</v>
      </c>
      <c r="I393" s="83" t="e">
        <f>Проект!#REF!</f>
        <v>#REF!</v>
      </c>
      <c r="J393" s="83" t="e">
        <f>Проект!#REF!</f>
        <v>#REF!</v>
      </c>
      <c r="K393" s="83" t="e">
        <f>Проект!#REF!</f>
        <v>#REF!</v>
      </c>
      <c r="L393" s="83" t="e">
        <f>Проект!#REF!</f>
        <v>#REF!</v>
      </c>
      <c r="M393" s="83" t="e">
        <f>Проект!#REF!</f>
        <v>#REF!</v>
      </c>
      <c r="N393" s="83" t="e">
        <f>Проект!#REF!</f>
        <v>#REF!</v>
      </c>
      <c r="O393" s="83" t="e">
        <f>Проект!#REF!</f>
        <v>#REF!</v>
      </c>
      <c r="P393" s="83" t="e">
        <f>Проект!#REF!</f>
        <v>#REF!</v>
      </c>
      <c r="Q393" s="83" t="e">
        <f>Проект!#REF!</f>
        <v>#REF!</v>
      </c>
      <c r="R393" s="106"/>
      <c r="S393" s="94"/>
    </row>
    <row r="394" spans="1:19" ht="11.25" customHeight="1" x14ac:dyDescent="0.2">
      <c r="A394" s="48" t="e">
        <f>Проект!#REF!</f>
        <v>#REF!</v>
      </c>
      <c r="B394" s="330"/>
      <c r="C394" s="73"/>
      <c r="D394" s="48"/>
      <c r="E394" s="48"/>
      <c r="F394" s="353" t="e">
        <f>Проект!#REF!</f>
        <v>#REF!</v>
      </c>
      <c r="G394" s="353" t="e">
        <f>Проект!#REF!</f>
        <v>#REF!</v>
      </c>
      <c r="H394" s="353" t="e">
        <f>Проект!#REF!</f>
        <v>#REF!</v>
      </c>
      <c r="I394" s="353" t="e">
        <f>Проект!#REF!</f>
        <v>#REF!</v>
      </c>
      <c r="J394" s="353" t="e">
        <f>Проект!#REF!</f>
        <v>#REF!</v>
      </c>
      <c r="K394" s="353" t="e">
        <f>Проект!#REF!</f>
        <v>#REF!</v>
      </c>
      <c r="L394" s="353" t="e">
        <f>Проект!#REF!</f>
        <v>#REF!</v>
      </c>
      <c r="M394" s="353" t="e">
        <f>Проект!#REF!</f>
        <v>#REF!</v>
      </c>
      <c r="N394" s="353" t="e">
        <f>Проект!#REF!</f>
        <v>#REF!</v>
      </c>
      <c r="O394" s="353" t="e">
        <f>Проект!#REF!</f>
        <v>#REF!</v>
      </c>
      <c r="P394" s="353" t="e">
        <f>Проект!#REF!</f>
        <v>#REF!</v>
      </c>
      <c r="Q394" s="353" t="e">
        <f>Проект!#REF!</f>
        <v>#REF!</v>
      </c>
      <c r="R394" s="48"/>
      <c r="S394" s="354"/>
    </row>
    <row r="395" spans="1:19" ht="11.25" customHeight="1" x14ac:dyDescent="0.2">
      <c r="A395" s="41" t="e">
        <f>Проект!#REF!</f>
        <v>#REF!</v>
      </c>
      <c r="B395" s="72"/>
      <c r="C395" s="73" t="e">
        <f>Проект!#REF!</f>
        <v>#REF!</v>
      </c>
      <c r="D395" s="74" t="e">
        <f>Проект!#REF!</f>
        <v>#REF!</v>
      </c>
      <c r="E395" s="48"/>
      <c r="F395" s="352" t="e">
        <f>Проект!#REF!</f>
        <v>#REF!</v>
      </c>
      <c r="G395" s="352" t="e">
        <f>Проект!#REF!</f>
        <v>#REF!</v>
      </c>
      <c r="H395" s="352" t="e">
        <f>Проект!#REF!</f>
        <v>#REF!</v>
      </c>
      <c r="I395" s="352" t="e">
        <f>Проект!#REF!</f>
        <v>#REF!</v>
      </c>
      <c r="J395" s="352" t="e">
        <f>Проект!#REF!</f>
        <v>#REF!</v>
      </c>
      <c r="K395" s="352" t="e">
        <f>Проект!#REF!</f>
        <v>#REF!</v>
      </c>
      <c r="L395" s="352" t="e">
        <f>Проект!#REF!</f>
        <v>#REF!</v>
      </c>
      <c r="M395" s="352" t="e">
        <f>Проект!#REF!</f>
        <v>#REF!</v>
      </c>
      <c r="N395" s="352" t="e">
        <f>Проект!#REF!</f>
        <v>#REF!</v>
      </c>
      <c r="O395" s="352" t="e">
        <f>Проект!#REF!</f>
        <v>#REF!</v>
      </c>
      <c r="P395" s="352" t="e">
        <f>Проект!#REF!</f>
        <v>#REF!</v>
      </c>
      <c r="Q395" s="352" t="e">
        <f>Проект!#REF!</f>
        <v>#REF!</v>
      </c>
      <c r="R395" s="106"/>
      <c r="S395" s="94" t="e">
        <f>Проект!#REF!</f>
        <v>#REF!</v>
      </c>
    </row>
    <row r="396" spans="1:19" ht="11.25" customHeight="1" x14ac:dyDescent="0.2">
      <c r="A396" s="41" t="e">
        <f>Проект!#REF!</f>
        <v>#REF!</v>
      </c>
      <c r="B396" s="48"/>
      <c r="C396" s="73" t="e">
        <f>Проект!#REF!</f>
        <v>#REF!</v>
      </c>
      <c r="D396" s="101" t="e">
        <f>Проект!#REF!</f>
        <v>#REF!</v>
      </c>
      <c r="E396" s="48"/>
      <c r="F396" s="83" t="e">
        <f>Проект!#REF!</f>
        <v>#REF!</v>
      </c>
      <c r="G396" s="83" t="e">
        <f>Проект!#REF!</f>
        <v>#REF!</v>
      </c>
      <c r="H396" s="83" t="e">
        <f>Проект!#REF!</f>
        <v>#REF!</v>
      </c>
      <c r="I396" s="83" t="e">
        <f>Проект!#REF!</f>
        <v>#REF!</v>
      </c>
      <c r="J396" s="83" t="e">
        <f>Проект!#REF!</f>
        <v>#REF!</v>
      </c>
      <c r="K396" s="83" t="e">
        <f>Проект!#REF!</f>
        <v>#REF!</v>
      </c>
      <c r="L396" s="83" t="e">
        <f>Проект!#REF!</f>
        <v>#REF!</v>
      </c>
      <c r="M396" s="83" t="e">
        <f>Проект!#REF!</f>
        <v>#REF!</v>
      </c>
      <c r="N396" s="83" t="e">
        <f>Проект!#REF!</f>
        <v>#REF!</v>
      </c>
      <c r="O396" s="83" t="e">
        <f>Проект!#REF!</f>
        <v>#REF!</v>
      </c>
      <c r="P396" s="83" t="e">
        <f>Проект!#REF!</f>
        <v>#REF!</v>
      </c>
      <c r="Q396" s="83" t="e">
        <f>Проект!#REF!</f>
        <v>#REF!</v>
      </c>
      <c r="R396" s="106"/>
      <c r="S396" s="94" t="e">
        <f>Проект!#REF!</f>
        <v>#REF!</v>
      </c>
    </row>
    <row r="397" spans="1:19" ht="11.25" customHeight="1" x14ac:dyDescent="0.2">
      <c r="A397" s="41" t="e">
        <f>Проект!#REF!</f>
        <v>#REF!</v>
      </c>
      <c r="B397" s="48"/>
      <c r="C397" s="73" t="e">
        <f>Проект!#REF!</f>
        <v>#REF!</v>
      </c>
      <c r="D397" s="101" t="e">
        <f>Проект!#REF!</f>
        <v>#REF!</v>
      </c>
      <c r="E397" s="48" t="e">
        <f>Проект!#REF!</f>
        <v>#REF!</v>
      </c>
      <c r="F397" s="83" t="e">
        <f>Проект!#REF!</f>
        <v>#REF!</v>
      </c>
      <c r="G397" s="83" t="e">
        <f>Проект!#REF!</f>
        <v>#REF!</v>
      </c>
      <c r="H397" s="83" t="e">
        <f>Проект!#REF!</f>
        <v>#REF!</v>
      </c>
      <c r="I397" s="83" t="e">
        <f>Проект!#REF!</f>
        <v>#REF!</v>
      </c>
      <c r="J397" s="83" t="e">
        <f>Проект!#REF!</f>
        <v>#REF!</v>
      </c>
      <c r="K397" s="83" t="e">
        <f>Проект!#REF!</f>
        <v>#REF!</v>
      </c>
      <c r="L397" s="83" t="e">
        <f>Проект!#REF!</f>
        <v>#REF!</v>
      </c>
      <c r="M397" s="83" t="e">
        <f>Проект!#REF!</f>
        <v>#REF!</v>
      </c>
      <c r="N397" s="83" t="e">
        <f>Проект!#REF!</f>
        <v>#REF!</v>
      </c>
      <c r="O397" s="83" t="e">
        <f>Проект!#REF!</f>
        <v>#REF!</v>
      </c>
      <c r="P397" s="83" t="e">
        <f>Проект!#REF!</f>
        <v>#REF!</v>
      </c>
      <c r="Q397" s="83" t="e">
        <f>Проект!#REF!</f>
        <v>#REF!</v>
      </c>
      <c r="R397" s="106"/>
      <c r="S397" s="94"/>
    </row>
    <row r="398" spans="1:19" ht="11.25" customHeight="1" x14ac:dyDescent="0.2">
      <c r="A398" s="48" t="e">
        <f>Проект!#REF!</f>
        <v>#REF!</v>
      </c>
      <c r="B398" s="330"/>
      <c r="C398" s="73"/>
      <c r="D398" s="48"/>
      <c r="E398" s="48"/>
      <c r="F398" s="353" t="e">
        <f>Проект!#REF!</f>
        <v>#REF!</v>
      </c>
      <c r="G398" s="353" t="e">
        <f>Проект!#REF!</f>
        <v>#REF!</v>
      </c>
      <c r="H398" s="353" t="e">
        <f>Проект!#REF!</f>
        <v>#REF!</v>
      </c>
      <c r="I398" s="353" t="e">
        <f>Проект!#REF!</f>
        <v>#REF!</v>
      </c>
      <c r="J398" s="353" t="e">
        <f>Проект!#REF!</f>
        <v>#REF!</v>
      </c>
      <c r="K398" s="353" t="e">
        <f>Проект!#REF!</f>
        <v>#REF!</v>
      </c>
      <c r="L398" s="353" t="e">
        <f>Проект!#REF!</f>
        <v>#REF!</v>
      </c>
      <c r="M398" s="353" t="e">
        <f>Проект!#REF!</f>
        <v>#REF!</v>
      </c>
      <c r="N398" s="353" t="e">
        <f>Проект!#REF!</f>
        <v>#REF!</v>
      </c>
      <c r="O398" s="353" t="e">
        <f>Проект!#REF!</f>
        <v>#REF!</v>
      </c>
      <c r="P398" s="353" t="e">
        <f>Проект!#REF!</f>
        <v>#REF!</v>
      </c>
      <c r="Q398" s="353" t="e">
        <f>Проект!#REF!</f>
        <v>#REF!</v>
      </c>
      <c r="R398" s="48"/>
      <c r="S398" s="354"/>
    </row>
    <row r="399" spans="1:19" ht="11.25" customHeight="1" x14ac:dyDescent="0.2">
      <c r="A399" s="41" t="e">
        <f>Проект!#REF!</f>
        <v>#REF!</v>
      </c>
      <c r="B399" s="72"/>
      <c r="C399" s="73" t="e">
        <f>Проект!#REF!</f>
        <v>#REF!</v>
      </c>
      <c r="D399" s="74" t="e">
        <f>Проект!#REF!</f>
        <v>#REF!</v>
      </c>
      <c r="E399" s="48"/>
      <c r="F399" s="352" t="e">
        <f>Проект!#REF!</f>
        <v>#REF!</v>
      </c>
      <c r="G399" s="352" t="e">
        <f>Проект!#REF!</f>
        <v>#REF!</v>
      </c>
      <c r="H399" s="352" t="e">
        <f>Проект!#REF!</f>
        <v>#REF!</v>
      </c>
      <c r="I399" s="352" t="e">
        <f>Проект!#REF!</f>
        <v>#REF!</v>
      </c>
      <c r="J399" s="352" t="e">
        <f>Проект!#REF!</f>
        <v>#REF!</v>
      </c>
      <c r="K399" s="352" t="e">
        <f>Проект!#REF!</f>
        <v>#REF!</v>
      </c>
      <c r="L399" s="352" t="e">
        <f>Проект!#REF!</f>
        <v>#REF!</v>
      </c>
      <c r="M399" s="352" t="e">
        <f>Проект!#REF!</f>
        <v>#REF!</v>
      </c>
      <c r="N399" s="352" t="e">
        <f>Проект!#REF!</f>
        <v>#REF!</v>
      </c>
      <c r="O399" s="352" t="e">
        <f>Проект!#REF!</f>
        <v>#REF!</v>
      </c>
      <c r="P399" s="352" t="e">
        <f>Проект!#REF!</f>
        <v>#REF!</v>
      </c>
      <c r="Q399" s="352" t="e">
        <f>Проект!#REF!</f>
        <v>#REF!</v>
      </c>
      <c r="R399" s="106"/>
      <c r="S399" s="94" t="e">
        <f>Проект!#REF!</f>
        <v>#REF!</v>
      </c>
    </row>
    <row r="400" spans="1:19" ht="11.25" customHeight="1" x14ac:dyDescent="0.2">
      <c r="A400" s="41" t="e">
        <f>Проект!#REF!</f>
        <v>#REF!</v>
      </c>
      <c r="B400" s="48"/>
      <c r="C400" s="73" t="e">
        <f>Проект!#REF!</f>
        <v>#REF!</v>
      </c>
      <c r="D400" s="101" t="e">
        <f>Проект!#REF!</f>
        <v>#REF!</v>
      </c>
      <c r="E400" s="48"/>
      <c r="F400" s="83" t="e">
        <f>Проект!#REF!</f>
        <v>#REF!</v>
      </c>
      <c r="G400" s="83" t="e">
        <f>Проект!#REF!</f>
        <v>#REF!</v>
      </c>
      <c r="H400" s="83" t="e">
        <f>Проект!#REF!</f>
        <v>#REF!</v>
      </c>
      <c r="I400" s="83" t="e">
        <f>Проект!#REF!</f>
        <v>#REF!</v>
      </c>
      <c r="J400" s="83" t="e">
        <f>Проект!#REF!</f>
        <v>#REF!</v>
      </c>
      <c r="K400" s="83" t="e">
        <f>Проект!#REF!</f>
        <v>#REF!</v>
      </c>
      <c r="L400" s="83" t="e">
        <f>Проект!#REF!</f>
        <v>#REF!</v>
      </c>
      <c r="M400" s="83" t="e">
        <f>Проект!#REF!</f>
        <v>#REF!</v>
      </c>
      <c r="N400" s="83" t="e">
        <f>Проект!#REF!</f>
        <v>#REF!</v>
      </c>
      <c r="O400" s="83" t="e">
        <f>Проект!#REF!</f>
        <v>#REF!</v>
      </c>
      <c r="P400" s="83" t="e">
        <f>Проект!#REF!</f>
        <v>#REF!</v>
      </c>
      <c r="Q400" s="83" t="e">
        <f>Проект!#REF!</f>
        <v>#REF!</v>
      </c>
      <c r="R400" s="106"/>
      <c r="S400" s="94" t="e">
        <f>Проект!#REF!</f>
        <v>#REF!</v>
      </c>
    </row>
    <row r="401" spans="1:19" ht="11.25" customHeight="1" x14ac:dyDescent="0.2">
      <c r="A401" s="41" t="e">
        <f>Проект!#REF!</f>
        <v>#REF!</v>
      </c>
      <c r="B401" s="48"/>
      <c r="C401" s="73" t="e">
        <f>Проект!#REF!</f>
        <v>#REF!</v>
      </c>
      <c r="D401" s="101" t="e">
        <f>Проект!#REF!</f>
        <v>#REF!</v>
      </c>
      <c r="E401" s="48" t="e">
        <f>Проект!#REF!</f>
        <v>#REF!</v>
      </c>
      <c r="F401" s="83" t="e">
        <f>Проект!#REF!</f>
        <v>#REF!</v>
      </c>
      <c r="G401" s="83" t="e">
        <f>Проект!#REF!</f>
        <v>#REF!</v>
      </c>
      <c r="H401" s="83" t="e">
        <f>Проект!#REF!</f>
        <v>#REF!</v>
      </c>
      <c r="I401" s="83" t="e">
        <f>Проект!#REF!</f>
        <v>#REF!</v>
      </c>
      <c r="J401" s="83" t="e">
        <f>Проект!#REF!</f>
        <v>#REF!</v>
      </c>
      <c r="K401" s="83" t="e">
        <f>Проект!#REF!</f>
        <v>#REF!</v>
      </c>
      <c r="L401" s="83" t="e">
        <f>Проект!#REF!</f>
        <v>#REF!</v>
      </c>
      <c r="M401" s="83" t="e">
        <f>Проект!#REF!</f>
        <v>#REF!</v>
      </c>
      <c r="N401" s="83" t="e">
        <f>Проект!#REF!</f>
        <v>#REF!</v>
      </c>
      <c r="O401" s="83" t="e">
        <f>Проект!#REF!</f>
        <v>#REF!</v>
      </c>
      <c r="P401" s="83" t="e">
        <f>Проект!#REF!</f>
        <v>#REF!</v>
      </c>
      <c r="Q401" s="83" t="e">
        <f>Проект!#REF!</f>
        <v>#REF!</v>
      </c>
      <c r="R401" s="106"/>
      <c r="S401" s="94"/>
    </row>
    <row r="402" spans="1:19" ht="11.25" customHeight="1" x14ac:dyDescent="0.2">
      <c r="A402" s="48"/>
      <c r="B402" s="48"/>
      <c r="C402" s="73"/>
      <c r="D402" s="101"/>
      <c r="E402" s="48"/>
      <c r="F402" s="84"/>
      <c r="G402" s="84"/>
      <c r="H402" s="84"/>
      <c r="I402" s="84"/>
      <c r="J402" s="84"/>
      <c r="K402" s="84"/>
      <c r="L402" s="84"/>
      <c r="M402" s="84"/>
      <c r="N402" s="84"/>
      <c r="O402" s="84"/>
      <c r="P402" s="84"/>
      <c r="Q402" s="84"/>
      <c r="R402" s="48"/>
      <c r="S402" s="41"/>
    </row>
    <row r="405" spans="1:19" ht="16" customHeight="1" thickBot="1" x14ac:dyDescent="0.25">
      <c r="A405" s="166" t="str">
        <f ca="1">Проект!$A$677</f>
        <v xml:space="preserve">         РАСХОД СЫРЬЯ И МАТЕРИАЛОВ (в единицах)</v>
      </c>
      <c r="B405" s="166"/>
      <c r="C405" s="166"/>
      <c r="D405" s="166">
        <f>Проект!$D$677</f>
        <v>1</v>
      </c>
      <c r="E405" s="166"/>
      <c r="F405" s="178" t="str">
        <f>Проект!$F$677</f>
        <v>4/ 2024</v>
      </c>
      <c r="G405" s="178" t="str">
        <f>Проект!$G$677</f>
        <v>5/ 2024</v>
      </c>
      <c r="H405" s="178" t="str">
        <f>Проект!$H$677</f>
        <v>6/ 2024</v>
      </c>
      <c r="I405" s="178" t="str">
        <f>Проект!$I$677</f>
        <v>7/ 2024</v>
      </c>
      <c r="J405" s="178" t="str">
        <f>Проект!$J$677</f>
        <v>8/ 2024</v>
      </c>
      <c r="K405" s="178" t="str">
        <f>Проект!$K$677</f>
        <v>9/ 2024</v>
      </c>
      <c r="L405" s="178" t="str">
        <f>Проект!$L$677</f>
        <v>10/ 2024</v>
      </c>
      <c r="M405" s="178" t="str">
        <f>Проект!$M$677</f>
        <v>11/ 2024</v>
      </c>
      <c r="N405" s="178" t="e">
        <f>Проект!#REF!</f>
        <v>#REF!</v>
      </c>
      <c r="O405" s="178" t="e">
        <f>Проект!#REF!</f>
        <v>#REF!</v>
      </c>
      <c r="P405" s="178" t="e">
        <f>Проект!#REF!</f>
        <v>#REF!</v>
      </c>
      <c r="Q405" s="178" t="str">
        <f>Проект!$Q$677</f>
        <v>3/ 2025</v>
      </c>
      <c r="R405" s="166"/>
      <c r="S405" s="195" t="str">
        <f ca="1">Проект!$S$677</f>
        <v>ИТОГО</v>
      </c>
    </row>
    <row r="406" spans="1:19" ht="12" customHeight="1" thickTop="1" x14ac:dyDescent="0.2">
      <c r="A406" s="48"/>
      <c r="B406" s="48"/>
      <c r="C406" s="48"/>
      <c r="D406" s="48">
        <f>Проект!$D$678</f>
        <v>0</v>
      </c>
      <c r="E406" s="48">
        <f>Проект!$E$678</f>
        <v>1</v>
      </c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1"/>
    </row>
    <row r="407" spans="1:19" ht="11.25" customHeight="1" x14ac:dyDescent="0.2">
      <c r="A407" s="48" t="str">
        <f>Проект!$A$679</f>
        <v>Наименование товара</v>
      </c>
      <c r="B407" s="41" t="str">
        <f ca="1">Проект!$B$679</f>
        <v>Плановый расход на единицу продукции</v>
      </c>
      <c r="C407" s="48"/>
      <c r="D407" s="48">
        <f>Проект!$D$679</f>
        <v>1</v>
      </c>
      <c r="E407" s="48">
        <f>Проект!$E$679</f>
        <v>1</v>
      </c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1"/>
    </row>
    <row r="408" spans="1:19" ht="11.25" customHeight="1" x14ac:dyDescent="0.2">
      <c r="A408" s="333" t="str">
        <f>Проект!$A$680</f>
        <v xml:space="preserve">Наименование сырья </v>
      </c>
      <c r="B408" s="355">
        <f>Проект!$B$680</f>
        <v>0</v>
      </c>
      <c r="C408" s="334" t="str">
        <f>Проект!$C$680</f>
        <v>час</v>
      </c>
      <c r="D408" s="48"/>
      <c r="E408" s="48"/>
      <c r="F408" s="106">
        <f>Проект!$F$680</f>
        <v>0</v>
      </c>
      <c r="G408" s="106">
        <f>Проект!$G$680</f>
        <v>0</v>
      </c>
      <c r="H408" s="106">
        <f>Проект!$H$680</f>
        <v>0</v>
      </c>
      <c r="I408" s="106">
        <f>Проект!$I$680</f>
        <v>0</v>
      </c>
      <c r="J408" s="106">
        <f>Проект!$J$680</f>
        <v>0</v>
      </c>
      <c r="K408" s="106">
        <f>Проект!$K$680</f>
        <v>0</v>
      </c>
      <c r="L408" s="106">
        <f>Проект!$L$680</f>
        <v>0</v>
      </c>
      <c r="M408" s="106">
        <f>Проект!$M$680</f>
        <v>0</v>
      </c>
      <c r="N408" s="106" t="e">
        <f>Проект!#REF!</f>
        <v>#REF!</v>
      </c>
      <c r="O408" s="106" t="e">
        <f>Проект!#REF!</f>
        <v>#REF!</v>
      </c>
      <c r="P408" s="106" t="e">
        <f>Проект!#REF!</f>
        <v>#REF!</v>
      </c>
      <c r="Q408" s="106">
        <f>Проект!$Q$680</f>
        <v>0</v>
      </c>
      <c r="R408" s="106"/>
      <c r="S408" s="94">
        <f>Проект!$S$680</f>
        <v>0</v>
      </c>
    </row>
    <row r="409" spans="1:19" ht="11.25" customHeight="1" x14ac:dyDescent="0.2">
      <c r="A409" s="48" t="e">
        <f>Проект!#REF!</f>
        <v>#REF!</v>
      </c>
      <c r="B409" s="41" t="e">
        <f>Проект!#REF!</f>
        <v>#REF!</v>
      </c>
      <c r="C409" s="48"/>
      <c r="D409" s="48" t="e">
        <f>Проект!#REF!</f>
        <v>#REF!</v>
      </c>
      <c r="E409" s="48" t="e">
        <f>Проект!#REF!</f>
        <v>#REF!</v>
      </c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1"/>
    </row>
    <row r="410" spans="1:19" ht="11.25" customHeight="1" x14ac:dyDescent="0.2">
      <c r="A410" s="333" t="e">
        <f>Проект!#REF!</f>
        <v>#REF!</v>
      </c>
      <c r="B410" s="355" t="e">
        <f>Проект!#REF!</f>
        <v>#REF!</v>
      </c>
      <c r="C410" s="334" t="e">
        <f>Проект!#REF!</f>
        <v>#REF!</v>
      </c>
      <c r="D410" s="48"/>
      <c r="E410" s="48"/>
      <c r="F410" s="106" t="e">
        <f>Проект!#REF!</f>
        <v>#REF!</v>
      </c>
      <c r="G410" s="106" t="e">
        <f>Проект!#REF!</f>
        <v>#REF!</v>
      </c>
      <c r="H410" s="106" t="e">
        <f>Проект!#REF!</f>
        <v>#REF!</v>
      </c>
      <c r="I410" s="106" t="e">
        <f>Проект!#REF!</f>
        <v>#REF!</v>
      </c>
      <c r="J410" s="106" t="e">
        <f>Проект!#REF!</f>
        <v>#REF!</v>
      </c>
      <c r="K410" s="106" t="e">
        <f>Проект!#REF!</f>
        <v>#REF!</v>
      </c>
      <c r="L410" s="106" t="e">
        <f>Проект!#REF!</f>
        <v>#REF!</v>
      </c>
      <c r="M410" s="106" t="e">
        <f>Проект!#REF!</f>
        <v>#REF!</v>
      </c>
      <c r="N410" s="106" t="e">
        <f>Проект!#REF!</f>
        <v>#REF!</v>
      </c>
      <c r="O410" s="106" t="e">
        <f>Проект!#REF!</f>
        <v>#REF!</v>
      </c>
      <c r="P410" s="106" t="e">
        <f>Проект!#REF!</f>
        <v>#REF!</v>
      </c>
      <c r="Q410" s="106" t="e">
        <f>Проект!#REF!</f>
        <v>#REF!</v>
      </c>
      <c r="R410" s="106"/>
      <c r="S410" s="94" t="e">
        <f>Проект!#REF!</f>
        <v>#REF!</v>
      </c>
    </row>
    <row r="411" spans="1:19" ht="11.25" customHeight="1" x14ac:dyDescent="0.2">
      <c r="A411" s="333" t="e">
        <f>Проект!#REF!</f>
        <v>#REF!</v>
      </c>
      <c r="B411" s="356" t="e">
        <f>Проект!#REF!</f>
        <v>#REF!</v>
      </c>
      <c r="C411" s="334" t="e">
        <f>Проект!#REF!</f>
        <v>#REF!</v>
      </c>
      <c r="D411" s="48"/>
      <c r="E411" s="48"/>
      <c r="F411" s="106" t="e">
        <f>Проект!#REF!</f>
        <v>#REF!</v>
      </c>
      <c r="G411" s="106" t="e">
        <f>Проект!#REF!</f>
        <v>#REF!</v>
      </c>
      <c r="H411" s="106" t="e">
        <f>Проект!#REF!</f>
        <v>#REF!</v>
      </c>
      <c r="I411" s="106" t="e">
        <f>Проект!#REF!</f>
        <v>#REF!</v>
      </c>
      <c r="J411" s="106" t="e">
        <f>Проект!#REF!</f>
        <v>#REF!</v>
      </c>
      <c r="K411" s="106" t="e">
        <f>Проект!#REF!</f>
        <v>#REF!</v>
      </c>
      <c r="L411" s="106" t="e">
        <f>Проект!#REF!</f>
        <v>#REF!</v>
      </c>
      <c r="M411" s="106" t="e">
        <f>Проект!#REF!</f>
        <v>#REF!</v>
      </c>
      <c r="N411" s="106" t="e">
        <f>Проект!#REF!</f>
        <v>#REF!</v>
      </c>
      <c r="O411" s="106" t="e">
        <f>Проект!#REF!</f>
        <v>#REF!</v>
      </c>
      <c r="P411" s="106" t="e">
        <f>Проект!#REF!</f>
        <v>#REF!</v>
      </c>
      <c r="Q411" s="106" t="e">
        <f>Проект!#REF!</f>
        <v>#REF!</v>
      </c>
      <c r="R411" s="106"/>
      <c r="S411" s="94" t="e">
        <f>Проект!#REF!</f>
        <v>#REF!</v>
      </c>
    </row>
    <row r="412" spans="1:19" ht="11.25" customHeight="1" x14ac:dyDescent="0.2">
      <c r="A412" s="333" t="e">
        <f>Проект!#REF!</f>
        <v>#REF!</v>
      </c>
      <c r="B412" s="355" t="e">
        <f>Проект!#REF!</f>
        <v>#REF!</v>
      </c>
      <c r="C412" s="334" t="e">
        <f>Проект!#REF!</f>
        <v>#REF!</v>
      </c>
      <c r="D412" s="48"/>
      <c r="E412" s="48"/>
      <c r="F412" s="106" t="e">
        <f>Проект!#REF!</f>
        <v>#REF!</v>
      </c>
      <c r="G412" s="106" t="e">
        <f>Проект!#REF!</f>
        <v>#REF!</v>
      </c>
      <c r="H412" s="106" t="e">
        <f>Проект!#REF!</f>
        <v>#REF!</v>
      </c>
      <c r="I412" s="106" t="e">
        <f>Проект!#REF!</f>
        <v>#REF!</v>
      </c>
      <c r="J412" s="106" t="e">
        <f>Проект!#REF!</f>
        <v>#REF!</v>
      </c>
      <c r="K412" s="106" t="e">
        <f>Проект!#REF!</f>
        <v>#REF!</v>
      </c>
      <c r="L412" s="106" t="e">
        <f>Проект!#REF!</f>
        <v>#REF!</v>
      </c>
      <c r="M412" s="106" t="e">
        <f>Проект!#REF!</f>
        <v>#REF!</v>
      </c>
      <c r="N412" s="106" t="e">
        <f>Проект!#REF!</f>
        <v>#REF!</v>
      </c>
      <c r="O412" s="106" t="e">
        <f>Проект!#REF!</f>
        <v>#REF!</v>
      </c>
      <c r="P412" s="106" t="e">
        <f>Проект!#REF!</f>
        <v>#REF!</v>
      </c>
      <c r="Q412" s="106" t="e">
        <f>Проект!#REF!</f>
        <v>#REF!</v>
      </c>
      <c r="R412" s="106"/>
      <c r="S412" s="94" t="e">
        <f>Проект!#REF!</f>
        <v>#REF!</v>
      </c>
    </row>
    <row r="413" spans="1:19" ht="11.25" customHeight="1" x14ac:dyDescent="0.2">
      <c r="A413" s="48" t="e">
        <f>Проект!#REF!</f>
        <v>#REF!</v>
      </c>
      <c r="B413" s="41" t="e">
        <f>Проект!#REF!</f>
        <v>#REF!</v>
      </c>
      <c r="C413" s="48"/>
      <c r="D413" s="48" t="e">
        <f>Проект!#REF!</f>
        <v>#REF!</v>
      </c>
      <c r="E413" s="48" t="e">
        <f>Проект!#REF!</f>
        <v>#REF!</v>
      </c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1"/>
    </row>
    <row r="414" spans="1:19" ht="11.25" customHeight="1" x14ac:dyDescent="0.2">
      <c r="A414" s="333" t="e">
        <f>Проект!#REF!</f>
        <v>#REF!</v>
      </c>
      <c r="B414" s="355" t="e">
        <f>Проект!#REF!</f>
        <v>#REF!</v>
      </c>
      <c r="C414" s="334" t="e">
        <f>Проект!#REF!</f>
        <v>#REF!</v>
      </c>
      <c r="D414" s="48"/>
      <c r="E414" s="48"/>
      <c r="F414" s="106" t="e">
        <f>Проект!#REF!</f>
        <v>#REF!</v>
      </c>
      <c r="G414" s="106" t="e">
        <f>Проект!#REF!</f>
        <v>#REF!</v>
      </c>
      <c r="H414" s="106" t="e">
        <f>Проект!#REF!</f>
        <v>#REF!</v>
      </c>
      <c r="I414" s="106" t="e">
        <f>Проект!#REF!</f>
        <v>#REF!</v>
      </c>
      <c r="J414" s="106" t="e">
        <f>Проект!#REF!</f>
        <v>#REF!</v>
      </c>
      <c r="K414" s="106" t="e">
        <f>Проект!#REF!</f>
        <v>#REF!</v>
      </c>
      <c r="L414" s="106" t="e">
        <f>Проект!#REF!</f>
        <v>#REF!</v>
      </c>
      <c r="M414" s="106" t="e">
        <f>Проект!#REF!</f>
        <v>#REF!</v>
      </c>
      <c r="N414" s="106" t="e">
        <f>Проект!#REF!</f>
        <v>#REF!</v>
      </c>
      <c r="O414" s="106" t="e">
        <f>Проект!#REF!</f>
        <v>#REF!</v>
      </c>
      <c r="P414" s="106" t="e">
        <f>Проект!#REF!</f>
        <v>#REF!</v>
      </c>
      <c r="Q414" s="106" t="e">
        <f>Проект!#REF!</f>
        <v>#REF!</v>
      </c>
      <c r="R414" s="106"/>
      <c r="S414" s="94" t="e">
        <f>Проект!#REF!</f>
        <v>#REF!</v>
      </c>
    </row>
    <row r="415" spans="1:19" ht="11.25" customHeight="1" x14ac:dyDescent="0.2">
      <c r="A415" s="333" t="e">
        <f>Проект!#REF!</f>
        <v>#REF!</v>
      </c>
      <c r="B415" s="356" t="e">
        <f>Проект!#REF!</f>
        <v>#REF!</v>
      </c>
      <c r="C415" s="334" t="e">
        <f>Проект!#REF!</f>
        <v>#REF!</v>
      </c>
      <c r="D415" s="48"/>
      <c r="E415" s="48"/>
      <c r="F415" s="106" t="e">
        <f>Проект!#REF!</f>
        <v>#REF!</v>
      </c>
      <c r="G415" s="106" t="e">
        <f>Проект!#REF!</f>
        <v>#REF!</v>
      </c>
      <c r="H415" s="106" t="e">
        <f>Проект!#REF!</f>
        <v>#REF!</v>
      </c>
      <c r="I415" s="106" t="e">
        <f>Проект!#REF!</f>
        <v>#REF!</v>
      </c>
      <c r="J415" s="106" t="e">
        <f>Проект!#REF!</f>
        <v>#REF!</v>
      </c>
      <c r="K415" s="106" t="e">
        <f>Проект!#REF!</f>
        <v>#REF!</v>
      </c>
      <c r="L415" s="106" t="e">
        <f>Проект!#REF!</f>
        <v>#REF!</v>
      </c>
      <c r="M415" s="106" t="e">
        <f>Проект!#REF!</f>
        <v>#REF!</v>
      </c>
      <c r="N415" s="106" t="e">
        <f>Проект!#REF!</f>
        <v>#REF!</v>
      </c>
      <c r="O415" s="106" t="e">
        <f>Проект!#REF!</f>
        <v>#REF!</v>
      </c>
      <c r="P415" s="106" t="e">
        <f>Проект!#REF!</f>
        <v>#REF!</v>
      </c>
      <c r="Q415" s="106" t="e">
        <f>Проект!#REF!</f>
        <v>#REF!</v>
      </c>
      <c r="R415" s="106"/>
      <c r="S415" s="94" t="e">
        <f>Проект!#REF!</f>
        <v>#REF!</v>
      </c>
    </row>
    <row r="416" spans="1:19" ht="11.25" customHeight="1" x14ac:dyDescent="0.2">
      <c r="A416" s="333" t="e">
        <f>Проект!#REF!</f>
        <v>#REF!</v>
      </c>
      <c r="B416" s="355" t="e">
        <f>Проект!#REF!</f>
        <v>#REF!</v>
      </c>
      <c r="C416" s="334" t="e">
        <f>Проект!#REF!</f>
        <v>#REF!</v>
      </c>
      <c r="D416" s="48"/>
      <c r="E416" s="48"/>
      <c r="F416" s="106" t="e">
        <f>Проект!#REF!</f>
        <v>#REF!</v>
      </c>
      <c r="G416" s="106" t="e">
        <f>Проект!#REF!</f>
        <v>#REF!</v>
      </c>
      <c r="H416" s="106" t="e">
        <f>Проект!#REF!</f>
        <v>#REF!</v>
      </c>
      <c r="I416" s="106" t="e">
        <f>Проект!#REF!</f>
        <v>#REF!</v>
      </c>
      <c r="J416" s="106" t="e">
        <f>Проект!#REF!</f>
        <v>#REF!</v>
      </c>
      <c r="K416" s="106" t="e">
        <f>Проект!#REF!</f>
        <v>#REF!</v>
      </c>
      <c r="L416" s="106" t="e">
        <f>Проект!#REF!</f>
        <v>#REF!</v>
      </c>
      <c r="M416" s="106" t="e">
        <f>Проект!#REF!</f>
        <v>#REF!</v>
      </c>
      <c r="N416" s="106" t="e">
        <f>Проект!#REF!</f>
        <v>#REF!</v>
      </c>
      <c r="O416" s="106" t="e">
        <f>Проект!#REF!</f>
        <v>#REF!</v>
      </c>
      <c r="P416" s="106" t="e">
        <f>Проект!#REF!</f>
        <v>#REF!</v>
      </c>
      <c r="Q416" s="106" t="e">
        <f>Проект!#REF!</f>
        <v>#REF!</v>
      </c>
      <c r="R416" s="106"/>
      <c r="S416" s="94" t="e">
        <f>Проект!#REF!</f>
        <v>#REF!</v>
      </c>
    </row>
    <row r="417" spans="1:19" ht="11.25" customHeight="1" x14ac:dyDescent="0.2">
      <c r="A417" s="48" t="e">
        <f>Проект!#REF!</f>
        <v>#REF!</v>
      </c>
      <c r="B417" s="41" t="e">
        <f>Проект!#REF!</f>
        <v>#REF!</v>
      </c>
      <c r="C417" s="48"/>
      <c r="D417" s="48" t="e">
        <f>Проект!#REF!</f>
        <v>#REF!</v>
      </c>
      <c r="E417" s="48" t="e">
        <f>Проект!#REF!</f>
        <v>#REF!</v>
      </c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1"/>
    </row>
    <row r="418" spans="1:19" ht="11.25" customHeight="1" x14ac:dyDescent="0.2">
      <c r="A418" s="333" t="e">
        <f>Проект!#REF!</f>
        <v>#REF!</v>
      </c>
      <c r="B418" s="355" t="e">
        <f>Проект!#REF!</f>
        <v>#REF!</v>
      </c>
      <c r="C418" s="334" t="e">
        <f>Проект!#REF!</f>
        <v>#REF!</v>
      </c>
      <c r="D418" s="48"/>
      <c r="E418" s="48"/>
      <c r="F418" s="106" t="e">
        <f>Проект!#REF!</f>
        <v>#REF!</v>
      </c>
      <c r="G418" s="106" t="e">
        <f>Проект!#REF!</f>
        <v>#REF!</v>
      </c>
      <c r="H418" s="106" t="e">
        <f>Проект!#REF!</f>
        <v>#REF!</v>
      </c>
      <c r="I418" s="106" t="e">
        <f>Проект!#REF!</f>
        <v>#REF!</v>
      </c>
      <c r="J418" s="106" t="e">
        <f>Проект!#REF!</f>
        <v>#REF!</v>
      </c>
      <c r="K418" s="106" t="e">
        <f>Проект!#REF!</f>
        <v>#REF!</v>
      </c>
      <c r="L418" s="106" t="e">
        <f>Проект!#REF!</f>
        <v>#REF!</v>
      </c>
      <c r="M418" s="106" t="e">
        <f>Проект!#REF!</f>
        <v>#REF!</v>
      </c>
      <c r="N418" s="106" t="e">
        <f>Проект!#REF!</f>
        <v>#REF!</v>
      </c>
      <c r="O418" s="106" t="e">
        <f>Проект!#REF!</f>
        <v>#REF!</v>
      </c>
      <c r="P418" s="106" t="e">
        <f>Проект!#REF!</f>
        <v>#REF!</v>
      </c>
      <c r="Q418" s="106" t="e">
        <f>Проект!#REF!</f>
        <v>#REF!</v>
      </c>
      <c r="R418" s="106"/>
      <c r="S418" s="94" t="e">
        <f>Проект!#REF!</f>
        <v>#REF!</v>
      </c>
    </row>
    <row r="419" spans="1:19" ht="11.25" customHeight="1" x14ac:dyDescent="0.2">
      <c r="A419" s="333" t="e">
        <f>Проект!#REF!</f>
        <v>#REF!</v>
      </c>
      <c r="B419" s="356" t="e">
        <f>Проект!#REF!</f>
        <v>#REF!</v>
      </c>
      <c r="C419" s="334" t="e">
        <f>Проект!#REF!</f>
        <v>#REF!</v>
      </c>
      <c r="D419" s="48"/>
      <c r="E419" s="48"/>
      <c r="F419" s="106" t="e">
        <f>Проект!#REF!</f>
        <v>#REF!</v>
      </c>
      <c r="G419" s="106" t="e">
        <f>Проект!#REF!</f>
        <v>#REF!</v>
      </c>
      <c r="H419" s="106" t="e">
        <f>Проект!#REF!</f>
        <v>#REF!</v>
      </c>
      <c r="I419" s="106" t="e">
        <f>Проект!#REF!</f>
        <v>#REF!</v>
      </c>
      <c r="J419" s="106" t="e">
        <f>Проект!#REF!</f>
        <v>#REF!</v>
      </c>
      <c r="K419" s="106" t="e">
        <f>Проект!#REF!</f>
        <v>#REF!</v>
      </c>
      <c r="L419" s="106" t="e">
        <f>Проект!#REF!</f>
        <v>#REF!</v>
      </c>
      <c r="M419" s="106" t="e">
        <f>Проект!#REF!</f>
        <v>#REF!</v>
      </c>
      <c r="N419" s="106" t="e">
        <f>Проект!#REF!</f>
        <v>#REF!</v>
      </c>
      <c r="O419" s="106" t="e">
        <f>Проект!#REF!</f>
        <v>#REF!</v>
      </c>
      <c r="P419" s="106" t="e">
        <f>Проект!#REF!</f>
        <v>#REF!</v>
      </c>
      <c r="Q419" s="106" t="e">
        <f>Проект!#REF!</f>
        <v>#REF!</v>
      </c>
      <c r="R419" s="106"/>
      <c r="S419" s="94" t="e">
        <f>Проект!#REF!</f>
        <v>#REF!</v>
      </c>
    </row>
    <row r="420" spans="1:19" ht="11.25" customHeight="1" x14ac:dyDescent="0.2">
      <c r="A420" s="333" t="e">
        <f>Проект!#REF!</f>
        <v>#REF!</v>
      </c>
      <c r="B420" s="355" t="e">
        <f>Проект!#REF!</f>
        <v>#REF!</v>
      </c>
      <c r="C420" s="334" t="e">
        <f>Проект!#REF!</f>
        <v>#REF!</v>
      </c>
      <c r="D420" s="48"/>
      <c r="E420" s="48"/>
      <c r="F420" s="106" t="e">
        <f>Проект!#REF!</f>
        <v>#REF!</v>
      </c>
      <c r="G420" s="106" t="e">
        <f>Проект!#REF!</f>
        <v>#REF!</v>
      </c>
      <c r="H420" s="106" t="e">
        <f>Проект!#REF!</f>
        <v>#REF!</v>
      </c>
      <c r="I420" s="106" t="e">
        <f>Проект!#REF!</f>
        <v>#REF!</v>
      </c>
      <c r="J420" s="106" t="e">
        <f>Проект!#REF!</f>
        <v>#REF!</v>
      </c>
      <c r="K420" s="106" t="e">
        <f>Проект!#REF!</f>
        <v>#REF!</v>
      </c>
      <c r="L420" s="106" t="e">
        <f>Проект!#REF!</f>
        <v>#REF!</v>
      </c>
      <c r="M420" s="106" t="e">
        <f>Проект!#REF!</f>
        <v>#REF!</v>
      </c>
      <c r="N420" s="106" t="e">
        <f>Проект!#REF!</f>
        <v>#REF!</v>
      </c>
      <c r="O420" s="106" t="e">
        <f>Проект!#REF!</f>
        <v>#REF!</v>
      </c>
      <c r="P420" s="106" t="e">
        <f>Проект!#REF!</f>
        <v>#REF!</v>
      </c>
      <c r="Q420" s="106" t="e">
        <f>Проект!#REF!</f>
        <v>#REF!</v>
      </c>
      <c r="R420" s="106"/>
      <c r="S420" s="94" t="e">
        <f>Проект!#REF!</f>
        <v>#REF!</v>
      </c>
    </row>
    <row r="421" spans="1:19" ht="11.25" customHeight="1" x14ac:dyDescent="0.2">
      <c r="A421" s="48" t="e">
        <f>Проект!#REF!</f>
        <v>#REF!</v>
      </c>
      <c r="B421" s="41" t="e">
        <f>Проект!#REF!</f>
        <v>#REF!</v>
      </c>
      <c r="C421" s="48"/>
      <c r="D421" s="48" t="e">
        <f>Проект!#REF!</f>
        <v>#REF!</v>
      </c>
      <c r="E421" s="48" t="e">
        <f>Проект!#REF!</f>
        <v>#REF!</v>
      </c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1"/>
    </row>
    <row r="422" spans="1:19" ht="11.25" customHeight="1" x14ac:dyDescent="0.2">
      <c r="A422" s="333" t="e">
        <f>Проект!#REF!</f>
        <v>#REF!</v>
      </c>
      <c r="B422" s="355" t="e">
        <f>Проект!#REF!</f>
        <v>#REF!</v>
      </c>
      <c r="C422" s="334" t="e">
        <f>Проект!#REF!</f>
        <v>#REF!</v>
      </c>
      <c r="D422" s="48"/>
      <c r="E422" s="48"/>
      <c r="F422" s="106" t="e">
        <f>Проект!#REF!</f>
        <v>#REF!</v>
      </c>
      <c r="G422" s="106" t="e">
        <f>Проект!#REF!</f>
        <v>#REF!</v>
      </c>
      <c r="H422" s="106" t="e">
        <f>Проект!#REF!</f>
        <v>#REF!</v>
      </c>
      <c r="I422" s="106" t="e">
        <f>Проект!#REF!</f>
        <v>#REF!</v>
      </c>
      <c r="J422" s="106" t="e">
        <f>Проект!#REF!</f>
        <v>#REF!</v>
      </c>
      <c r="K422" s="106" t="e">
        <f>Проект!#REF!</f>
        <v>#REF!</v>
      </c>
      <c r="L422" s="106" t="e">
        <f>Проект!#REF!</f>
        <v>#REF!</v>
      </c>
      <c r="M422" s="106" t="e">
        <f>Проект!#REF!</f>
        <v>#REF!</v>
      </c>
      <c r="N422" s="106" t="e">
        <f>Проект!#REF!</f>
        <v>#REF!</v>
      </c>
      <c r="O422" s="106" t="e">
        <f>Проект!#REF!</f>
        <v>#REF!</v>
      </c>
      <c r="P422" s="106" t="e">
        <f>Проект!#REF!</f>
        <v>#REF!</v>
      </c>
      <c r="Q422" s="106" t="e">
        <f>Проект!#REF!</f>
        <v>#REF!</v>
      </c>
      <c r="R422" s="106"/>
      <c r="S422" s="94" t="e">
        <f>Проект!#REF!</f>
        <v>#REF!</v>
      </c>
    </row>
    <row r="423" spans="1:19" ht="11.25" customHeight="1" x14ac:dyDescent="0.2">
      <c r="A423" s="333" t="e">
        <f>Проект!#REF!</f>
        <v>#REF!</v>
      </c>
      <c r="B423" s="356" t="e">
        <f>Проект!#REF!</f>
        <v>#REF!</v>
      </c>
      <c r="C423" s="334" t="e">
        <f>Проект!#REF!</f>
        <v>#REF!</v>
      </c>
      <c r="D423" s="48"/>
      <c r="E423" s="48"/>
      <c r="F423" s="106" t="e">
        <f>Проект!#REF!</f>
        <v>#REF!</v>
      </c>
      <c r="G423" s="106" t="e">
        <f>Проект!#REF!</f>
        <v>#REF!</v>
      </c>
      <c r="H423" s="106" t="e">
        <f>Проект!#REF!</f>
        <v>#REF!</v>
      </c>
      <c r="I423" s="106" t="e">
        <f>Проект!#REF!</f>
        <v>#REF!</v>
      </c>
      <c r="J423" s="106" t="e">
        <f>Проект!#REF!</f>
        <v>#REF!</v>
      </c>
      <c r="K423" s="106" t="e">
        <f>Проект!#REF!</f>
        <v>#REF!</v>
      </c>
      <c r="L423" s="106" t="e">
        <f>Проект!#REF!</f>
        <v>#REF!</v>
      </c>
      <c r="M423" s="106" t="e">
        <f>Проект!#REF!</f>
        <v>#REF!</v>
      </c>
      <c r="N423" s="106" t="e">
        <f>Проект!#REF!</f>
        <v>#REF!</v>
      </c>
      <c r="O423" s="106" t="e">
        <f>Проект!#REF!</f>
        <v>#REF!</v>
      </c>
      <c r="P423" s="106" t="e">
        <f>Проект!#REF!</f>
        <v>#REF!</v>
      </c>
      <c r="Q423" s="106" t="e">
        <f>Проект!#REF!</f>
        <v>#REF!</v>
      </c>
      <c r="R423" s="106"/>
      <c r="S423" s="94" t="e">
        <f>Проект!#REF!</f>
        <v>#REF!</v>
      </c>
    </row>
    <row r="424" spans="1:19" ht="11.25" customHeight="1" x14ac:dyDescent="0.2">
      <c r="A424" s="333" t="e">
        <f>Проект!#REF!</f>
        <v>#REF!</v>
      </c>
      <c r="B424" s="355" t="e">
        <f>Проект!#REF!</f>
        <v>#REF!</v>
      </c>
      <c r="C424" s="334" t="e">
        <f>Проект!#REF!</f>
        <v>#REF!</v>
      </c>
      <c r="D424" s="48"/>
      <c r="E424" s="48"/>
      <c r="F424" s="106" t="e">
        <f>Проект!#REF!</f>
        <v>#REF!</v>
      </c>
      <c r="G424" s="106" t="e">
        <f>Проект!#REF!</f>
        <v>#REF!</v>
      </c>
      <c r="H424" s="106" t="e">
        <f>Проект!#REF!</f>
        <v>#REF!</v>
      </c>
      <c r="I424" s="106" t="e">
        <f>Проект!#REF!</f>
        <v>#REF!</v>
      </c>
      <c r="J424" s="106" t="e">
        <f>Проект!#REF!</f>
        <v>#REF!</v>
      </c>
      <c r="K424" s="106" t="e">
        <f>Проект!#REF!</f>
        <v>#REF!</v>
      </c>
      <c r="L424" s="106" t="e">
        <f>Проект!#REF!</f>
        <v>#REF!</v>
      </c>
      <c r="M424" s="106" t="e">
        <f>Проект!#REF!</f>
        <v>#REF!</v>
      </c>
      <c r="N424" s="106" t="e">
        <f>Проект!#REF!</f>
        <v>#REF!</v>
      </c>
      <c r="O424" s="106" t="e">
        <f>Проект!#REF!</f>
        <v>#REF!</v>
      </c>
      <c r="P424" s="106" t="e">
        <f>Проект!#REF!</f>
        <v>#REF!</v>
      </c>
      <c r="Q424" s="106" t="e">
        <f>Проект!#REF!</f>
        <v>#REF!</v>
      </c>
      <c r="R424" s="106"/>
      <c r="S424" s="94" t="e">
        <f>Проект!#REF!</f>
        <v>#REF!</v>
      </c>
    </row>
    <row r="425" spans="1:19" ht="11.25" customHeight="1" x14ac:dyDescent="0.2">
      <c r="A425" s="48" t="e">
        <f>Проект!#REF!</f>
        <v>#REF!</v>
      </c>
      <c r="B425" s="41" t="e">
        <f>Проект!#REF!</f>
        <v>#REF!</v>
      </c>
      <c r="C425" s="48"/>
      <c r="D425" s="48" t="e">
        <f>Проект!#REF!</f>
        <v>#REF!</v>
      </c>
      <c r="E425" s="48" t="e">
        <f>Проект!#REF!</f>
        <v>#REF!</v>
      </c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1"/>
    </row>
    <row r="426" spans="1:19" ht="11.25" customHeight="1" x14ac:dyDescent="0.2">
      <c r="A426" s="333" t="e">
        <f>Проект!#REF!</f>
        <v>#REF!</v>
      </c>
      <c r="B426" s="355" t="e">
        <f>Проект!#REF!</f>
        <v>#REF!</v>
      </c>
      <c r="C426" s="334" t="e">
        <f>Проект!#REF!</f>
        <v>#REF!</v>
      </c>
      <c r="D426" s="48"/>
      <c r="E426" s="48"/>
      <c r="F426" s="106" t="e">
        <f>Проект!#REF!</f>
        <v>#REF!</v>
      </c>
      <c r="G426" s="106" t="e">
        <f>Проект!#REF!</f>
        <v>#REF!</v>
      </c>
      <c r="H426" s="106" t="e">
        <f>Проект!#REF!</f>
        <v>#REF!</v>
      </c>
      <c r="I426" s="106" t="e">
        <f>Проект!#REF!</f>
        <v>#REF!</v>
      </c>
      <c r="J426" s="106" t="e">
        <f>Проект!#REF!</f>
        <v>#REF!</v>
      </c>
      <c r="K426" s="106" t="e">
        <f>Проект!#REF!</f>
        <v>#REF!</v>
      </c>
      <c r="L426" s="106" t="e">
        <f>Проект!#REF!</f>
        <v>#REF!</v>
      </c>
      <c r="M426" s="106" t="e">
        <f>Проект!#REF!</f>
        <v>#REF!</v>
      </c>
      <c r="N426" s="106" t="e">
        <f>Проект!#REF!</f>
        <v>#REF!</v>
      </c>
      <c r="O426" s="106" t="e">
        <f>Проект!#REF!</f>
        <v>#REF!</v>
      </c>
      <c r="P426" s="106" t="e">
        <f>Проект!#REF!</f>
        <v>#REF!</v>
      </c>
      <c r="Q426" s="106" t="e">
        <f>Проект!#REF!</f>
        <v>#REF!</v>
      </c>
      <c r="R426" s="106"/>
      <c r="S426" s="94" t="e">
        <f>Проект!#REF!</f>
        <v>#REF!</v>
      </c>
    </row>
    <row r="427" spans="1:19" ht="11.25" customHeight="1" x14ac:dyDescent="0.2">
      <c r="A427" s="333" t="e">
        <f>Проект!#REF!</f>
        <v>#REF!</v>
      </c>
      <c r="B427" s="356" t="e">
        <f>Проект!#REF!</f>
        <v>#REF!</v>
      </c>
      <c r="C427" s="334" t="e">
        <f>Проект!#REF!</f>
        <v>#REF!</v>
      </c>
      <c r="D427" s="48"/>
      <c r="E427" s="48"/>
      <c r="F427" s="106" t="e">
        <f>Проект!#REF!</f>
        <v>#REF!</v>
      </c>
      <c r="G427" s="106" t="e">
        <f>Проект!#REF!</f>
        <v>#REF!</v>
      </c>
      <c r="H427" s="106" t="e">
        <f>Проект!#REF!</f>
        <v>#REF!</v>
      </c>
      <c r="I427" s="106" t="e">
        <f>Проект!#REF!</f>
        <v>#REF!</v>
      </c>
      <c r="J427" s="106" t="e">
        <f>Проект!#REF!</f>
        <v>#REF!</v>
      </c>
      <c r="K427" s="106" t="e">
        <f>Проект!#REF!</f>
        <v>#REF!</v>
      </c>
      <c r="L427" s="106" t="e">
        <f>Проект!#REF!</f>
        <v>#REF!</v>
      </c>
      <c r="M427" s="106" t="e">
        <f>Проект!#REF!</f>
        <v>#REF!</v>
      </c>
      <c r="N427" s="106" t="e">
        <f>Проект!#REF!</f>
        <v>#REF!</v>
      </c>
      <c r="O427" s="106" t="e">
        <f>Проект!#REF!</f>
        <v>#REF!</v>
      </c>
      <c r="P427" s="106" t="e">
        <f>Проект!#REF!</f>
        <v>#REF!</v>
      </c>
      <c r="Q427" s="106" t="e">
        <f>Проект!#REF!</f>
        <v>#REF!</v>
      </c>
      <c r="R427" s="106"/>
      <c r="S427" s="94" t="e">
        <f>Проект!#REF!</f>
        <v>#REF!</v>
      </c>
    </row>
    <row r="428" spans="1:19" ht="11.25" customHeight="1" x14ac:dyDescent="0.2">
      <c r="A428" s="333" t="e">
        <f>Проект!#REF!</f>
        <v>#REF!</v>
      </c>
      <c r="B428" s="355" t="e">
        <f>Проект!#REF!</f>
        <v>#REF!</v>
      </c>
      <c r="C428" s="334" t="e">
        <f>Проект!#REF!</f>
        <v>#REF!</v>
      </c>
      <c r="D428" s="48"/>
      <c r="E428" s="48"/>
      <c r="F428" s="106" t="e">
        <f>Проект!#REF!</f>
        <v>#REF!</v>
      </c>
      <c r="G428" s="106" t="e">
        <f>Проект!#REF!</f>
        <v>#REF!</v>
      </c>
      <c r="H428" s="106" t="e">
        <f>Проект!#REF!</f>
        <v>#REF!</v>
      </c>
      <c r="I428" s="106" t="e">
        <f>Проект!#REF!</f>
        <v>#REF!</v>
      </c>
      <c r="J428" s="106" t="e">
        <f>Проект!#REF!</f>
        <v>#REF!</v>
      </c>
      <c r="K428" s="106" t="e">
        <f>Проект!#REF!</f>
        <v>#REF!</v>
      </c>
      <c r="L428" s="106" t="e">
        <f>Проект!#REF!</f>
        <v>#REF!</v>
      </c>
      <c r="M428" s="106" t="e">
        <f>Проект!#REF!</f>
        <v>#REF!</v>
      </c>
      <c r="N428" s="106" t="e">
        <f>Проект!#REF!</f>
        <v>#REF!</v>
      </c>
      <c r="O428" s="106" t="e">
        <f>Проект!#REF!</f>
        <v>#REF!</v>
      </c>
      <c r="P428" s="106" t="e">
        <f>Проект!#REF!</f>
        <v>#REF!</v>
      </c>
      <c r="Q428" s="106" t="e">
        <f>Проект!#REF!</f>
        <v>#REF!</v>
      </c>
      <c r="R428" s="106"/>
      <c r="S428" s="94" t="e">
        <f>Проект!#REF!</f>
        <v>#REF!</v>
      </c>
    </row>
    <row r="429" spans="1:19" ht="11.25" customHeight="1" x14ac:dyDescent="0.2">
      <c r="A429" s="48" t="e">
        <f>Проект!#REF!</f>
        <v>#REF!</v>
      </c>
      <c r="B429" s="41" t="e">
        <f>Проект!#REF!</f>
        <v>#REF!</v>
      </c>
      <c r="C429" s="48"/>
      <c r="D429" s="48" t="e">
        <f>Проект!#REF!</f>
        <v>#REF!</v>
      </c>
      <c r="E429" s="48" t="e">
        <f>Проект!#REF!</f>
        <v>#REF!</v>
      </c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1"/>
    </row>
    <row r="430" spans="1:19" ht="11.25" customHeight="1" x14ac:dyDescent="0.2">
      <c r="A430" s="333" t="e">
        <f>Проект!#REF!</f>
        <v>#REF!</v>
      </c>
      <c r="B430" s="355" t="e">
        <f>Проект!#REF!</f>
        <v>#REF!</v>
      </c>
      <c r="C430" s="334" t="e">
        <f>Проект!#REF!</f>
        <v>#REF!</v>
      </c>
      <c r="D430" s="48"/>
      <c r="E430" s="48"/>
      <c r="F430" s="106" t="e">
        <f>Проект!#REF!</f>
        <v>#REF!</v>
      </c>
      <c r="G430" s="106" t="e">
        <f>Проект!#REF!</f>
        <v>#REF!</v>
      </c>
      <c r="H430" s="106" t="e">
        <f>Проект!#REF!</f>
        <v>#REF!</v>
      </c>
      <c r="I430" s="106" t="e">
        <f>Проект!#REF!</f>
        <v>#REF!</v>
      </c>
      <c r="J430" s="106" t="e">
        <f>Проект!#REF!</f>
        <v>#REF!</v>
      </c>
      <c r="K430" s="106" t="e">
        <f>Проект!#REF!</f>
        <v>#REF!</v>
      </c>
      <c r="L430" s="106" t="e">
        <f>Проект!#REF!</f>
        <v>#REF!</v>
      </c>
      <c r="M430" s="106" t="e">
        <f>Проект!#REF!</f>
        <v>#REF!</v>
      </c>
      <c r="N430" s="106" t="e">
        <f>Проект!#REF!</f>
        <v>#REF!</v>
      </c>
      <c r="O430" s="106" t="e">
        <f>Проект!#REF!</f>
        <v>#REF!</v>
      </c>
      <c r="P430" s="106" t="e">
        <f>Проект!#REF!</f>
        <v>#REF!</v>
      </c>
      <c r="Q430" s="106" t="e">
        <f>Проект!#REF!</f>
        <v>#REF!</v>
      </c>
      <c r="R430" s="106"/>
      <c r="S430" s="94" t="e">
        <f>Проект!#REF!</f>
        <v>#REF!</v>
      </c>
    </row>
    <row r="431" spans="1:19" ht="11.25" customHeight="1" x14ac:dyDescent="0.2">
      <c r="A431" s="333" t="e">
        <f>Проект!#REF!</f>
        <v>#REF!</v>
      </c>
      <c r="B431" s="356" t="e">
        <f>Проект!#REF!</f>
        <v>#REF!</v>
      </c>
      <c r="C431" s="334" t="e">
        <f>Проект!#REF!</f>
        <v>#REF!</v>
      </c>
      <c r="D431" s="48"/>
      <c r="E431" s="48"/>
      <c r="F431" s="106" t="e">
        <f>Проект!#REF!</f>
        <v>#REF!</v>
      </c>
      <c r="G431" s="106" t="e">
        <f>Проект!#REF!</f>
        <v>#REF!</v>
      </c>
      <c r="H431" s="106" t="e">
        <f>Проект!#REF!</f>
        <v>#REF!</v>
      </c>
      <c r="I431" s="106" t="e">
        <f>Проект!#REF!</f>
        <v>#REF!</v>
      </c>
      <c r="J431" s="106" t="e">
        <f>Проект!#REF!</f>
        <v>#REF!</v>
      </c>
      <c r="K431" s="106" t="e">
        <f>Проект!#REF!</f>
        <v>#REF!</v>
      </c>
      <c r="L431" s="106" t="e">
        <f>Проект!#REF!</f>
        <v>#REF!</v>
      </c>
      <c r="M431" s="106" t="e">
        <f>Проект!#REF!</f>
        <v>#REF!</v>
      </c>
      <c r="N431" s="106" t="e">
        <f>Проект!#REF!</f>
        <v>#REF!</v>
      </c>
      <c r="O431" s="106" t="e">
        <f>Проект!#REF!</f>
        <v>#REF!</v>
      </c>
      <c r="P431" s="106" t="e">
        <f>Проект!#REF!</f>
        <v>#REF!</v>
      </c>
      <c r="Q431" s="106" t="e">
        <f>Проект!#REF!</f>
        <v>#REF!</v>
      </c>
      <c r="R431" s="106"/>
      <c r="S431" s="94" t="e">
        <f>Проект!#REF!</f>
        <v>#REF!</v>
      </c>
    </row>
    <row r="432" spans="1:19" ht="11.25" customHeight="1" x14ac:dyDescent="0.2">
      <c r="A432" s="333" t="e">
        <f>Проект!#REF!</f>
        <v>#REF!</v>
      </c>
      <c r="B432" s="355" t="e">
        <f>Проект!#REF!</f>
        <v>#REF!</v>
      </c>
      <c r="C432" s="334" t="e">
        <f>Проект!#REF!</f>
        <v>#REF!</v>
      </c>
      <c r="D432" s="48"/>
      <c r="E432" s="48"/>
      <c r="F432" s="106" t="e">
        <f>Проект!#REF!</f>
        <v>#REF!</v>
      </c>
      <c r="G432" s="106" t="e">
        <f>Проект!#REF!</f>
        <v>#REF!</v>
      </c>
      <c r="H432" s="106" t="e">
        <f>Проект!#REF!</f>
        <v>#REF!</v>
      </c>
      <c r="I432" s="106" t="e">
        <f>Проект!#REF!</f>
        <v>#REF!</v>
      </c>
      <c r="J432" s="106" t="e">
        <f>Проект!#REF!</f>
        <v>#REF!</v>
      </c>
      <c r="K432" s="106" t="e">
        <f>Проект!#REF!</f>
        <v>#REF!</v>
      </c>
      <c r="L432" s="106" t="e">
        <f>Проект!#REF!</f>
        <v>#REF!</v>
      </c>
      <c r="M432" s="106" t="e">
        <f>Проект!#REF!</f>
        <v>#REF!</v>
      </c>
      <c r="N432" s="106" t="e">
        <f>Проект!#REF!</f>
        <v>#REF!</v>
      </c>
      <c r="O432" s="106" t="e">
        <f>Проект!#REF!</f>
        <v>#REF!</v>
      </c>
      <c r="P432" s="106" t="e">
        <f>Проект!#REF!</f>
        <v>#REF!</v>
      </c>
      <c r="Q432" s="106" t="e">
        <f>Проект!#REF!</f>
        <v>#REF!</v>
      </c>
      <c r="R432" s="106"/>
      <c r="S432" s="94" t="e">
        <f>Проект!#REF!</f>
        <v>#REF!</v>
      </c>
    </row>
    <row r="433" spans="1:19" ht="11.25" customHeight="1" x14ac:dyDescent="0.2">
      <c r="A433" s="48" t="e">
        <f>Проект!#REF!</f>
        <v>#REF!</v>
      </c>
      <c r="B433" s="41" t="e">
        <f>Проект!#REF!</f>
        <v>#REF!</v>
      </c>
      <c r="C433" s="48"/>
      <c r="D433" s="48" t="e">
        <f>Проект!#REF!</f>
        <v>#REF!</v>
      </c>
      <c r="E433" s="48" t="e">
        <f>Проект!#REF!</f>
        <v>#REF!</v>
      </c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1"/>
    </row>
    <row r="434" spans="1:19" ht="11.25" customHeight="1" x14ac:dyDescent="0.2">
      <c r="A434" s="333" t="e">
        <f>Проект!#REF!</f>
        <v>#REF!</v>
      </c>
      <c r="B434" s="355" t="e">
        <f>Проект!#REF!</f>
        <v>#REF!</v>
      </c>
      <c r="C434" s="334" t="e">
        <f>Проект!#REF!</f>
        <v>#REF!</v>
      </c>
      <c r="D434" s="48"/>
      <c r="E434" s="48"/>
      <c r="F434" s="106" t="e">
        <f>Проект!#REF!</f>
        <v>#REF!</v>
      </c>
      <c r="G434" s="106" t="e">
        <f>Проект!#REF!</f>
        <v>#REF!</v>
      </c>
      <c r="H434" s="106" t="e">
        <f>Проект!#REF!</f>
        <v>#REF!</v>
      </c>
      <c r="I434" s="106" t="e">
        <f>Проект!#REF!</f>
        <v>#REF!</v>
      </c>
      <c r="J434" s="106" t="e">
        <f>Проект!#REF!</f>
        <v>#REF!</v>
      </c>
      <c r="K434" s="106" t="e">
        <f>Проект!#REF!</f>
        <v>#REF!</v>
      </c>
      <c r="L434" s="106" t="e">
        <f>Проект!#REF!</f>
        <v>#REF!</v>
      </c>
      <c r="M434" s="106" t="e">
        <f>Проект!#REF!</f>
        <v>#REF!</v>
      </c>
      <c r="N434" s="106" t="e">
        <f>Проект!#REF!</f>
        <v>#REF!</v>
      </c>
      <c r="O434" s="106" t="e">
        <f>Проект!#REF!</f>
        <v>#REF!</v>
      </c>
      <c r="P434" s="106" t="e">
        <f>Проект!#REF!</f>
        <v>#REF!</v>
      </c>
      <c r="Q434" s="106" t="e">
        <f>Проект!#REF!</f>
        <v>#REF!</v>
      </c>
      <c r="R434" s="106"/>
      <c r="S434" s="94" t="e">
        <f>Проект!#REF!</f>
        <v>#REF!</v>
      </c>
    </row>
    <row r="435" spans="1:19" ht="11.25" customHeight="1" x14ac:dyDescent="0.2">
      <c r="A435" s="333" t="e">
        <f>Проект!#REF!</f>
        <v>#REF!</v>
      </c>
      <c r="B435" s="356" t="e">
        <f>Проект!#REF!</f>
        <v>#REF!</v>
      </c>
      <c r="C435" s="334" t="e">
        <f>Проект!#REF!</f>
        <v>#REF!</v>
      </c>
      <c r="D435" s="48"/>
      <c r="E435" s="48"/>
      <c r="F435" s="106" t="e">
        <f>Проект!#REF!</f>
        <v>#REF!</v>
      </c>
      <c r="G435" s="106" t="e">
        <f>Проект!#REF!</f>
        <v>#REF!</v>
      </c>
      <c r="H435" s="106" t="e">
        <f>Проект!#REF!</f>
        <v>#REF!</v>
      </c>
      <c r="I435" s="106" t="e">
        <f>Проект!#REF!</f>
        <v>#REF!</v>
      </c>
      <c r="J435" s="106" t="e">
        <f>Проект!#REF!</f>
        <v>#REF!</v>
      </c>
      <c r="K435" s="106" t="e">
        <f>Проект!#REF!</f>
        <v>#REF!</v>
      </c>
      <c r="L435" s="106" t="e">
        <f>Проект!#REF!</f>
        <v>#REF!</v>
      </c>
      <c r="M435" s="106" t="e">
        <f>Проект!#REF!</f>
        <v>#REF!</v>
      </c>
      <c r="N435" s="106" t="e">
        <f>Проект!#REF!</f>
        <v>#REF!</v>
      </c>
      <c r="O435" s="106" t="e">
        <f>Проект!#REF!</f>
        <v>#REF!</v>
      </c>
      <c r="P435" s="106" t="e">
        <f>Проект!#REF!</f>
        <v>#REF!</v>
      </c>
      <c r="Q435" s="106" t="e">
        <f>Проект!#REF!</f>
        <v>#REF!</v>
      </c>
      <c r="R435" s="106"/>
      <c r="S435" s="94" t="e">
        <f>Проект!#REF!</f>
        <v>#REF!</v>
      </c>
    </row>
    <row r="436" spans="1:19" ht="11.25" customHeight="1" x14ac:dyDescent="0.2">
      <c r="A436" s="333" t="e">
        <f>Проект!#REF!</f>
        <v>#REF!</v>
      </c>
      <c r="B436" s="355" t="e">
        <f>Проект!#REF!</f>
        <v>#REF!</v>
      </c>
      <c r="C436" s="334" t="e">
        <f>Проект!#REF!</f>
        <v>#REF!</v>
      </c>
      <c r="D436" s="48"/>
      <c r="E436" s="48"/>
      <c r="F436" s="106" t="e">
        <f>Проект!#REF!</f>
        <v>#REF!</v>
      </c>
      <c r="G436" s="106" t="e">
        <f>Проект!#REF!</f>
        <v>#REF!</v>
      </c>
      <c r="H436" s="106" t="e">
        <f>Проект!#REF!</f>
        <v>#REF!</v>
      </c>
      <c r="I436" s="106" t="e">
        <f>Проект!#REF!</f>
        <v>#REF!</v>
      </c>
      <c r="J436" s="106" t="e">
        <f>Проект!#REF!</f>
        <v>#REF!</v>
      </c>
      <c r="K436" s="106" t="e">
        <f>Проект!#REF!</f>
        <v>#REF!</v>
      </c>
      <c r="L436" s="106" t="e">
        <f>Проект!#REF!</f>
        <v>#REF!</v>
      </c>
      <c r="M436" s="106" t="e">
        <f>Проект!#REF!</f>
        <v>#REF!</v>
      </c>
      <c r="N436" s="106" t="e">
        <f>Проект!#REF!</f>
        <v>#REF!</v>
      </c>
      <c r="O436" s="106" t="e">
        <f>Проект!#REF!</f>
        <v>#REF!</v>
      </c>
      <c r="P436" s="106" t="e">
        <f>Проект!#REF!</f>
        <v>#REF!</v>
      </c>
      <c r="Q436" s="106" t="e">
        <f>Проект!#REF!</f>
        <v>#REF!</v>
      </c>
      <c r="R436" s="106"/>
      <c r="S436" s="94" t="e">
        <f>Проект!#REF!</f>
        <v>#REF!</v>
      </c>
    </row>
    <row r="437" spans="1:19" ht="11.25" customHeight="1" x14ac:dyDescent="0.2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1"/>
    </row>
    <row r="440" spans="1:19" ht="16" customHeight="1" thickBot="1" x14ac:dyDescent="0.25">
      <c r="A440" s="166" t="str">
        <f ca="1">Проект!$A$1028</f>
        <v xml:space="preserve">         ТЕКУЩИЕ ЗАТРАТЫ</v>
      </c>
      <c r="B440" s="166"/>
      <c r="C440" s="166"/>
      <c r="D440" s="166"/>
      <c r="E440" s="166"/>
      <c r="F440" s="178" t="str">
        <f>Проект!$F$1028</f>
        <v>4/ 2024</v>
      </c>
      <c r="G440" s="178" t="str">
        <f>Проект!$G$1028</f>
        <v>5/ 2024</v>
      </c>
      <c r="H440" s="178" t="str">
        <f>Проект!$H$1028</f>
        <v>6/ 2024</v>
      </c>
      <c r="I440" s="178" t="str">
        <f>Проект!$I$1028</f>
        <v>7/ 2024</v>
      </c>
      <c r="J440" s="178" t="str">
        <f>Проект!$J$1028</f>
        <v>8/ 2024</v>
      </c>
      <c r="K440" s="178" t="str">
        <f>Проект!$K$1028</f>
        <v>9/ 2024</v>
      </c>
      <c r="L440" s="178" t="str">
        <f>Проект!$L$1028</f>
        <v>10/ 2024</v>
      </c>
      <c r="M440" s="178" t="str">
        <f>Проект!$M$1028</f>
        <v>11/ 2024</v>
      </c>
      <c r="N440" s="178" t="e">
        <f>Проект!#REF!</f>
        <v>#REF!</v>
      </c>
      <c r="O440" s="178" t="e">
        <f>Проект!#REF!</f>
        <v>#REF!</v>
      </c>
      <c r="P440" s="178" t="e">
        <f>Проект!#REF!</f>
        <v>#REF!</v>
      </c>
      <c r="Q440" s="178" t="str">
        <f>Проект!$Q$1028</f>
        <v>3/ 2025</v>
      </c>
      <c r="R440" s="166"/>
      <c r="S440" s="195" t="str">
        <f ca="1">Проект!$S$1028</f>
        <v>ИТОГО</v>
      </c>
    </row>
    <row r="441" spans="1:19" ht="12" customHeight="1" thickTop="1" x14ac:dyDescent="0.2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1"/>
    </row>
    <row r="442" spans="1:19" ht="11.25" customHeight="1" x14ac:dyDescent="0.25">
      <c r="A442" s="130" t="str">
        <f ca="1">Проект!$A$1030</f>
        <v>Прямые производственные расходы</v>
      </c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1"/>
    </row>
    <row r="443" spans="1:19" ht="11.25" customHeight="1" x14ac:dyDescent="0.2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1"/>
    </row>
    <row r="444" spans="1:19" ht="11.25" customHeight="1" x14ac:dyDescent="0.2">
      <c r="A444" s="48" t="str">
        <f ca="1">Проект!$A$1032</f>
        <v>Расходы на материалы и комплектующие</v>
      </c>
      <c r="B444" s="48"/>
      <c r="C444" s="73" t="str">
        <f ca="1">Проект!$C$1032</f>
        <v>руб.</v>
      </c>
      <c r="D444" s="48"/>
      <c r="E444" s="48"/>
      <c r="F444" s="106">
        <f>Проект!$F$1032</f>
        <v>0</v>
      </c>
      <c r="G444" s="106">
        <f>Проект!$G$1032</f>
        <v>0</v>
      </c>
      <c r="H444" s="106">
        <f>Проект!$H$1032</f>
        <v>13.30875</v>
      </c>
      <c r="I444" s="106">
        <f>Проект!$I$1032</f>
        <v>66.543750000000003</v>
      </c>
      <c r="J444" s="106">
        <f>Проект!$J$1032</f>
        <v>133.08750000000001</v>
      </c>
      <c r="K444" s="106">
        <f>Проект!$K$1032</f>
        <v>266.17500000000001</v>
      </c>
      <c r="L444" s="106">
        <f>Проект!$L$1032</f>
        <v>399.26249999999999</v>
      </c>
      <c r="M444" s="106">
        <f>Проект!$M$1032</f>
        <v>532.35</v>
      </c>
      <c r="N444" s="106" t="e">
        <f>Проект!#REF!</f>
        <v>#REF!</v>
      </c>
      <c r="O444" s="106" t="e">
        <f>Проект!#REF!</f>
        <v>#REF!</v>
      </c>
      <c r="P444" s="106" t="e">
        <f>Проект!#REF!</f>
        <v>#REF!</v>
      </c>
      <c r="Q444" s="106">
        <f>Проект!$Q$1032</f>
        <v>1330.8750000000002</v>
      </c>
      <c r="R444" s="48"/>
      <c r="S444" s="94">
        <f>Проект!$S$1032</f>
        <v>5669.5275000000001</v>
      </c>
    </row>
    <row r="445" spans="1:19" ht="11.25" customHeight="1" x14ac:dyDescent="0.2">
      <c r="A445" s="48" t="str">
        <f ca="1">Проект!$A$1033</f>
        <v>Прочие переменные затраты</v>
      </c>
      <c r="B445" s="48"/>
      <c r="C445" s="73" t="str">
        <f ca="1">Проект!$C$1033</f>
        <v>руб.</v>
      </c>
      <c r="D445" s="48"/>
      <c r="E445" s="48"/>
      <c r="F445" s="106">
        <f>Проект!$F$1033</f>
        <v>0</v>
      </c>
      <c r="G445" s="106">
        <f>Проект!$G$1033</f>
        <v>0</v>
      </c>
      <c r="H445" s="106">
        <f>Проект!$H$1033</f>
        <v>0</v>
      </c>
      <c r="I445" s="106">
        <f>Проект!$I$1033</f>
        <v>0</v>
      </c>
      <c r="J445" s="106">
        <f>Проект!$J$1033</f>
        <v>0</v>
      </c>
      <c r="K445" s="106">
        <f>Проект!$K$1033</f>
        <v>0</v>
      </c>
      <c r="L445" s="106">
        <f>Проект!$L$1033</f>
        <v>0</v>
      </c>
      <c r="M445" s="106">
        <f>Проект!$M$1033</f>
        <v>0</v>
      </c>
      <c r="N445" s="106" t="e">
        <f>Проект!#REF!</f>
        <v>#REF!</v>
      </c>
      <c r="O445" s="106" t="e">
        <f>Проект!#REF!</f>
        <v>#REF!</v>
      </c>
      <c r="P445" s="106" t="e">
        <f>Проект!#REF!</f>
        <v>#REF!</v>
      </c>
      <c r="Q445" s="106">
        <f>Проект!$Q$1033</f>
        <v>0</v>
      </c>
      <c r="R445" s="48"/>
      <c r="S445" s="94">
        <f>Проект!$S$1033</f>
        <v>0</v>
      </c>
    </row>
    <row r="446" spans="1:19" ht="11.25" customHeight="1" x14ac:dyDescent="0.2">
      <c r="A446" s="48" t="str">
        <f ca="1">Проект!$A$1034</f>
        <v>Зарплата основного производственного персонала</v>
      </c>
      <c r="B446" s="48"/>
      <c r="C446" s="73" t="str">
        <f ca="1">Проект!$C$1034</f>
        <v>руб.</v>
      </c>
      <c r="D446" s="48"/>
      <c r="E446" s="48"/>
      <c r="F446" s="106">
        <f>Проект!$F$1034</f>
        <v>270000</v>
      </c>
      <c r="G446" s="106">
        <f>Проект!$G$1034</f>
        <v>270000</v>
      </c>
      <c r="H446" s="106">
        <f>Проект!$H$1034</f>
        <v>270000</v>
      </c>
      <c r="I446" s="106">
        <f>Проект!$I$1034</f>
        <v>270000</v>
      </c>
      <c r="J446" s="106">
        <f>Проект!$J$1034</f>
        <v>270000</v>
      </c>
      <c r="K446" s="106">
        <f>Проект!$K$1034</f>
        <v>270000</v>
      </c>
      <c r="L446" s="106">
        <f>Проект!$L$1034</f>
        <v>270000</v>
      </c>
      <c r="M446" s="106">
        <f>Проект!$M$1034</f>
        <v>270000</v>
      </c>
      <c r="N446" s="106" t="e">
        <f>Проект!#REF!</f>
        <v>#REF!</v>
      </c>
      <c r="O446" s="106" t="e">
        <f>Проект!#REF!</f>
        <v>#REF!</v>
      </c>
      <c r="P446" s="106" t="e">
        <f>Проект!#REF!</f>
        <v>#REF!</v>
      </c>
      <c r="Q446" s="106">
        <f>Проект!$Q$1034</f>
        <v>270000</v>
      </c>
      <c r="R446" s="48"/>
      <c r="S446" s="94">
        <f>Проект!$S$1034</f>
        <v>3240000</v>
      </c>
    </row>
    <row r="447" spans="1:19" ht="11.25" customHeight="1" x14ac:dyDescent="0.2">
      <c r="A447" s="48" t="str">
        <f ca="1">Проект!$A$1035</f>
        <v>ЕСН на зарплату основного произв. персонала</v>
      </c>
      <c r="B447" s="48"/>
      <c r="C447" s="73" t="str">
        <f ca="1">Проект!$C$1035</f>
        <v>руб.</v>
      </c>
      <c r="D447" s="48"/>
      <c r="E447" s="48"/>
      <c r="F447" s="106">
        <f>Проект!$F$1035</f>
        <v>37800</v>
      </c>
      <c r="G447" s="106">
        <f>Проект!$G$1035</f>
        <v>37800</v>
      </c>
      <c r="H447" s="106">
        <f>Проект!$H$1035</f>
        <v>37800</v>
      </c>
      <c r="I447" s="106">
        <f>Проект!$I$1035</f>
        <v>37800</v>
      </c>
      <c r="J447" s="106">
        <f>Проект!$J$1035</f>
        <v>37800</v>
      </c>
      <c r="K447" s="106">
        <f>Проект!$K$1035</f>
        <v>37800</v>
      </c>
      <c r="L447" s="106">
        <f>Проект!$L$1035</f>
        <v>37800</v>
      </c>
      <c r="M447" s="106">
        <f>Проект!$M$1035</f>
        <v>37800</v>
      </c>
      <c r="N447" s="106" t="e">
        <f>Проект!#REF!</f>
        <v>#REF!</v>
      </c>
      <c r="O447" s="106" t="e">
        <f>Проект!#REF!</f>
        <v>#REF!</v>
      </c>
      <c r="P447" s="106" t="e">
        <f>Проект!#REF!</f>
        <v>#REF!</v>
      </c>
      <c r="Q447" s="106">
        <f>Проект!$Q$1035</f>
        <v>37800</v>
      </c>
      <c r="R447" s="48"/>
      <c r="S447" s="94">
        <f>Проект!$S$1035</f>
        <v>453600</v>
      </c>
    </row>
    <row r="448" spans="1:19" ht="11.25" customHeight="1" x14ac:dyDescent="0.2">
      <c r="A448" s="48"/>
      <c r="B448" s="197" t="str">
        <f ca="1">Проект!$B$1036</f>
        <v>Валюта</v>
      </c>
      <c r="C448" s="48"/>
      <c r="D448" s="48">
        <f>Проект!$D$1036</f>
        <v>2</v>
      </c>
      <c r="E448" s="48">
        <f>Проект!$E$1036</f>
        <v>4</v>
      </c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1"/>
    </row>
    <row r="449" spans="1:19" ht="11.25" customHeight="1" x14ac:dyDescent="0.2">
      <c r="A449" s="333" t="str">
        <f ca="1">Проект!$A$1037</f>
        <v>Наименование</v>
      </c>
      <c r="B449" s="334">
        <f>Проект!$B$1037</f>
        <v>1</v>
      </c>
      <c r="C449" s="50" t="str">
        <f ca="1">Проект!$C$1037</f>
        <v>руб.</v>
      </c>
      <c r="D449" s="101" t="str">
        <f>Проект!$D$1037</f>
        <v>1_01</v>
      </c>
      <c r="E449" s="48"/>
      <c r="F449" s="352">
        <f>Проект!$F$1037</f>
        <v>0</v>
      </c>
      <c r="G449" s="352">
        <f>Проект!$G$1037</f>
        <v>0</v>
      </c>
      <c r="H449" s="352">
        <f>Проект!$H$1037</f>
        <v>0</v>
      </c>
      <c r="I449" s="352">
        <f>Проект!$I$1037</f>
        <v>0</v>
      </c>
      <c r="J449" s="352">
        <f>Проект!$J$1037</f>
        <v>0</v>
      </c>
      <c r="K449" s="352">
        <f>Проект!$K$1037</f>
        <v>0</v>
      </c>
      <c r="L449" s="352">
        <f>Проект!$L$1037</f>
        <v>0</v>
      </c>
      <c r="M449" s="352">
        <f>Проект!$M$1037</f>
        <v>0</v>
      </c>
      <c r="N449" s="352" t="e">
        <f>Проект!#REF!</f>
        <v>#REF!</v>
      </c>
      <c r="O449" s="352" t="e">
        <f>Проект!#REF!</f>
        <v>#REF!</v>
      </c>
      <c r="P449" s="352" t="e">
        <f>Проект!#REF!</f>
        <v>#REF!</v>
      </c>
      <c r="Q449" s="352">
        <f>Проект!$Q$1037</f>
        <v>0</v>
      </c>
      <c r="R449" s="48"/>
      <c r="S449" s="94">
        <f>Проект!$S$1037</f>
        <v>0</v>
      </c>
    </row>
    <row r="450" spans="1:19" hidden="1" x14ac:dyDescent="0.2">
      <c r="A450" s="48" t="str">
        <f ca="1">Проект!$A$1038</f>
        <v>Предполагаемый темп годового роста цен</v>
      </c>
      <c r="B450" s="48"/>
      <c r="C450" s="73" t="str">
        <f>Проект!$C$1038</f>
        <v>%</v>
      </c>
      <c r="D450" s="101" t="str">
        <f>Проект!$D$1038</f>
        <v>int_avg</v>
      </c>
      <c r="E450" s="48"/>
      <c r="F450" s="357">
        <f>Проект!$F$1038</f>
        <v>8.0000000000000002E-3</v>
      </c>
      <c r="G450" s="357">
        <f>Проект!$G$1038</f>
        <v>8.0000000000000002E-3</v>
      </c>
      <c r="H450" s="357">
        <f>Проект!$H$1038</f>
        <v>8.0000000000000002E-3</v>
      </c>
      <c r="I450" s="357">
        <f>Проект!$I$1038</f>
        <v>8.0000000000000002E-3</v>
      </c>
      <c r="J450" s="357">
        <f>Проект!$J$1038</f>
        <v>8.0000000000000002E-3</v>
      </c>
      <c r="K450" s="357">
        <f>Проект!$K$1038</f>
        <v>8.0000000000000002E-3</v>
      </c>
      <c r="L450" s="357">
        <f>Проект!$L$1038</f>
        <v>8.0000000000000002E-3</v>
      </c>
      <c r="M450" s="357">
        <f>Проект!$M$1038</f>
        <v>8.0000000000000002E-3</v>
      </c>
      <c r="N450" s="357" t="e">
        <f>Проект!#REF!</f>
        <v>#REF!</v>
      </c>
      <c r="O450" s="357" t="e">
        <f>Проект!#REF!</f>
        <v>#REF!</v>
      </c>
      <c r="P450" s="357" t="e">
        <f>Проект!#REF!</f>
        <v>#REF!</v>
      </c>
      <c r="Q450" s="357">
        <f>Проект!$Q$1038</f>
        <v>8.0000000000000002E-3</v>
      </c>
      <c r="R450" s="48"/>
      <c r="S450" s="41"/>
    </row>
    <row r="451" spans="1:19" hidden="1" x14ac:dyDescent="0.2">
      <c r="A451" s="48" t="str">
        <f ca="1">Проект!$A$1039</f>
        <v>То же, в пересчете на период, равный шагу проекта</v>
      </c>
      <c r="B451" s="48"/>
      <c r="C451" s="73" t="str">
        <f>Проект!$C$1039</f>
        <v>%</v>
      </c>
      <c r="D451" s="101" t="str">
        <f>Проект!$D$1039</f>
        <v>int_avg</v>
      </c>
      <c r="E451" s="48"/>
      <c r="F451" s="30">
        <f>Проект!$F$1039</f>
        <v>6.6423464362252993E-4</v>
      </c>
      <c r="G451" s="30">
        <f>Проект!$G$1039</f>
        <v>6.6423464362252993E-4</v>
      </c>
      <c r="H451" s="30">
        <f>Проект!$H$1039</f>
        <v>6.6423464362252993E-4</v>
      </c>
      <c r="I451" s="30">
        <f>Проект!$I$1039</f>
        <v>6.6423464362252993E-4</v>
      </c>
      <c r="J451" s="30">
        <f>Проект!$J$1039</f>
        <v>6.6423464362252993E-4</v>
      </c>
      <c r="K451" s="30">
        <f>Проект!$K$1039</f>
        <v>6.6423464362252993E-4</v>
      </c>
      <c r="L451" s="30">
        <f>Проект!$L$1039</f>
        <v>6.6423464362252993E-4</v>
      </c>
      <c r="M451" s="30">
        <f>Проект!$M$1039</f>
        <v>6.6423464362252993E-4</v>
      </c>
      <c r="N451" s="30" t="e">
        <f>Проект!#REF!</f>
        <v>#REF!</v>
      </c>
      <c r="O451" s="30" t="e">
        <f>Проект!#REF!</f>
        <v>#REF!</v>
      </c>
      <c r="P451" s="30" t="e">
        <f>Проект!#REF!</f>
        <v>#REF!</v>
      </c>
      <c r="Q451" s="30">
        <f>Проект!$Q$1039</f>
        <v>6.6423464362252993E-4</v>
      </c>
      <c r="R451" s="48"/>
      <c r="S451" s="41"/>
    </row>
    <row r="452" spans="1:19" hidden="1" x14ac:dyDescent="0.2">
      <c r="A452" s="48" t="str">
        <f ca="1">Проект!$A$1040</f>
        <v>в том числе НДС</v>
      </c>
      <c r="B452" s="358">
        <f>Проект!$B$1040</f>
        <v>0</v>
      </c>
      <c r="C452" s="73" t="str">
        <f ca="1">Проект!$C$1040</f>
        <v>руб.</v>
      </c>
      <c r="D452" s="48" t="str">
        <f>Проект!$D$1040</f>
        <v>1_02</v>
      </c>
      <c r="E452" s="48"/>
      <c r="F452" s="84">
        <f>Проект!$F$1040</f>
        <v>0</v>
      </c>
      <c r="G452" s="84">
        <f>Проект!$G$1040</f>
        <v>0</v>
      </c>
      <c r="H452" s="84">
        <f>Проект!$H$1040</f>
        <v>0</v>
      </c>
      <c r="I452" s="84">
        <f>Проект!$I$1040</f>
        <v>0</v>
      </c>
      <c r="J452" s="84">
        <f>Проект!$J$1040</f>
        <v>0</v>
      </c>
      <c r="K452" s="84">
        <f>Проект!$K$1040</f>
        <v>0</v>
      </c>
      <c r="L452" s="84">
        <f>Проект!$L$1040</f>
        <v>0</v>
      </c>
      <c r="M452" s="84">
        <f>Проект!$M$1040</f>
        <v>0</v>
      </c>
      <c r="N452" s="84" t="e">
        <f>Проект!#REF!</f>
        <v>#REF!</v>
      </c>
      <c r="O452" s="84" t="e">
        <f>Проект!#REF!</f>
        <v>#REF!</v>
      </c>
      <c r="P452" s="84" t="e">
        <f>Проект!#REF!</f>
        <v>#REF!</v>
      </c>
      <c r="Q452" s="84">
        <f>Проект!$Q$1040</f>
        <v>0</v>
      </c>
      <c r="R452" s="48"/>
      <c r="S452" s="94">
        <f>Проект!$S$1040</f>
        <v>0</v>
      </c>
    </row>
    <row r="453" spans="1:19" ht="11.25" customHeight="1" x14ac:dyDescent="0.2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1"/>
    </row>
    <row r="454" spans="1:19" ht="11.25" customHeight="1" x14ac:dyDescent="0.2">
      <c r="A454" s="76"/>
      <c r="B454" s="76"/>
      <c r="C454" s="76"/>
      <c r="D454" s="76"/>
      <c r="E454" s="76"/>
      <c r="F454" s="76"/>
      <c r="G454" s="76"/>
      <c r="H454" s="76"/>
      <c r="I454" s="76"/>
      <c r="J454" s="76"/>
      <c r="K454" s="76"/>
      <c r="L454" s="76"/>
      <c r="M454" s="76"/>
      <c r="N454" s="76"/>
      <c r="O454" s="76"/>
      <c r="P454" s="76"/>
      <c r="Q454" s="76"/>
      <c r="R454" s="76"/>
      <c r="S454" s="359"/>
    </row>
    <row r="455" spans="1:19" ht="11.25" customHeight="1" x14ac:dyDescent="0.25">
      <c r="A455" s="130" t="str">
        <f ca="1">Проект!$A$1047</f>
        <v>Общие производственные расходы</v>
      </c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1"/>
    </row>
    <row r="456" spans="1:19" ht="11.25" customHeight="1" x14ac:dyDescent="0.2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1"/>
    </row>
    <row r="457" spans="1:19" ht="11.25" customHeight="1" x14ac:dyDescent="0.2">
      <c r="A457" s="48" t="str">
        <f ca="1">Проект!$A$1049</f>
        <v>Зарплата вспомогательного произв. персонала</v>
      </c>
      <c r="B457" s="48"/>
      <c r="C457" s="73" t="str">
        <f ca="1">Проект!$C$1049</f>
        <v>руб.</v>
      </c>
      <c r="D457" s="48"/>
      <c r="E457" s="48"/>
      <c r="F457" s="106">
        <f>Проект!$F$1049</f>
        <v>360000</v>
      </c>
      <c r="G457" s="106">
        <f>Проект!$G$1049</f>
        <v>0</v>
      </c>
      <c r="H457" s="106">
        <f>Проект!$H$1049</f>
        <v>0</v>
      </c>
      <c r="I457" s="106">
        <f>Проект!$I$1049</f>
        <v>0</v>
      </c>
      <c r="J457" s="106">
        <f>Проект!$J$1049</f>
        <v>0</v>
      </c>
      <c r="K457" s="106">
        <f>Проект!$K$1049</f>
        <v>0</v>
      </c>
      <c r="L457" s="106">
        <f>Проект!$L$1049</f>
        <v>0</v>
      </c>
      <c r="M457" s="106">
        <f>Проект!$M$1049</f>
        <v>0</v>
      </c>
      <c r="N457" s="106" t="e">
        <f>Проект!#REF!</f>
        <v>#REF!</v>
      </c>
      <c r="O457" s="106" t="e">
        <f>Проект!#REF!</f>
        <v>#REF!</v>
      </c>
      <c r="P457" s="106" t="e">
        <f>Проект!#REF!</f>
        <v>#REF!</v>
      </c>
      <c r="Q457" s="106">
        <f>Проект!$Q$1049</f>
        <v>0</v>
      </c>
      <c r="R457" s="48"/>
      <c r="S457" s="94">
        <f>Проект!$S$1049</f>
        <v>360000</v>
      </c>
    </row>
    <row r="458" spans="1:19" ht="11.25" customHeight="1" x14ac:dyDescent="0.2">
      <c r="A458" s="48" t="str">
        <f ca="1">Проект!$A$1050</f>
        <v>ЕСН на зарплату вспомогательного произв. персонала</v>
      </c>
      <c r="B458" s="48"/>
      <c r="C458" s="73" t="str">
        <f ca="1">Проект!$C$1050</f>
        <v>руб.</v>
      </c>
      <c r="D458" s="48"/>
      <c r="E458" s="48"/>
      <c r="F458" s="106">
        <f>Проект!$F$1050</f>
        <v>50400.000000000007</v>
      </c>
      <c r="G458" s="106">
        <f>Проект!$G$1050</f>
        <v>0</v>
      </c>
      <c r="H458" s="106">
        <f>Проект!$H$1050</f>
        <v>0</v>
      </c>
      <c r="I458" s="106">
        <f>Проект!$I$1050</f>
        <v>0</v>
      </c>
      <c r="J458" s="106">
        <f>Проект!$J$1050</f>
        <v>0</v>
      </c>
      <c r="K458" s="106">
        <f>Проект!$K$1050</f>
        <v>0</v>
      </c>
      <c r="L458" s="106">
        <f>Проект!$L$1050</f>
        <v>0</v>
      </c>
      <c r="M458" s="106">
        <f>Проект!$M$1050</f>
        <v>0</v>
      </c>
      <c r="N458" s="106" t="e">
        <f>Проект!#REF!</f>
        <v>#REF!</v>
      </c>
      <c r="O458" s="106" t="e">
        <f>Проект!#REF!</f>
        <v>#REF!</v>
      </c>
      <c r="P458" s="106" t="e">
        <f>Проект!#REF!</f>
        <v>#REF!</v>
      </c>
      <c r="Q458" s="106">
        <f>Проект!$Q$1050</f>
        <v>0</v>
      </c>
      <c r="R458" s="48"/>
      <c r="S458" s="94">
        <f>Проект!$S$1050</f>
        <v>50400.000000000007</v>
      </c>
    </row>
    <row r="459" spans="1:19" ht="11.25" customHeight="1" x14ac:dyDescent="0.2">
      <c r="A459" s="48" t="str">
        <f ca="1">Проект!$A$1051</f>
        <v>Амортизация</v>
      </c>
      <c r="B459" s="48"/>
      <c r="C459" s="73" t="str">
        <f ca="1">Проект!$C$1051</f>
        <v>руб.</v>
      </c>
      <c r="D459" s="48"/>
      <c r="E459" s="48"/>
      <c r="F459" s="106">
        <f ca="1">Проект!$F$1051</f>
        <v>0</v>
      </c>
      <c r="G459" s="106">
        <f ca="1">Проект!$G$1051</f>
        <v>0</v>
      </c>
      <c r="H459" s="106">
        <f ca="1">Проект!$H$1051</f>
        <v>0</v>
      </c>
      <c r="I459" s="106">
        <f ca="1">Проект!$I$1051</f>
        <v>0</v>
      </c>
      <c r="J459" s="106">
        <f ca="1">Проект!$J$1051</f>
        <v>0</v>
      </c>
      <c r="K459" s="106">
        <f ca="1">Проект!$K$1051</f>
        <v>0</v>
      </c>
      <c r="L459" s="106">
        <f ca="1">Проект!$L$1051</f>
        <v>0</v>
      </c>
      <c r="M459" s="106">
        <f ca="1">Проект!$M$1051</f>
        <v>0</v>
      </c>
      <c r="N459" s="106" t="e">
        <f>Проект!#REF!</f>
        <v>#REF!</v>
      </c>
      <c r="O459" s="106" t="e">
        <f>Проект!#REF!</f>
        <v>#REF!</v>
      </c>
      <c r="P459" s="106" t="e">
        <f>Проект!#REF!</f>
        <v>#REF!</v>
      </c>
      <c r="Q459" s="106">
        <f ca="1">Проект!$Q$1051</f>
        <v>0</v>
      </c>
      <c r="R459" s="48"/>
      <c r="S459" s="94">
        <f ca="1">Проект!$S$1051</f>
        <v>0</v>
      </c>
    </row>
    <row r="460" spans="1:19" ht="11.25" customHeight="1" x14ac:dyDescent="0.2">
      <c r="A460" s="48" t="str">
        <f ca="1">Проект!$A$1052</f>
        <v>Земельный и другие налоги, относимые на текущие затраты</v>
      </c>
      <c r="B460" s="48"/>
      <c r="C460" s="73" t="str">
        <f ca="1">Проект!$C$1052</f>
        <v>руб.</v>
      </c>
      <c r="D460" s="48"/>
      <c r="E460" s="48"/>
      <c r="F460" s="106">
        <f>Проект!$F$1052</f>
        <v>0</v>
      </c>
      <c r="G460" s="106">
        <f>Проект!$G$1052</f>
        <v>0</v>
      </c>
      <c r="H460" s="106">
        <f>Проект!$H$1052</f>
        <v>0</v>
      </c>
      <c r="I460" s="106">
        <f>Проект!$I$1052</f>
        <v>0</v>
      </c>
      <c r="J460" s="106">
        <f>Проект!$J$1052</f>
        <v>0</v>
      </c>
      <c r="K460" s="106">
        <f>Проект!$K$1052</f>
        <v>0</v>
      </c>
      <c r="L460" s="106">
        <f>Проект!$L$1052</f>
        <v>0</v>
      </c>
      <c r="M460" s="106">
        <f>Проект!$M$1052</f>
        <v>0</v>
      </c>
      <c r="N460" s="106" t="e">
        <f>Проект!#REF!</f>
        <v>#REF!</v>
      </c>
      <c r="O460" s="106" t="e">
        <f>Проект!#REF!</f>
        <v>#REF!</v>
      </c>
      <c r="P460" s="106" t="e">
        <f>Проект!#REF!</f>
        <v>#REF!</v>
      </c>
      <c r="Q460" s="106">
        <f>Проект!$Q$1052</f>
        <v>0</v>
      </c>
      <c r="R460" s="48"/>
      <c r="S460" s="94">
        <f>Проект!$S$1052</f>
        <v>0</v>
      </c>
    </row>
    <row r="461" spans="1:19" ht="11.25" customHeight="1" x14ac:dyDescent="0.2">
      <c r="A461" s="48"/>
      <c r="B461" s="197" t="str">
        <f ca="1">Проект!$B$1053</f>
        <v>Валюта</v>
      </c>
      <c r="C461" s="48"/>
      <c r="D461" s="48">
        <f>Проект!$D$1053</f>
        <v>1</v>
      </c>
      <c r="E461" s="48">
        <f>Проект!$E$1053</f>
        <v>4</v>
      </c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1"/>
    </row>
    <row r="462" spans="1:19" ht="11.25" customHeight="1" x14ac:dyDescent="0.2">
      <c r="A462" s="333" t="str">
        <f>Проект!$A$1054</f>
        <v>Прочие производственные расходы</v>
      </c>
      <c r="B462" s="334">
        <f>Проект!$B$1054</f>
        <v>1</v>
      </c>
      <c r="C462" s="50" t="str">
        <f ca="1">Проект!$C$1054</f>
        <v>руб.</v>
      </c>
      <c r="D462" s="101" t="str">
        <f>Проект!$D$1054</f>
        <v>1_01</v>
      </c>
      <c r="E462" s="48"/>
      <c r="F462" s="352">
        <f>Проект!$F$1054</f>
        <v>0</v>
      </c>
      <c r="G462" s="352">
        <f>Проект!$G$1054</f>
        <v>0</v>
      </c>
      <c r="H462" s="352">
        <f>Проект!$H$1054</f>
        <v>0</v>
      </c>
      <c r="I462" s="352">
        <f>Проект!$I$1054</f>
        <v>0</v>
      </c>
      <c r="J462" s="352">
        <f>Проект!$J$1054</f>
        <v>0</v>
      </c>
      <c r="K462" s="352">
        <f>Проект!$K$1054</f>
        <v>0</v>
      </c>
      <c r="L462" s="352">
        <f>Проект!$L$1054</f>
        <v>0</v>
      </c>
      <c r="M462" s="352">
        <f>Проект!$M$1054</f>
        <v>0</v>
      </c>
      <c r="N462" s="352" t="e">
        <f>Проект!#REF!</f>
        <v>#REF!</v>
      </c>
      <c r="O462" s="352" t="e">
        <f>Проект!#REF!</f>
        <v>#REF!</v>
      </c>
      <c r="P462" s="352" t="e">
        <f>Проект!#REF!</f>
        <v>#REF!</v>
      </c>
      <c r="Q462" s="352">
        <f>Проект!$Q$1054</f>
        <v>0</v>
      </c>
      <c r="R462" s="48"/>
      <c r="S462" s="94">
        <f>Проект!$S$1054</f>
        <v>0</v>
      </c>
    </row>
    <row r="463" spans="1:19" hidden="1" x14ac:dyDescent="0.2">
      <c r="A463" s="48" t="str">
        <f ca="1">Проект!$A$1055</f>
        <v>Предполагаемый темп годового роста цен</v>
      </c>
      <c r="B463" s="48"/>
      <c r="C463" s="73" t="str">
        <f>Проект!$C$1055</f>
        <v>%</v>
      </c>
      <c r="D463" s="101" t="str">
        <f>Проект!$D$1055</f>
        <v>int_avg</v>
      </c>
      <c r="E463" s="48"/>
      <c r="F463" s="357">
        <f>Проект!$F$1055</f>
        <v>8.0000000000000002E-3</v>
      </c>
      <c r="G463" s="357">
        <f>Проект!$G$1055</f>
        <v>8.0000000000000002E-3</v>
      </c>
      <c r="H463" s="357">
        <f>Проект!$H$1055</f>
        <v>8.0000000000000002E-3</v>
      </c>
      <c r="I463" s="357">
        <f>Проект!$I$1055</f>
        <v>8.0000000000000002E-3</v>
      </c>
      <c r="J463" s="357">
        <f>Проект!$J$1055</f>
        <v>8.0000000000000002E-3</v>
      </c>
      <c r="K463" s="357">
        <f>Проект!$K$1055</f>
        <v>8.0000000000000002E-3</v>
      </c>
      <c r="L463" s="357">
        <f>Проект!$L$1055</f>
        <v>8.0000000000000002E-3</v>
      </c>
      <c r="M463" s="357">
        <f>Проект!$M$1055</f>
        <v>8.0000000000000002E-3</v>
      </c>
      <c r="N463" s="357" t="e">
        <f>Проект!#REF!</f>
        <v>#REF!</v>
      </c>
      <c r="O463" s="357" t="e">
        <f>Проект!#REF!</f>
        <v>#REF!</v>
      </c>
      <c r="P463" s="357" t="e">
        <f>Проект!#REF!</f>
        <v>#REF!</v>
      </c>
      <c r="Q463" s="357">
        <f>Проект!$Q$1055</f>
        <v>8.0000000000000002E-3</v>
      </c>
      <c r="R463" s="48"/>
      <c r="S463" s="41"/>
    </row>
    <row r="464" spans="1:19" hidden="1" x14ac:dyDescent="0.2">
      <c r="A464" s="48" t="str">
        <f ca="1">Проект!$A$1056</f>
        <v>То же, в пересчете на период, равный шагу проекта</v>
      </c>
      <c r="B464" s="48"/>
      <c r="C464" s="73" t="str">
        <f>Проект!$C$1056</f>
        <v>%</v>
      </c>
      <c r="D464" s="101" t="str">
        <f>Проект!$D$1056</f>
        <v>int_avg</v>
      </c>
      <c r="E464" s="48"/>
      <c r="F464" s="30">
        <f>Проект!$F$1056</f>
        <v>6.6423464362252993E-4</v>
      </c>
      <c r="G464" s="30">
        <f>Проект!$G$1056</f>
        <v>6.6423464362252993E-4</v>
      </c>
      <c r="H464" s="30">
        <f>Проект!$H$1056</f>
        <v>6.6423464362252993E-4</v>
      </c>
      <c r="I464" s="30">
        <f>Проект!$I$1056</f>
        <v>6.6423464362252993E-4</v>
      </c>
      <c r="J464" s="30">
        <f>Проект!$J$1056</f>
        <v>6.6423464362252993E-4</v>
      </c>
      <c r="K464" s="30">
        <f>Проект!$K$1056</f>
        <v>6.6423464362252993E-4</v>
      </c>
      <c r="L464" s="30">
        <f>Проект!$L$1056</f>
        <v>6.6423464362252993E-4</v>
      </c>
      <c r="M464" s="30">
        <f>Проект!$M$1056</f>
        <v>6.6423464362252993E-4</v>
      </c>
      <c r="N464" s="30" t="e">
        <f>Проект!#REF!</f>
        <v>#REF!</v>
      </c>
      <c r="O464" s="30" t="e">
        <f>Проект!#REF!</f>
        <v>#REF!</v>
      </c>
      <c r="P464" s="30" t="e">
        <f>Проект!#REF!</f>
        <v>#REF!</v>
      </c>
      <c r="Q464" s="30">
        <f>Проект!$Q$1056</f>
        <v>6.6423464362252993E-4</v>
      </c>
      <c r="R464" s="48"/>
      <c r="S464" s="41"/>
    </row>
    <row r="465" spans="1:19" hidden="1" x14ac:dyDescent="0.2">
      <c r="A465" s="48" t="str">
        <f ca="1">Проект!$A$1057</f>
        <v>в том числе НДС</v>
      </c>
      <c r="B465" s="358">
        <f>Проект!$B$1057</f>
        <v>0</v>
      </c>
      <c r="C465" s="73" t="str">
        <f ca="1">Проект!$C$1057</f>
        <v>руб.</v>
      </c>
      <c r="D465" s="48" t="str">
        <f>Проект!$D$1057</f>
        <v>1_02</v>
      </c>
      <c r="E465" s="48"/>
      <c r="F465" s="84">
        <f>Проект!$F$1057</f>
        <v>0</v>
      </c>
      <c r="G465" s="84">
        <f>Проект!$G$1057</f>
        <v>0</v>
      </c>
      <c r="H465" s="84">
        <f>Проект!$H$1057</f>
        <v>0</v>
      </c>
      <c r="I465" s="84">
        <f>Проект!$I$1057</f>
        <v>0</v>
      </c>
      <c r="J465" s="84">
        <f>Проект!$J$1057</f>
        <v>0</v>
      </c>
      <c r="K465" s="84">
        <f>Проект!$K$1057</f>
        <v>0</v>
      </c>
      <c r="L465" s="84">
        <f>Проект!$L$1057</f>
        <v>0</v>
      </c>
      <c r="M465" s="84">
        <f>Проект!$M$1057</f>
        <v>0</v>
      </c>
      <c r="N465" s="84" t="e">
        <f>Проект!#REF!</f>
        <v>#REF!</v>
      </c>
      <c r="O465" s="84" t="e">
        <f>Проект!#REF!</f>
        <v>#REF!</v>
      </c>
      <c r="P465" s="84" t="e">
        <f>Проект!#REF!</f>
        <v>#REF!</v>
      </c>
      <c r="Q465" s="84">
        <f>Проект!$Q$1057</f>
        <v>0</v>
      </c>
      <c r="R465" s="48"/>
      <c r="S465" s="94">
        <f>Проект!$S$1057</f>
        <v>0</v>
      </c>
    </row>
    <row r="466" spans="1:19" ht="11.25" customHeight="1" x14ac:dyDescent="0.2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1"/>
    </row>
    <row r="467" spans="1:19" ht="11.25" customHeight="1" x14ac:dyDescent="0.2">
      <c r="A467" s="76"/>
      <c r="B467" s="76"/>
      <c r="C467" s="76"/>
      <c r="D467" s="76"/>
      <c r="E467" s="76"/>
      <c r="F467" s="76"/>
      <c r="G467" s="76"/>
      <c r="H467" s="76"/>
      <c r="I467" s="76"/>
      <c r="J467" s="76"/>
      <c r="K467" s="76"/>
      <c r="L467" s="76"/>
      <c r="M467" s="76"/>
      <c r="N467" s="76"/>
      <c r="O467" s="76"/>
      <c r="P467" s="76"/>
      <c r="Q467" s="76"/>
      <c r="R467" s="76"/>
      <c r="S467" s="359"/>
    </row>
    <row r="468" spans="1:19" ht="11.25" customHeight="1" x14ac:dyDescent="0.25">
      <c r="A468" s="130" t="str">
        <f ca="1">Проект!$A$1060</f>
        <v>Административные расходы</v>
      </c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1"/>
    </row>
    <row r="469" spans="1:19" ht="11.25" customHeight="1" x14ac:dyDescent="0.2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1"/>
    </row>
    <row r="470" spans="1:19" ht="11.25" customHeight="1" x14ac:dyDescent="0.2">
      <c r="A470" s="48" t="str">
        <f ca="1">Проект!$A$1062</f>
        <v>Зарплата административного персонала</v>
      </c>
      <c r="B470" s="48"/>
      <c r="C470" s="73" t="str">
        <f ca="1">Проект!$C$1062</f>
        <v>руб.</v>
      </c>
      <c r="D470" s="48"/>
      <c r="E470" s="48"/>
      <c r="F470" s="106">
        <f>Проект!$F$1062</f>
        <v>314000</v>
      </c>
      <c r="G470" s="106">
        <f>Проект!$G$1062</f>
        <v>314000</v>
      </c>
      <c r="H470" s="106">
        <f>Проект!$H$1062</f>
        <v>314000</v>
      </c>
      <c r="I470" s="106">
        <f>Проект!$I$1062</f>
        <v>314000</v>
      </c>
      <c r="J470" s="106">
        <f>Проект!$J$1062</f>
        <v>314000</v>
      </c>
      <c r="K470" s="106">
        <f>Проект!$K$1062</f>
        <v>314000</v>
      </c>
      <c r="L470" s="106">
        <f>Проект!$L$1062</f>
        <v>314000</v>
      </c>
      <c r="M470" s="106">
        <f>Проект!$M$1062</f>
        <v>314000</v>
      </c>
      <c r="N470" s="106" t="e">
        <f>Проект!#REF!</f>
        <v>#REF!</v>
      </c>
      <c r="O470" s="106" t="e">
        <f>Проект!#REF!</f>
        <v>#REF!</v>
      </c>
      <c r="P470" s="106" t="e">
        <f>Проект!#REF!</f>
        <v>#REF!</v>
      </c>
      <c r="Q470" s="106">
        <f>Проект!$Q$1062</f>
        <v>314000</v>
      </c>
      <c r="R470" s="48"/>
      <c r="S470" s="94">
        <f>Проект!$S$1062</f>
        <v>3768000</v>
      </c>
    </row>
    <row r="471" spans="1:19" ht="11.25" customHeight="1" x14ac:dyDescent="0.2">
      <c r="A471" s="48" t="str">
        <f ca="1">Проект!$A$1063</f>
        <v>ЕСН на зарплату административного персонала</v>
      </c>
      <c r="B471" s="48"/>
      <c r="C471" s="73" t="str">
        <f ca="1">Проект!$C$1063</f>
        <v>руб.</v>
      </c>
      <c r="D471" s="48"/>
      <c r="E471" s="48"/>
      <c r="F471" s="106">
        <f>Проект!$F$1063</f>
        <v>43960.000000000007</v>
      </c>
      <c r="G471" s="106">
        <f>Проект!$G$1063</f>
        <v>43960.000000000007</v>
      </c>
      <c r="H471" s="106">
        <f>Проект!$H$1063</f>
        <v>43960.000000000007</v>
      </c>
      <c r="I471" s="106">
        <f>Проект!$I$1063</f>
        <v>43960.000000000007</v>
      </c>
      <c r="J471" s="106">
        <f>Проект!$J$1063</f>
        <v>43960.000000000007</v>
      </c>
      <c r="K471" s="106">
        <f>Проект!$K$1063</f>
        <v>43960.000000000007</v>
      </c>
      <c r="L471" s="106">
        <f>Проект!$L$1063</f>
        <v>43960.000000000007</v>
      </c>
      <c r="M471" s="106">
        <f>Проект!$M$1063</f>
        <v>43960.000000000007</v>
      </c>
      <c r="N471" s="106" t="e">
        <f>Проект!#REF!</f>
        <v>#REF!</v>
      </c>
      <c r="O471" s="106" t="e">
        <f>Проект!#REF!</f>
        <v>#REF!</v>
      </c>
      <c r="P471" s="106" t="e">
        <f>Проект!#REF!</f>
        <v>#REF!</v>
      </c>
      <c r="Q471" s="106">
        <f>Проект!$Q$1063</f>
        <v>43960.000000000007</v>
      </c>
      <c r="R471" s="48"/>
      <c r="S471" s="94">
        <f>Проект!$S$1063</f>
        <v>527520.00000000012</v>
      </c>
    </row>
    <row r="472" spans="1:19" ht="11.25" customHeight="1" x14ac:dyDescent="0.2">
      <c r="A472" s="48"/>
      <c r="B472" s="197" t="str">
        <f ca="1">Проект!$B$1064</f>
        <v>Валюта</v>
      </c>
      <c r="C472" s="48"/>
      <c r="D472" s="48">
        <f>Проект!$D$1064</f>
        <v>2</v>
      </c>
      <c r="E472" s="48">
        <f>Проект!$E$1064</f>
        <v>4</v>
      </c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1"/>
    </row>
    <row r="473" spans="1:19" ht="11.25" customHeight="1" x14ac:dyDescent="0.2">
      <c r="A473" s="333" t="str">
        <f>Проект!$A$1065</f>
        <v>Нормативные расходы на АУП</v>
      </c>
      <c r="B473" s="334">
        <f>Проект!$B$1065</f>
        <v>1</v>
      </c>
      <c r="C473" s="50" t="str">
        <f ca="1">Проект!$C$1065</f>
        <v>руб.</v>
      </c>
      <c r="D473" s="101" t="str">
        <f>Проект!$D$1065</f>
        <v>1_01</v>
      </c>
      <c r="E473" s="48"/>
      <c r="F473" s="352">
        <f>Проект!$F$1065</f>
        <v>0</v>
      </c>
      <c r="G473" s="352">
        <f>Проект!$G$1065</f>
        <v>0</v>
      </c>
      <c r="H473" s="352">
        <f>Проект!$H$1065</f>
        <v>0</v>
      </c>
      <c r="I473" s="352">
        <f>Проект!$I$1065</f>
        <v>0</v>
      </c>
      <c r="J473" s="352">
        <f>Проект!$J$1065</f>
        <v>0</v>
      </c>
      <c r="K473" s="352">
        <f>Проект!$K$1065</f>
        <v>0</v>
      </c>
      <c r="L473" s="352">
        <f>Проект!$L$1065</f>
        <v>0</v>
      </c>
      <c r="M473" s="352">
        <f>Проект!$M$1065</f>
        <v>0</v>
      </c>
      <c r="N473" s="352" t="e">
        <f>Проект!#REF!</f>
        <v>#REF!</v>
      </c>
      <c r="O473" s="352" t="e">
        <f>Проект!#REF!</f>
        <v>#REF!</v>
      </c>
      <c r="P473" s="352" t="e">
        <f>Проект!#REF!</f>
        <v>#REF!</v>
      </c>
      <c r="Q473" s="352">
        <f>Проект!$Q$1065</f>
        <v>0</v>
      </c>
      <c r="R473" s="48"/>
      <c r="S473" s="94">
        <f>Проект!$S$1065</f>
        <v>0</v>
      </c>
    </row>
    <row r="474" spans="1:19" hidden="1" x14ac:dyDescent="0.2">
      <c r="A474" s="48" t="str">
        <f ca="1">Проект!$A$1066</f>
        <v>Предполагаемый темп годового роста цен</v>
      </c>
      <c r="B474" s="48"/>
      <c r="C474" s="73" t="str">
        <f>Проект!$C$1066</f>
        <v>%</v>
      </c>
      <c r="D474" s="101" t="str">
        <f>Проект!$D$1066</f>
        <v>int_avg</v>
      </c>
      <c r="E474" s="48"/>
      <c r="F474" s="357">
        <f>Проект!$F$1066</f>
        <v>8.0000000000000002E-3</v>
      </c>
      <c r="G474" s="357">
        <f>Проект!$G$1066</f>
        <v>8.0000000000000002E-3</v>
      </c>
      <c r="H474" s="357">
        <f>Проект!$H$1066</f>
        <v>8.0000000000000002E-3</v>
      </c>
      <c r="I474" s="357">
        <f>Проект!$I$1066</f>
        <v>8.0000000000000002E-3</v>
      </c>
      <c r="J474" s="357">
        <f>Проект!$J$1066</f>
        <v>8.0000000000000002E-3</v>
      </c>
      <c r="K474" s="357">
        <f>Проект!$K$1066</f>
        <v>8.0000000000000002E-3</v>
      </c>
      <c r="L474" s="357">
        <f>Проект!$L$1066</f>
        <v>8.0000000000000002E-3</v>
      </c>
      <c r="M474" s="357">
        <f>Проект!$M$1066</f>
        <v>8.0000000000000002E-3</v>
      </c>
      <c r="N474" s="357" t="e">
        <f>Проект!#REF!</f>
        <v>#REF!</v>
      </c>
      <c r="O474" s="357" t="e">
        <f>Проект!#REF!</f>
        <v>#REF!</v>
      </c>
      <c r="P474" s="357" t="e">
        <f>Проект!#REF!</f>
        <v>#REF!</v>
      </c>
      <c r="Q474" s="357">
        <f>Проект!$Q$1066</f>
        <v>8.0000000000000002E-3</v>
      </c>
      <c r="R474" s="48"/>
      <c r="S474" s="41"/>
    </row>
    <row r="475" spans="1:19" hidden="1" x14ac:dyDescent="0.2">
      <c r="A475" s="48" t="str">
        <f ca="1">Проект!$A$1067</f>
        <v>То же, в пересчете на период, равный шагу проекта</v>
      </c>
      <c r="B475" s="48"/>
      <c r="C475" s="73" t="str">
        <f>Проект!$C$1067</f>
        <v>%</v>
      </c>
      <c r="D475" s="101" t="str">
        <f>Проект!$D$1067</f>
        <v>int_avg</v>
      </c>
      <c r="E475" s="48"/>
      <c r="F475" s="30">
        <f>Проект!$F$1067</f>
        <v>6.6423464362252993E-4</v>
      </c>
      <c r="G475" s="30">
        <f>Проект!$G$1067</f>
        <v>6.6423464362252993E-4</v>
      </c>
      <c r="H475" s="30">
        <f>Проект!$H$1067</f>
        <v>6.6423464362252993E-4</v>
      </c>
      <c r="I475" s="30">
        <f>Проект!$I$1067</f>
        <v>6.6423464362252993E-4</v>
      </c>
      <c r="J475" s="30">
        <f>Проект!$J$1067</f>
        <v>6.6423464362252993E-4</v>
      </c>
      <c r="K475" s="30">
        <f>Проект!$K$1067</f>
        <v>6.6423464362252993E-4</v>
      </c>
      <c r="L475" s="30">
        <f>Проект!$L$1067</f>
        <v>6.6423464362252993E-4</v>
      </c>
      <c r="M475" s="30">
        <f>Проект!$M$1067</f>
        <v>6.6423464362252993E-4</v>
      </c>
      <c r="N475" s="30" t="e">
        <f>Проект!#REF!</f>
        <v>#REF!</v>
      </c>
      <c r="O475" s="30" t="e">
        <f>Проект!#REF!</f>
        <v>#REF!</v>
      </c>
      <c r="P475" s="30" t="e">
        <f>Проект!#REF!</f>
        <v>#REF!</v>
      </c>
      <c r="Q475" s="30">
        <f>Проект!$Q$1067</f>
        <v>6.6423464362252993E-4</v>
      </c>
      <c r="R475" s="48"/>
      <c r="S475" s="41"/>
    </row>
    <row r="476" spans="1:19" hidden="1" x14ac:dyDescent="0.2">
      <c r="A476" s="48" t="str">
        <f ca="1">Проект!$A$1068</f>
        <v>в том числе НДС</v>
      </c>
      <c r="B476" s="358">
        <f>Проект!$B$1068</f>
        <v>0</v>
      </c>
      <c r="C476" s="73" t="str">
        <f ca="1">Проект!$C$1068</f>
        <v>руб.</v>
      </c>
      <c r="D476" s="48" t="str">
        <f>Проект!$D$1068</f>
        <v>1_02</v>
      </c>
      <c r="E476" s="48"/>
      <c r="F476" s="84">
        <f>Проект!$F$1068</f>
        <v>0</v>
      </c>
      <c r="G476" s="84">
        <f>Проект!$G$1068</f>
        <v>0</v>
      </c>
      <c r="H476" s="84">
        <f>Проект!$H$1068</f>
        <v>0</v>
      </c>
      <c r="I476" s="84">
        <f>Проект!$I$1068</f>
        <v>0</v>
      </c>
      <c r="J476" s="84">
        <f>Проект!$J$1068</f>
        <v>0</v>
      </c>
      <c r="K476" s="84">
        <f>Проект!$K$1068</f>
        <v>0</v>
      </c>
      <c r="L476" s="84">
        <f>Проект!$L$1068</f>
        <v>0</v>
      </c>
      <c r="M476" s="84">
        <f>Проект!$M$1068</f>
        <v>0</v>
      </c>
      <c r="N476" s="84" t="e">
        <f>Проект!#REF!</f>
        <v>#REF!</v>
      </c>
      <c r="O476" s="84" t="e">
        <f>Проект!#REF!</f>
        <v>#REF!</v>
      </c>
      <c r="P476" s="84" t="e">
        <f>Проект!#REF!</f>
        <v>#REF!</v>
      </c>
      <c r="Q476" s="84">
        <f>Проект!$Q$1068</f>
        <v>0</v>
      </c>
      <c r="R476" s="48"/>
      <c r="S476" s="94">
        <f>Проект!$S$1068</f>
        <v>0</v>
      </c>
    </row>
    <row r="477" spans="1:19" ht="11.25" customHeight="1" x14ac:dyDescent="0.2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1"/>
    </row>
    <row r="478" spans="1:19" ht="11.25" customHeight="1" x14ac:dyDescent="0.2">
      <c r="A478" s="76"/>
      <c r="B478" s="76"/>
      <c r="C478" s="76"/>
      <c r="D478" s="76"/>
      <c r="E478" s="76"/>
      <c r="F478" s="76"/>
      <c r="G478" s="76"/>
      <c r="H478" s="76"/>
      <c r="I478" s="76"/>
      <c r="J478" s="76"/>
      <c r="K478" s="76"/>
      <c r="L478" s="76"/>
      <c r="M478" s="76"/>
      <c r="N478" s="76"/>
      <c r="O478" s="76"/>
      <c r="P478" s="76"/>
      <c r="Q478" s="76"/>
      <c r="R478" s="76"/>
      <c r="S478" s="359"/>
    </row>
    <row r="479" spans="1:19" ht="11.25" customHeight="1" x14ac:dyDescent="0.25">
      <c r="A479" s="125" t="str">
        <f ca="1">Проект!$A$1075</f>
        <v>Коммерческие расходы</v>
      </c>
      <c r="B479" s="45"/>
      <c r="C479" s="45"/>
      <c r="D479" s="45"/>
      <c r="E479" s="45"/>
      <c r="F479" s="45"/>
      <c r="G479" s="45"/>
      <c r="H479" s="45"/>
      <c r="I479" s="45"/>
      <c r="J479" s="45"/>
      <c r="K479" s="45"/>
      <c r="L479" s="45"/>
      <c r="M479" s="45"/>
      <c r="N479" s="45"/>
      <c r="O479" s="45"/>
      <c r="P479" s="45"/>
      <c r="Q479" s="45"/>
      <c r="R479" s="45"/>
      <c r="S479" s="77"/>
    </row>
    <row r="480" spans="1:19" ht="11.25" customHeight="1" x14ac:dyDescent="0.2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1"/>
    </row>
    <row r="481" spans="1:19" ht="11.25" customHeight="1" x14ac:dyDescent="0.2">
      <c r="A481" s="48" t="str">
        <f ca="1">Проект!$A$1077</f>
        <v>Зарплата коммерческого персонала</v>
      </c>
      <c r="B481" s="48"/>
      <c r="C481" s="73" t="str">
        <f ca="1">Проект!$C$1077</f>
        <v>руб.</v>
      </c>
      <c r="D481" s="48"/>
      <c r="E481" s="48"/>
      <c r="F481" s="106">
        <f>Проект!$F$1077</f>
        <v>0</v>
      </c>
      <c r="G481" s="106">
        <f>Проект!$G$1077</f>
        <v>0</v>
      </c>
      <c r="H481" s="106">
        <f>Проект!$H$1077</f>
        <v>0</v>
      </c>
      <c r="I481" s="106">
        <f>Проект!$I$1077</f>
        <v>0</v>
      </c>
      <c r="J481" s="106">
        <f>Проект!$J$1077</f>
        <v>0</v>
      </c>
      <c r="K481" s="106">
        <f>Проект!$K$1077</f>
        <v>0</v>
      </c>
      <c r="L481" s="106">
        <f>Проект!$L$1077</f>
        <v>0</v>
      </c>
      <c r="M481" s="106">
        <f>Проект!$M$1077</f>
        <v>0</v>
      </c>
      <c r="N481" s="106" t="e">
        <f>Проект!#REF!</f>
        <v>#REF!</v>
      </c>
      <c r="O481" s="106" t="e">
        <f>Проект!#REF!</f>
        <v>#REF!</v>
      </c>
      <c r="P481" s="106" t="e">
        <f>Проект!#REF!</f>
        <v>#REF!</v>
      </c>
      <c r="Q481" s="106">
        <f>Проект!$Q$1077</f>
        <v>0</v>
      </c>
      <c r="R481" s="48"/>
      <c r="S481" s="94">
        <f>Проект!$S$1077</f>
        <v>0</v>
      </c>
    </row>
    <row r="482" spans="1:19" ht="11.25" customHeight="1" x14ac:dyDescent="0.2">
      <c r="A482" s="48" t="str">
        <f ca="1">Проект!$A$1078</f>
        <v>ЕСН на зарплату коммерческого персонала</v>
      </c>
      <c r="B482" s="48"/>
      <c r="C482" s="73" t="str">
        <f ca="1">Проект!$C$1078</f>
        <v>руб.</v>
      </c>
      <c r="D482" s="48"/>
      <c r="E482" s="48"/>
      <c r="F482" s="106">
        <f>Проект!$F$1078</f>
        <v>0</v>
      </c>
      <c r="G482" s="106">
        <f>Проект!$G$1078</f>
        <v>0</v>
      </c>
      <c r="H482" s="106">
        <f>Проект!$H$1078</f>
        <v>0</v>
      </c>
      <c r="I482" s="106">
        <f>Проект!$I$1078</f>
        <v>0</v>
      </c>
      <c r="J482" s="106">
        <f>Проект!$J$1078</f>
        <v>0</v>
      </c>
      <c r="K482" s="106">
        <f>Проект!$K$1078</f>
        <v>0</v>
      </c>
      <c r="L482" s="106">
        <f>Проект!$L$1078</f>
        <v>0</v>
      </c>
      <c r="M482" s="106">
        <f>Проект!$M$1078</f>
        <v>0</v>
      </c>
      <c r="N482" s="106" t="e">
        <f>Проект!#REF!</f>
        <v>#REF!</v>
      </c>
      <c r="O482" s="106" t="e">
        <f>Проект!#REF!</f>
        <v>#REF!</v>
      </c>
      <c r="P482" s="106" t="e">
        <f>Проект!#REF!</f>
        <v>#REF!</v>
      </c>
      <c r="Q482" s="106">
        <f>Проект!$Q$1078</f>
        <v>0</v>
      </c>
      <c r="R482" s="48"/>
      <c r="S482" s="94">
        <f>Проект!$S$1078</f>
        <v>0</v>
      </c>
    </row>
    <row r="483" spans="1:19" ht="11.25" customHeight="1" x14ac:dyDescent="0.2">
      <c r="A483" s="48"/>
      <c r="B483" s="197" t="str">
        <f ca="1">Проект!$B$1079</f>
        <v>Валюта</v>
      </c>
      <c r="C483" s="48"/>
      <c r="D483" s="48">
        <f>Проект!$D$1079</f>
        <v>1</v>
      </c>
      <c r="E483" s="48">
        <f>Проект!$E$1079</f>
        <v>5</v>
      </c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1"/>
    </row>
    <row r="484" spans="1:19" ht="11.25" customHeight="1" x14ac:dyDescent="0.2">
      <c r="A484" s="333" t="str">
        <f ca="1">Проект!$A$1080</f>
        <v>Наименование</v>
      </c>
      <c r="B484" s="334">
        <f>Проект!$B$1080</f>
        <v>1</v>
      </c>
      <c r="C484" s="50" t="str">
        <f ca="1">Проект!$C$1080</f>
        <v>руб.</v>
      </c>
      <c r="D484" s="101" t="str">
        <f>Проект!$D$1080</f>
        <v>1_01</v>
      </c>
      <c r="E484" s="48"/>
      <c r="F484" s="352">
        <f>Проект!$F$1080</f>
        <v>0</v>
      </c>
      <c r="G484" s="352">
        <f>Проект!$G$1080</f>
        <v>0</v>
      </c>
      <c r="H484" s="352">
        <f>Проект!$H$1080</f>
        <v>0</v>
      </c>
      <c r="I484" s="352">
        <f>Проект!$I$1080</f>
        <v>0</v>
      </c>
      <c r="J484" s="352">
        <f>Проект!$J$1080</f>
        <v>0</v>
      </c>
      <c r="K484" s="352">
        <f>Проект!$K$1080</f>
        <v>0</v>
      </c>
      <c r="L484" s="352">
        <f>Проект!$L$1080</f>
        <v>0</v>
      </c>
      <c r="M484" s="352">
        <f>Проект!$M$1080</f>
        <v>0</v>
      </c>
      <c r="N484" s="352" t="e">
        <f>Проект!#REF!</f>
        <v>#REF!</v>
      </c>
      <c r="O484" s="352" t="e">
        <f>Проект!#REF!</f>
        <v>#REF!</v>
      </c>
      <c r="P484" s="352" t="e">
        <f>Проект!#REF!</f>
        <v>#REF!</v>
      </c>
      <c r="Q484" s="352">
        <f>Проект!$Q$1080</f>
        <v>0</v>
      </c>
      <c r="R484" s="48"/>
      <c r="S484" s="94">
        <f>Проект!$S$1080</f>
        <v>0</v>
      </c>
    </row>
    <row r="485" spans="1:19" ht="11.25" customHeight="1" x14ac:dyDescent="0.2">
      <c r="A485" s="48" t="str">
        <f ca="1">Проект!$A$1081</f>
        <v>Коммерческие расходы как % от продаж</v>
      </c>
      <c r="B485" s="358">
        <f>Проект!$B$1081</f>
        <v>0.02</v>
      </c>
      <c r="C485" s="73" t="str">
        <f ca="1">Проект!$C$1081</f>
        <v>руб.</v>
      </c>
      <c r="D485" s="101" t="str">
        <f>Проект!$D$1081</f>
        <v>int_avg</v>
      </c>
      <c r="E485" s="48"/>
      <c r="F485" s="75">
        <f>Проект!$F$1081</f>
        <v>0</v>
      </c>
      <c r="G485" s="75">
        <f>Проект!$G$1081</f>
        <v>0</v>
      </c>
      <c r="H485" s="75">
        <f>Проект!$H$1081</f>
        <v>0</v>
      </c>
      <c r="I485" s="75">
        <f>Проект!$I$1081</f>
        <v>0</v>
      </c>
      <c r="J485" s="75">
        <f>Проект!$J$1081</f>
        <v>0</v>
      </c>
      <c r="K485" s="75">
        <f>Проект!$K$1081</f>
        <v>0</v>
      </c>
      <c r="L485" s="75">
        <f>Проект!$L$1081</f>
        <v>0</v>
      </c>
      <c r="M485" s="75">
        <f>Проект!$M$1081</f>
        <v>0</v>
      </c>
      <c r="N485" s="75" t="e">
        <f>Проект!#REF!</f>
        <v>#REF!</v>
      </c>
      <c r="O485" s="75" t="e">
        <f>Проект!#REF!</f>
        <v>#REF!</v>
      </c>
      <c r="P485" s="75" t="e">
        <f>Проект!#REF!</f>
        <v>#REF!</v>
      </c>
      <c r="Q485" s="75">
        <f>Проект!$Q$1081</f>
        <v>0</v>
      </c>
      <c r="R485" s="48"/>
      <c r="S485" s="94"/>
    </row>
    <row r="486" spans="1:19" hidden="1" x14ac:dyDescent="0.2">
      <c r="A486" s="48" t="str">
        <f ca="1">Проект!$A$1082</f>
        <v>Предполагаемый темп годового роста цен</v>
      </c>
      <c r="B486" s="48"/>
      <c r="C486" s="73" t="str">
        <f>Проект!$C$1082</f>
        <v>%</v>
      </c>
      <c r="D486" s="101" t="str">
        <f>Проект!$D$1082</f>
        <v>int_avg</v>
      </c>
      <c r="E486" s="48"/>
      <c r="F486" s="357">
        <f>Проект!$F$1082</f>
        <v>8.0000000000000002E-3</v>
      </c>
      <c r="G486" s="357">
        <f>Проект!$G$1082</f>
        <v>8.0000000000000002E-3</v>
      </c>
      <c r="H486" s="357">
        <f>Проект!$H$1082</f>
        <v>8.0000000000000002E-3</v>
      </c>
      <c r="I486" s="357">
        <f>Проект!$I$1082</f>
        <v>8.0000000000000002E-3</v>
      </c>
      <c r="J486" s="357">
        <f>Проект!$J$1082</f>
        <v>8.0000000000000002E-3</v>
      </c>
      <c r="K486" s="357">
        <f>Проект!$K$1082</f>
        <v>8.0000000000000002E-3</v>
      </c>
      <c r="L486" s="357">
        <f>Проект!$L$1082</f>
        <v>8.0000000000000002E-3</v>
      </c>
      <c r="M486" s="357">
        <f>Проект!$M$1082</f>
        <v>8.0000000000000002E-3</v>
      </c>
      <c r="N486" s="357" t="e">
        <f>Проект!#REF!</f>
        <v>#REF!</v>
      </c>
      <c r="O486" s="357" t="e">
        <f>Проект!#REF!</f>
        <v>#REF!</v>
      </c>
      <c r="P486" s="357" t="e">
        <f>Проект!#REF!</f>
        <v>#REF!</v>
      </c>
      <c r="Q486" s="357">
        <f>Проект!$Q$1082</f>
        <v>8.0000000000000002E-3</v>
      </c>
      <c r="R486" s="48"/>
      <c r="S486" s="41"/>
    </row>
    <row r="487" spans="1:19" hidden="1" x14ac:dyDescent="0.2">
      <c r="A487" s="48" t="str">
        <f ca="1">Проект!$A$1083</f>
        <v>То же, в пересчете на период, равный шагу проекта</v>
      </c>
      <c r="B487" s="48"/>
      <c r="C487" s="73" t="str">
        <f>Проект!$C$1083</f>
        <v>%</v>
      </c>
      <c r="D487" s="101" t="str">
        <f>Проект!$D$1083</f>
        <v>int_avg</v>
      </c>
      <c r="E487" s="48"/>
      <c r="F487" s="30">
        <f>Проект!$F$1083</f>
        <v>6.6423464362252993E-4</v>
      </c>
      <c r="G487" s="30">
        <f>Проект!$G$1083</f>
        <v>6.6423464362252993E-4</v>
      </c>
      <c r="H487" s="30">
        <f>Проект!$H$1083</f>
        <v>6.6423464362252993E-4</v>
      </c>
      <c r="I487" s="30">
        <f>Проект!$I$1083</f>
        <v>6.6423464362252993E-4</v>
      </c>
      <c r="J487" s="30">
        <f>Проект!$J$1083</f>
        <v>6.6423464362252993E-4</v>
      </c>
      <c r="K487" s="30">
        <f>Проект!$K$1083</f>
        <v>6.6423464362252993E-4</v>
      </c>
      <c r="L487" s="30">
        <f>Проект!$L$1083</f>
        <v>6.6423464362252993E-4</v>
      </c>
      <c r="M487" s="30">
        <f>Проект!$M$1083</f>
        <v>6.6423464362252993E-4</v>
      </c>
      <c r="N487" s="30" t="e">
        <f>Проект!#REF!</f>
        <v>#REF!</v>
      </c>
      <c r="O487" s="30" t="e">
        <f>Проект!#REF!</f>
        <v>#REF!</v>
      </c>
      <c r="P487" s="30" t="e">
        <f>Проект!#REF!</f>
        <v>#REF!</v>
      </c>
      <c r="Q487" s="30">
        <f>Проект!$Q$1083</f>
        <v>6.6423464362252993E-4</v>
      </c>
      <c r="R487" s="48"/>
      <c r="S487" s="41"/>
    </row>
    <row r="488" spans="1:19" hidden="1" x14ac:dyDescent="0.2">
      <c r="A488" s="48" t="str">
        <f ca="1">Проект!$A$1084</f>
        <v>в том числе НДС</v>
      </c>
      <c r="B488" s="358">
        <f>Проект!$B$1084</f>
        <v>0</v>
      </c>
      <c r="C488" s="73" t="str">
        <f ca="1">Проект!$C$1084</f>
        <v>руб.</v>
      </c>
      <c r="D488" s="48" t="str">
        <f>Проект!$D$1084</f>
        <v>1_02</v>
      </c>
      <c r="E488" s="48"/>
      <c r="F488" s="84">
        <f>Проект!$F$1084</f>
        <v>0</v>
      </c>
      <c r="G488" s="84">
        <f>Проект!$G$1084</f>
        <v>0</v>
      </c>
      <c r="H488" s="84">
        <f>Проект!$H$1084</f>
        <v>0</v>
      </c>
      <c r="I488" s="84">
        <f>Проект!$I$1084</f>
        <v>0</v>
      </c>
      <c r="J488" s="84">
        <f>Проект!$J$1084</f>
        <v>0</v>
      </c>
      <c r="K488" s="84">
        <f>Проект!$K$1084</f>
        <v>0</v>
      </c>
      <c r="L488" s="84">
        <f>Проект!$L$1084</f>
        <v>0</v>
      </c>
      <c r="M488" s="84">
        <f>Проект!$M$1084</f>
        <v>0</v>
      </c>
      <c r="N488" s="84" t="e">
        <f>Проект!#REF!</f>
        <v>#REF!</v>
      </c>
      <c r="O488" s="84" t="e">
        <f>Проект!#REF!</f>
        <v>#REF!</v>
      </c>
      <c r="P488" s="84" t="e">
        <f>Проект!#REF!</f>
        <v>#REF!</v>
      </c>
      <c r="Q488" s="84">
        <f>Проект!$Q$1084</f>
        <v>0</v>
      </c>
      <c r="R488" s="48"/>
      <c r="S488" s="94">
        <f>Проект!$S$1084</f>
        <v>0</v>
      </c>
    </row>
    <row r="489" spans="1:19" ht="11.25" customHeight="1" x14ac:dyDescent="0.2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1"/>
    </row>
    <row r="490" spans="1:19" ht="11.25" customHeight="1" x14ac:dyDescent="0.2">
      <c r="A490" s="76"/>
      <c r="B490" s="76"/>
      <c r="C490" s="76"/>
      <c r="D490" s="76"/>
      <c r="E490" s="76"/>
      <c r="F490" s="76"/>
      <c r="G490" s="76"/>
      <c r="H490" s="76"/>
      <c r="I490" s="76"/>
      <c r="J490" s="76"/>
      <c r="K490" s="76"/>
      <c r="L490" s="76"/>
      <c r="M490" s="76"/>
      <c r="N490" s="76"/>
      <c r="O490" s="76"/>
      <c r="P490" s="76"/>
      <c r="Q490" s="76"/>
      <c r="R490" s="76"/>
      <c r="S490" s="359"/>
    </row>
    <row r="491" spans="1:19" ht="11.25" customHeight="1" x14ac:dyDescent="0.25">
      <c r="A491" s="130" t="str">
        <f ca="1">Проект!$A$1087</f>
        <v xml:space="preserve"> = Итого: затраты в отчете о прибылях и убытках</v>
      </c>
      <c r="B491" s="48"/>
      <c r="C491" s="73" t="str">
        <f ca="1">Проект!$C$1087</f>
        <v>руб.</v>
      </c>
      <c r="D491" s="48"/>
      <c r="E491" s="48"/>
      <c r="F491" s="360">
        <f ca="1">Проект!$F$1087</f>
        <v>2966160</v>
      </c>
      <c r="G491" s="360">
        <f ca="1">Проект!$G$1087</f>
        <v>2555760</v>
      </c>
      <c r="H491" s="360">
        <f ca="1">Проект!$H$1087</f>
        <v>2555773.3087499999</v>
      </c>
      <c r="I491" s="360">
        <f ca="1">Проект!$I$1087</f>
        <v>2555826.5437500002</v>
      </c>
      <c r="J491" s="360">
        <f ca="1">Проект!$J$1087</f>
        <v>2555893.0874999999</v>
      </c>
      <c r="K491" s="360">
        <f ca="1">Проект!$K$1087</f>
        <v>2556026.1749999998</v>
      </c>
      <c r="L491" s="360">
        <f ca="1">Проект!$L$1087</f>
        <v>2556159.2625000002</v>
      </c>
      <c r="M491" s="360">
        <f ca="1">Проект!$M$1087</f>
        <v>2556292.35</v>
      </c>
      <c r="N491" s="360" t="e">
        <f>Проект!#REF!</f>
        <v>#REF!</v>
      </c>
      <c r="O491" s="360" t="e">
        <f>Проект!#REF!</f>
        <v>#REF!</v>
      </c>
      <c r="P491" s="360" t="e">
        <f>Проект!#REF!</f>
        <v>#REF!</v>
      </c>
      <c r="Q491" s="360">
        <f ca="1">Проект!$Q$1087</f>
        <v>2557090.875</v>
      </c>
      <c r="R491" s="160"/>
      <c r="S491" s="95">
        <f ca="1">Проект!$S$1087</f>
        <v>31085189.5275</v>
      </c>
    </row>
    <row r="492" spans="1:19" hidden="1" x14ac:dyDescent="0.2">
      <c r="A492" s="48" t="str">
        <f ca="1">Проект!$A$1088</f>
        <v xml:space="preserve">    материалы и комплектующие</v>
      </c>
      <c r="B492" s="48"/>
      <c r="C492" s="73" t="str">
        <f ca="1">Проект!$C$1088</f>
        <v>руб.</v>
      </c>
      <c r="D492" s="48"/>
      <c r="E492" s="48"/>
      <c r="F492" s="106">
        <f>Проект!$F$1088</f>
        <v>0</v>
      </c>
      <c r="G492" s="106">
        <f>Проект!$G$1088</f>
        <v>0</v>
      </c>
      <c r="H492" s="106">
        <f>Проект!$H$1088</f>
        <v>13.30875</v>
      </c>
      <c r="I492" s="106">
        <f>Проект!$I$1088</f>
        <v>66.543750000000003</v>
      </c>
      <c r="J492" s="106">
        <f>Проект!$J$1088</f>
        <v>133.08750000000001</v>
      </c>
      <c r="K492" s="106">
        <f>Проект!$K$1088</f>
        <v>266.17500000000001</v>
      </c>
      <c r="L492" s="106">
        <f>Проект!$L$1088</f>
        <v>399.26249999999999</v>
      </c>
      <c r="M492" s="106">
        <f>Проект!$M$1088</f>
        <v>532.35</v>
      </c>
      <c r="N492" s="106" t="e">
        <f>Проект!#REF!</f>
        <v>#REF!</v>
      </c>
      <c r="O492" s="106" t="e">
        <f>Проект!#REF!</f>
        <v>#REF!</v>
      </c>
      <c r="P492" s="106" t="e">
        <f>Проект!#REF!</f>
        <v>#REF!</v>
      </c>
      <c r="Q492" s="106">
        <f>Проект!$Q$1088</f>
        <v>1330.8750000000002</v>
      </c>
      <c r="R492" s="106"/>
      <c r="S492" s="94">
        <f>Проект!$S$1088</f>
        <v>5669.5275000000001</v>
      </c>
    </row>
    <row r="493" spans="1:19" hidden="1" x14ac:dyDescent="0.2">
      <c r="A493" s="48" t="str">
        <f ca="1">Проект!$A$1089</f>
        <v xml:space="preserve">    прочие переменные затраты</v>
      </c>
      <c r="B493" s="48"/>
      <c r="C493" s="73" t="str">
        <f ca="1">Проект!$C$1089</f>
        <v>руб.</v>
      </c>
      <c r="D493" s="48"/>
      <c r="E493" s="48"/>
      <c r="F493" s="106">
        <f>Проект!$F$1089</f>
        <v>0</v>
      </c>
      <c r="G493" s="106">
        <f>Проект!$G$1089</f>
        <v>0</v>
      </c>
      <c r="H493" s="106">
        <f>Проект!$H$1089</f>
        <v>0</v>
      </c>
      <c r="I493" s="106">
        <f>Проект!$I$1089</f>
        <v>0</v>
      </c>
      <c r="J493" s="106">
        <f>Проект!$J$1089</f>
        <v>0</v>
      </c>
      <c r="K493" s="106">
        <f>Проект!$K$1089</f>
        <v>0</v>
      </c>
      <c r="L493" s="106">
        <f>Проект!$L$1089</f>
        <v>0</v>
      </c>
      <c r="M493" s="106">
        <f>Проект!$M$1089</f>
        <v>0</v>
      </c>
      <c r="N493" s="106" t="e">
        <f>Проект!#REF!</f>
        <v>#REF!</v>
      </c>
      <c r="O493" s="106" t="e">
        <f>Проект!#REF!</f>
        <v>#REF!</v>
      </c>
      <c r="P493" s="106" t="e">
        <f>Проект!#REF!</f>
        <v>#REF!</v>
      </c>
      <c r="Q493" s="106">
        <f>Проект!$Q$1089</f>
        <v>0</v>
      </c>
      <c r="R493" s="106"/>
      <c r="S493" s="94">
        <f>Проект!$S$1089</f>
        <v>0</v>
      </c>
    </row>
    <row r="494" spans="1:19" hidden="1" x14ac:dyDescent="0.2">
      <c r="A494" s="48" t="str">
        <f ca="1">Проект!$A$1090</f>
        <v xml:space="preserve">    оплата труда</v>
      </c>
      <c r="B494" s="48"/>
      <c r="C494" s="73" t="str">
        <f ca="1">Проект!$C$1090</f>
        <v>руб.</v>
      </c>
      <c r="D494" s="48"/>
      <c r="E494" s="48"/>
      <c r="F494" s="106">
        <f>Проект!$F$1090</f>
        <v>1076160</v>
      </c>
      <c r="G494" s="106">
        <f>Проект!$G$1090</f>
        <v>665760</v>
      </c>
      <c r="H494" s="106">
        <f>Проект!$H$1090</f>
        <v>665760</v>
      </c>
      <c r="I494" s="106">
        <f>Проект!$I$1090</f>
        <v>665760</v>
      </c>
      <c r="J494" s="106">
        <f>Проект!$J$1090</f>
        <v>665760</v>
      </c>
      <c r="K494" s="106">
        <f>Проект!$K$1090</f>
        <v>665760</v>
      </c>
      <c r="L494" s="106">
        <f>Проект!$L$1090</f>
        <v>665760</v>
      </c>
      <c r="M494" s="106">
        <f>Проект!$M$1090</f>
        <v>665760</v>
      </c>
      <c r="N494" s="106" t="e">
        <f>Проект!#REF!</f>
        <v>#REF!</v>
      </c>
      <c r="O494" s="106" t="e">
        <f>Проект!#REF!</f>
        <v>#REF!</v>
      </c>
      <c r="P494" s="106" t="e">
        <f>Проект!#REF!</f>
        <v>#REF!</v>
      </c>
      <c r="Q494" s="106">
        <f>Проект!$Q$1090</f>
        <v>665760</v>
      </c>
      <c r="R494" s="106"/>
      <c r="S494" s="94">
        <f>Проект!$S$1090</f>
        <v>8399520</v>
      </c>
    </row>
    <row r="495" spans="1:19" hidden="1" x14ac:dyDescent="0.2">
      <c r="A495" s="48" t="str">
        <f ca="1">Проект!$A$1091</f>
        <v xml:space="preserve">    налоги, относимые на текущие затраты</v>
      </c>
      <c r="B495" s="48"/>
      <c r="C495" s="73" t="str">
        <f ca="1">Проект!$C$1091</f>
        <v>руб.</v>
      </c>
      <c r="D495" s="48"/>
      <c r="E495" s="48"/>
      <c r="F495" s="210">
        <f>Проект!$F$1091</f>
        <v>0</v>
      </c>
      <c r="G495" s="210">
        <f>Проект!$G$1091</f>
        <v>0</v>
      </c>
      <c r="H495" s="210">
        <f>Проект!$H$1091</f>
        <v>0</v>
      </c>
      <c r="I495" s="210">
        <f>Проект!$I$1091</f>
        <v>0</v>
      </c>
      <c r="J495" s="210">
        <f>Проект!$J$1091</f>
        <v>0</v>
      </c>
      <c r="K495" s="210">
        <f>Проект!$K$1091</f>
        <v>0</v>
      </c>
      <c r="L495" s="210">
        <f>Проект!$L$1091</f>
        <v>0</v>
      </c>
      <c r="M495" s="210">
        <f>Проект!$M$1091</f>
        <v>0</v>
      </c>
      <c r="N495" s="210" t="e">
        <f>Проект!#REF!</f>
        <v>#REF!</v>
      </c>
      <c r="O495" s="210" t="e">
        <f>Проект!#REF!</f>
        <v>#REF!</v>
      </c>
      <c r="P495" s="210" t="e">
        <f>Проект!#REF!</f>
        <v>#REF!</v>
      </c>
      <c r="Q495" s="210">
        <f>Проект!$Q$1091</f>
        <v>0</v>
      </c>
      <c r="R495" s="106"/>
      <c r="S495" s="94">
        <f>Проект!$S$1091</f>
        <v>0</v>
      </c>
    </row>
    <row r="496" spans="1:19" hidden="1" x14ac:dyDescent="0.2">
      <c r="A496" s="48" t="str">
        <f ca="1">Проект!$A$1092</f>
        <v xml:space="preserve">    производственные расходы</v>
      </c>
      <c r="B496" s="48"/>
      <c r="C496" s="73" t="str">
        <f ca="1">Проект!$C$1092</f>
        <v>руб.</v>
      </c>
      <c r="D496" s="48"/>
      <c r="E496" s="48"/>
      <c r="F496" s="83">
        <f>Проект!$F$1092</f>
        <v>1750000</v>
      </c>
      <c r="G496" s="83">
        <f>Проект!$G$1092</f>
        <v>1750000</v>
      </c>
      <c r="H496" s="83">
        <f>Проект!$H$1092</f>
        <v>1750000</v>
      </c>
      <c r="I496" s="83">
        <f>Проект!$I$1092</f>
        <v>1750000</v>
      </c>
      <c r="J496" s="83">
        <f>Проект!$J$1092</f>
        <v>1750000</v>
      </c>
      <c r="K496" s="83">
        <f>Проект!$K$1092</f>
        <v>1750000</v>
      </c>
      <c r="L496" s="83">
        <f>Проект!$L$1092</f>
        <v>1750000</v>
      </c>
      <c r="M496" s="83">
        <f>Проект!$M$1092</f>
        <v>1750000</v>
      </c>
      <c r="N496" s="83" t="e">
        <f>Проект!#REF!</f>
        <v>#REF!</v>
      </c>
      <c r="O496" s="83" t="e">
        <f>Проект!#REF!</f>
        <v>#REF!</v>
      </c>
      <c r="P496" s="83" t="e">
        <f>Проект!#REF!</f>
        <v>#REF!</v>
      </c>
      <c r="Q496" s="83">
        <f>Проект!$Q$1092</f>
        <v>1750000</v>
      </c>
      <c r="R496" s="106"/>
      <c r="S496" s="94">
        <f>Проект!$S$1092</f>
        <v>21000000</v>
      </c>
    </row>
    <row r="497" spans="1:19" hidden="1" x14ac:dyDescent="0.2">
      <c r="A497" s="48" t="str">
        <f ca="1">Проект!$A$1093</f>
        <v xml:space="preserve">    начисленные лизинговые платежи</v>
      </c>
      <c r="B497" s="48"/>
      <c r="C497" s="73" t="str">
        <f ca="1">Проект!$C$1093</f>
        <v>руб.</v>
      </c>
      <c r="D497" s="48"/>
      <c r="E497" s="48"/>
      <c r="F497" s="210">
        <f ca="1">Проект!$F$1093</f>
        <v>0</v>
      </c>
      <c r="G497" s="210">
        <f ca="1">Проект!$G$1093</f>
        <v>0</v>
      </c>
      <c r="H497" s="210">
        <f ca="1">Проект!$H$1093</f>
        <v>0</v>
      </c>
      <c r="I497" s="210">
        <f ca="1">Проект!$I$1093</f>
        <v>0</v>
      </c>
      <c r="J497" s="210">
        <f ca="1">Проект!$J$1093</f>
        <v>0</v>
      </c>
      <c r="K497" s="210">
        <f ca="1">Проект!$K$1093</f>
        <v>0</v>
      </c>
      <c r="L497" s="210">
        <f ca="1">Проект!$L$1093</f>
        <v>0</v>
      </c>
      <c r="M497" s="210">
        <f ca="1">Проект!$M$1093</f>
        <v>0</v>
      </c>
      <c r="N497" s="210" t="e">
        <f>Проект!#REF!</f>
        <v>#REF!</v>
      </c>
      <c r="O497" s="210" t="e">
        <f>Проект!#REF!</f>
        <v>#REF!</v>
      </c>
      <c r="P497" s="210" t="e">
        <f>Проект!#REF!</f>
        <v>#REF!</v>
      </c>
      <c r="Q497" s="210">
        <f ca="1">Проект!$Q$1093</f>
        <v>0</v>
      </c>
      <c r="R497" s="106"/>
      <c r="S497" s="94">
        <f ca="1">Проект!$S$1093</f>
        <v>0</v>
      </c>
    </row>
    <row r="498" spans="1:19" hidden="1" x14ac:dyDescent="0.2">
      <c r="A498" s="48" t="str">
        <f ca="1">Проект!$A$1094</f>
        <v xml:space="preserve">    амортизация</v>
      </c>
      <c r="B498" s="48"/>
      <c r="C498" s="73" t="str">
        <f ca="1">Проект!$C$1094</f>
        <v>руб.</v>
      </c>
      <c r="D498" s="48"/>
      <c r="E498" s="48"/>
      <c r="F498" s="210">
        <f ca="1">Проект!$F$1094</f>
        <v>0</v>
      </c>
      <c r="G498" s="210">
        <f ca="1">Проект!$G$1094</f>
        <v>0</v>
      </c>
      <c r="H498" s="210">
        <f ca="1">Проект!$H$1094</f>
        <v>0</v>
      </c>
      <c r="I498" s="210">
        <f ca="1">Проект!$I$1094</f>
        <v>0</v>
      </c>
      <c r="J498" s="210">
        <f ca="1">Проект!$J$1094</f>
        <v>0</v>
      </c>
      <c r="K498" s="210">
        <f ca="1">Проект!$K$1094</f>
        <v>0</v>
      </c>
      <c r="L498" s="210">
        <f ca="1">Проект!$L$1094</f>
        <v>0</v>
      </c>
      <c r="M498" s="210">
        <f ca="1">Проект!$M$1094</f>
        <v>0</v>
      </c>
      <c r="N498" s="210" t="e">
        <f>Проект!#REF!</f>
        <v>#REF!</v>
      </c>
      <c r="O498" s="210" t="e">
        <f>Проект!#REF!</f>
        <v>#REF!</v>
      </c>
      <c r="P498" s="210" t="e">
        <f>Проект!#REF!</f>
        <v>#REF!</v>
      </c>
      <c r="Q498" s="210">
        <f ca="1">Проект!$Q$1094</f>
        <v>0</v>
      </c>
      <c r="R498" s="106"/>
      <c r="S498" s="94">
        <f ca="1">Проект!$S$1094</f>
        <v>0</v>
      </c>
    </row>
    <row r="499" spans="1:19" hidden="1" x14ac:dyDescent="0.2">
      <c r="A499" s="48" t="str">
        <f ca="1">Проект!$A$1095</f>
        <v xml:space="preserve">    коммерческие расходы</v>
      </c>
      <c r="B499" s="48"/>
      <c r="C499" s="73" t="str">
        <f ca="1">Проект!$C$1095</f>
        <v>руб.</v>
      </c>
      <c r="D499" s="48"/>
      <c r="E499" s="48"/>
      <c r="F499" s="210">
        <f>Проект!$F$1095</f>
        <v>0</v>
      </c>
      <c r="G499" s="210">
        <f>Проект!$G$1095</f>
        <v>0</v>
      </c>
      <c r="H499" s="210">
        <f>Проект!$H$1095</f>
        <v>0</v>
      </c>
      <c r="I499" s="210">
        <f>Проект!$I$1095</f>
        <v>0</v>
      </c>
      <c r="J499" s="210">
        <f>Проект!$J$1095</f>
        <v>0</v>
      </c>
      <c r="K499" s="210">
        <f>Проект!$K$1095</f>
        <v>0</v>
      </c>
      <c r="L499" s="210">
        <f>Проект!$L$1095</f>
        <v>0</v>
      </c>
      <c r="M499" s="210">
        <f>Проект!$M$1095</f>
        <v>0</v>
      </c>
      <c r="N499" s="210" t="e">
        <f>Проект!#REF!</f>
        <v>#REF!</v>
      </c>
      <c r="O499" s="210" t="e">
        <f>Проект!#REF!</f>
        <v>#REF!</v>
      </c>
      <c r="P499" s="210" t="e">
        <f>Проект!#REF!</f>
        <v>#REF!</v>
      </c>
      <c r="Q499" s="210">
        <f>Проект!$Q$1095</f>
        <v>0</v>
      </c>
      <c r="R499" s="106"/>
      <c r="S499" s="94">
        <f>Проект!$S$1095</f>
        <v>0</v>
      </c>
    </row>
    <row r="500" spans="1:19" hidden="1" x14ac:dyDescent="0.2">
      <c r="A500" s="48" t="str">
        <f ca="1">Проект!$A$1096</f>
        <v xml:space="preserve">    административные расходы</v>
      </c>
      <c r="B500" s="48"/>
      <c r="C500" s="73" t="str">
        <f ca="1">Проект!$C$1096</f>
        <v>руб.</v>
      </c>
      <c r="D500" s="48"/>
      <c r="E500" s="48"/>
      <c r="F500" s="210">
        <f>Проект!$F$1096</f>
        <v>140000</v>
      </c>
      <c r="G500" s="210">
        <f>Проект!$G$1096</f>
        <v>140000</v>
      </c>
      <c r="H500" s="210">
        <f>Проект!$H$1096</f>
        <v>140000</v>
      </c>
      <c r="I500" s="210">
        <f>Проект!$I$1096</f>
        <v>140000</v>
      </c>
      <c r="J500" s="210">
        <f>Проект!$J$1096</f>
        <v>140000</v>
      </c>
      <c r="K500" s="210">
        <f>Проект!$K$1096</f>
        <v>140000</v>
      </c>
      <c r="L500" s="210">
        <f>Проект!$L$1096</f>
        <v>140000</v>
      </c>
      <c r="M500" s="210">
        <f>Проект!$M$1096</f>
        <v>140000</v>
      </c>
      <c r="N500" s="210" t="e">
        <f>Проект!#REF!</f>
        <v>#REF!</v>
      </c>
      <c r="O500" s="210" t="e">
        <f>Проект!#REF!</f>
        <v>#REF!</v>
      </c>
      <c r="P500" s="210" t="e">
        <f>Проект!#REF!</f>
        <v>#REF!</v>
      </c>
      <c r="Q500" s="210">
        <f>Проект!$Q$1096</f>
        <v>140000</v>
      </c>
      <c r="R500" s="106"/>
      <c r="S500" s="94">
        <f>Проект!$S$1096</f>
        <v>1680000</v>
      </c>
    </row>
    <row r="501" spans="1:19" ht="11.25" customHeight="1" x14ac:dyDescent="0.25">
      <c r="A501" s="130" t="str">
        <f ca="1">Проект!$A$1097</f>
        <v xml:space="preserve"> = Итого: оплата текущих расходов</v>
      </c>
      <c r="B501" s="48"/>
      <c r="C501" s="73" t="str">
        <f ca="1">Проект!$C$1097</f>
        <v>руб.</v>
      </c>
      <c r="D501" s="48"/>
      <c r="E501" s="48"/>
      <c r="F501" s="361">
        <f>Проект!$F$1097</f>
        <v>2966160</v>
      </c>
      <c r="G501" s="361">
        <f>Проект!$G$1097</f>
        <v>2555760</v>
      </c>
      <c r="H501" s="361">
        <f>Проект!$H$1097</f>
        <v>2555773.3087499999</v>
      </c>
      <c r="I501" s="361">
        <f>Проект!$I$1097</f>
        <v>2555826.5437500002</v>
      </c>
      <c r="J501" s="361">
        <f>Проект!$J$1097</f>
        <v>2555893.0874999999</v>
      </c>
      <c r="K501" s="361">
        <f>Проект!$K$1097</f>
        <v>2556026.1749999998</v>
      </c>
      <c r="L501" s="361">
        <f>Проект!$L$1097</f>
        <v>2556159.2625000002</v>
      </c>
      <c r="M501" s="361">
        <f>Проект!$M$1097</f>
        <v>2556292.35</v>
      </c>
      <c r="N501" s="361" t="e">
        <f>Проект!#REF!</f>
        <v>#REF!</v>
      </c>
      <c r="O501" s="361" t="e">
        <f>Проект!#REF!</f>
        <v>#REF!</v>
      </c>
      <c r="P501" s="361" t="e">
        <f>Проект!#REF!</f>
        <v>#REF!</v>
      </c>
      <c r="Q501" s="361">
        <f>Проект!$Q$1097</f>
        <v>2557090.875</v>
      </c>
      <c r="R501" s="160"/>
      <c r="S501" s="95">
        <f>Проект!$S$1097</f>
        <v>31085189.5275</v>
      </c>
    </row>
    <row r="502" spans="1:19" hidden="1" x14ac:dyDescent="0.2">
      <c r="A502" s="48" t="str">
        <f ca="1">Проект!$A$1098</f>
        <v xml:space="preserve">    Материалы и комплектующие</v>
      </c>
      <c r="B502" s="48"/>
      <c r="C502" s="73" t="str">
        <f ca="1">Проект!$C$1098</f>
        <v>руб.</v>
      </c>
      <c r="D502" s="48"/>
      <c r="E502" s="48"/>
      <c r="F502" s="106">
        <f>Проект!$F$1098</f>
        <v>0</v>
      </c>
      <c r="G502" s="106">
        <f>Проект!$G$1098</f>
        <v>0</v>
      </c>
      <c r="H502" s="106">
        <f>Проект!$H$1098</f>
        <v>13.30875</v>
      </c>
      <c r="I502" s="106">
        <f>Проект!$I$1098</f>
        <v>66.543750000000003</v>
      </c>
      <c r="J502" s="106">
        <f>Проект!$J$1098</f>
        <v>133.08750000000001</v>
      </c>
      <c r="K502" s="106">
        <f>Проект!$K$1098</f>
        <v>266.17500000000001</v>
      </c>
      <c r="L502" s="106">
        <f>Проект!$L$1098</f>
        <v>399.26249999999999</v>
      </c>
      <c r="M502" s="106">
        <f>Проект!$M$1098</f>
        <v>532.35</v>
      </c>
      <c r="N502" s="106" t="e">
        <f>Проект!#REF!</f>
        <v>#REF!</v>
      </c>
      <c r="O502" s="106" t="e">
        <f>Проект!#REF!</f>
        <v>#REF!</v>
      </c>
      <c r="P502" s="106" t="e">
        <f>Проект!#REF!</f>
        <v>#REF!</v>
      </c>
      <c r="Q502" s="106">
        <f>Проект!$Q$1098</f>
        <v>1330.8750000000002</v>
      </c>
      <c r="R502" s="106"/>
      <c r="S502" s="94">
        <f>Проект!$S$1098</f>
        <v>5669.5275000000001</v>
      </c>
    </row>
    <row r="503" spans="1:19" hidden="1" x14ac:dyDescent="0.2">
      <c r="A503" s="48" t="str">
        <f ca="1">Проект!$A$1099</f>
        <v xml:space="preserve">    Прочие переменные затраты</v>
      </c>
      <c r="B503" s="48"/>
      <c r="C503" s="73" t="str">
        <f ca="1">Проект!$C$1099</f>
        <v>руб.</v>
      </c>
      <c r="D503" s="48"/>
      <c r="E503" s="48"/>
      <c r="F503" s="106">
        <f>Проект!$F$1099</f>
        <v>0</v>
      </c>
      <c r="G503" s="106">
        <f>Проект!$G$1099</f>
        <v>0</v>
      </c>
      <c r="H503" s="106">
        <f>Проект!$H$1099</f>
        <v>0</v>
      </c>
      <c r="I503" s="106">
        <f>Проект!$I$1099</f>
        <v>0</v>
      </c>
      <c r="J503" s="106">
        <f>Проект!$J$1099</f>
        <v>0</v>
      </c>
      <c r="K503" s="106">
        <f>Проект!$K$1099</f>
        <v>0</v>
      </c>
      <c r="L503" s="106">
        <f>Проект!$L$1099</f>
        <v>0</v>
      </c>
      <c r="M503" s="106">
        <f>Проект!$M$1099</f>
        <v>0</v>
      </c>
      <c r="N503" s="106" t="e">
        <f>Проект!#REF!</f>
        <v>#REF!</v>
      </c>
      <c r="O503" s="106" t="e">
        <f>Проект!#REF!</f>
        <v>#REF!</v>
      </c>
      <c r="P503" s="106" t="e">
        <f>Проект!#REF!</f>
        <v>#REF!</v>
      </c>
      <c r="Q503" s="106">
        <f>Проект!$Q$1099</f>
        <v>0</v>
      </c>
      <c r="R503" s="106"/>
      <c r="S503" s="94">
        <f>Проект!$S$1099</f>
        <v>0</v>
      </c>
    </row>
    <row r="504" spans="1:19" hidden="1" x14ac:dyDescent="0.2">
      <c r="A504" s="48" t="str">
        <f ca="1">Проект!$A$1100</f>
        <v xml:space="preserve">    Оплата труда (вкл. ЕСН и страхование)</v>
      </c>
      <c r="B504" s="48"/>
      <c r="C504" s="73" t="str">
        <f ca="1">Проект!$C$1100</f>
        <v>руб.</v>
      </c>
      <c r="D504" s="48"/>
      <c r="E504" s="48"/>
      <c r="F504" s="106">
        <f>Проект!$F$1100</f>
        <v>1076160</v>
      </c>
      <c r="G504" s="106">
        <f>Проект!$G$1100</f>
        <v>665760</v>
      </c>
      <c r="H504" s="106">
        <f>Проект!$H$1100</f>
        <v>665760</v>
      </c>
      <c r="I504" s="106">
        <f>Проект!$I$1100</f>
        <v>665760</v>
      </c>
      <c r="J504" s="106">
        <f>Проект!$J$1100</f>
        <v>665760</v>
      </c>
      <c r="K504" s="106">
        <f>Проект!$K$1100</f>
        <v>665760</v>
      </c>
      <c r="L504" s="106">
        <f>Проект!$L$1100</f>
        <v>665760</v>
      </c>
      <c r="M504" s="106">
        <f>Проект!$M$1100</f>
        <v>665760</v>
      </c>
      <c r="N504" s="106" t="e">
        <f>Проект!#REF!</f>
        <v>#REF!</v>
      </c>
      <c r="O504" s="106" t="e">
        <f>Проект!#REF!</f>
        <v>#REF!</v>
      </c>
      <c r="P504" s="106" t="e">
        <f>Проект!#REF!</f>
        <v>#REF!</v>
      </c>
      <c r="Q504" s="106">
        <f>Проект!$Q$1100</f>
        <v>665760</v>
      </c>
      <c r="R504" s="106"/>
      <c r="S504" s="94">
        <f>Проект!$S$1100</f>
        <v>8399520</v>
      </c>
    </row>
    <row r="505" spans="1:19" hidden="1" x14ac:dyDescent="0.2">
      <c r="A505" s="48" t="str">
        <f ca="1">Проект!$A$1101</f>
        <v xml:space="preserve">    Земельный и другие налоги, относимые на текущие затраты</v>
      </c>
      <c r="B505" s="48"/>
      <c r="C505" s="73" t="str">
        <f ca="1">Проект!$C$1101</f>
        <v>руб.</v>
      </c>
      <c r="D505" s="48"/>
      <c r="E505" s="48"/>
      <c r="F505" s="106">
        <f>Проект!$F$1101</f>
        <v>0</v>
      </c>
      <c r="G505" s="106">
        <f>Проект!$G$1101</f>
        <v>0</v>
      </c>
      <c r="H505" s="106">
        <f>Проект!$H$1101</f>
        <v>0</v>
      </c>
      <c r="I505" s="106">
        <f>Проект!$I$1101</f>
        <v>0</v>
      </c>
      <c r="J505" s="106">
        <f>Проект!$J$1101</f>
        <v>0</v>
      </c>
      <c r="K505" s="106">
        <f>Проект!$K$1101</f>
        <v>0</v>
      </c>
      <c r="L505" s="106">
        <f>Проект!$L$1101</f>
        <v>0</v>
      </c>
      <c r="M505" s="106">
        <f>Проект!$M$1101</f>
        <v>0</v>
      </c>
      <c r="N505" s="106" t="e">
        <f>Проект!#REF!</f>
        <v>#REF!</v>
      </c>
      <c r="O505" s="106" t="e">
        <f>Проект!#REF!</f>
        <v>#REF!</v>
      </c>
      <c r="P505" s="106" t="e">
        <f>Проект!#REF!</f>
        <v>#REF!</v>
      </c>
      <c r="Q505" s="106">
        <f>Проект!$Q$1101</f>
        <v>0</v>
      </c>
      <c r="R505" s="106"/>
      <c r="S505" s="94">
        <f>Проект!$S$1101</f>
        <v>0</v>
      </c>
    </row>
    <row r="506" spans="1:19" hidden="1" x14ac:dyDescent="0.2">
      <c r="A506" s="48" t="str">
        <f ca="1">Проект!$A$1102</f>
        <v xml:space="preserve">    Производственные расходы</v>
      </c>
      <c r="B506" s="48"/>
      <c r="C506" s="73" t="str">
        <f ca="1">Проект!$C$1102</f>
        <v>руб.</v>
      </c>
      <c r="D506" s="48"/>
      <c r="E506" s="48"/>
      <c r="F506" s="84">
        <f>Проект!$F$1102</f>
        <v>1750000</v>
      </c>
      <c r="G506" s="84">
        <f>Проект!$G$1102</f>
        <v>1750000</v>
      </c>
      <c r="H506" s="84">
        <f>Проект!$H$1102</f>
        <v>1750000</v>
      </c>
      <c r="I506" s="84">
        <f>Проект!$I$1102</f>
        <v>1750000</v>
      </c>
      <c r="J506" s="84">
        <f>Проект!$J$1102</f>
        <v>1750000</v>
      </c>
      <c r="K506" s="84">
        <f>Проект!$K$1102</f>
        <v>1750000</v>
      </c>
      <c r="L506" s="84">
        <f>Проект!$L$1102</f>
        <v>1750000</v>
      </c>
      <c r="M506" s="84">
        <f>Проект!$M$1102</f>
        <v>1750000</v>
      </c>
      <c r="N506" s="84" t="e">
        <f>Проект!#REF!</f>
        <v>#REF!</v>
      </c>
      <c r="O506" s="84" t="e">
        <f>Проект!#REF!</f>
        <v>#REF!</v>
      </c>
      <c r="P506" s="84" t="e">
        <f>Проект!#REF!</f>
        <v>#REF!</v>
      </c>
      <c r="Q506" s="84">
        <f>Проект!$Q$1102</f>
        <v>1750000</v>
      </c>
      <c r="R506" s="106"/>
      <c r="S506" s="94">
        <f>Проект!$S$1102</f>
        <v>21000000</v>
      </c>
    </row>
    <row r="507" spans="1:19" hidden="1" x14ac:dyDescent="0.2">
      <c r="A507" s="48" t="str">
        <f ca="1">Проект!$A$1103</f>
        <v xml:space="preserve">        сумма без НДС</v>
      </c>
      <c r="B507" s="48"/>
      <c r="C507" s="73" t="str">
        <f ca="1">Проект!$C$1103</f>
        <v>руб.</v>
      </c>
      <c r="D507" s="48"/>
      <c r="E507" s="48"/>
      <c r="F507" s="84">
        <f>Проект!$F$1103</f>
        <v>1750000</v>
      </c>
      <c r="G507" s="84">
        <f>Проект!$G$1103</f>
        <v>1750000</v>
      </c>
      <c r="H507" s="84">
        <f>Проект!$H$1103</f>
        <v>1750000</v>
      </c>
      <c r="I507" s="84">
        <f>Проект!$I$1103</f>
        <v>1750000</v>
      </c>
      <c r="J507" s="84">
        <f>Проект!$J$1103</f>
        <v>1750000</v>
      </c>
      <c r="K507" s="84">
        <f>Проект!$K$1103</f>
        <v>1750000</v>
      </c>
      <c r="L507" s="84">
        <f>Проект!$L$1103</f>
        <v>1750000</v>
      </c>
      <c r="M507" s="84">
        <f>Проект!$M$1103</f>
        <v>1750000</v>
      </c>
      <c r="N507" s="84" t="e">
        <f>Проект!#REF!</f>
        <v>#REF!</v>
      </c>
      <c r="O507" s="84" t="e">
        <f>Проект!#REF!</f>
        <v>#REF!</v>
      </c>
      <c r="P507" s="84" t="e">
        <f>Проект!#REF!</f>
        <v>#REF!</v>
      </c>
      <c r="Q507" s="84">
        <f>Проект!$Q$1103</f>
        <v>1750000</v>
      </c>
      <c r="R507" s="106"/>
      <c r="S507" s="94">
        <f>Проект!$S$1103</f>
        <v>21000000</v>
      </c>
    </row>
    <row r="508" spans="1:19" hidden="1" x14ac:dyDescent="0.2">
      <c r="A508" s="48" t="str">
        <f ca="1">Проект!$A$1104</f>
        <v xml:space="preserve">        НДС</v>
      </c>
      <c r="B508" s="48"/>
      <c r="C508" s="73" t="str">
        <f ca="1">Проект!$C$1104</f>
        <v>руб.</v>
      </c>
      <c r="D508" s="48"/>
      <c r="E508" s="48"/>
      <c r="F508" s="106">
        <f>Проект!$F$1104</f>
        <v>0</v>
      </c>
      <c r="G508" s="106">
        <f>Проект!$G$1104</f>
        <v>0</v>
      </c>
      <c r="H508" s="106">
        <f>Проект!$H$1104</f>
        <v>0</v>
      </c>
      <c r="I508" s="106">
        <f>Проект!$I$1104</f>
        <v>0</v>
      </c>
      <c r="J508" s="106">
        <f>Проект!$J$1104</f>
        <v>0</v>
      </c>
      <c r="K508" s="106">
        <f>Проект!$K$1104</f>
        <v>0</v>
      </c>
      <c r="L508" s="106">
        <f>Проект!$L$1104</f>
        <v>0</v>
      </c>
      <c r="M508" s="106">
        <f>Проект!$M$1104</f>
        <v>0</v>
      </c>
      <c r="N508" s="106" t="e">
        <f>Проект!#REF!</f>
        <v>#REF!</v>
      </c>
      <c r="O508" s="106" t="e">
        <f>Проект!#REF!</f>
        <v>#REF!</v>
      </c>
      <c r="P508" s="106" t="e">
        <f>Проект!#REF!</f>
        <v>#REF!</v>
      </c>
      <c r="Q508" s="106">
        <f>Проект!$Q$1104</f>
        <v>0</v>
      </c>
      <c r="R508" s="106"/>
      <c r="S508" s="94">
        <f>Проект!$S$1104</f>
        <v>0</v>
      </c>
    </row>
    <row r="509" spans="1:19" hidden="1" x14ac:dyDescent="0.2">
      <c r="A509" s="48" t="str">
        <f ca="1">Проект!$A$1105</f>
        <v xml:space="preserve">    Административные расходы</v>
      </c>
      <c r="B509" s="48"/>
      <c r="C509" s="73" t="str">
        <f ca="1">Проект!$C$1105</f>
        <v>руб.</v>
      </c>
      <c r="D509" s="48"/>
      <c r="E509" s="48"/>
      <c r="F509" s="106">
        <f>Проект!$F$1105</f>
        <v>140000</v>
      </c>
      <c r="G509" s="106">
        <f>Проект!$G$1105</f>
        <v>140000</v>
      </c>
      <c r="H509" s="106">
        <f>Проект!$H$1105</f>
        <v>140000</v>
      </c>
      <c r="I509" s="106">
        <f>Проект!$I$1105</f>
        <v>140000</v>
      </c>
      <c r="J509" s="106">
        <f>Проект!$J$1105</f>
        <v>140000</v>
      </c>
      <c r="K509" s="106">
        <f>Проект!$K$1105</f>
        <v>140000</v>
      </c>
      <c r="L509" s="106">
        <f>Проект!$L$1105</f>
        <v>140000</v>
      </c>
      <c r="M509" s="106">
        <f>Проект!$M$1105</f>
        <v>140000</v>
      </c>
      <c r="N509" s="106" t="e">
        <f>Проект!#REF!</f>
        <v>#REF!</v>
      </c>
      <c r="O509" s="106" t="e">
        <f>Проект!#REF!</f>
        <v>#REF!</v>
      </c>
      <c r="P509" s="106" t="e">
        <f>Проект!#REF!</f>
        <v>#REF!</v>
      </c>
      <c r="Q509" s="106">
        <f>Проект!$Q$1105</f>
        <v>140000</v>
      </c>
      <c r="R509" s="106"/>
      <c r="S509" s="94">
        <f>Проект!$S$1105</f>
        <v>1680000</v>
      </c>
    </row>
    <row r="510" spans="1:19" hidden="1" x14ac:dyDescent="0.2">
      <c r="A510" s="48" t="str">
        <f ca="1">Проект!$A$1106</f>
        <v xml:space="preserve">        сумма без НДС</v>
      </c>
      <c r="B510" s="48"/>
      <c r="C510" s="73" t="str">
        <f ca="1">Проект!$C$1106</f>
        <v>руб.</v>
      </c>
      <c r="D510" s="48"/>
      <c r="E510" s="48"/>
      <c r="F510" s="84">
        <f>Проект!$F$1106</f>
        <v>140000</v>
      </c>
      <c r="G510" s="84">
        <f>Проект!$G$1106</f>
        <v>140000</v>
      </c>
      <c r="H510" s="84">
        <f>Проект!$H$1106</f>
        <v>140000</v>
      </c>
      <c r="I510" s="84">
        <f>Проект!$I$1106</f>
        <v>140000</v>
      </c>
      <c r="J510" s="84">
        <f>Проект!$J$1106</f>
        <v>140000</v>
      </c>
      <c r="K510" s="84">
        <f>Проект!$K$1106</f>
        <v>140000</v>
      </c>
      <c r="L510" s="84">
        <f>Проект!$L$1106</f>
        <v>140000</v>
      </c>
      <c r="M510" s="84">
        <f>Проект!$M$1106</f>
        <v>140000</v>
      </c>
      <c r="N510" s="84" t="e">
        <f>Проект!#REF!</f>
        <v>#REF!</v>
      </c>
      <c r="O510" s="84" t="e">
        <f>Проект!#REF!</f>
        <v>#REF!</v>
      </c>
      <c r="P510" s="84" t="e">
        <f>Проект!#REF!</f>
        <v>#REF!</v>
      </c>
      <c r="Q510" s="84">
        <f>Проект!$Q$1106</f>
        <v>140000</v>
      </c>
      <c r="R510" s="106"/>
      <c r="S510" s="94">
        <f>Проект!$S$1106</f>
        <v>1680000</v>
      </c>
    </row>
    <row r="511" spans="1:19" hidden="1" x14ac:dyDescent="0.2">
      <c r="A511" s="48" t="str">
        <f ca="1">Проект!$A$1107</f>
        <v xml:space="preserve">        НДС</v>
      </c>
      <c r="B511" s="48"/>
      <c r="C511" s="73" t="str">
        <f ca="1">Проект!$C$1107</f>
        <v>руб.</v>
      </c>
      <c r="D511" s="48"/>
      <c r="E511" s="48"/>
      <c r="F511" s="106">
        <f>Проект!$F$1107</f>
        <v>0</v>
      </c>
      <c r="G511" s="106">
        <f>Проект!$G$1107</f>
        <v>0</v>
      </c>
      <c r="H511" s="106">
        <f>Проект!$H$1107</f>
        <v>0</v>
      </c>
      <c r="I511" s="106">
        <f>Проект!$I$1107</f>
        <v>0</v>
      </c>
      <c r="J511" s="106">
        <f>Проект!$J$1107</f>
        <v>0</v>
      </c>
      <c r="K511" s="106">
        <f>Проект!$K$1107</f>
        <v>0</v>
      </c>
      <c r="L511" s="106">
        <f>Проект!$L$1107</f>
        <v>0</v>
      </c>
      <c r="M511" s="106">
        <f>Проект!$M$1107</f>
        <v>0</v>
      </c>
      <c r="N511" s="106" t="e">
        <f>Проект!#REF!</f>
        <v>#REF!</v>
      </c>
      <c r="O511" s="106" t="e">
        <f>Проект!#REF!</f>
        <v>#REF!</v>
      </c>
      <c r="P511" s="106" t="e">
        <f>Проект!#REF!</f>
        <v>#REF!</v>
      </c>
      <c r="Q511" s="106">
        <f>Проект!$Q$1107</f>
        <v>0</v>
      </c>
      <c r="R511" s="106"/>
      <c r="S511" s="94">
        <f>Проект!$S$1107</f>
        <v>0</v>
      </c>
    </row>
    <row r="512" spans="1:19" hidden="1" x14ac:dyDescent="0.2">
      <c r="A512" s="48" t="str">
        <f ca="1">Проект!$A$1108</f>
        <v xml:space="preserve">    Коммерческие расходы</v>
      </c>
      <c r="B512" s="48"/>
      <c r="C512" s="73" t="str">
        <f ca="1">Проект!$C$1108</f>
        <v>руб.</v>
      </c>
      <c r="D512" s="48"/>
      <c r="E512" s="48"/>
      <c r="F512" s="106">
        <f>Проект!$F$1108</f>
        <v>0</v>
      </c>
      <c r="G512" s="106">
        <f>Проект!$G$1108</f>
        <v>0</v>
      </c>
      <c r="H512" s="106">
        <f>Проект!$H$1108</f>
        <v>0</v>
      </c>
      <c r="I512" s="106">
        <f>Проект!$I$1108</f>
        <v>0</v>
      </c>
      <c r="J512" s="106">
        <f>Проект!$J$1108</f>
        <v>0</v>
      </c>
      <c r="K512" s="106">
        <f>Проект!$K$1108</f>
        <v>0</v>
      </c>
      <c r="L512" s="106">
        <f>Проект!$L$1108</f>
        <v>0</v>
      </c>
      <c r="M512" s="106">
        <f>Проект!$M$1108</f>
        <v>0</v>
      </c>
      <c r="N512" s="106" t="e">
        <f>Проект!#REF!</f>
        <v>#REF!</v>
      </c>
      <c r="O512" s="106" t="e">
        <f>Проект!#REF!</f>
        <v>#REF!</v>
      </c>
      <c r="P512" s="106" t="e">
        <f>Проект!#REF!</f>
        <v>#REF!</v>
      </c>
      <c r="Q512" s="106">
        <f>Проект!$Q$1108</f>
        <v>0</v>
      </c>
      <c r="R512" s="106"/>
      <c r="S512" s="94">
        <f>Проект!$S$1108</f>
        <v>0</v>
      </c>
    </row>
    <row r="513" spans="1:19" hidden="1" x14ac:dyDescent="0.2">
      <c r="A513" s="48" t="str">
        <f ca="1">Проект!$A$1109</f>
        <v xml:space="preserve">        сумма без НДС</v>
      </c>
      <c r="B513" s="48"/>
      <c r="C513" s="73" t="str">
        <f ca="1">Проект!$C$1109</f>
        <v>руб.</v>
      </c>
      <c r="D513" s="48"/>
      <c r="E513" s="48"/>
      <c r="F513" s="84">
        <f>Проект!$F$1109</f>
        <v>0</v>
      </c>
      <c r="G513" s="84">
        <f>Проект!$G$1109</f>
        <v>0</v>
      </c>
      <c r="H513" s="84">
        <f>Проект!$H$1109</f>
        <v>0</v>
      </c>
      <c r="I513" s="84">
        <f>Проект!$I$1109</f>
        <v>0</v>
      </c>
      <c r="J513" s="84">
        <f>Проект!$J$1109</f>
        <v>0</v>
      </c>
      <c r="K513" s="84">
        <f>Проект!$K$1109</f>
        <v>0</v>
      </c>
      <c r="L513" s="84">
        <f>Проект!$L$1109</f>
        <v>0</v>
      </c>
      <c r="M513" s="84">
        <f>Проект!$M$1109</f>
        <v>0</v>
      </c>
      <c r="N513" s="84" t="e">
        <f>Проект!#REF!</f>
        <v>#REF!</v>
      </c>
      <c r="O513" s="84" t="e">
        <f>Проект!#REF!</f>
        <v>#REF!</v>
      </c>
      <c r="P513" s="84" t="e">
        <f>Проект!#REF!</f>
        <v>#REF!</v>
      </c>
      <c r="Q513" s="84">
        <f>Проект!$Q$1109</f>
        <v>0</v>
      </c>
      <c r="R513" s="106"/>
      <c r="S513" s="94">
        <f>Проект!$S$1109</f>
        <v>0</v>
      </c>
    </row>
    <row r="514" spans="1:19" hidden="1" x14ac:dyDescent="0.2">
      <c r="A514" s="48" t="str">
        <f ca="1">Проект!$A$1110</f>
        <v xml:space="preserve">        НДС</v>
      </c>
      <c r="B514" s="48"/>
      <c r="C514" s="73" t="str">
        <f ca="1">Проект!$C$1110</f>
        <v>руб.</v>
      </c>
      <c r="D514" s="48"/>
      <c r="E514" s="48"/>
      <c r="F514" s="106">
        <f>Проект!$F$1110</f>
        <v>0</v>
      </c>
      <c r="G514" s="106">
        <f>Проект!$G$1110</f>
        <v>0</v>
      </c>
      <c r="H514" s="106">
        <f>Проект!$H$1110</f>
        <v>0</v>
      </c>
      <c r="I514" s="106">
        <f>Проект!$I$1110</f>
        <v>0</v>
      </c>
      <c r="J514" s="106">
        <f>Проект!$J$1110</f>
        <v>0</v>
      </c>
      <c r="K514" s="106">
        <f>Проект!$K$1110</f>
        <v>0</v>
      </c>
      <c r="L514" s="106">
        <f>Проект!$L$1110</f>
        <v>0</v>
      </c>
      <c r="M514" s="106">
        <f>Проект!$M$1110</f>
        <v>0</v>
      </c>
      <c r="N514" s="106" t="e">
        <f>Проект!#REF!</f>
        <v>#REF!</v>
      </c>
      <c r="O514" s="106" t="e">
        <f>Проект!#REF!</f>
        <v>#REF!</v>
      </c>
      <c r="P514" s="106" t="e">
        <f>Проект!#REF!</f>
        <v>#REF!</v>
      </c>
      <c r="Q514" s="106">
        <f>Проект!$Q$1110</f>
        <v>0</v>
      </c>
      <c r="R514" s="106"/>
      <c r="S514" s="94">
        <f>Проект!$S$1110</f>
        <v>0</v>
      </c>
    </row>
    <row r="517" spans="1:19" ht="16" customHeight="1" thickBot="1" x14ac:dyDescent="0.25">
      <c r="A517" s="166" t="str">
        <f ca="1">Проект!$A$1113</f>
        <v xml:space="preserve">         ОБОРОТНЫЙ КАПИТАЛ</v>
      </c>
      <c r="B517" s="166"/>
      <c r="C517" s="166"/>
      <c r="D517" s="166"/>
      <c r="E517" s="166"/>
      <c r="F517" s="178" t="str">
        <f>Проект!$F$1113</f>
        <v>4/ 2024</v>
      </c>
      <c r="G517" s="178" t="str">
        <f>Проект!$G$1113</f>
        <v>5/ 2024</v>
      </c>
      <c r="H517" s="178" t="str">
        <f>Проект!$H$1113</f>
        <v>6/ 2024</v>
      </c>
      <c r="I517" s="178" t="str">
        <f>Проект!$I$1113</f>
        <v>7/ 2024</v>
      </c>
      <c r="J517" s="178" t="str">
        <f>Проект!$J$1113</f>
        <v>8/ 2024</v>
      </c>
      <c r="K517" s="178" t="str">
        <f>Проект!$K$1113</f>
        <v>9/ 2024</v>
      </c>
      <c r="L517" s="178" t="str">
        <f>Проект!$L$1113</f>
        <v>10/ 2024</v>
      </c>
      <c r="M517" s="178" t="str">
        <f>Проект!$M$1113</f>
        <v>11/ 2024</v>
      </c>
      <c r="N517" s="178" t="e">
        <f>Проект!#REF!</f>
        <v>#REF!</v>
      </c>
      <c r="O517" s="178" t="e">
        <f>Проект!#REF!</f>
        <v>#REF!</v>
      </c>
      <c r="P517" s="178" t="e">
        <f>Проект!#REF!</f>
        <v>#REF!</v>
      </c>
      <c r="Q517" s="178" t="str">
        <f>Проект!$Q$1113</f>
        <v>3/ 2025</v>
      </c>
      <c r="R517" s="178"/>
      <c r="S517" s="195" t="str">
        <f ca="1">Проект!$S$1113</f>
        <v>ИТОГО</v>
      </c>
    </row>
    <row r="518" spans="1:19" ht="12" customHeight="1" thickTop="1" x14ac:dyDescent="0.2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1"/>
    </row>
    <row r="519" spans="1:19" ht="11.25" customHeight="1" x14ac:dyDescent="0.25">
      <c r="A519" s="130" t="str">
        <f ca="1">Проект!$A$1115</f>
        <v>ЗАПАСЫ</v>
      </c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1"/>
    </row>
    <row r="520" spans="1:19" ht="11.25" customHeight="1" x14ac:dyDescent="0.2">
      <c r="A520" s="48" t="str">
        <f ca="1">Проект!$A$1116</f>
        <v>Запасы сырья и материалов</v>
      </c>
      <c r="B520" s="48"/>
      <c r="C520" s="73" t="str">
        <f ca="1">Проект!$C$1116</f>
        <v>руб.</v>
      </c>
      <c r="D520" s="101" t="str">
        <f>Проект!$D$1116</f>
        <v>int_end</v>
      </c>
      <c r="E520" s="84">
        <f>Проект!$E$1116</f>
        <v>0</v>
      </c>
      <c r="F520" s="84">
        <f>Проект!$F$1116</f>
        <v>0</v>
      </c>
      <c r="G520" s="84">
        <f>Проект!$G$1116</f>
        <v>0</v>
      </c>
      <c r="H520" s="84">
        <f>Проект!$H$1116</f>
        <v>0</v>
      </c>
      <c r="I520" s="84">
        <f>Проект!$I$1116</f>
        <v>0</v>
      </c>
      <c r="J520" s="84">
        <f>Проект!$J$1116</f>
        <v>0</v>
      </c>
      <c r="K520" s="84">
        <f>Проект!$K$1116</f>
        <v>0</v>
      </c>
      <c r="L520" s="84">
        <f>Проект!$L$1116</f>
        <v>0</v>
      </c>
      <c r="M520" s="84">
        <f>Проект!$M$1116</f>
        <v>0</v>
      </c>
      <c r="N520" s="84" t="e">
        <f>Проект!#REF!</f>
        <v>#REF!</v>
      </c>
      <c r="O520" s="84" t="e">
        <f>Проект!#REF!</f>
        <v>#REF!</v>
      </c>
      <c r="P520" s="84" t="e">
        <f>Проект!#REF!</f>
        <v>#REF!</v>
      </c>
      <c r="Q520" s="84">
        <f>Проект!$Q$1116</f>
        <v>0</v>
      </c>
      <c r="R520" s="48"/>
      <c r="S520" s="41"/>
    </row>
    <row r="521" spans="1:19" ht="11.25" customHeight="1" x14ac:dyDescent="0.2">
      <c r="A521" s="48" t="str">
        <f ca="1">Проект!$A$1117</f>
        <v xml:space="preserve">    среднее время хранения</v>
      </c>
      <c r="B521" s="348">
        <f>Проект!$B$1117</f>
        <v>0</v>
      </c>
      <c r="C521" s="73" t="str">
        <f ca="1">Проект!$C$1117</f>
        <v>дн.</v>
      </c>
      <c r="D521" s="101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1"/>
    </row>
    <row r="522" spans="1:19" hidden="1" x14ac:dyDescent="0.2">
      <c r="A522" s="48" t="str">
        <f ca="1">Проект!$A$1118</f>
        <v xml:space="preserve">    запасы на основе периодов оборота</v>
      </c>
      <c r="B522" s="50"/>
      <c r="C522" s="73" t="str">
        <f ca="1">Проект!$C$1118</f>
        <v>руб.</v>
      </c>
      <c r="D522" s="101" t="str">
        <f>Проект!$D$1118</f>
        <v>int_end</v>
      </c>
      <c r="E522" s="48">
        <f>Проект!$E$1118</f>
        <v>0</v>
      </c>
      <c r="F522" s="106">
        <f>Проект!$F$1118</f>
        <v>0</v>
      </c>
      <c r="G522" s="106">
        <f>Проект!$G$1118</f>
        <v>0</v>
      </c>
      <c r="H522" s="106">
        <f>Проект!$H$1118</f>
        <v>0</v>
      </c>
      <c r="I522" s="106">
        <f>Проект!$I$1118</f>
        <v>0</v>
      </c>
      <c r="J522" s="106">
        <f>Проект!$J$1118</f>
        <v>0</v>
      </c>
      <c r="K522" s="106">
        <f>Проект!$K$1118</f>
        <v>0</v>
      </c>
      <c r="L522" s="106">
        <f>Проект!$L$1118</f>
        <v>0</v>
      </c>
      <c r="M522" s="106">
        <f>Проект!$M$1118</f>
        <v>0</v>
      </c>
      <c r="N522" s="106" t="e">
        <f>Проект!#REF!</f>
        <v>#REF!</v>
      </c>
      <c r="O522" s="106" t="e">
        <f>Проект!#REF!</f>
        <v>#REF!</v>
      </c>
      <c r="P522" s="106" t="e">
        <f>Проект!#REF!</f>
        <v>#REF!</v>
      </c>
      <c r="Q522" s="106">
        <f>Проект!$Q$1118</f>
        <v>0</v>
      </c>
      <c r="R522" s="48"/>
      <c r="S522" s="41"/>
    </row>
    <row r="523" spans="1:19" hidden="1" x14ac:dyDescent="0.2">
      <c r="A523" s="48" t="str">
        <f ca="1">Проект!$A$1119</f>
        <v xml:space="preserve">    запасы на основе графика оплаты</v>
      </c>
      <c r="B523" s="50"/>
      <c r="C523" s="73" t="str">
        <f ca="1">Проект!$C$1119</f>
        <v>руб.</v>
      </c>
      <c r="D523" s="101" t="str">
        <f>Проект!$D$1119</f>
        <v>int_end</v>
      </c>
      <c r="E523" s="48"/>
      <c r="F523" s="106">
        <f>Проект!$F$1119</f>
        <v>0</v>
      </c>
      <c r="G523" s="106">
        <f>Проект!$G$1119</f>
        <v>0</v>
      </c>
      <c r="H523" s="106">
        <f>Проект!$H$1119</f>
        <v>0</v>
      </c>
      <c r="I523" s="106">
        <f>Проект!$I$1119</f>
        <v>0</v>
      </c>
      <c r="J523" s="106">
        <f>Проект!$J$1119</f>
        <v>0</v>
      </c>
      <c r="K523" s="106">
        <f>Проект!$K$1119</f>
        <v>0</v>
      </c>
      <c r="L523" s="106">
        <f>Проект!$L$1119</f>
        <v>0</v>
      </c>
      <c r="M523" s="106">
        <f>Проект!$M$1119</f>
        <v>0</v>
      </c>
      <c r="N523" s="106" t="e">
        <f>Проект!#REF!</f>
        <v>#REF!</v>
      </c>
      <c r="O523" s="106" t="e">
        <f>Проект!#REF!</f>
        <v>#REF!</v>
      </c>
      <c r="P523" s="106" t="e">
        <f>Проект!#REF!</f>
        <v>#REF!</v>
      </c>
      <c r="Q523" s="106">
        <f>Проект!$Q$1119</f>
        <v>0</v>
      </c>
      <c r="R523" s="48"/>
      <c r="S523" s="41"/>
    </row>
    <row r="524" spans="1:19" ht="11.25" customHeight="1" x14ac:dyDescent="0.2">
      <c r="A524" s="48" t="str">
        <f ca="1">Проект!$A$1120</f>
        <v>Незавершенное производство</v>
      </c>
      <c r="B524" s="50"/>
      <c r="C524" s="73" t="str">
        <f ca="1">Проект!$C$1120</f>
        <v>руб.</v>
      </c>
      <c r="D524" s="101" t="str">
        <f>Проект!$D$1120</f>
        <v>int_end</v>
      </c>
      <c r="E524" s="84">
        <f>Проект!$E$1120</f>
        <v>0</v>
      </c>
      <c r="F524" s="84">
        <f>Проект!$F$1120</f>
        <v>0</v>
      </c>
      <c r="G524" s="84">
        <f>Проект!$G$1120</f>
        <v>0</v>
      </c>
      <c r="H524" s="84">
        <f>Проект!$H$1120</f>
        <v>26.6175</v>
      </c>
      <c r="I524" s="84">
        <f>Проект!$I$1120</f>
        <v>133.08750000000001</v>
      </c>
      <c r="J524" s="84">
        <f>Проект!$J$1120</f>
        <v>266.17500000000001</v>
      </c>
      <c r="K524" s="84">
        <f>Проект!$K$1120</f>
        <v>532.35</v>
      </c>
      <c r="L524" s="84">
        <f>Проект!$L$1120</f>
        <v>798.52499999999998</v>
      </c>
      <c r="M524" s="84">
        <f>Проект!$M$1120</f>
        <v>1064.7</v>
      </c>
      <c r="N524" s="84" t="e">
        <f>Проект!#REF!</f>
        <v>#REF!</v>
      </c>
      <c r="O524" s="84" t="e">
        <f>Проект!#REF!</f>
        <v>#REF!</v>
      </c>
      <c r="P524" s="84" t="e">
        <f>Проект!#REF!</f>
        <v>#REF!</v>
      </c>
      <c r="Q524" s="84">
        <f>Проект!$Q$1120</f>
        <v>2661.7500000000005</v>
      </c>
      <c r="R524" s="48"/>
      <c r="S524" s="41"/>
    </row>
    <row r="525" spans="1:19" ht="11.25" customHeight="1" x14ac:dyDescent="0.2">
      <c r="A525" s="48" t="str">
        <f ca="1">Проект!$A$1121</f>
        <v xml:space="preserve">    длительность производственного цикла</v>
      </c>
      <c r="B525" s="348">
        <f>Проект!$B$1121</f>
        <v>60</v>
      </c>
      <c r="C525" s="73" t="str">
        <f ca="1">Проект!$C$1121</f>
        <v>дн.</v>
      </c>
      <c r="D525" s="101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1"/>
    </row>
    <row r="526" spans="1:19" hidden="1" x14ac:dyDescent="0.2">
      <c r="A526" s="48" t="str">
        <f ca="1">Проект!$A$1122</f>
        <v xml:space="preserve">    запасы на основе периодов оборота</v>
      </c>
      <c r="B526" s="50"/>
      <c r="C526" s="73" t="str">
        <f ca="1">Проект!$C$1122</f>
        <v>руб.</v>
      </c>
      <c r="D526" s="101" t="str">
        <f>Проект!$D$1122</f>
        <v>int_end</v>
      </c>
      <c r="E526" s="48">
        <f>Проект!$E$1122</f>
        <v>0</v>
      </c>
      <c r="F526" s="106">
        <f>Проект!$F$1122</f>
        <v>0</v>
      </c>
      <c r="G526" s="106">
        <f>Проект!$G$1122</f>
        <v>0</v>
      </c>
      <c r="H526" s="106">
        <f>Проект!$H$1122</f>
        <v>26.6175</v>
      </c>
      <c r="I526" s="106">
        <f>Проект!$I$1122</f>
        <v>133.08750000000001</v>
      </c>
      <c r="J526" s="106">
        <f>Проект!$J$1122</f>
        <v>266.17500000000001</v>
      </c>
      <c r="K526" s="106">
        <f>Проект!$K$1122</f>
        <v>532.35</v>
      </c>
      <c r="L526" s="106">
        <f>Проект!$L$1122</f>
        <v>798.52499999999998</v>
      </c>
      <c r="M526" s="106">
        <f>Проект!$M$1122</f>
        <v>1064.7</v>
      </c>
      <c r="N526" s="106" t="e">
        <f>Проект!#REF!</f>
        <v>#REF!</v>
      </c>
      <c r="O526" s="106" t="e">
        <f>Проект!#REF!</f>
        <v>#REF!</v>
      </c>
      <c r="P526" s="106" t="e">
        <f>Проект!#REF!</f>
        <v>#REF!</v>
      </c>
      <c r="Q526" s="106">
        <f>Проект!$Q$1122</f>
        <v>2661.7500000000005</v>
      </c>
      <c r="R526" s="48"/>
      <c r="S526" s="41"/>
    </row>
    <row r="527" spans="1:19" hidden="1" x14ac:dyDescent="0.2">
      <c r="A527" s="48" t="str">
        <f ca="1">Проект!$A$1123</f>
        <v xml:space="preserve">    запасы на основе графика оплаты</v>
      </c>
      <c r="B527" s="50"/>
      <c r="C527" s="73" t="str">
        <f ca="1">Проект!$C$1123</f>
        <v>руб.</v>
      </c>
      <c r="D527" s="101" t="str">
        <f>Проект!$D$1123</f>
        <v>int_end</v>
      </c>
      <c r="E527" s="48"/>
      <c r="F527" s="106">
        <f>Проект!$F$1123</f>
        <v>0</v>
      </c>
      <c r="G527" s="106">
        <f>Проект!$G$1123</f>
        <v>0</v>
      </c>
      <c r="H527" s="106">
        <f>Проект!$H$1123</f>
        <v>0</v>
      </c>
      <c r="I527" s="106">
        <f>Проект!$I$1123</f>
        <v>0</v>
      </c>
      <c r="J527" s="106">
        <f>Проект!$J$1123</f>
        <v>0</v>
      </c>
      <c r="K527" s="106">
        <f>Проект!$K$1123</f>
        <v>0</v>
      </c>
      <c r="L527" s="106">
        <f>Проект!$L$1123</f>
        <v>0</v>
      </c>
      <c r="M527" s="106">
        <f>Проект!$M$1123</f>
        <v>0</v>
      </c>
      <c r="N527" s="106" t="e">
        <f>Проект!#REF!</f>
        <v>#REF!</v>
      </c>
      <c r="O527" s="106" t="e">
        <f>Проект!#REF!</f>
        <v>#REF!</v>
      </c>
      <c r="P527" s="106" t="e">
        <f>Проект!#REF!</f>
        <v>#REF!</v>
      </c>
      <c r="Q527" s="106">
        <f>Проект!$Q$1123</f>
        <v>0</v>
      </c>
      <c r="R527" s="48"/>
      <c r="S527" s="41"/>
    </row>
    <row r="528" spans="1:19" ht="11.25" customHeight="1" x14ac:dyDescent="0.2">
      <c r="A528" s="48" t="str">
        <f ca="1">Проект!$A$1124</f>
        <v>Запасы готовой продукции</v>
      </c>
      <c r="B528" s="50"/>
      <c r="C528" s="73" t="str">
        <f ca="1">Проект!$C$1124</f>
        <v>руб.</v>
      </c>
      <c r="D528" s="101" t="str">
        <f>Проект!$D$1124</f>
        <v>int_end</v>
      </c>
      <c r="E528" s="84">
        <f>Проект!$E$1124</f>
        <v>0</v>
      </c>
      <c r="F528" s="84">
        <f>Проект!$F$1124</f>
        <v>0</v>
      </c>
      <c r="G528" s="84">
        <f>Проект!$G$1124</f>
        <v>0</v>
      </c>
      <c r="H528" s="84">
        <f>Проект!$H$1124</f>
        <v>0</v>
      </c>
      <c r="I528" s="84">
        <f>Проект!$I$1124</f>
        <v>0</v>
      </c>
      <c r="J528" s="84">
        <f>Проект!$J$1124</f>
        <v>0</v>
      </c>
      <c r="K528" s="84">
        <f>Проект!$K$1124</f>
        <v>0</v>
      </c>
      <c r="L528" s="84">
        <f>Проект!$L$1124</f>
        <v>0</v>
      </c>
      <c r="M528" s="84">
        <f>Проект!$M$1124</f>
        <v>0</v>
      </c>
      <c r="N528" s="84" t="e">
        <f>Проект!#REF!</f>
        <v>#REF!</v>
      </c>
      <c r="O528" s="84" t="e">
        <f>Проект!#REF!</f>
        <v>#REF!</v>
      </c>
      <c r="P528" s="84" t="e">
        <f>Проект!#REF!</f>
        <v>#REF!</v>
      </c>
      <c r="Q528" s="84">
        <f>Проект!$Q$1124</f>
        <v>0</v>
      </c>
      <c r="R528" s="48"/>
      <c r="S528" s="41"/>
    </row>
    <row r="529" spans="1:19" ht="11.25" customHeight="1" x14ac:dyDescent="0.2">
      <c r="A529" s="45" t="str">
        <f ca="1">Проект!$A$1125</f>
        <v xml:space="preserve">    среднее время хранения</v>
      </c>
      <c r="B529" s="362">
        <f>Проект!$B$1125</f>
        <v>0</v>
      </c>
      <c r="C529" s="100" t="str">
        <f ca="1">Проект!$C$1125</f>
        <v>дн.</v>
      </c>
      <c r="D529" s="74"/>
      <c r="E529" s="45"/>
      <c r="F529" s="102"/>
      <c r="G529" s="102"/>
      <c r="H529" s="102"/>
      <c r="I529" s="102"/>
      <c r="J529" s="102"/>
      <c r="K529" s="102"/>
      <c r="L529" s="102"/>
      <c r="M529" s="102"/>
      <c r="N529" s="102"/>
      <c r="O529" s="102"/>
      <c r="P529" s="102"/>
      <c r="Q529" s="102"/>
      <c r="R529" s="45"/>
      <c r="S529" s="77"/>
    </row>
    <row r="530" spans="1:19" hidden="1" x14ac:dyDescent="0.2">
      <c r="A530" s="45" t="str">
        <f ca="1">Проект!$A$1126</f>
        <v xml:space="preserve">    запасы на основе периодов оборота</v>
      </c>
      <c r="B530" s="148"/>
      <c r="C530" s="73" t="str">
        <f ca="1">Проект!$C$1126</f>
        <v>руб.</v>
      </c>
      <c r="D530" s="101" t="str">
        <f>Проект!$D$1126</f>
        <v>int_end</v>
      </c>
      <c r="E530" s="45">
        <f>Проект!$E$1126</f>
        <v>0</v>
      </c>
      <c r="F530" s="102">
        <f>Проект!$F$1126</f>
        <v>0</v>
      </c>
      <c r="G530" s="102">
        <f>Проект!$G$1126</f>
        <v>0</v>
      </c>
      <c r="H530" s="102">
        <f>Проект!$H$1126</f>
        <v>0</v>
      </c>
      <c r="I530" s="102">
        <f>Проект!$I$1126</f>
        <v>0</v>
      </c>
      <c r="J530" s="102">
        <f>Проект!$J$1126</f>
        <v>0</v>
      </c>
      <c r="K530" s="102">
        <f>Проект!$K$1126</f>
        <v>0</v>
      </c>
      <c r="L530" s="102">
        <f>Проект!$L$1126</f>
        <v>0</v>
      </c>
      <c r="M530" s="102">
        <f>Проект!$M$1126</f>
        <v>0</v>
      </c>
      <c r="N530" s="102" t="e">
        <f>Проект!#REF!</f>
        <v>#REF!</v>
      </c>
      <c r="O530" s="102" t="e">
        <f>Проект!#REF!</f>
        <v>#REF!</v>
      </c>
      <c r="P530" s="102" t="e">
        <f>Проект!#REF!</f>
        <v>#REF!</v>
      </c>
      <c r="Q530" s="102">
        <f>Проект!$Q$1126</f>
        <v>0</v>
      </c>
      <c r="R530" s="45"/>
      <c r="S530" s="77"/>
    </row>
    <row r="531" spans="1:19" hidden="1" x14ac:dyDescent="0.2">
      <c r="A531" s="45" t="str">
        <f ca="1">Проект!$A$1127</f>
        <v xml:space="preserve">    запасы на основе графика оплаты</v>
      </c>
      <c r="B531" s="50"/>
      <c r="C531" s="73" t="str">
        <f ca="1">Проект!$C$1127</f>
        <v>руб.</v>
      </c>
      <c r="D531" s="101" t="str">
        <f>Проект!$D$1127</f>
        <v>int_end</v>
      </c>
      <c r="E531" s="45"/>
      <c r="F531" s="102">
        <f>Проект!$F$1127</f>
        <v>0</v>
      </c>
      <c r="G531" s="102">
        <f>Проект!$G$1127</f>
        <v>0</v>
      </c>
      <c r="H531" s="102">
        <f>Проект!$H$1127</f>
        <v>0</v>
      </c>
      <c r="I531" s="102">
        <f>Проект!$I$1127</f>
        <v>0</v>
      </c>
      <c r="J531" s="102">
        <f>Проект!$J$1127</f>
        <v>0</v>
      </c>
      <c r="K531" s="102">
        <f>Проект!$K$1127</f>
        <v>0</v>
      </c>
      <c r="L531" s="102">
        <f>Проект!$L$1127</f>
        <v>0</v>
      </c>
      <c r="M531" s="102">
        <f>Проект!$M$1127</f>
        <v>0</v>
      </c>
      <c r="N531" s="102" t="e">
        <f>Проект!#REF!</f>
        <v>#REF!</v>
      </c>
      <c r="O531" s="102" t="e">
        <f>Проект!#REF!</f>
        <v>#REF!</v>
      </c>
      <c r="P531" s="102" t="e">
        <f>Проект!#REF!</f>
        <v>#REF!</v>
      </c>
      <c r="Q531" s="102">
        <f>Проект!$Q$1127</f>
        <v>0</v>
      </c>
      <c r="R531" s="45"/>
      <c r="S531" s="77"/>
    </row>
    <row r="532" spans="1:19" ht="11.25" customHeight="1" x14ac:dyDescent="0.2">
      <c r="A532" s="76"/>
      <c r="B532" s="76"/>
      <c r="C532" s="76"/>
      <c r="D532" s="363"/>
      <c r="E532" s="76"/>
      <c r="F532" s="364"/>
      <c r="G532" s="364"/>
      <c r="H532" s="364"/>
      <c r="I532" s="364"/>
      <c r="J532" s="364"/>
      <c r="K532" s="364"/>
      <c r="L532" s="364"/>
      <c r="M532" s="364"/>
      <c r="N532" s="364"/>
      <c r="O532" s="364"/>
      <c r="P532" s="364"/>
      <c r="Q532" s="364"/>
      <c r="R532" s="76"/>
      <c r="S532" s="359"/>
    </row>
    <row r="533" spans="1:19" ht="11.25" customHeight="1" x14ac:dyDescent="0.25">
      <c r="A533" s="125" t="str">
        <f ca="1">Проект!$A$1129</f>
        <v>РАСЧЕТЫ С ПОКУПАТЕЛЯМИ</v>
      </c>
      <c r="B533" s="45"/>
      <c r="C533" s="45"/>
      <c r="D533" s="74"/>
      <c r="E533" s="45"/>
      <c r="F533" s="102"/>
      <c r="G533" s="102"/>
      <c r="H533" s="102"/>
      <c r="I533" s="102"/>
      <c r="J533" s="102"/>
      <c r="K533" s="102"/>
      <c r="L533" s="102"/>
      <c r="M533" s="102"/>
      <c r="N533" s="102"/>
      <c r="O533" s="102"/>
      <c r="P533" s="102"/>
      <c r="Q533" s="102"/>
      <c r="R533" s="45"/>
      <c r="S533" s="77"/>
    </row>
    <row r="534" spans="1:19" ht="11.25" customHeight="1" x14ac:dyDescent="0.2">
      <c r="A534" s="48" t="str">
        <f ca="1">Проект!$A$1130</f>
        <v>Поступления денег от продаж:</v>
      </c>
      <c r="B534" s="197" t="str">
        <f ca="1">Проект!$B$1130</f>
        <v>доля</v>
      </c>
      <c r="C534" s="197" t="str">
        <f ca="1">Проект!$C$1130</f>
        <v>срок, дн.</v>
      </c>
      <c r="D534" s="101"/>
      <c r="E534" s="48"/>
      <c r="F534" s="106"/>
      <c r="G534" s="106"/>
      <c r="H534" s="106"/>
      <c r="I534" s="106"/>
      <c r="J534" s="106"/>
      <c r="K534" s="106"/>
      <c r="L534" s="106"/>
      <c r="M534" s="106"/>
      <c r="N534" s="106"/>
      <c r="O534" s="106"/>
      <c r="P534" s="106"/>
      <c r="Q534" s="106"/>
      <c r="R534" s="48"/>
      <c r="S534" s="41"/>
    </row>
    <row r="535" spans="1:19" ht="11.25" customHeight="1" x14ac:dyDescent="0.2">
      <c r="A535" s="48" t="str">
        <f ca="1">Проект!$A$1131</f>
        <v xml:space="preserve">    немедленная оплата</v>
      </c>
      <c r="B535" s="81">
        <f>Проект!$B$1131</f>
        <v>1</v>
      </c>
      <c r="C535" s="50" t="str">
        <f>Проект!$C$1131</f>
        <v>-</v>
      </c>
      <c r="D535" s="101"/>
      <c r="E535" s="48"/>
      <c r="F535" s="106"/>
      <c r="G535" s="106"/>
      <c r="H535" s="106"/>
      <c r="I535" s="106"/>
      <c r="J535" s="106"/>
      <c r="K535" s="106"/>
      <c r="L535" s="106"/>
      <c r="M535" s="106"/>
      <c r="N535" s="106"/>
      <c r="O535" s="106"/>
      <c r="P535" s="106"/>
      <c r="Q535" s="106"/>
      <c r="R535" s="48"/>
      <c r="S535" s="41"/>
    </row>
    <row r="536" spans="1:19" ht="11.25" customHeight="1" x14ac:dyDescent="0.2">
      <c r="A536" s="48" t="str">
        <f ca="1">Проект!$A$1132</f>
        <v xml:space="preserve">    продажи с предоплатой</v>
      </c>
      <c r="B536" s="358">
        <f>Проект!$B$1132</f>
        <v>1</v>
      </c>
      <c r="C536" s="348">
        <f>Проект!$C$1132</f>
        <v>0</v>
      </c>
      <c r="D536" s="101"/>
      <c r="E536" s="48"/>
      <c r="F536" s="106"/>
      <c r="G536" s="106"/>
      <c r="H536" s="106"/>
      <c r="I536" s="106"/>
      <c r="J536" s="106"/>
      <c r="K536" s="106"/>
      <c r="L536" s="106"/>
      <c r="M536" s="106"/>
      <c r="N536" s="106"/>
      <c r="O536" s="106"/>
      <c r="P536" s="106"/>
      <c r="Q536" s="106"/>
      <c r="R536" s="48"/>
      <c r="S536" s="41"/>
    </row>
    <row r="537" spans="1:19" ht="11.25" customHeight="1" x14ac:dyDescent="0.2">
      <c r="A537" s="48" t="str">
        <f ca="1">Проект!$A$1133</f>
        <v xml:space="preserve">    продажи в кредит</v>
      </c>
      <c r="B537" s="358">
        <f>Проект!$B$1133</f>
        <v>0</v>
      </c>
      <c r="C537" s="348">
        <f>Проект!$C$1133</f>
        <v>60</v>
      </c>
      <c r="D537" s="101"/>
      <c r="E537" s="48"/>
      <c r="F537" s="106"/>
      <c r="G537" s="106"/>
      <c r="H537" s="106"/>
      <c r="I537" s="106"/>
      <c r="J537" s="106"/>
      <c r="K537" s="106"/>
      <c r="L537" s="106"/>
      <c r="M537" s="106"/>
      <c r="N537" s="106"/>
      <c r="O537" s="106"/>
      <c r="P537" s="106"/>
      <c r="Q537" s="106"/>
      <c r="R537" s="48"/>
      <c r="S537" s="41"/>
    </row>
    <row r="538" spans="1:19" ht="11.25" customHeight="1" x14ac:dyDescent="0.2">
      <c r="A538" s="48" t="str">
        <f ca="1">Проект!$A$1134</f>
        <v>Сумма счетов к получению</v>
      </c>
      <c r="B538" s="48"/>
      <c r="C538" s="73" t="str">
        <f ca="1">Проект!$C$1134</f>
        <v>руб.</v>
      </c>
      <c r="D538" s="101" t="str">
        <f>Проект!$D$1134</f>
        <v>int_end</v>
      </c>
      <c r="E538" s="106">
        <f>Проект!$E$1134</f>
        <v>0</v>
      </c>
      <c r="F538" s="106">
        <f>Проект!$F$1134</f>
        <v>0</v>
      </c>
      <c r="G538" s="106">
        <f>Проект!$G$1134</f>
        <v>0</v>
      </c>
      <c r="H538" s="106">
        <f>Проект!$H$1134</f>
        <v>0</v>
      </c>
      <c r="I538" s="106">
        <f>Проект!$I$1134</f>
        <v>0</v>
      </c>
      <c r="J538" s="106">
        <f>Проект!$J$1134</f>
        <v>0</v>
      </c>
      <c r="K538" s="106">
        <f>Проект!$K$1134</f>
        <v>0</v>
      </c>
      <c r="L538" s="106">
        <f>Проект!$L$1134</f>
        <v>0</v>
      </c>
      <c r="M538" s="106">
        <f>Проект!$M$1134</f>
        <v>0</v>
      </c>
      <c r="N538" s="106" t="e">
        <f>Проект!#REF!</f>
        <v>#REF!</v>
      </c>
      <c r="O538" s="106" t="e">
        <f>Проект!#REF!</f>
        <v>#REF!</v>
      </c>
      <c r="P538" s="106" t="e">
        <f>Проект!#REF!</f>
        <v>#REF!</v>
      </c>
      <c r="Q538" s="106">
        <f>Проект!$Q$1134</f>
        <v>0</v>
      </c>
      <c r="R538" s="48"/>
      <c r="S538" s="41"/>
    </row>
    <row r="539" spans="1:19" hidden="1" x14ac:dyDescent="0.2">
      <c r="A539" s="48" t="str">
        <f ca="1">Проект!$A$1135</f>
        <v xml:space="preserve">    на основе циклов оборачиваемости</v>
      </c>
      <c r="B539" s="48"/>
      <c r="C539" s="73" t="str">
        <f ca="1">Проект!$C$1135</f>
        <v>руб.</v>
      </c>
      <c r="D539" s="101" t="str">
        <f>Проект!$D$1135</f>
        <v>int_end</v>
      </c>
      <c r="E539" s="48">
        <f>Проект!$E$1135</f>
        <v>0</v>
      </c>
      <c r="F539" s="106">
        <f>Проект!$F$1135</f>
        <v>0</v>
      </c>
      <c r="G539" s="106">
        <f>Проект!$G$1135</f>
        <v>0</v>
      </c>
      <c r="H539" s="106">
        <f>Проект!$H$1135</f>
        <v>0</v>
      </c>
      <c r="I539" s="106">
        <f>Проект!$I$1135</f>
        <v>0</v>
      </c>
      <c r="J539" s="106">
        <f>Проект!$J$1135</f>
        <v>0</v>
      </c>
      <c r="K539" s="106">
        <f>Проект!$K$1135</f>
        <v>0</v>
      </c>
      <c r="L539" s="106">
        <f>Проект!$L$1135</f>
        <v>0</v>
      </c>
      <c r="M539" s="106">
        <f>Проект!$M$1135</f>
        <v>0</v>
      </c>
      <c r="N539" s="106" t="e">
        <f>Проект!#REF!</f>
        <v>#REF!</v>
      </c>
      <c r="O539" s="106" t="e">
        <f>Проект!#REF!</f>
        <v>#REF!</v>
      </c>
      <c r="P539" s="106" t="e">
        <f>Проект!#REF!</f>
        <v>#REF!</v>
      </c>
      <c r="Q539" s="106">
        <f>Проект!$Q$1135</f>
        <v>0</v>
      </c>
      <c r="R539" s="48"/>
      <c r="S539" s="41"/>
    </row>
    <row r="540" spans="1:19" hidden="1" x14ac:dyDescent="0.2">
      <c r="A540" s="48" t="str">
        <f ca="1">Проект!$A$1136</f>
        <v xml:space="preserve">    в соответствии с графиком оплаты продукции</v>
      </c>
      <c r="B540" s="48"/>
      <c r="C540" s="73" t="str">
        <f ca="1">Проект!$C$1136</f>
        <v>руб.</v>
      </c>
      <c r="D540" s="101" t="str">
        <f>Проект!$D$1136</f>
        <v>int_end</v>
      </c>
      <c r="E540" s="48"/>
      <c r="F540" s="106">
        <f>Проект!$F$1136</f>
        <v>0</v>
      </c>
      <c r="G540" s="106">
        <f>Проект!$G$1136</f>
        <v>0</v>
      </c>
      <c r="H540" s="106">
        <f>Проект!$H$1136</f>
        <v>0</v>
      </c>
      <c r="I540" s="106">
        <f>Проект!$I$1136</f>
        <v>0</v>
      </c>
      <c r="J540" s="106">
        <f>Проект!$J$1136</f>
        <v>0</v>
      </c>
      <c r="K540" s="106">
        <f>Проект!$K$1136</f>
        <v>0</v>
      </c>
      <c r="L540" s="106">
        <f>Проект!$L$1136</f>
        <v>0</v>
      </c>
      <c r="M540" s="106">
        <f>Проект!$M$1136</f>
        <v>0</v>
      </c>
      <c r="N540" s="106" t="e">
        <f>Проект!#REF!</f>
        <v>#REF!</v>
      </c>
      <c r="O540" s="106" t="e">
        <f>Проект!#REF!</f>
        <v>#REF!</v>
      </c>
      <c r="P540" s="106" t="e">
        <f>Проект!#REF!</f>
        <v>#REF!</v>
      </c>
      <c r="Q540" s="106">
        <f>Проект!$Q$1136</f>
        <v>0</v>
      </c>
      <c r="R540" s="48"/>
      <c r="S540" s="41"/>
    </row>
    <row r="541" spans="1:19" ht="11.25" customHeight="1" x14ac:dyDescent="0.2">
      <c r="A541" s="48" t="str">
        <f ca="1">Проект!$A$1137</f>
        <v>Сумма полученных авансов</v>
      </c>
      <c r="B541" s="48"/>
      <c r="C541" s="73" t="str">
        <f ca="1">Проект!$C$1137</f>
        <v>руб.</v>
      </c>
      <c r="D541" s="74" t="str">
        <f>Проект!$D$1137</f>
        <v>int_end</v>
      </c>
      <c r="E541" s="106">
        <f>Проект!$E$1137</f>
        <v>0</v>
      </c>
      <c r="F541" s="106">
        <f>Проект!$F$1137</f>
        <v>0</v>
      </c>
      <c r="G541" s="106">
        <f>Проект!$G$1137</f>
        <v>0</v>
      </c>
      <c r="H541" s="106">
        <f>Проект!$H$1137</f>
        <v>0</v>
      </c>
      <c r="I541" s="106">
        <f>Проект!$I$1137</f>
        <v>0</v>
      </c>
      <c r="J541" s="106">
        <f>Проект!$J$1137</f>
        <v>0</v>
      </c>
      <c r="K541" s="106">
        <f>Проект!$K$1137</f>
        <v>0</v>
      </c>
      <c r="L541" s="106">
        <f>Проект!$L$1137</f>
        <v>0</v>
      </c>
      <c r="M541" s="106">
        <f>Проект!$M$1137</f>
        <v>0</v>
      </c>
      <c r="N541" s="106" t="e">
        <f>Проект!#REF!</f>
        <v>#REF!</v>
      </c>
      <c r="O541" s="106" t="e">
        <f>Проект!#REF!</f>
        <v>#REF!</v>
      </c>
      <c r="P541" s="106" t="e">
        <f>Проект!#REF!</f>
        <v>#REF!</v>
      </c>
      <c r="Q541" s="106">
        <f>Проект!$Q$1137</f>
        <v>0</v>
      </c>
      <c r="R541" s="48"/>
      <c r="S541" s="41"/>
    </row>
    <row r="542" spans="1:19" hidden="1" x14ac:dyDescent="0.2">
      <c r="A542" s="48" t="str">
        <f ca="1">Проект!$A$1138</f>
        <v xml:space="preserve">    на основе циклов оборачиваемости (c НДС на аванс)</v>
      </c>
      <c r="B542" s="48"/>
      <c r="C542" s="73" t="str">
        <f ca="1">Проект!$C$1138</f>
        <v>руб.</v>
      </c>
      <c r="D542" s="101" t="str">
        <f>Проект!$D$1138</f>
        <v>int_end</v>
      </c>
      <c r="E542" s="48">
        <f>Проект!$E$1138</f>
        <v>0</v>
      </c>
      <c r="F542" s="106">
        <f>Проект!$F$1138</f>
        <v>0</v>
      </c>
      <c r="G542" s="106">
        <f>Проект!$G$1138</f>
        <v>0</v>
      </c>
      <c r="H542" s="106">
        <f>Проект!$H$1138</f>
        <v>0</v>
      </c>
      <c r="I542" s="106">
        <f>Проект!$I$1138</f>
        <v>0</v>
      </c>
      <c r="J542" s="106">
        <f>Проект!$J$1138</f>
        <v>0</v>
      </c>
      <c r="K542" s="106">
        <f>Проект!$K$1138</f>
        <v>0</v>
      </c>
      <c r="L542" s="106">
        <f>Проект!$L$1138</f>
        <v>0</v>
      </c>
      <c r="M542" s="106">
        <f>Проект!$M$1138</f>
        <v>0</v>
      </c>
      <c r="N542" s="106" t="e">
        <f>Проект!#REF!</f>
        <v>#REF!</v>
      </c>
      <c r="O542" s="106" t="e">
        <f>Проект!#REF!</f>
        <v>#REF!</v>
      </c>
      <c r="P542" s="106" t="e">
        <f>Проект!#REF!</f>
        <v>#REF!</v>
      </c>
      <c r="Q542" s="106">
        <f>Проект!$Q$1138</f>
        <v>0</v>
      </c>
      <c r="R542" s="48"/>
      <c r="S542" s="41"/>
    </row>
    <row r="543" spans="1:19" hidden="1" x14ac:dyDescent="0.2">
      <c r="A543" s="45" t="str">
        <f ca="1">Проект!$A$1139</f>
        <v xml:space="preserve">    в соответствии с графиком оплаты продукции</v>
      </c>
      <c r="B543" s="45"/>
      <c r="C543" s="100" t="str">
        <f ca="1">Проект!$C$1139</f>
        <v>руб.</v>
      </c>
      <c r="D543" s="74" t="str">
        <f>Проект!$D$1139</f>
        <v>int_end</v>
      </c>
      <c r="E543" s="45"/>
      <c r="F543" s="102">
        <f>Проект!$F$1139</f>
        <v>0</v>
      </c>
      <c r="G543" s="102">
        <f>Проект!$G$1139</f>
        <v>0</v>
      </c>
      <c r="H543" s="102">
        <f>Проект!$H$1139</f>
        <v>0</v>
      </c>
      <c r="I543" s="102">
        <f>Проект!$I$1139</f>
        <v>0</v>
      </c>
      <c r="J543" s="102">
        <f>Проект!$J$1139</f>
        <v>0</v>
      </c>
      <c r="K543" s="102">
        <f>Проект!$K$1139</f>
        <v>0</v>
      </c>
      <c r="L543" s="102">
        <f>Проект!$L$1139</f>
        <v>0</v>
      </c>
      <c r="M543" s="102">
        <f>Проект!$M$1139</f>
        <v>0</v>
      </c>
      <c r="N543" s="102" t="e">
        <f>Проект!#REF!</f>
        <v>#REF!</v>
      </c>
      <c r="O543" s="102" t="e">
        <f>Проект!#REF!</f>
        <v>#REF!</v>
      </c>
      <c r="P543" s="102" t="e">
        <f>Проект!#REF!</f>
        <v>#REF!</v>
      </c>
      <c r="Q543" s="102">
        <f>Проект!$Q$1139</f>
        <v>0</v>
      </c>
      <c r="R543" s="45"/>
      <c r="S543" s="77"/>
    </row>
    <row r="544" spans="1:19" ht="11.25" customHeight="1" x14ac:dyDescent="0.2">
      <c r="A544" s="76"/>
      <c r="B544" s="76"/>
      <c r="C544" s="76"/>
      <c r="D544" s="363"/>
      <c r="E544" s="76"/>
      <c r="F544" s="76"/>
      <c r="G544" s="76"/>
      <c r="H544" s="76"/>
      <c r="I544" s="76"/>
      <c r="J544" s="76"/>
      <c r="K544" s="76"/>
      <c r="L544" s="76"/>
      <c r="M544" s="76"/>
      <c r="N544" s="76"/>
      <c r="O544" s="76"/>
      <c r="P544" s="76"/>
      <c r="Q544" s="76"/>
      <c r="R544" s="76"/>
      <c r="S544" s="359"/>
    </row>
    <row r="545" spans="1:19" ht="11.25" customHeight="1" x14ac:dyDescent="0.25">
      <c r="A545" s="130" t="str">
        <f ca="1">Проект!$A$1141</f>
        <v>РАСЧЕТЫ С ПОСТАВЩИКАМИ</v>
      </c>
      <c r="B545" s="48"/>
      <c r="C545" s="48"/>
      <c r="D545" s="101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1"/>
    </row>
    <row r="546" spans="1:19" ht="11.25" customHeight="1" x14ac:dyDescent="0.2">
      <c r="A546" s="48" t="str">
        <f ca="1">Проект!$A$1142</f>
        <v>Оплата материалов и комплектующих:</v>
      </c>
      <c r="B546" s="197" t="str">
        <f ca="1">Проект!$B$1142</f>
        <v>доля</v>
      </c>
      <c r="C546" s="197" t="str">
        <f ca="1">Проект!$C$1142</f>
        <v>срок, дн.</v>
      </c>
      <c r="D546" s="101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1"/>
    </row>
    <row r="547" spans="1:19" ht="11.25" customHeight="1" x14ac:dyDescent="0.2">
      <c r="A547" s="48" t="str">
        <f ca="1">Проект!$A$1143</f>
        <v xml:space="preserve">    немедленная оплата</v>
      </c>
      <c r="B547" s="81">
        <f>Проект!$B$1143</f>
        <v>0</v>
      </c>
      <c r="C547" s="50" t="str">
        <f>Проект!$C$1143</f>
        <v>-</v>
      </c>
      <c r="D547" s="101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1"/>
    </row>
    <row r="548" spans="1:19" ht="11.25" customHeight="1" x14ac:dyDescent="0.2">
      <c r="A548" s="48" t="str">
        <f ca="1">Проект!$A$1144</f>
        <v xml:space="preserve">    авансовая оплата</v>
      </c>
      <c r="B548" s="358">
        <f>Проект!$B$1144</f>
        <v>0</v>
      </c>
      <c r="C548" s="348">
        <f>Проект!$C$1144</f>
        <v>0</v>
      </c>
      <c r="D548" s="101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1"/>
    </row>
    <row r="549" spans="1:19" ht="11.25" customHeight="1" x14ac:dyDescent="0.2">
      <c r="A549" s="48" t="str">
        <f ca="1">Проект!$A$1145</f>
        <v xml:space="preserve">    оплата в кредит</v>
      </c>
      <c r="B549" s="358">
        <f>Проект!$B$1145</f>
        <v>1</v>
      </c>
      <c r="C549" s="348">
        <f>Проект!$C$1145</f>
        <v>0</v>
      </c>
      <c r="D549" s="101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1"/>
    </row>
    <row r="550" spans="1:19" ht="11.25" customHeight="1" x14ac:dyDescent="0.2">
      <c r="A550" s="48" t="str">
        <f ca="1">Проект!$A$1146</f>
        <v>Сумма счетов к оплате</v>
      </c>
      <c r="B550" s="48"/>
      <c r="C550" s="73" t="str">
        <f ca="1">Проект!$C$1146</f>
        <v>руб.</v>
      </c>
      <c r="D550" s="101" t="str">
        <f>Проект!$D$1146</f>
        <v>int_end</v>
      </c>
      <c r="E550" s="106">
        <f>Проект!$E$1146</f>
        <v>0</v>
      </c>
      <c r="F550" s="106">
        <f>Проект!$F$1146</f>
        <v>0</v>
      </c>
      <c r="G550" s="106">
        <f>Проект!$G$1146</f>
        <v>0</v>
      </c>
      <c r="H550" s="106">
        <f>Проект!$H$1146</f>
        <v>0</v>
      </c>
      <c r="I550" s="106">
        <f>Проект!$I$1146</f>
        <v>0</v>
      </c>
      <c r="J550" s="106">
        <f>Проект!$J$1146</f>
        <v>0</v>
      </c>
      <c r="K550" s="106">
        <f>Проект!$K$1146</f>
        <v>0</v>
      </c>
      <c r="L550" s="106">
        <f>Проект!$L$1146</f>
        <v>0</v>
      </c>
      <c r="M550" s="106">
        <f>Проект!$M$1146</f>
        <v>0</v>
      </c>
      <c r="N550" s="106" t="e">
        <f>Проект!#REF!</f>
        <v>#REF!</v>
      </c>
      <c r="O550" s="106" t="e">
        <f>Проект!#REF!</f>
        <v>#REF!</v>
      </c>
      <c r="P550" s="106" t="e">
        <f>Проект!#REF!</f>
        <v>#REF!</v>
      </c>
      <c r="Q550" s="106">
        <f>Проект!$Q$1146</f>
        <v>0</v>
      </c>
      <c r="R550" s="48"/>
      <c r="S550" s="41"/>
    </row>
    <row r="551" spans="1:19" hidden="1" x14ac:dyDescent="0.2">
      <c r="A551" s="48" t="str">
        <f ca="1">Проект!$A$1147</f>
        <v xml:space="preserve">    на основе циклов оборачиваемости</v>
      </c>
      <c r="B551" s="48"/>
      <c r="C551" s="73" t="str">
        <f ca="1">Проект!$C$1147</f>
        <v>руб.</v>
      </c>
      <c r="D551" s="101" t="str">
        <f>Проект!$D$1147</f>
        <v>int_end</v>
      </c>
      <c r="E551" s="48">
        <f>Проект!$E$1147</f>
        <v>0</v>
      </c>
      <c r="F551" s="106">
        <f>Проект!$F$1147</f>
        <v>0</v>
      </c>
      <c r="G551" s="106">
        <f>Проект!$G$1147</f>
        <v>0</v>
      </c>
      <c r="H551" s="106">
        <f>Проект!$H$1147</f>
        <v>0</v>
      </c>
      <c r="I551" s="106">
        <f>Проект!$I$1147</f>
        <v>0</v>
      </c>
      <c r="J551" s="106">
        <f>Проект!$J$1147</f>
        <v>0</v>
      </c>
      <c r="K551" s="106">
        <f>Проект!$K$1147</f>
        <v>0</v>
      </c>
      <c r="L551" s="106">
        <f>Проект!$L$1147</f>
        <v>0</v>
      </c>
      <c r="M551" s="106">
        <f>Проект!$M$1147</f>
        <v>0</v>
      </c>
      <c r="N551" s="106" t="e">
        <f>Проект!#REF!</f>
        <v>#REF!</v>
      </c>
      <c r="O551" s="106" t="e">
        <f>Проект!#REF!</f>
        <v>#REF!</v>
      </c>
      <c r="P551" s="106" t="e">
        <f>Проект!#REF!</f>
        <v>#REF!</v>
      </c>
      <c r="Q551" s="106">
        <f>Проект!$Q$1147</f>
        <v>0</v>
      </c>
      <c r="R551" s="48"/>
      <c r="S551" s="41"/>
    </row>
    <row r="552" spans="1:19" hidden="1" x14ac:dyDescent="0.2">
      <c r="A552" s="48" t="str">
        <f ca="1">Проект!$A$1148</f>
        <v xml:space="preserve">    в соответствии с графиком оплаты затрат</v>
      </c>
      <c r="B552" s="48"/>
      <c r="C552" s="73" t="str">
        <f ca="1">Проект!$C$1148</f>
        <v>руб.</v>
      </c>
      <c r="D552" s="101" t="str">
        <f>Проект!$D$1148</f>
        <v>int_end</v>
      </c>
      <c r="E552" s="48"/>
      <c r="F552" s="106">
        <f>Проект!$F$1148</f>
        <v>0</v>
      </c>
      <c r="G552" s="106">
        <f>Проект!$G$1148</f>
        <v>0</v>
      </c>
      <c r="H552" s="106">
        <f>Проект!$H$1148</f>
        <v>0</v>
      </c>
      <c r="I552" s="106">
        <f>Проект!$I$1148</f>
        <v>0</v>
      </c>
      <c r="J552" s="106">
        <f>Проект!$J$1148</f>
        <v>0</v>
      </c>
      <c r="K552" s="106">
        <f>Проект!$K$1148</f>
        <v>0</v>
      </c>
      <c r="L552" s="106">
        <f>Проект!$L$1148</f>
        <v>0</v>
      </c>
      <c r="M552" s="106">
        <f>Проект!$M$1148</f>
        <v>0</v>
      </c>
      <c r="N552" s="106" t="e">
        <f>Проект!#REF!</f>
        <v>#REF!</v>
      </c>
      <c r="O552" s="106" t="e">
        <f>Проект!#REF!</f>
        <v>#REF!</v>
      </c>
      <c r="P552" s="106" t="e">
        <f>Проект!#REF!</f>
        <v>#REF!</v>
      </c>
      <c r="Q552" s="106">
        <f>Проект!$Q$1148</f>
        <v>0</v>
      </c>
      <c r="R552" s="48"/>
      <c r="S552" s="41"/>
    </row>
    <row r="553" spans="1:19" ht="11.25" customHeight="1" x14ac:dyDescent="0.2">
      <c r="A553" s="48" t="str">
        <f ca="1">Проект!$A$1149</f>
        <v>Сумма уплаченных авансов</v>
      </c>
      <c r="B553" s="48"/>
      <c r="C553" s="73" t="str">
        <f ca="1">Проект!$C$1149</f>
        <v>руб.</v>
      </c>
      <c r="D553" s="101" t="str">
        <f>Проект!$D$1149</f>
        <v>int_end</v>
      </c>
      <c r="E553" s="106">
        <f>Проект!$E$1149</f>
        <v>0</v>
      </c>
      <c r="F553" s="106">
        <f>Проект!$F$1149</f>
        <v>0</v>
      </c>
      <c r="G553" s="106">
        <f>Проект!$G$1149</f>
        <v>0</v>
      </c>
      <c r="H553" s="106">
        <f>Проект!$H$1149</f>
        <v>0</v>
      </c>
      <c r="I553" s="106">
        <f>Проект!$I$1149</f>
        <v>0</v>
      </c>
      <c r="J553" s="106">
        <f>Проект!$J$1149</f>
        <v>0</v>
      </c>
      <c r="K553" s="106">
        <f>Проект!$K$1149</f>
        <v>0</v>
      </c>
      <c r="L553" s="106">
        <f>Проект!$L$1149</f>
        <v>0</v>
      </c>
      <c r="M553" s="106">
        <f>Проект!$M$1149</f>
        <v>0</v>
      </c>
      <c r="N553" s="106" t="e">
        <f>Проект!#REF!</f>
        <v>#REF!</v>
      </c>
      <c r="O553" s="106" t="e">
        <f>Проект!#REF!</f>
        <v>#REF!</v>
      </c>
      <c r="P553" s="106" t="e">
        <f>Проект!#REF!</f>
        <v>#REF!</v>
      </c>
      <c r="Q553" s="106">
        <f>Проект!$Q$1149</f>
        <v>0</v>
      </c>
      <c r="R553" s="48"/>
      <c r="S553" s="41"/>
    </row>
    <row r="554" spans="1:19" hidden="1" x14ac:dyDescent="0.2">
      <c r="A554" s="48" t="str">
        <f ca="1">Проект!$A$1150</f>
        <v xml:space="preserve">    на основе циклов оборачиваемости</v>
      </c>
      <c r="B554" s="48"/>
      <c r="C554" s="73" t="str">
        <f ca="1">Проект!$C$1150</f>
        <v>руб.</v>
      </c>
      <c r="D554" s="101" t="str">
        <f>Проект!$D$1150</f>
        <v>int_end</v>
      </c>
      <c r="E554" s="48">
        <f>Проект!$E$1150</f>
        <v>0</v>
      </c>
      <c r="F554" s="106">
        <f>Проект!$F$1150</f>
        <v>0</v>
      </c>
      <c r="G554" s="106">
        <f>Проект!$G$1150</f>
        <v>0</v>
      </c>
      <c r="H554" s="106">
        <f>Проект!$H$1150</f>
        <v>0</v>
      </c>
      <c r="I554" s="106">
        <f>Проект!$I$1150</f>
        <v>0</v>
      </c>
      <c r="J554" s="106">
        <f>Проект!$J$1150</f>
        <v>0</v>
      </c>
      <c r="K554" s="106">
        <f>Проект!$K$1150</f>
        <v>0</v>
      </c>
      <c r="L554" s="106">
        <f>Проект!$L$1150</f>
        <v>0</v>
      </c>
      <c r="M554" s="106">
        <f>Проект!$M$1150</f>
        <v>0</v>
      </c>
      <c r="N554" s="106" t="e">
        <f>Проект!#REF!</f>
        <v>#REF!</v>
      </c>
      <c r="O554" s="106" t="e">
        <f>Проект!#REF!</f>
        <v>#REF!</v>
      </c>
      <c r="P554" s="106" t="e">
        <f>Проект!#REF!</f>
        <v>#REF!</v>
      </c>
      <c r="Q554" s="106">
        <f>Проект!$Q$1150</f>
        <v>0</v>
      </c>
      <c r="R554" s="48"/>
      <c r="S554" s="41"/>
    </row>
    <row r="555" spans="1:19" hidden="1" x14ac:dyDescent="0.2">
      <c r="A555" s="173" t="str">
        <f ca="1">Проект!$A$1151</f>
        <v xml:space="preserve">    в соответствии с графиком оплаты затрат</v>
      </c>
      <c r="B555" s="173"/>
      <c r="C555" s="365" t="str">
        <f ca="1">Проект!$C$1151</f>
        <v>руб.</v>
      </c>
      <c r="D555" s="101" t="str">
        <f>Проект!$D$1151</f>
        <v>int_end</v>
      </c>
      <c r="E555" s="173"/>
      <c r="F555" s="142">
        <f>Проект!$F$1151</f>
        <v>0</v>
      </c>
      <c r="G555" s="142">
        <f>Проект!$G$1151</f>
        <v>0</v>
      </c>
      <c r="H555" s="142">
        <f>Проект!$H$1151</f>
        <v>0</v>
      </c>
      <c r="I555" s="142">
        <f>Проект!$I$1151</f>
        <v>0</v>
      </c>
      <c r="J555" s="142">
        <f>Проект!$J$1151</f>
        <v>0</v>
      </c>
      <c r="K555" s="142">
        <f>Проект!$K$1151</f>
        <v>0</v>
      </c>
      <c r="L555" s="142">
        <f>Проект!$L$1151</f>
        <v>0</v>
      </c>
      <c r="M555" s="142">
        <f>Проект!$M$1151</f>
        <v>0</v>
      </c>
      <c r="N555" s="142" t="e">
        <f>Проект!#REF!</f>
        <v>#REF!</v>
      </c>
      <c r="O555" s="142" t="e">
        <f>Проект!#REF!</f>
        <v>#REF!</v>
      </c>
      <c r="P555" s="142" t="e">
        <f>Проект!#REF!</f>
        <v>#REF!</v>
      </c>
      <c r="Q555" s="142">
        <f>Проект!$Q$1151</f>
        <v>0</v>
      </c>
      <c r="R555" s="173"/>
      <c r="S555" s="366"/>
    </row>
    <row r="556" spans="1:19" ht="11.25" customHeight="1" x14ac:dyDescent="0.2">
      <c r="A556" s="48"/>
      <c r="B556" s="48"/>
      <c r="C556" s="48"/>
      <c r="D556" s="363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1"/>
    </row>
    <row r="557" spans="1:19" ht="11.25" customHeight="1" x14ac:dyDescent="0.25">
      <c r="A557" s="130" t="str">
        <f ca="1">Проект!$A$1153</f>
        <v>РАСЧЕТЫ С БЮДЖЕТОМ</v>
      </c>
      <c r="B557" s="48"/>
      <c r="C557" s="73" t="str">
        <f ca="1">Проект!$C$1153</f>
        <v>руб.</v>
      </c>
      <c r="D557" s="101"/>
      <c r="E557" s="48">
        <f>Проект!$E$1153</f>
        <v>0</v>
      </c>
      <c r="F557" s="106">
        <f ca="1">Проект!$F$1153</f>
        <v>396480</v>
      </c>
      <c r="G557" s="106">
        <f ca="1">Проект!$G$1153</f>
        <v>245280.00000000003</v>
      </c>
      <c r="H557" s="106">
        <f ca="1">Проект!$H$1153</f>
        <v>269745.60000000003</v>
      </c>
      <c r="I557" s="106">
        <f ca="1">Проект!$I$1153</f>
        <v>367608</v>
      </c>
      <c r="J557" s="106">
        <f ca="1">Проект!$J$1153</f>
        <v>489936</v>
      </c>
      <c r="K557" s="106">
        <f ca="1">Проект!$K$1153</f>
        <v>734592</v>
      </c>
      <c r="L557" s="106">
        <f ca="1">Проект!$L$1153</f>
        <v>979248</v>
      </c>
      <c r="M557" s="106">
        <f ca="1">Проект!$M$1153</f>
        <v>1223904</v>
      </c>
      <c r="N557" s="106" t="e">
        <f>Проект!#REF!</f>
        <v>#REF!</v>
      </c>
      <c r="O557" s="106" t="e">
        <f>Проект!#REF!</f>
        <v>#REF!</v>
      </c>
      <c r="P557" s="106" t="e">
        <f>Проект!#REF!</f>
        <v>#REF!</v>
      </c>
      <c r="Q557" s="106">
        <f ca="1">Проект!$Q$1153</f>
        <v>2691840</v>
      </c>
      <c r="R557" s="48"/>
      <c r="S557" s="41"/>
    </row>
    <row r="558" spans="1:19" ht="11.25" customHeight="1" x14ac:dyDescent="0.2">
      <c r="A558" s="48" t="str">
        <f ca="1">Проект!$A$1154</f>
        <v>По НДС</v>
      </c>
      <c r="B558" s="48"/>
      <c r="C558" s="73" t="str">
        <f ca="1">Проект!$C$1154</f>
        <v>руб.</v>
      </c>
      <c r="D558" s="101" t="str">
        <f>Проект!$D$1154</f>
        <v>int_end</v>
      </c>
      <c r="E558" s="48"/>
      <c r="F558" s="84">
        <f ca="1">Проект!$F$1154</f>
        <v>0</v>
      </c>
      <c r="G558" s="84">
        <f ca="1">Проект!$G$1154</f>
        <v>0</v>
      </c>
      <c r="H558" s="84">
        <f ca="1">Проект!$H$1154</f>
        <v>0</v>
      </c>
      <c r="I558" s="84">
        <f ca="1">Проект!$I$1154</f>
        <v>0</v>
      </c>
      <c r="J558" s="84">
        <f ca="1">Проект!$J$1154</f>
        <v>0</v>
      </c>
      <c r="K558" s="84">
        <f ca="1">Проект!$K$1154</f>
        <v>0</v>
      </c>
      <c r="L558" s="84">
        <f ca="1">Проект!$L$1154</f>
        <v>0</v>
      </c>
      <c r="M558" s="84">
        <f ca="1">Проект!$M$1154</f>
        <v>0</v>
      </c>
      <c r="N558" s="84" t="e">
        <f>Проект!#REF!</f>
        <v>#REF!</v>
      </c>
      <c r="O558" s="84" t="e">
        <f>Проект!#REF!</f>
        <v>#REF!</v>
      </c>
      <c r="P558" s="84" t="e">
        <f>Проект!#REF!</f>
        <v>#REF!</v>
      </c>
      <c r="Q558" s="84">
        <f ca="1">Проект!$Q$1154</f>
        <v>0</v>
      </c>
      <c r="R558" s="48"/>
      <c r="S558" s="41"/>
    </row>
    <row r="559" spans="1:19" ht="11.25" customHeight="1" x14ac:dyDescent="0.2">
      <c r="A559" s="48" t="str">
        <f ca="1">Проект!$A$1155</f>
        <v>По акцизам и экспортным пошлинам</v>
      </c>
      <c r="B559" s="48"/>
      <c r="C559" s="73" t="str">
        <f ca="1">Проект!$C$1155</f>
        <v>руб.</v>
      </c>
      <c r="D559" s="101" t="str">
        <f>Проект!$D$1155</f>
        <v>int_end</v>
      </c>
      <c r="E559" s="48"/>
      <c r="F559" s="84">
        <f>Проект!$F$1155</f>
        <v>0</v>
      </c>
      <c r="G559" s="84">
        <f>Проект!$G$1155</f>
        <v>0</v>
      </c>
      <c r="H559" s="84">
        <f>Проект!$H$1155</f>
        <v>0</v>
      </c>
      <c r="I559" s="84">
        <f>Проект!$I$1155</f>
        <v>0</v>
      </c>
      <c r="J559" s="84">
        <f>Проект!$J$1155</f>
        <v>0</v>
      </c>
      <c r="K559" s="84">
        <f>Проект!$K$1155</f>
        <v>0</v>
      </c>
      <c r="L559" s="84">
        <f>Проект!$L$1155</f>
        <v>0</v>
      </c>
      <c r="M559" s="84">
        <f>Проект!$M$1155</f>
        <v>0</v>
      </c>
      <c r="N559" s="84" t="e">
        <f>Проект!#REF!</f>
        <v>#REF!</v>
      </c>
      <c r="O559" s="84" t="e">
        <f>Проект!#REF!</f>
        <v>#REF!</v>
      </c>
      <c r="P559" s="84" t="e">
        <f>Проект!#REF!</f>
        <v>#REF!</v>
      </c>
      <c r="Q559" s="84">
        <f>Проект!$Q$1155</f>
        <v>0</v>
      </c>
      <c r="R559" s="48"/>
      <c r="S559" s="41"/>
    </row>
    <row r="560" spans="1:19" ht="11.25" customHeight="1" x14ac:dyDescent="0.2">
      <c r="A560" s="48" t="str">
        <f ca="1">Проект!$A$1156</f>
        <v>По импортным пошлинам</v>
      </c>
      <c r="B560" s="48"/>
      <c r="C560" s="73" t="str">
        <f ca="1">Проект!$C$1156</f>
        <v>руб.</v>
      </c>
      <c r="D560" s="101" t="str">
        <f>Проект!$D$1156</f>
        <v>int_end</v>
      </c>
      <c r="E560" s="48"/>
      <c r="F560" s="84">
        <f>Проект!$F$1156</f>
        <v>0</v>
      </c>
      <c r="G560" s="84">
        <f>Проект!$G$1156</f>
        <v>0</v>
      </c>
      <c r="H560" s="84">
        <f>Проект!$H$1156</f>
        <v>0</v>
      </c>
      <c r="I560" s="84">
        <f>Проект!$I$1156</f>
        <v>0</v>
      </c>
      <c r="J560" s="84">
        <f>Проект!$J$1156</f>
        <v>0</v>
      </c>
      <c r="K560" s="84">
        <f>Проект!$K$1156</f>
        <v>0</v>
      </c>
      <c r="L560" s="84">
        <f>Проект!$L$1156</f>
        <v>0</v>
      </c>
      <c r="M560" s="84">
        <f>Проект!$M$1156</f>
        <v>0</v>
      </c>
      <c r="N560" s="84" t="e">
        <f>Проект!#REF!</f>
        <v>#REF!</v>
      </c>
      <c r="O560" s="84" t="e">
        <f>Проект!#REF!</f>
        <v>#REF!</v>
      </c>
      <c r="P560" s="84" t="e">
        <f>Проект!#REF!</f>
        <v>#REF!</v>
      </c>
      <c r="Q560" s="84">
        <f>Проект!$Q$1156</f>
        <v>0</v>
      </c>
      <c r="R560" s="48"/>
      <c r="S560" s="41"/>
    </row>
    <row r="561" spans="1:19" ht="11.25" customHeight="1" x14ac:dyDescent="0.2">
      <c r="A561" s="48" t="str">
        <f ca="1">Проект!$A$1157</f>
        <v>По налогу на прибыль</v>
      </c>
      <c r="B561" s="48"/>
      <c r="C561" s="73" t="str">
        <f ca="1">Проект!$C$1157</f>
        <v>руб.</v>
      </c>
      <c r="D561" s="101" t="str">
        <f>Проект!$D$1157</f>
        <v>int_end</v>
      </c>
      <c r="E561" s="48"/>
      <c r="F561" s="84">
        <f ca="1">Проект!$F$1157</f>
        <v>0</v>
      </c>
      <c r="G561" s="84">
        <f ca="1">Проект!$G$1157</f>
        <v>0</v>
      </c>
      <c r="H561" s="84">
        <f ca="1">Проект!$H$1157</f>
        <v>24465.599999999999</v>
      </c>
      <c r="I561" s="84">
        <f ca="1">Проект!$I$1157</f>
        <v>122328</v>
      </c>
      <c r="J561" s="84">
        <f ca="1">Проект!$J$1157</f>
        <v>244656</v>
      </c>
      <c r="K561" s="84">
        <f ca="1">Проект!$K$1157</f>
        <v>489312</v>
      </c>
      <c r="L561" s="84">
        <f ca="1">Проект!$L$1157</f>
        <v>733968</v>
      </c>
      <c r="M561" s="84">
        <f ca="1">Проект!$M$1157</f>
        <v>978624</v>
      </c>
      <c r="N561" s="84" t="e">
        <f>Проект!#REF!</f>
        <v>#REF!</v>
      </c>
      <c r="O561" s="84" t="e">
        <f>Проект!#REF!</f>
        <v>#REF!</v>
      </c>
      <c r="P561" s="84" t="e">
        <f>Проект!#REF!</f>
        <v>#REF!</v>
      </c>
      <c r="Q561" s="84">
        <f ca="1">Проект!$Q$1157</f>
        <v>2446560</v>
      </c>
      <c r="R561" s="48"/>
      <c r="S561" s="41"/>
    </row>
    <row r="562" spans="1:19" ht="11.25" customHeight="1" x14ac:dyDescent="0.2">
      <c r="A562" s="173" t="str">
        <f ca="1">Проект!$A$1158</f>
        <v>По прочим налогам и платежам</v>
      </c>
      <c r="B562" s="173"/>
      <c r="C562" s="365" t="str">
        <f ca="1">Проект!$C$1158</f>
        <v>руб.</v>
      </c>
      <c r="D562" s="101" t="str">
        <f>Проект!$D$1158</f>
        <v>int_end</v>
      </c>
      <c r="E562" s="173"/>
      <c r="F562" s="84">
        <f ca="1">Проект!$F$1158</f>
        <v>396480</v>
      </c>
      <c r="G562" s="84">
        <f ca="1">Проект!$G$1158</f>
        <v>245280.00000000003</v>
      </c>
      <c r="H562" s="84">
        <f ca="1">Проект!$H$1158</f>
        <v>245280.00000000003</v>
      </c>
      <c r="I562" s="84">
        <f ca="1">Проект!$I$1158</f>
        <v>245280.00000000003</v>
      </c>
      <c r="J562" s="84">
        <f ca="1">Проект!$J$1158</f>
        <v>245280.00000000003</v>
      </c>
      <c r="K562" s="84">
        <f ca="1">Проект!$K$1158</f>
        <v>245280.00000000003</v>
      </c>
      <c r="L562" s="84">
        <f ca="1">Проект!$L$1158</f>
        <v>245280.00000000003</v>
      </c>
      <c r="M562" s="84">
        <f ca="1">Проект!$M$1158</f>
        <v>245280.00000000003</v>
      </c>
      <c r="N562" s="84" t="e">
        <f>Проект!#REF!</f>
        <v>#REF!</v>
      </c>
      <c r="O562" s="84" t="e">
        <f>Проект!#REF!</f>
        <v>#REF!</v>
      </c>
      <c r="P562" s="84" t="e">
        <f>Проект!#REF!</f>
        <v>#REF!</v>
      </c>
      <c r="Q562" s="84">
        <f ca="1">Проект!$Q$1158</f>
        <v>245280.00000000003</v>
      </c>
      <c r="R562" s="173"/>
      <c r="S562" s="366"/>
    </row>
    <row r="563" spans="1:19" ht="11.25" customHeight="1" x14ac:dyDescent="0.2">
      <c r="A563" s="48"/>
      <c r="B563" s="48"/>
      <c r="C563" s="48"/>
      <c r="D563" s="363"/>
      <c r="E563" s="48"/>
      <c r="F563" s="76"/>
      <c r="G563" s="76"/>
      <c r="H563" s="76"/>
      <c r="I563" s="76"/>
      <c r="J563" s="76"/>
      <c r="K563" s="76"/>
      <c r="L563" s="76"/>
      <c r="M563" s="76"/>
      <c r="N563" s="76"/>
      <c r="O563" s="76"/>
      <c r="P563" s="76"/>
      <c r="Q563" s="76"/>
      <c r="R563" s="48"/>
      <c r="S563" s="41"/>
    </row>
    <row r="564" spans="1:19" ht="11.25" customHeight="1" x14ac:dyDescent="0.25">
      <c r="A564" s="130" t="str">
        <f ca="1">Проект!$A$1160</f>
        <v>РАСЧЕТЫ С ПЕРСОНАЛОМ</v>
      </c>
      <c r="B564" s="48"/>
      <c r="C564" s="48"/>
      <c r="D564" s="101"/>
      <c r="E564" s="48"/>
      <c r="F564" s="45"/>
      <c r="G564" s="45"/>
      <c r="H564" s="45"/>
      <c r="I564" s="45"/>
      <c r="J564" s="45"/>
      <c r="K564" s="45"/>
      <c r="L564" s="45"/>
      <c r="M564" s="45"/>
      <c r="N564" s="45"/>
      <c r="O564" s="45"/>
      <c r="P564" s="45"/>
      <c r="Q564" s="45"/>
      <c r="R564" s="48"/>
      <c r="S564" s="41"/>
    </row>
    <row r="565" spans="1:19" ht="11.25" customHeight="1" x14ac:dyDescent="0.2">
      <c r="A565" s="48" t="str">
        <f ca="1">Проект!$A$1161</f>
        <v>Текущая задолженность по заработной плате</v>
      </c>
      <c r="B565" s="48"/>
      <c r="C565" s="73" t="str">
        <f ca="1">Проект!$C$1161</f>
        <v>руб.</v>
      </c>
      <c r="D565" s="101" t="str">
        <f>Проект!$D$1161</f>
        <v>int_end</v>
      </c>
      <c r="E565" s="106">
        <f>Проект!$E$1161</f>
        <v>0</v>
      </c>
      <c r="F565" s="106">
        <f>Проект!$F$1161</f>
        <v>944000</v>
      </c>
      <c r="G565" s="106">
        <f>Проект!$G$1161</f>
        <v>584000</v>
      </c>
      <c r="H565" s="106">
        <f>Проект!$H$1161</f>
        <v>584000</v>
      </c>
      <c r="I565" s="106">
        <f>Проект!$I$1161</f>
        <v>584000</v>
      </c>
      <c r="J565" s="106">
        <f>Проект!$J$1161</f>
        <v>584000</v>
      </c>
      <c r="K565" s="106">
        <f>Проект!$K$1161</f>
        <v>584000</v>
      </c>
      <c r="L565" s="106">
        <f>Проект!$L$1161</f>
        <v>584000</v>
      </c>
      <c r="M565" s="106">
        <f>Проект!$M$1161</f>
        <v>584000</v>
      </c>
      <c r="N565" s="106" t="e">
        <f>Проект!#REF!</f>
        <v>#REF!</v>
      </c>
      <c r="O565" s="106" t="e">
        <f>Проект!#REF!</f>
        <v>#REF!</v>
      </c>
      <c r="P565" s="106" t="e">
        <f>Проект!#REF!</f>
        <v>#REF!</v>
      </c>
      <c r="Q565" s="106">
        <f>Проект!$Q$1161</f>
        <v>584000</v>
      </c>
      <c r="R565" s="48"/>
      <c r="S565" s="41"/>
    </row>
    <row r="566" spans="1:19" ht="11.25" customHeight="1" x14ac:dyDescent="0.2">
      <c r="A566" s="173" t="str">
        <f ca="1">Проект!$A$1162</f>
        <v xml:space="preserve">    частота выплаты заработной платы</v>
      </c>
      <c r="B566" s="367">
        <f>Проект!$B$1162</f>
        <v>30</v>
      </c>
      <c r="C566" s="365" t="str">
        <f ca="1">Проект!$C$1162</f>
        <v>дн.</v>
      </c>
      <c r="D566" s="101"/>
      <c r="E566" s="173"/>
      <c r="F566" s="173"/>
      <c r="G566" s="173"/>
      <c r="H566" s="173"/>
      <c r="I566" s="173"/>
      <c r="J566" s="173"/>
      <c r="K566" s="173"/>
      <c r="L566" s="173"/>
      <c r="M566" s="173"/>
      <c r="N566" s="173"/>
      <c r="O566" s="173"/>
      <c r="P566" s="173"/>
      <c r="Q566" s="173"/>
      <c r="R566" s="173"/>
      <c r="S566" s="366"/>
    </row>
    <row r="567" spans="1:19" ht="11.25" customHeight="1" x14ac:dyDescent="0.2">
      <c r="A567" s="48"/>
      <c r="B567" s="48"/>
      <c r="C567" s="48"/>
      <c r="D567" s="363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1"/>
    </row>
    <row r="568" spans="1:19" ht="11.25" customHeight="1" x14ac:dyDescent="0.25">
      <c r="A568" s="130" t="str">
        <f ca="1">Проект!$A$1164</f>
        <v>РЕЗЕРВ ДЕНЕЖНЫХ СРЕДСТВ</v>
      </c>
      <c r="B568" s="48"/>
      <c r="C568" s="48"/>
      <c r="D568" s="101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1"/>
    </row>
    <row r="569" spans="1:19" ht="11.25" customHeight="1" x14ac:dyDescent="0.2">
      <c r="A569" s="48" t="str">
        <f ca="1">Проект!$A$1165</f>
        <v>Резерв средств на обеспечение текущих расчетов</v>
      </c>
      <c r="B569" s="48"/>
      <c r="C569" s="73" t="str">
        <f ca="1">Проект!$C$1165</f>
        <v>руб.</v>
      </c>
      <c r="D569" s="101" t="str">
        <f>Проект!$D$1165</f>
        <v>int_end</v>
      </c>
      <c r="E569" s="48"/>
      <c r="F569" s="84">
        <f>Проект!$F$1165</f>
        <v>692104</v>
      </c>
      <c r="G569" s="84">
        <f>Проект!$G$1165</f>
        <v>596344</v>
      </c>
      <c r="H569" s="84">
        <f>Проект!$H$1165</f>
        <v>596347.10537499993</v>
      </c>
      <c r="I569" s="84">
        <f>Проект!$I$1165</f>
        <v>596359.5268750001</v>
      </c>
      <c r="J569" s="84">
        <f>Проект!$J$1165</f>
        <v>596375.05375000008</v>
      </c>
      <c r="K569" s="84">
        <f>Проект!$K$1165</f>
        <v>596406.10749999993</v>
      </c>
      <c r="L569" s="84">
        <f>Проект!$L$1165</f>
        <v>596437.16125000012</v>
      </c>
      <c r="M569" s="84">
        <f>Проект!$M$1165</f>
        <v>596468.21499999997</v>
      </c>
      <c r="N569" s="84" t="e">
        <f>Проект!#REF!</f>
        <v>#REF!</v>
      </c>
      <c r="O569" s="84" t="e">
        <f>Проект!#REF!</f>
        <v>#REF!</v>
      </c>
      <c r="P569" s="84" t="e">
        <f>Проект!#REF!</f>
        <v>#REF!</v>
      </c>
      <c r="Q569" s="84">
        <f>Проект!$Q$1165</f>
        <v>596654.53749999998</v>
      </c>
      <c r="R569" s="48"/>
      <c r="S569" s="41"/>
    </row>
    <row r="570" spans="1:19" ht="11.25" customHeight="1" x14ac:dyDescent="0.2">
      <c r="A570" s="48" t="str">
        <f ca="1">Проект!$A$1166</f>
        <v xml:space="preserve">    создавать?</v>
      </c>
      <c r="B570" s="334">
        <f>Проект!$B$1166</f>
        <v>1</v>
      </c>
      <c r="C570" s="41" t="str">
        <f ca="1">Проект!$C$1166</f>
        <v>Создавать резерв</v>
      </c>
      <c r="D570" s="101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1"/>
    </row>
    <row r="571" spans="1:19" ht="11.25" customHeight="1" x14ac:dyDescent="0.2">
      <c r="A571" s="45" t="str">
        <f ca="1">Проект!$A$1167</f>
        <v xml:space="preserve">    покрытие потребности</v>
      </c>
      <c r="B571" s="362">
        <f>Проект!$B$1167</f>
        <v>7</v>
      </c>
      <c r="C571" s="100" t="str">
        <f ca="1">Проект!$C$1167</f>
        <v>дн.</v>
      </c>
      <c r="D571" s="74"/>
      <c r="E571" s="45"/>
      <c r="F571" s="45"/>
      <c r="G571" s="45"/>
      <c r="H571" s="45"/>
      <c r="I571" s="45"/>
      <c r="J571" s="45"/>
      <c r="K571" s="45"/>
      <c r="L571" s="45"/>
      <c r="M571" s="45"/>
      <c r="N571" s="45"/>
      <c r="O571" s="45"/>
      <c r="P571" s="45"/>
      <c r="Q571" s="45"/>
      <c r="R571" s="45"/>
      <c r="S571" s="77"/>
    </row>
    <row r="572" spans="1:19" hidden="1" x14ac:dyDescent="0.2">
      <c r="A572" s="128" t="str">
        <f ca="1">Проект!$A$1168</f>
        <v xml:space="preserve">         то же, в итоговой валюте</v>
      </c>
      <c r="B572" s="45"/>
      <c r="C572" s="73" t="str">
        <f ca="1">Проект!$C$1168</f>
        <v>руб.</v>
      </c>
      <c r="D572" s="101" t="str">
        <f>Проект!$D$1168</f>
        <v>int_end</v>
      </c>
      <c r="E572" s="45"/>
      <c r="F572" s="84">
        <f>Проект!$F$1168</f>
        <v>692104</v>
      </c>
      <c r="G572" s="84">
        <f>Проект!$G$1168</f>
        <v>596344</v>
      </c>
      <c r="H572" s="84">
        <f>Проект!$H$1168</f>
        <v>596347.10537499993</v>
      </c>
      <c r="I572" s="84">
        <f>Проект!$I$1168</f>
        <v>596359.5268750001</v>
      </c>
      <c r="J572" s="84">
        <f>Проект!$J$1168</f>
        <v>596375.05375000008</v>
      </c>
      <c r="K572" s="84">
        <f>Проект!$K$1168</f>
        <v>596406.10749999993</v>
      </c>
      <c r="L572" s="84">
        <f>Проект!$L$1168</f>
        <v>596437.16125000012</v>
      </c>
      <c r="M572" s="84">
        <f>Проект!$M$1168</f>
        <v>596468.21499999997</v>
      </c>
      <c r="N572" s="84" t="e">
        <f>Проект!#REF!</f>
        <v>#REF!</v>
      </c>
      <c r="O572" s="84" t="e">
        <f>Проект!#REF!</f>
        <v>#REF!</v>
      </c>
      <c r="P572" s="84" t="e">
        <f>Проект!#REF!</f>
        <v>#REF!</v>
      </c>
      <c r="Q572" s="84">
        <f>Проект!$Q$1168</f>
        <v>596654.53749999998</v>
      </c>
      <c r="R572" s="45"/>
      <c r="S572" s="104"/>
    </row>
    <row r="573" spans="1:19" ht="11.25" customHeight="1" x14ac:dyDescent="0.2">
      <c r="A573" s="76"/>
      <c r="B573" s="76"/>
      <c r="C573" s="76"/>
      <c r="D573" s="363"/>
      <c r="E573" s="76"/>
      <c r="F573" s="76"/>
      <c r="G573" s="76"/>
      <c r="H573" s="76"/>
      <c r="I573" s="76"/>
      <c r="J573" s="76"/>
      <c r="K573" s="76"/>
      <c r="L573" s="76"/>
      <c r="M573" s="76"/>
      <c r="N573" s="76"/>
      <c r="O573" s="76"/>
      <c r="P573" s="76"/>
      <c r="Q573" s="76"/>
      <c r="R573" s="76"/>
      <c r="S573" s="359"/>
    </row>
    <row r="574" spans="1:19" ht="11.25" customHeight="1" x14ac:dyDescent="0.2">
      <c r="A574" s="45" t="str">
        <f ca="1">Проект!$A$1170</f>
        <v>Итого текущих активов</v>
      </c>
      <c r="B574" s="45"/>
      <c r="C574" s="100" t="str">
        <f ca="1">Проект!$C$1170</f>
        <v>руб.</v>
      </c>
      <c r="D574" s="74" t="str">
        <f>Проект!$D$1170</f>
        <v>int_end</v>
      </c>
      <c r="E574" s="83">
        <f>Проект!$E$1170</f>
        <v>0</v>
      </c>
      <c r="F574" s="83">
        <f>Проект!$F$1170</f>
        <v>692104</v>
      </c>
      <c r="G574" s="83">
        <f>Проект!$G$1170</f>
        <v>596344</v>
      </c>
      <c r="H574" s="83">
        <f>Проект!$H$1170</f>
        <v>596373.72287499998</v>
      </c>
      <c r="I574" s="83">
        <f>Проект!$I$1170</f>
        <v>596492.61437500012</v>
      </c>
      <c r="J574" s="83">
        <f>Проект!$J$1170</f>
        <v>596641.22875000013</v>
      </c>
      <c r="K574" s="83">
        <f>Проект!$K$1170</f>
        <v>596938.4574999999</v>
      </c>
      <c r="L574" s="83">
        <f>Проект!$L$1170</f>
        <v>597235.68625000014</v>
      </c>
      <c r="M574" s="83">
        <f>Проект!$M$1170</f>
        <v>597532.91499999992</v>
      </c>
      <c r="N574" s="83" t="e">
        <f>Проект!#REF!</f>
        <v>#REF!</v>
      </c>
      <c r="O574" s="83" t="e">
        <f>Проект!#REF!</f>
        <v>#REF!</v>
      </c>
      <c r="P574" s="83" t="e">
        <f>Проект!#REF!</f>
        <v>#REF!</v>
      </c>
      <c r="Q574" s="83">
        <f>Проект!$Q$1170</f>
        <v>599316.28749999998</v>
      </c>
      <c r="R574" s="45"/>
      <c r="S574" s="77"/>
    </row>
    <row r="575" spans="1:19" ht="11.25" customHeight="1" x14ac:dyDescent="0.2">
      <c r="A575" s="45" t="str">
        <f ca="1">Проект!$A$1171</f>
        <v>Итого текущих обязательств</v>
      </c>
      <c r="B575" s="45"/>
      <c r="C575" s="100" t="str">
        <f ca="1">Проект!$C$1171</f>
        <v>руб.</v>
      </c>
      <c r="D575" s="74" t="str">
        <f>Проект!$D$1171</f>
        <v>int_end</v>
      </c>
      <c r="E575" s="83">
        <f>Проект!$E$1171</f>
        <v>0</v>
      </c>
      <c r="F575" s="83">
        <f ca="1">Проект!$F$1171</f>
        <v>1340480</v>
      </c>
      <c r="G575" s="83">
        <f ca="1">Проект!$G$1171</f>
        <v>829280</v>
      </c>
      <c r="H575" s="83">
        <f ca="1">Проект!$H$1171</f>
        <v>853745.60000000009</v>
      </c>
      <c r="I575" s="83">
        <f ca="1">Проект!$I$1171</f>
        <v>951608</v>
      </c>
      <c r="J575" s="83">
        <f ca="1">Проект!$J$1171</f>
        <v>1073936</v>
      </c>
      <c r="K575" s="83">
        <f ca="1">Проект!$K$1171</f>
        <v>1318592</v>
      </c>
      <c r="L575" s="83">
        <f ca="1">Проект!$L$1171</f>
        <v>1563248</v>
      </c>
      <c r="M575" s="83">
        <f ca="1">Проект!$M$1171</f>
        <v>1807904</v>
      </c>
      <c r="N575" s="83" t="e">
        <f>Проект!#REF!</f>
        <v>#REF!</v>
      </c>
      <c r="O575" s="83" t="e">
        <f>Проект!#REF!</f>
        <v>#REF!</v>
      </c>
      <c r="P575" s="83" t="e">
        <f>Проект!#REF!</f>
        <v>#REF!</v>
      </c>
      <c r="Q575" s="83">
        <f ca="1">Проект!$Q$1171</f>
        <v>3275840</v>
      </c>
      <c r="R575" s="45"/>
      <c r="S575" s="77"/>
    </row>
    <row r="576" spans="1:19" ht="11.25" customHeight="1" x14ac:dyDescent="0.2">
      <c r="A576" s="48" t="str">
        <f ca="1">Проект!$A$1172</f>
        <v>Оборотный капитал компании</v>
      </c>
      <c r="B576" s="48"/>
      <c r="C576" s="73" t="str">
        <f ca="1">Проект!$C$1172</f>
        <v>руб.</v>
      </c>
      <c r="D576" s="101" t="str">
        <f>Проект!$D$1172</f>
        <v>int_end</v>
      </c>
      <c r="E576" s="84">
        <f>Проект!$E$1172</f>
        <v>0</v>
      </c>
      <c r="F576" s="84">
        <f ca="1">Проект!$F$1172</f>
        <v>-648376</v>
      </c>
      <c r="G576" s="84">
        <f ca="1">Проект!$G$1172</f>
        <v>-232936</v>
      </c>
      <c r="H576" s="84">
        <f ca="1">Проект!$H$1172</f>
        <v>-257371.87712500012</v>
      </c>
      <c r="I576" s="84">
        <f ca="1">Проект!$I$1172</f>
        <v>-355115.38562499988</v>
      </c>
      <c r="J576" s="84">
        <f ca="1">Проект!$J$1172</f>
        <v>-477294.77124999987</v>
      </c>
      <c r="K576" s="84">
        <f ca="1">Проект!$K$1172</f>
        <v>-721653.5425000001</v>
      </c>
      <c r="L576" s="84">
        <f ca="1">Проект!$L$1172</f>
        <v>-966012.31374999986</v>
      </c>
      <c r="M576" s="84">
        <f ca="1">Проект!$M$1172</f>
        <v>-1210371.085</v>
      </c>
      <c r="N576" s="84" t="e">
        <f>Проект!#REF!</f>
        <v>#REF!</v>
      </c>
      <c r="O576" s="84" t="e">
        <f>Проект!#REF!</f>
        <v>#REF!</v>
      </c>
      <c r="P576" s="84" t="e">
        <f>Проект!#REF!</f>
        <v>#REF!</v>
      </c>
      <c r="Q576" s="84">
        <f ca="1">Проект!$Q$1172</f>
        <v>-2676523.7124999999</v>
      </c>
      <c r="R576" s="48"/>
      <c r="S576" s="41"/>
    </row>
    <row r="577" spans="1:19" ht="11.25" customHeight="1" x14ac:dyDescent="0.25">
      <c r="A577" s="130" t="str">
        <f ca="1">Проект!$A$1173</f>
        <v>Изменение чистого оборотного капитала</v>
      </c>
      <c r="B577" s="48"/>
      <c r="C577" s="73" t="str">
        <f ca="1">Проект!$C$1173</f>
        <v>руб.</v>
      </c>
      <c r="D577" s="368"/>
      <c r="E577" s="48"/>
      <c r="F577" s="361">
        <f ca="1">Проект!$F$1173</f>
        <v>-648376</v>
      </c>
      <c r="G577" s="361">
        <f ca="1">Проект!$G$1173</f>
        <v>415440</v>
      </c>
      <c r="H577" s="361">
        <f ca="1">Проект!$H$1173</f>
        <v>-24435.877125000115</v>
      </c>
      <c r="I577" s="361">
        <f ca="1">Проект!$I$1173</f>
        <v>-97743.508499999763</v>
      </c>
      <c r="J577" s="361">
        <f ca="1">Проект!$J$1173</f>
        <v>-122179.385625</v>
      </c>
      <c r="K577" s="361">
        <f ca="1">Проект!$K$1173</f>
        <v>-244358.77125000022</v>
      </c>
      <c r="L577" s="361">
        <f ca="1">Проект!$L$1173</f>
        <v>-244358.77124999976</v>
      </c>
      <c r="M577" s="361">
        <f ca="1">Проект!$M$1173</f>
        <v>-244358.77125000011</v>
      </c>
      <c r="N577" s="361" t="e">
        <f>Проект!#REF!</f>
        <v>#REF!</v>
      </c>
      <c r="O577" s="361" t="e">
        <f>Проект!#REF!</f>
        <v>#REF!</v>
      </c>
      <c r="P577" s="361" t="e">
        <f>Проект!#REF!</f>
        <v>#REF!</v>
      </c>
      <c r="Q577" s="361">
        <f ca="1">Проект!$Q$1173</f>
        <v>-244358.77124999976</v>
      </c>
      <c r="R577" s="48"/>
      <c r="S577" s="41"/>
    </row>
    <row r="578" spans="1:19" ht="11.25" customHeight="1" x14ac:dyDescent="0.2">
      <c r="A578" s="52" t="str">
        <f ca="1">Проект!$A$1174</f>
        <v>Прирост, учтенный в операционных денежных потоках</v>
      </c>
      <c r="B578" s="48"/>
      <c r="C578" s="73" t="str">
        <f ca="1">Проект!$C$1174</f>
        <v>руб.</v>
      </c>
      <c r="D578" s="101"/>
      <c r="E578" s="48"/>
      <c r="F578" s="84">
        <f>Проект!$F$1174</f>
        <v>0</v>
      </c>
      <c r="G578" s="84">
        <f>Проект!$G$1174</f>
        <v>0</v>
      </c>
      <c r="H578" s="84">
        <f>Проект!$H$1174</f>
        <v>0</v>
      </c>
      <c r="I578" s="84">
        <f>Проект!$I$1174</f>
        <v>0</v>
      </c>
      <c r="J578" s="84">
        <f>Проект!$J$1174</f>
        <v>0</v>
      </c>
      <c r="K578" s="84">
        <f>Проект!$K$1174</f>
        <v>0</v>
      </c>
      <c r="L578" s="84">
        <f>Проект!$L$1174</f>
        <v>0</v>
      </c>
      <c r="M578" s="84">
        <f>Проект!$M$1174</f>
        <v>0</v>
      </c>
      <c r="N578" s="84" t="e">
        <f>Проект!#REF!</f>
        <v>#REF!</v>
      </c>
      <c r="O578" s="84" t="e">
        <f>Проект!#REF!</f>
        <v>#REF!</v>
      </c>
      <c r="P578" s="84" t="e">
        <f>Проект!#REF!</f>
        <v>#REF!</v>
      </c>
      <c r="Q578" s="84">
        <f>Проект!$Q$1174</f>
        <v>0</v>
      </c>
      <c r="R578" s="48"/>
      <c r="S578" s="41"/>
    </row>
    <row r="579" spans="1:19" ht="11.25" customHeight="1" x14ac:dyDescent="0.2">
      <c r="A579" s="52" t="str">
        <f ca="1">Проект!$A$1175</f>
        <v>Инвестиции в чистый оборотный капитал</v>
      </c>
      <c r="B579" s="48"/>
      <c r="C579" s="73" t="str">
        <f ca="1">Проект!$C$1175</f>
        <v>руб.</v>
      </c>
      <c r="D579" s="101"/>
      <c r="E579" s="48"/>
      <c r="F579" s="84">
        <f ca="1">Проект!$F$1175</f>
        <v>-648376</v>
      </c>
      <c r="G579" s="84">
        <f ca="1">Проект!$G$1175</f>
        <v>415440</v>
      </c>
      <c r="H579" s="84">
        <f ca="1">Проект!$H$1175</f>
        <v>-24435.877125000115</v>
      </c>
      <c r="I579" s="84">
        <f ca="1">Проект!$I$1175</f>
        <v>-97743.508499999763</v>
      </c>
      <c r="J579" s="84">
        <f ca="1">Проект!$J$1175</f>
        <v>-122179.385625</v>
      </c>
      <c r="K579" s="84">
        <f ca="1">Проект!$K$1175</f>
        <v>-244358.77125000022</v>
      </c>
      <c r="L579" s="84">
        <f ca="1">Проект!$L$1175</f>
        <v>-244358.77124999976</v>
      </c>
      <c r="M579" s="84">
        <f ca="1">Проект!$M$1175</f>
        <v>-244358.77125000011</v>
      </c>
      <c r="N579" s="84" t="e">
        <f>Проект!#REF!</f>
        <v>#REF!</v>
      </c>
      <c r="O579" s="84" t="e">
        <f>Проект!#REF!</f>
        <v>#REF!</v>
      </c>
      <c r="P579" s="84" t="e">
        <f>Проект!#REF!</f>
        <v>#REF!</v>
      </c>
      <c r="Q579" s="84">
        <f ca="1">Проект!$Q$1175</f>
        <v>-244358.77124999976</v>
      </c>
      <c r="R579" s="48"/>
      <c r="S579" s="41"/>
    </row>
    <row r="582" spans="1:19" ht="16" customHeight="1" thickBot="1" x14ac:dyDescent="0.25">
      <c r="A582" s="166" t="str">
        <f ca="1">Проект!$A$1178</f>
        <v xml:space="preserve">         СОБСТВЕННЫЙ КАПИТАЛ</v>
      </c>
      <c r="B582" s="166"/>
      <c r="C582" s="166"/>
      <c r="D582" s="166"/>
      <c r="E582" s="166"/>
      <c r="F582" s="178" t="str">
        <f>Проект!$F$1178</f>
        <v>4/ 2024</v>
      </c>
      <c r="G582" s="178" t="str">
        <f>Проект!$G$1178</f>
        <v>5/ 2024</v>
      </c>
      <c r="H582" s="178" t="str">
        <f>Проект!$H$1178</f>
        <v>6/ 2024</v>
      </c>
      <c r="I582" s="178" t="str">
        <f>Проект!$I$1178</f>
        <v>7/ 2024</v>
      </c>
      <c r="J582" s="178" t="str">
        <f>Проект!$J$1178</f>
        <v>8/ 2024</v>
      </c>
      <c r="K582" s="178" t="str">
        <f>Проект!$K$1178</f>
        <v>9/ 2024</v>
      </c>
      <c r="L582" s="178" t="str">
        <f>Проект!$L$1178</f>
        <v>10/ 2024</v>
      </c>
      <c r="M582" s="178" t="str">
        <f>Проект!$M$1178</f>
        <v>11/ 2024</v>
      </c>
      <c r="N582" s="178" t="e">
        <f>Проект!#REF!</f>
        <v>#REF!</v>
      </c>
      <c r="O582" s="178" t="e">
        <f>Проект!#REF!</f>
        <v>#REF!</v>
      </c>
      <c r="P582" s="178" t="e">
        <f>Проект!#REF!</f>
        <v>#REF!</v>
      </c>
      <c r="Q582" s="178" t="str">
        <f>Проект!$Q$1178</f>
        <v>3/ 2025</v>
      </c>
      <c r="R582" s="166"/>
      <c r="S582" s="195" t="str">
        <f ca="1">Проект!$S$1178</f>
        <v>ИТОГО</v>
      </c>
    </row>
    <row r="583" spans="1:19" ht="12" customHeight="1" thickTop="1" x14ac:dyDescent="0.2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1"/>
    </row>
    <row r="584" spans="1:19" ht="11.25" customHeight="1" x14ac:dyDescent="0.2">
      <c r="A584" s="48" t="str">
        <f ca="1">Проект!$A$1180</f>
        <v>Средства собственников</v>
      </c>
      <c r="B584" s="48"/>
      <c r="C584" s="73" t="str">
        <f ca="1">Проект!$C$1180</f>
        <v>руб.</v>
      </c>
      <c r="D584" s="48"/>
      <c r="E584" s="48"/>
      <c r="F584" s="369">
        <f>Проект!$F$1180</f>
        <v>0</v>
      </c>
      <c r="G584" s="369">
        <f>Проект!$G$1180</f>
        <v>0</v>
      </c>
      <c r="H584" s="369">
        <f>Проект!$H$1180</f>
        <v>0</v>
      </c>
      <c r="I584" s="369">
        <f>Проект!$I$1180</f>
        <v>0</v>
      </c>
      <c r="J584" s="369">
        <f>Проект!$J$1180</f>
        <v>0</v>
      </c>
      <c r="K584" s="369">
        <f>Проект!$K$1180</f>
        <v>0</v>
      </c>
      <c r="L584" s="369">
        <f>Проект!$L$1180</f>
        <v>0</v>
      </c>
      <c r="M584" s="369">
        <f>Проект!$M$1180</f>
        <v>0</v>
      </c>
      <c r="N584" s="369" t="e">
        <f>Проект!#REF!</f>
        <v>#REF!</v>
      </c>
      <c r="O584" s="369" t="e">
        <f>Проект!#REF!</f>
        <v>#REF!</v>
      </c>
      <c r="P584" s="369" t="e">
        <f>Проект!#REF!</f>
        <v>#REF!</v>
      </c>
      <c r="Q584" s="369">
        <f>Проект!$Q$1180</f>
        <v>0</v>
      </c>
      <c r="R584" s="48"/>
      <c r="S584" s="94">
        <f>Проект!$S$1180</f>
        <v>0</v>
      </c>
    </row>
    <row r="585" spans="1:19" hidden="1" x14ac:dyDescent="0.2">
      <c r="A585" s="48"/>
      <c r="B585" s="197" t="str">
        <f ca="1">Проект!$B$1181</f>
        <v>Валюта</v>
      </c>
      <c r="C585" s="73"/>
      <c r="D585" s="48"/>
      <c r="E585" s="48"/>
      <c r="F585" s="84"/>
      <c r="G585" s="84"/>
      <c r="H585" s="84"/>
      <c r="I585" s="84"/>
      <c r="J585" s="84"/>
      <c r="K585" s="84"/>
      <c r="L585" s="84"/>
      <c r="M585" s="84"/>
      <c r="N585" s="84"/>
      <c r="O585" s="84"/>
      <c r="P585" s="84"/>
      <c r="Q585" s="84"/>
      <c r="R585" s="48"/>
      <c r="S585" s="94"/>
    </row>
    <row r="586" spans="1:19" hidden="1" x14ac:dyDescent="0.2">
      <c r="A586" s="333" t="str">
        <f ca="1">Проект!$A$1182</f>
        <v>Собственник 1</v>
      </c>
      <c r="B586" s="334">
        <f>Проект!$B$1182</f>
        <v>1</v>
      </c>
      <c r="C586" s="50" t="str">
        <f ca="1">Проект!$C$1182</f>
        <v>руб.</v>
      </c>
      <c r="D586" s="101" t="str">
        <f>Проект!$D$1182</f>
        <v>1_01</v>
      </c>
      <c r="E586" s="48"/>
      <c r="F586" s="341">
        <f>Проект!$F$1182</f>
        <v>0</v>
      </c>
      <c r="G586" s="341">
        <f>Проект!$G$1182</f>
        <v>0</v>
      </c>
      <c r="H586" s="341">
        <f>Проект!$H$1182</f>
        <v>0</v>
      </c>
      <c r="I586" s="341">
        <f>Проект!$I$1182</f>
        <v>0</v>
      </c>
      <c r="J586" s="341">
        <f>Проект!$J$1182</f>
        <v>0</v>
      </c>
      <c r="K586" s="341">
        <f>Проект!$K$1182</f>
        <v>0</v>
      </c>
      <c r="L586" s="341">
        <f>Проект!$L$1182</f>
        <v>0</v>
      </c>
      <c r="M586" s="341">
        <f>Проект!$M$1182</f>
        <v>0</v>
      </c>
      <c r="N586" s="341" t="e">
        <f>Проект!#REF!</f>
        <v>#REF!</v>
      </c>
      <c r="O586" s="341" t="e">
        <f>Проект!#REF!</f>
        <v>#REF!</v>
      </c>
      <c r="P586" s="341" t="e">
        <f>Проект!#REF!</f>
        <v>#REF!</v>
      </c>
      <c r="Q586" s="341">
        <f>Проект!$Q$1182</f>
        <v>0</v>
      </c>
      <c r="R586" s="48"/>
      <c r="S586" s="94">
        <f>Проект!$S$1182</f>
        <v>0</v>
      </c>
    </row>
    <row r="587" spans="1:19" hidden="1" x14ac:dyDescent="0.2">
      <c r="A587" s="333" t="str">
        <f ca="1">Проект!$A$1183</f>
        <v>Собственник 2</v>
      </c>
      <c r="B587" s="334">
        <f>Проект!$B$1183</f>
        <v>1</v>
      </c>
      <c r="C587" s="50" t="str">
        <f ca="1">Проект!$C$1183</f>
        <v>руб.</v>
      </c>
      <c r="D587" s="101" t="str">
        <f>Проект!$D$1183</f>
        <v>1_01</v>
      </c>
      <c r="E587" s="48"/>
      <c r="F587" s="341">
        <f>Проект!$F$1183</f>
        <v>0</v>
      </c>
      <c r="G587" s="341">
        <f>Проект!$G$1183</f>
        <v>0</v>
      </c>
      <c r="H587" s="341">
        <f>Проект!$H$1183</f>
        <v>0</v>
      </c>
      <c r="I587" s="341">
        <f>Проект!$I$1183</f>
        <v>0</v>
      </c>
      <c r="J587" s="341">
        <f>Проект!$J$1183</f>
        <v>0</v>
      </c>
      <c r="K587" s="341">
        <f>Проект!$K$1183</f>
        <v>0</v>
      </c>
      <c r="L587" s="341">
        <f>Проект!$L$1183</f>
        <v>0</v>
      </c>
      <c r="M587" s="341">
        <f>Проект!$M$1183</f>
        <v>0</v>
      </c>
      <c r="N587" s="341" t="e">
        <f>Проект!#REF!</f>
        <v>#REF!</v>
      </c>
      <c r="O587" s="341" t="e">
        <f>Проект!#REF!</f>
        <v>#REF!</v>
      </c>
      <c r="P587" s="341" t="e">
        <f>Проект!#REF!</f>
        <v>#REF!</v>
      </c>
      <c r="Q587" s="341">
        <f>Проект!$Q$1183</f>
        <v>0</v>
      </c>
      <c r="R587" s="48"/>
      <c r="S587" s="94">
        <f>Проект!$S$1183</f>
        <v>0</v>
      </c>
    </row>
    <row r="588" spans="1:19" hidden="1" x14ac:dyDescent="0.2">
      <c r="A588" s="333" t="str">
        <f ca="1">Проект!$A$1184</f>
        <v>Собственник 3</v>
      </c>
      <c r="B588" s="334">
        <f>Проект!$B$1184</f>
        <v>1</v>
      </c>
      <c r="C588" s="50" t="str">
        <f ca="1">Проект!$C$1184</f>
        <v>руб.</v>
      </c>
      <c r="D588" s="101" t="str">
        <f>Проект!$D$1184</f>
        <v>1_01</v>
      </c>
      <c r="E588" s="48"/>
      <c r="F588" s="341">
        <f>Проект!$F$1184</f>
        <v>0</v>
      </c>
      <c r="G588" s="341">
        <f>Проект!$G$1184</f>
        <v>0</v>
      </c>
      <c r="H588" s="341">
        <f>Проект!$H$1184</f>
        <v>0</v>
      </c>
      <c r="I588" s="341">
        <f>Проект!$I$1184</f>
        <v>0</v>
      </c>
      <c r="J588" s="341">
        <f>Проект!$J$1184</f>
        <v>0</v>
      </c>
      <c r="K588" s="341">
        <f>Проект!$K$1184</f>
        <v>0</v>
      </c>
      <c r="L588" s="341">
        <f>Проект!$L$1184</f>
        <v>0</v>
      </c>
      <c r="M588" s="341">
        <f>Проект!$M$1184</f>
        <v>0</v>
      </c>
      <c r="N588" s="341" t="e">
        <f>Проект!#REF!</f>
        <v>#REF!</v>
      </c>
      <c r="O588" s="341" t="e">
        <f>Проект!#REF!</f>
        <v>#REF!</v>
      </c>
      <c r="P588" s="341" t="e">
        <f>Проект!#REF!</f>
        <v>#REF!</v>
      </c>
      <c r="Q588" s="341">
        <f>Проект!$Q$1184</f>
        <v>0</v>
      </c>
      <c r="R588" s="48"/>
      <c r="S588" s="94">
        <f>Проект!$S$1184</f>
        <v>0</v>
      </c>
    </row>
    <row r="589" spans="1:19" hidden="1" x14ac:dyDescent="0.2">
      <c r="A589" s="333" t="str">
        <f ca="1">Проект!$A$1185</f>
        <v>Собственник 4</v>
      </c>
      <c r="B589" s="334">
        <f>Проект!$B$1185</f>
        <v>1</v>
      </c>
      <c r="C589" s="50" t="str">
        <f ca="1">Проект!$C$1185</f>
        <v>руб.</v>
      </c>
      <c r="D589" s="101" t="str">
        <f>Проект!$D$1185</f>
        <v>1_01</v>
      </c>
      <c r="E589" s="48"/>
      <c r="F589" s="341">
        <f>Проект!$F$1185</f>
        <v>0</v>
      </c>
      <c r="G589" s="341">
        <f>Проект!$G$1185</f>
        <v>0</v>
      </c>
      <c r="H589" s="341">
        <f>Проект!$H$1185</f>
        <v>0</v>
      </c>
      <c r="I589" s="341">
        <f>Проект!$I$1185</f>
        <v>0</v>
      </c>
      <c r="J589" s="341">
        <f>Проект!$J$1185</f>
        <v>0</v>
      </c>
      <c r="K589" s="341">
        <f>Проект!$K$1185</f>
        <v>0</v>
      </c>
      <c r="L589" s="341">
        <f>Проект!$L$1185</f>
        <v>0</v>
      </c>
      <c r="M589" s="341">
        <f>Проект!$M$1185</f>
        <v>0</v>
      </c>
      <c r="N589" s="341" t="e">
        <f>Проект!#REF!</f>
        <v>#REF!</v>
      </c>
      <c r="O589" s="341" t="e">
        <f>Проект!#REF!</f>
        <v>#REF!</v>
      </c>
      <c r="P589" s="341" t="e">
        <f>Проект!#REF!</f>
        <v>#REF!</v>
      </c>
      <c r="Q589" s="341">
        <f>Проект!$Q$1185</f>
        <v>0</v>
      </c>
      <c r="R589" s="48"/>
      <c r="S589" s="94">
        <f>Проект!$S$1185</f>
        <v>0</v>
      </c>
    </row>
    <row r="590" spans="1:19" hidden="1" x14ac:dyDescent="0.2">
      <c r="A590" s="333" t="str">
        <f ca="1">Проект!$A$1186</f>
        <v>Собственник 5</v>
      </c>
      <c r="B590" s="334">
        <f>Проект!$B$1186</f>
        <v>1</v>
      </c>
      <c r="C590" s="50" t="str">
        <f ca="1">Проект!$C$1186</f>
        <v>руб.</v>
      </c>
      <c r="D590" s="101" t="str">
        <f>Проект!$D$1186</f>
        <v>1_01</v>
      </c>
      <c r="E590" s="48"/>
      <c r="F590" s="341">
        <f>Проект!$F$1186</f>
        <v>0</v>
      </c>
      <c r="G590" s="341">
        <f>Проект!$G$1186</f>
        <v>0</v>
      </c>
      <c r="H590" s="341">
        <f>Проект!$H$1186</f>
        <v>0</v>
      </c>
      <c r="I590" s="341">
        <f>Проект!$I$1186</f>
        <v>0</v>
      </c>
      <c r="J590" s="341">
        <f>Проект!$J$1186</f>
        <v>0</v>
      </c>
      <c r="K590" s="341">
        <f>Проект!$K$1186</f>
        <v>0</v>
      </c>
      <c r="L590" s="341">
        <f>Проект!$L$1186</f>
        <v>0</v>
      </c>
      <c r="M590" s="341">
        <f>Проект!$M$1186</f>
        <v>0</v>
      </c>
      <c r="N590" s="341" t="e">
        <f>Проект!#REF!</f>
        <v>#REF!</v>
      </c>
      <c r="O590" s="341" t="e">
        <f>Проект!#REF!</f>
        <v>#REF!</v>
      </c>
      <c r="P590" s="341" t="e">
        <f>Проект!#REF!</f>
        <v>#REF!</v>
      </c>
      <c r="Q590" s="341">
        <f>Проект!$Q$1186</f>
        <v>0</v>
      </c>
      <c r="R590" s="48"/>
      <c r="S590" s="94">
        <f>Проект!$S$1186</f>
        <v>0</v>
      </c>
    </row>
    <row r="591" spans="1:19" ht="11.25" customHeight="1" x14ac:dyDescent="0.2">
      <c r="A591" s="48"/>
      <c r="B591" s="197" t="str">
        <f ca="1">Проект!$B$1187</f>
        <v>Валюта</v>
      </c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1"/>
    </row>
    <row r="592" spans="1:19" ht="11.25" customHeight="1" x14ac:dyDescent="0.2">
      <c r="A592" s="48" t="str">
        <f ca="1">Проект!$A$1188</f>
        <v>Средства от текущей деятельности</v>
      </c>
      <c r="B592" s="334">
        <f>Проект!$B$1188</f>
        <v>1</v>
      </c>
      <c r="C592" s="50" t="str">
        <f ca="1">Проект!$C$1188</f>
        <v>руб.</v>
      </c>
      <c r="D592" s="101"/>
      <c r="E592" s="48"/>
      <c r="F592" s="341">
        <f>Проект!$F$1188</f>
        <v>0</v>
      </c>
      <c r="G592" s="341">
        <f>Проект!$G$1188</f>
        <v>0</v>
      </c>
      <c r="H592" s="341">
        <f>Проект!$H$1188</f>
        <v>0</v>
      </c>
      <c r="I592" s="341">
        <f>Проект!$I$1188</f>
        <v>0</v>
      </c>
      <c r="J592" s="341">
        <f>Проект!$J$1188</f>
        <v>0</v>
      </c>
      <c r="K592" s="341">
        <f>Проект!$K$1188</f>
        <v>0</v>
      </c>
      <c r="L592" s="341">
        <f>Проект!$L$1188</f>
        <v>0</v>
      </c>
      <c r="M592" s="341">
        <f>Проект!$M$1188</f>
        <v>0</v>
      </c>
      <c r="N592" s="341" t="e">
        <f>Проект!#REF!</f>
        <v>#REF!</v>
      </c>
      <c r="O592" s="341" t="e">
        <f>Проект!#REF!</f>
        <v>#REF!</v>
      </c>
      <c r="P592" s="341" t="e">
        <f>Проект!#REF!</f>
        <v>#REF!</v>
      </c>
      <c r="Q592" s="341">
        <f>Проект!$Q$1188</f>
        <v>0</v>
      </c>
      <c r="R592" s="48"/>
      <c r="S592" s="94">
        <f>Проект!$S$1188</f>
        <v>0</v>
      </c>
    </row>
    <row r="593" spans="1:19" hidden="1" x14ac:dyDescent="0.2">
      <c r="A593" s="48" t="str">
        <f ca="1">Проект!$A$1189</f>
        <v xml:space="preserve">    то же, в основной валюте</v>
      </c>
      <c r="B593" s="73"/>
      <c r="C593" s="73" t="str">
        <f ca="1">Проект!$C$1189</f>
        <v>руб.</v>
      </c>
      <c r="D593" s="101"/>
      <c r="E593" s="48"/>
      <c r="F593" s="106">
        <f>Проект!$F$1189</f>
        <v>0</v>
      </c>
      <c r="G593" s="106">
        <f>Проект!$G$1189</f>
        <v>0</v>
      </c>
      <c r="H593" s="106">
        <f>Проект!$H$1189</f>
        <v>0</v>
      </c>
      <c r="I593" s="106">
        <f>Проект!$I$1189</f>
        <v>0</v>
      </c>
      <c r="J593" s="106">
        <f>Проект!$J$1189</f>
        <v>0</v>
      </c>
      <c r="K593" s="106">
        <f>Проект!$K$1189</f>
        <v>0</v>
      </c>
      <c r="L593" s="106">
        <f>Проект!$L$1189</f>
        <v>0</v>
      </c>
      <c r="M593" s="106">
        <f>Проект!$M$1189</f>
        <v>0</v>
      </c>
      <c r="N593" s="106" t="e">
        <f>Проект!#REF!</f>
        <v>#REF!</v>
      </c>
      <c r="O593" s="106" t="e">
        <f>Проект!#REF!</f>
        <v>#REF!</v>
      </c>
      <c r="P593" s="106" t="e">
        <f>Проект!#REF!</f>
        <v>#REF!</v>
      </c>
      <c r="Q593" s="106">
        <f>Проект!$Q$1189</f>
        <v>0</v>
      </c>
      <c r="R593" s="48"/>
      <c r="S593" s="94">
        <f>Проект!$S$1189</f>
        <v>0</v>
      </c>
    </row>
    <row r="594" spans="1:19" ht="11.25" customHeight="1" x14ac:dyDescent="0.2">
      <c r="A594" s="48"/>
      <c r="B594" s="197" t="str">
        <f ca="1">Проект!$B$1190</f>
        <v>Валюта</v>
      </c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1"/>
    </row>
    <row r="595" spans="1:19" ht="11.25" customHeight="1" x14ac:dyDescent="0.2">
      <c r="A595" s="52" t="str">
        <f ca="1">Проект!$A$1191</f>
        <v>Целевое финансирование</v>
      </c>
      <c r="B595" s="334">
        <f>Проект!$B$1191</f>
        <v>1</v>
      </c>
      <c r="C595" s="50" t="str">
        <f ca="1">Проект!$C$1191</f>
        <v>руб.</v>
      </c>
      <c r="D595" s="101"/>
      <c r="E595" s="48"/>
      <c r="F595" s="341">
        <f>Проект!$F$1191</f>
        <v>0</v>
      </c>
      <c r="G595" s="341">
        <f>Проект!$G$1191</f>
        <v>0</v>
      </c>
      <c r="H595" s="341">
        <f>Проект!$H$1191</f>
        <v>0</v>
      </c>
      <c r="I595" s="341">
        <f>Проект!$I$1191</f>
        <v>0</v>
      </c>
      <c r="J595" s="341">
        <f>Проект!$J$1191</f>
        <v>0</v>
      </c>
      <c r="K595" s="341">
        <f>Проект!$K$1191</f>
        <v>0</v>
      </c>
      <c r="L595" s="341">
        <f>Проект!$L$1191</f>
        <v>0</v>
      </c>
      <c r="M595" s="341">
        <f>Проект!$M$1191</f>
        <v>0</v>
      </c>
      <c r="N595" s="341" t="e">
        <f>Проект!#REF!</f>
        <v>#REF!</v>
      </c>
      <c r="O595" s="341" t="e">
        <f>Проект!#REF!</f>
        <v>#REF!</v>
      </c>
      <c r="P595" s="341" t="e">
        <f>Проект!#REF!</f>
        <v>#REF!</v>
      </c>
      <c r="Q595" s="341">
        <f>Проект!$Q$1191</f>
        <v>0</v>
      </c>
      <c r="R595" s="48"/>
      <c r="S595" s="94">
        <f>Проект!$S$1191</f>
        <v>0</v>
      </c>
    </row>
    <row r="596" spans="1:19" hidden="1" x14ac:dyDescent="0.2">
      <c r="A596" s="52" t="str">
        <f ca="1">Проект!$A$1192</f>
        <v xml:space="preserve">    то же, в основной валюте</v>
      </c>
      <c r="B596" s="73"/>
      <c r="C596" s="73" t="str">
        <f ca="1">Проект!$C$1192</f>
        <v>руб.</v>
      </c>
      <c r="D596" s="101"/>
      <c r="E596" s="48"/>
      <c r="F596" s="106">
        <f>Проект!$F$1192</f>
        <v>0</v>
      </c>
      <c r="G596" s="106">
        <f>Проект!$G$1192</f>
        <v>0</v>
      </c>
      <c r="H596" s="106">
        <f>Проект!$H$1192</f>
        <v>0</v>
      </c>
      <c r="I596" s="106">
        <f>Проект!$I$1192</f>
        <v>0</v>
      </c>
      <c r="J596" s="106">
        <f>Проект!$J$1192</f>
        <v>0</v>
      </c>
      <c r="K596" s="106">
        <f>Проект!$K$1192</f>
        <v>0</v>
      </c>
      <c r="L596" s="106">
        <f>Проект!$L$1192</f>
        <v>0</v>
      </c>
      <c r="M596" s="106">
        <f>Проект!$M$1192</f>
        <v>0</v>
      </c>
      <c r="N596" s="106" t="e">
        <f>Проект!#REF!</f>
        <v>#REF!</v>
      </c>
      <c r="O596" s="106" t="e">
        <f>Проект!#REF!</f>
        <v>#REF!</v>
      </c>
      <c r="P596" s="106" t="e">
        <f>Проект!#REF!</f>
        <v>#REF!</v>
      </c>
      <c r="Q596" s="106">
        <f>Проект!$Q$1192</f>
        <v>0</v>
      </c>
      <c r="R596" s="48"/>
      <c r="S596" s="94">
        <f>Проект!$S$1192</f>
        <v>0</v>
      </c>
    </row>
    <row r="597" spans="1:19" ht="11.25" customHeight="1" x14ac:dyDescent="0.2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1"/>
    </row>
    <row r="598" spans="1:19" ht="11.25" customHeight="1" x14ac:dyDescent="0.2">
      <c r="A598" s="48" t="str">
        <f ca="1">Проект!$A$1194</f>
        <v>Средства от инвесторов строительства</v>
      </c>
      <c r="B598" s="48"/>
      <c r="C598" s="73" t="str">
        <f ca="1">Проект!$C$1194</f>
        <v>руб.</v>
      </c>
      <c r="D598" s="48" t="str">
        <f>Проект!$D$1194</f>
        <v>1_01</v>
      </c>
      <c r="E598" s="48"/>
      <c r="F598" s="106">
        <f>Проект!$F$1194</f>
        <v>0</v>
      </c>
      <c r="G598" s="106">
        <f>Проект!$G$1194</f>
        <v>0</v>
      </c>
      <c r="H598" s="106">
        <f>Проект!$H$1194</f>
        <v>0</v>
      </c>
      <c r="I598" s="106">
        <f>Проект!$I$1194</f>
        <v>0</v>
      </c>
      <c r="J598" s="106">
        <f>Проект!$J$1194</f>
        <v>0</v>
      </c>
      <c r="K598" s="106">
        <f>Проект!$K$1194</f>
        <v>0</v>
      </c>
      <c r="L598" s="106">
        <f>Проект!$L$1194</f>
        <v>0</v>
      </c>
      <c r="M598" s="106">
        <f>Проект!$M$1194</f>
        <v>0</v>
      </c>
      <c r="N598" s="106" t="e">
        <f>Проект!#REF!</f>
        <v>#REF!</v>
      </c>
      <c r="O598" s="106" t="e">
        <f>Проект!#REF!</f>
        <v>#REF!</v>
      </c>
      <c r="P598" s="106" t="e">
        <f>Проект!#REF!</f>
        <v>#REF!</v>
      </c>
      <c r="Q598" s="106">
        <f>Проект!$Q$1194</f>
        <v>0</v>
      </c>
      <c r="R598" s="48"/>
      <c r="S598" s="94">
        <f>Проект!$S$1194</f>
        <v>0</v>
      </c>
    </row>
    <row r="599" spans="1:19" ht="11.25" customHeight="1" x14ac:dyDescent="0.2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1"/>
    </row>
    <row r="600" spans="1:19" ht="11.25" customHeight="1" x14ac:dyDescent="0.2">
      <c r="A600" s="41" t="str">
        <f ca="1">Проект!$A$1196</f>
        <v>Справка: Остаток средств на счете (текущий проект)</v>
      </c>
      <c r="B600" s="41"/>
      <c r="C600" s="197" t="str">
        <f ca="1">Проект!$C$1196</f>
        <v>руб.</v>
      </c>
      <c r="D600" s="370" t="str">
        <f>Проект!$D$1196</f>
        <v>int_end</v>
      </c>
      <c r="E600" s="41"/>
      <c r="F600" s="94">
        <f ca="1">Проект!$F$1196</f>
        <v>41283.684478371404</v>
      </c>
      <c r="G600" s="94">
        <f ca="1">Проект!$G$1196</f>
        <v>52186.804602166172</v>
      </c>
      <c r="H600" s="94">
        <f ca="1">Проект!$H$1196</f>
        <v>41882.190303205512</v>
      </c>
      <c r="I600" s="94">
        <f ca="1">Проект!$I$1196</f>
        <v>31658.111742054811</v>
      </c>
      <c r="J600" s="94">
        <f ca="1">Проект!$J$1196</f>
        <v>20027.616109238239</v>
      </c>
      <c r="K600" s="94">
        <f ca="1">Проект!$K$1196</f>
        <v>239996.84876654632</v>
      </c>
      <c r="L600" s="94">
        <f ca="1">Проект!$L$1196</f>
        <v>378282.62228927377</v>
      </c>
      <c r="M600" s="94">
        <f ca="1">Проект!$M$1196</f>
        <v>632706.11513018364</v>
      </c>
      <c r="N600" s="94" t="e">
        <f>Проект!#REF!</f>
        <v>#REF!</v>
      </c>
      <c r="O600" s="94" t="e">
        <f>Проект!#REF!</f>
        <v>#REF!</v>
      </c>
      <c r="P600" s="94" t="e">
        <f>Проект!#REF!</f>
        <v>#REF!</v>
      </c>
      <c r="Q600" s="94">
        <f ca="1">Проект!$Q$1196</f>
        <v>24800866.549703859</v>
      </c>
      <c r="R600" s="41"/>
      <c r="S600" s="41"/>
    </row>
    <row r="603" spans="1:19" ht="16" customHeight="1" thickBot="1" x14ac:dyDescent="0.25">
      <c r="A603" s="166" t="str">
        <f ca="1">Проект!$A$1201</f>
        <v xml:space="preserve">         КРЕДИТЫ</v>
      </c>
      <c r="B603" s="166"/>
      <c r="C603" s="166"/>
      <c r="D603" s="166"/>
      <c r="E603" s="166"/>
      <c r="F603" s="178" t="str">
        <f>Проект!$F$1201</f>
        <v>4/ 2024</v>
      </c>
      <c r="G603" s="178" t="str">
        <f>Проект!$G$1201</f>
        <v>5/ 2024</v>
      </c>
      <c r="H603" s="178" t="str">
        <f>Проект!$H$1201</f>
        <v>6/ 2024</v>
      </c>
      <c r="I603" s="178" t="str">
        <f>Проект!$I$1201</f>
        <v>7/ 2024</v>
      </c>
      <c r="J603" s="178" t="str">
        <f>Проект!$J$1201</f>
        <v>8/ 2024</v>
      </c>
      <c r="K603" s="178" t="str">
        <f>Проект!$K$1201</f>
        <v>9/ 2024</v>
      </c>
      <c r="L603" s="178" t="str">
        <f>Проект!$L$1201</f>
        <v>10/ 2024</v>
      </c>
      <c r="M603" s="178" t="str">
        <f>Проект!$M$1201</f>
        <v>11/ 2024</v>
      </c>
      <c r="N603" s="178" t="e">
        <f>Проект!#REF!</f>
        <v>#REF!</v>
      </c>
      <c r="O603" s="178" t="e">
        <f>Проект!#REF!</f>
        <v>#REF!</v>
      </c>
      <c r="P603" s="178" t="e">
        <f>Проект!#REF!</f>
        <v>#REF!</v>
      </c>
      <c r="Q603" s="178" t="str">
        <f>Проект!$Q$1201</f>
        <v>3/ 2025</v>
      </c>
      <c r="R603" s="166"/>
      <c r="S603" s="195" t="str">
        <f ca="1">Проект!$S$1201</f>
        <v>ИТОГО</v>
      </c>
    </row>
    <row r="604" spans="1:19" ht="12" customHeight="1" thickTop="1" x14ac:dyDescent="0.2">
      <c r="A604" s="48"/>
      <c r="B604" s="48"/>
      <c r="C604" s="48"/>
      <c r="D604" s="48"/>
      <c r="E604" s="48"/>
      <c r="F604" s="48"/>
      <c r="G604" s="48"/>
      <c r="H604" s="48"/>
      <c r="I604" s="48"/>
      <c r="J604" s="48"/>
      <c r="K604" s="48"/>
      <c r="L604" s="48"/>
      <c r="M604" s="48"/>
      <c r="N604" s="48"/>
      <c r="O604" s="48"/>
      <c r="P604" s="48"/>
      <c r="Q604" s="48"/>
      <c r="R604" s="48"/>
      <c r="S604" s="41"/>
    </row>
    <row r="605" spans="1:19" ht="11.25" customHeight="1" x14ac:dyDescent="0.25">
      <c r="A605" s="130" t="str">
        <f ca="1">Проект!$A$1203</f>
        <v>Существующие кредиты</v>
      </c>
      <c r="B605" s="48"/>
      <c r="C605" s="48"/>
      <c r="D605" s="48"/>
      <c r="E605" s="48"/>
      <c r="F605" s="48"/>
      <c r="G605" s="48"/>
      <c r="H605" s="48"/>
      <c r="I605" s="48"/>
      <c r="J605" s="48"/>
      <c r="K605" s="48"/>
      <c r="L605" s="48"/>
      <c r="M605" s="48"/>
      <c r="N605" s="48"/>
      <c r="O605" s="48"/>
      <c r="P605" s="48"/>
      <c r="Q605" s="48"/>
      <c r="R605" s="48"/>
      <c r="S605" s="41"/>
    </row>
    <row r="606" spans="1:19" ht="11.25" customHeight="1" x14ac:dyDescent="0.2">
      <c r="A606" s="48" t="str">
        <f ca="1">Проект!$A$1204</f>
        <v>Годовая процентная ставка</v>
      </c>
      <c r="B606" s="344">
        <f>Проект!$B$1204</f>
        <v>0.15</v>
      </c>
      <c r="C606" s="48"/>
      <c r="D606" s="101" t="str">
        <f>Проект!$D$1204</f>
        <v>int_rate;int_avg</v>
      </c>
      <c r="E606" s="48"/>
      <c r="F606" s="75">
        <f>Проект!$F$1204</f>
        <v>0.15</v>
      </c>
      <c r="G606" s="75">
        <f>Проект!$G$1204</f>
        <v>0.15</v>
      </c>
      <c r="H606" s="75">
        <f>Проект!$H$1204</f>
        <v>0.15</v>
      </c>
      <c r="I606" s="75">
        <f>Проект!$I$1204</f>
        <v>0.15</v>
      </c>
      <c r="J606" s="75">
        <f>Проект!$J$1204</f>
        <v>0.15</v>
      </c>
      <c r="K606" s="75">
        <f>Проект!$K$1204</f>
        <v>0.15</v>
      </c>
      <c r="L606" s="75">
        <f>Проект!$L$1204</f>
        <v>0.15</v>
      </c>
      <c r="M606" s="75">
        <f>Проект!$M$1204</f>
        <v>0.15</v>
      </c>
      <c r="N606" s="75" t="e">
        <f>Проект!#REF!</f>
        <v>#REF!</v>
      </c>
      <c r="O606" s="75" t="e">
        <f>Проект!#REF!</f>
        <v>#REF!</v>
      </c>
      <c r="P606" s="75" t="e">
        <f>Проект!#REF!</f>
        <v>#REF!</v>
      </c>
      <c r="Q606" s="75">
        <f>Проект!$Q$1204</f>
        <v>0.15</v>
      </c>
      <c r="R606" s="48"/>
      <c r="S606" s="41"/>
    </row>
    <row r="607" spans="1:19" ht="11.25" customHeight="1" x14ac:dyDescent="0.2">
      <c r="A607" s="48" t="str">
        <f ca="1">Проект!$A$1205</f>
        <v>Погашение основного долга</v>
      </c>
      <c r="B607" s="48"/>
      <c r="C607" s="73" t="str">
        <f ca="1">Проект!$C$1205</f>
        <v>руб.</v>
      </c>
      <c r="D607" s="101" t="str">
        <f>Проект!$D$1205</f>
        <v>2/1_01</v>
      </c>
      <c r="E607" s="48"/>
      <c r="F607" s="341">
        <f>Проект!$F$1205</f>
        <v>0</v>
      </c>
      <c r="G607" s="341">
        <f>Проект!$G$1205</f>
        <v>0</v>
      </c>
      <c r="H607" s="341">
        <f>Проект!$H$1205</f>
        <v>0</v>
      </c>
      <c r="I607" s="341">
        <f>Проект!$I$1205</f>
        <v>0</v>
      </c>
      <c r="J607" s="341">
        <f>Проект!$J$1205</f>
        <v>0</v>
      </c>
      <c r="K607" s="341">
        <f>Проект!$K$1205</f>
        <v>0</v>
      </c>
      <c r="L607" s="341">
        <f>Проект!$L$1205</f>
        <v>0</v>
      </c>
      <c r="M607" s="341">
        <f>Проект!$M$1205</f>
        <v>0</v>
      </c>
      <c r="N607" s="341" t="e">
        <f>Проект!#REF!</f>
        <v>#REF!</v>
      </c>
      <c r="O607" s="341" t="e">
        <f>Проект!#REF!</f>
        <v>#REF!</v>
      </c>
      <c r="P607" s="341" t="e">
        <f>Проект!#REF!</f>
        <v>#REF!</v>
      </c>
      <c r="Q607" s="341">
        <f>Проект!$Q$1205</f>
        <v>0</v>
      </c>
      <c r="R607" s="48"/>
      <c r="S607" s="94">
        <f>Проект!$S$1205</f>
        <v>0</v>
      </c>
    </row>
    <row r="608" spans="1:19" ht="11.25" customHeight="1" x14ac:dyDescent="0.2">
      <c r="A608" s="48" t="str">
        <f ca="1">Проект!$A$1206</f>
        <v>Выплаченные проценты</v>
      </c>
      <c r="B608" s="48"/>
      <c r="C608" s="73" t="str">
        <f ca="1">Проект!$C$1206</f>
        <v>руб.</v>
      </c>
      <c r="D608" s="101" t="str">
        <f>Проект!$D$1206</f>
        <v>2/1_03</v>
      </c>
      <c r="E608" s="48"/>
      <c r="F608" s="84">
        <f>Проект!$F$1206</f>
        <v>0</v>
      </c>
      <c r="G608" s="84">
        <f>Проект!$G$1206</f>
        <v>0</v>
      </c>
      <c r="H608" s="84">
        <f>Проект!$H$1206</f>
        <v>0</v>
      </c>
      <c r="I608" s="84">
        <f>Проект!$I$1206</f>
        <v>0</v>
      </c>
      <c r="J608" s="84">
        <f>Проект!$J$1206</f>
        <v>0</v>
      </c>
      <c r="K608" s="84">
        <f>Проект!$K$1206</f>
        <v>0</v>
      </c>
      <c r="L608" s="84">
        <f>Проект!$L$1206</f>
        <v>0</v>
      </c>
      <c r="M608" s="84">
        <f>Проект!$M$1206</f>
        <v>0</v>
      </c>
      <c r="N608" s="84" t="e">
        <f>Проект!#REF!</f>
        <v>#REF!</v>
      </c>
      <c r="O608" s="84" t="e">
        <f>Проект!#REF!</f>
        <v>#REF!</v>
      </c>
      <c r="P608" s="84" t="e">
        <f>Проект!#REF!</f>
        <v>#REF!</v>
      </c>
      <c r="Q608" s="84">
        <f>Проект!$Q$1206</f>
        <v>0</v>
      </c>
      <c r="R608" s="48"/>
      <c r="S608" s="94">
        <f>Проект!$S$1206</f>
        <v>0</v>
      </c>
    </row>
    <row r="609" spans="1:19" ht="11.25" customHeight="1" x14ac:dyDescent="0.2">
      <c r="A609" s="48" t="str">
        <f ca="1">Проект!$A$1207</f>
        <v>Задолженность на конец текущего периода</v>
      </c>
      <c r="B609" s="48"/>
      <c r="C609" s="73" t="str">
        <f ca="1">Проект!$C$1207</f>
        <v>руб.</v>
      </c>
      <c r="D609" s="101" t="str">
        <f>Проект!$D$1207</f>
        <v>2/1_04;int_end</v>
      </c>
      <c r="E609" s="48"/>
      <c r="F609" s="84">
        <f>Проект!$F$1207</f>
        <v>0</v>
      </c>
      <c r="G609" s="84">
        <f>Проект!$G$1207</f>
        <v>0</v>
      </c>
      <c r="H609" s="84">
        <f>Проект!$H$1207</f>
        <v>0</v>
      </c>
      <c r="I609" s="84">
        <f>Проект!$I$1207</f>
        <v>0</v>
      </c>
      <c r="J609" s="84">
        <f>Проект!$J$1207</f>
        <v>0</v>
      </c>
      <c r="K609" s="84">
        <f>Проект!$K$1207</f>
        <v>0</v>
      </c>
      <c r="L609" s="84">
        <f>Проект!$L$1207</f>
        <v>0</v>
      </c>
      <c r="M609" s="84">
        <f>Проект!$M$1207</f>
        <v>0</v>
      </c>
      <c r="N609" s="84" t="e">
        <f>Проект!#REF!</f>
        <v>#REF!</v>
      </c>
      <c r="O609" s="84" t="e">
        <f>Проект!#REF!</f>
        <v>#REF!</v>
      </c>
      <c r="P609" s="84" t="e">
        <f>Проект!#REF!</f>
        <v>#REF!</v>
      </c>
      <c r="Q609" s="84">
        <f>Проект!$Q$1207</f>
        <v>0</v>
      </c>
      <c r="R609" s="371">
        <f>Проект!$R$1207</f>
        <v>0</v>
      </c>
      <c r="S609" s="41"/>
    </row>
    <row r="610" spans="1:19" hidden="1" x14ac:dyDescent="0.2">
      <c r="A610" s="48" t="str">
        <f ca="1">Проект!$A$1208</f>
        <v xml:space="preserve">    проценты, выплачиваемые из прибыли</v>
      </c>
      <c r="B610" s="48"/>
      <c r="C610" s="73" t="str">
        <f ca="1">Проект!$C$1208</f>
        <v>руб.</v>
      </c>
      <c r="D610" s="101" t="str">
        <f>Проект!$D$1208</f>
        <v>2/1_07</v>
      </c>
      <c r="E610" s="48"/>
      <c r="F610" s="84">
        <f>Проект!$F$1208</f>
        <v>0</v>
      </c>
      <c r="G610" s="84">
        <f>Проект!$G$1208</f>
        <v>0</v>
      </c>
      <c r="H610" s="84">
        <f>Проект!$H$1208</f>
        <v>0</v>
      </c>
      <c r="I610" s="84">
        <f>Проект!$I$1208</f>
        <v>0</v>
      </c>
      <c r="J610" s="84">
        <f>Проект!$J$1208</f>
        <v>0</v>
      </c>
      <c r="K610" s="84">
        <f>Проект!$K$1208</f>
        <v>0</v>
      </c>
      <c r="L610" s="84">
        <f>Проект!$L$1208</f>
        <v>0</v>
      </c>
      <c r="M610" s="84">
        <f>Проект!$M$1208</f>
        <v>0</v>
      </c>
      <c r="N610" s="84" t="e">
        <f>Проект!#REF!</f>
        <v>#REF!</v>
      </c>
      <c r="O610" s="84" t="e">
        <f>Проект!#REF!</f>
        <v>#REF!</v>
      </c>
      <c r="P610" s="84" t="e">
        <f>Проект!#REF!</f>
        <v>#REF!</v>
      </c>
      <c r="Q610" s="84">
        <f>Проект!$Q$1208</f>
        <v>0</v>
      </c>
      <c r="R610" s="372"/>
      <c r="S610" s="94">
        <f>Проект!$S$1208</f>
        <v>0</v>
      </c>
    </row>
    <row r="611" spans="1:19" hidden="1" x14ac:dyDescent="0.2">
      <c r="A611" s="48" t="str">
        <f ca="1">Проект!$A$1209</f>
        <v>Начисленные проценты</v>
      </c>
      <c r="B611" s="48"/>
      <c r="C611" s="73" t="str">
        <f ca="1">Проект!$C$1209</f>
        <v>руб.</v>
      </c>
      <c r="D611" s="101" t="str">
        <f>Проект!$D$1209</f>
        <v>2/1_02</v>
      </c>
      <c r="E611" s="48"/>
      <c r="F611" s="106">
        <f>Проект!$F$1209</f>
        <v>0</v>
      </c>
      <c r="G611" s="106">
        <f>Проект!$G$1209</f>
        <v>0</v>
      </c>
      <c r="H611" s="106">
        <f>Проект!$H$1209</f>
        <v>0</v>
      </c>
      <c r="I611" s="106">
        <f>Проект!$I$1209</f>
        <v>0</v>
      </c>
      <c r="J611" s="106">
        <f>Проект!$J$1209</f>
        <v>0</v>
      </c>
      <c r="K611" s="106">
        <f>Проект!$K$1209</f>
        <v>0</v>
      </c>
      <c r="L611" s="106">
        <f>Проект!$L$1209</f>
        <v>0</v>
      </c>
      <c r="M611" s="106">
        <f>Проект!$M$1209</f>
        <v>0</v>
      </c>
      <c r="N611" s="106" t="e">
        <f>Проект!#REF!</f>
        <v>#REF!</v>
      </c>
      <c r="O611" s="106" t="e">
        <f>Проект!#REF!</f>
        <v>#REF!</v>
      </c>
      <c r="P611" s="106" t="e">
        <f>Проект!#REF!</f>
        <v>#REF!</v>
      </c>
      <c r="Q611" s="106">
        <f>Проект!$Q$1209</f>
        <v>0</v>
      </c>
      <c r="R611" s="48"/>
      <c r="S611" s="94">
        <f>Проект!$S$1209</f>
        <v>0</v>
      </c>
    </row>
    <row r="612" spans="1:19" ht="11.25" customHeight="1" x14ac:dyDescent="0.2">
      <c r="A612" s="76"/>
      <c r="B612" s="76"/>
      <c r="C612" s="76"/>
      <c r="D612" s="76"/>
      <c r="E612" s="76"/>
      <c r="F612" s="76"/>
      <c r="G612" s="76"/>
      <c r="H612" s="76"/>
      <c r="I612" s="76"/>
      <c r="J612" s="76"/>
      <c r="K612" s="76"/>
      <c r="L612" s="76"/>
      <c r="M612" s="76"/>
      <c r="N612" s="76"/>
      <c r="O612" s="76"/>
      <c r="P612" s="76"/>
      <c r="Q612" s="76"/>
      <c r="R612" s="373"/>
      <c r="S612" s="359"/>
    </row>
    <row r="613" spans="1:19" ht="11.25" customHeight="1" x14ac:dyDescent="0.25">
      <c r="A613" s="125" t="str">
        <f ca="1">Проект!$A$1211</f>
        <v>Новые кредиты</v>
      </c>
      <c r="B613" s="45"/>
      <c r="C613" s="45"/>
      <c r="D613" s="45">
        <f>Проект!$D$1211</f>
        <v>2</v>
      </c>
      <c r="E613" s="45">
        <f>Проект!$E$1211</f>
        <v>14</v>
      </c>
      <c r="F613" s="45"/>
      <c r="G613" s="45"/>
      <c r="H613" s="45"/>
      <c r="I613" s="45"/>
      <c r="J613" s="45"/>
      <c r="K613" s="45"/>
      <c r="L613" s="45"/>
      <c r="M613" s="45"/>
      <c r="N613" s="45"/>
      <c r="O613" s="45"/>
      <c r="P613" s="45"/>
      <c r="Q613" s="45"/>
      <c r="R613" s="374"/>
      <c r="S613" s="77"/>
    </row>
    <row r="614" spans="1:19" ht="11.25" customHeight="1" x14ac:dyDescent="0.2">
      <c r="A614" s="375" t="str">
        <f>Проект!$A$1212</f>
        <v>Инвестиционный кредит 1</v>
      </c>
      <c r="B614" s="45"/>
      <c r="C614" s="45"/>
      <c r="D614" s="45"/>
      <c r="E614" s="45"/>
      <c r="F614" s="45"/>
      <c r="G614" s="45"/>
      <c r="H614" s="45"/>
      <c r="I614" s="45"/>
      <c r="J614" s="45"/>
      <c r="K614" s="45"/>
      <c r="L614" s="45"/>
      <c r="M614" s="45"/>
      <c r="N614" s="45"/>
      <c r="O614" s="45"/>
      <c r="P614" s="45"/>
      <c r="Q614" s="45"/>
      <c r="R614" s="374"/>
      <c r="S614" s="77"/>
    </row>
    <row r="615" spans="1:19" ht="11.25" customHeight="1" x14ac:dyDescent="0.2">
      <c r="A615" s="45" t="str">
        <f ca="1">Проект!$A$1213</f>
        <v>Тип кредита</v>
      </c>
      <c r="B615" s="376">
        <f>Проект!$B$1213</f>
        <v>2</v>
      </c>
      <c r="C615" s="377" t="str">
        <f ca="1">Проект!$C$1213</f>
        <v>Инвестиционный кредит</v>
      </c>
      <c r="D615" s="45"/>
      <c r="E615" s="45"/>
      <c r="F615" s="45"/>
      <c r="G615" s="45"/>
      <c r="H615" s="45"/>
      <c r="I615" s="45"/>
      <c r="J615" s="45"/>
      <c r="K615" s="45"/>
      <c r="L615" s="45"/>
      <c r="M615" s="45"/>
      <c r="N615" s="45"/>
      <c r="O615" s="45"/>
      <c r="P615" s="45"/>
      <c r="Q615" s="45"/>
      <c r="R615" s="374"/>
      <c r="S615" s="77"/>
    </row>
    <row r="616" spans="1:19" ht="11.25" customHeight="1" x14ac:dyDescent="0.2">
      <c r="A616" s="45" t="str">
        <f ca="1">Проект!$A$1214</f>
        <v>Валюта кредита</v>
      </c>
      <c r="B616" s="376">
        <f>Проект!$B$1214</f>
        <v>1</v>
      </c>
      <c r="C616" s="148" t="str">
        <f ca="1">Проект!$C$1214</f>
        <v>руб.</v>
      </c>
      <c r="D616" s="45"/>
      <c r="E616" s="45"/>
      <c r="F616" s="45"/>
      <c r="G616" s="45"/>
      <c r="H616" s="45"/>
      <c r="I616" s="45"/>
      <c r="J616" s="45"/>
      <c r="K616" s="45"/>
      <c r="L616" s="45"/>
      <c r="M616" s="45"/>
      <c r="N616" s="45"/>
      <c r="O616" s="45"/>
      <c r="P616" s="45"/>
      <c r="Q616" s="45"/>
      <c r="R616" s="374"/>
      <c r="S616" s="77"/>
    </row>
    <row r="617" spans="1:19" ht="11.25" customHeight="1" x14ac:dyDescent="0.2">
      <c r="A617" s="48" t="str">
        <f ca="1">Проект!$A$1215</f>
        <v>Годовая процентная ставка</v>
      </c>
      <c r="B617" s="344">
        <f>Проект!$B$1215</f>
        <v>0.21</v>
      </c>
      <c r="C617" s="48"/>
      <c r="D617" s="101" t="str">
        <f>Проект!$D$1215</f>
        <v>int_rate;int_avg</v>
      </c>
      <c r="E617" s="48"/>
      <c r="F617" s="75">
        <f>Проект!$F$1215</f>
        <v>0.21</v>
      </c>
      <c r="G617" s="75">
        <f>Проект!$G$1215</f>
        <v>0.21</v>
      </c>
      <c r="H617" s="75">
        <f>Проект!$H$1215</f>
        <v>0.21</v>
      </c>
      <c r="I617" s="75">
        <f>Проект!$I$1215</f>
        <v>0.21</v>
      </c>
      <c r="J617" s="75">
        <f>Проект!$J$1215</f>
        <v>0.21</v>
      </c>
      <c r="K617" s="75">
        <f>Проект!$K$1215</f>
        <v>0.21</v>
      </c>
      <c r="L617" s="75">
        <f>Проект!$L$1215</f>
        <v>0.21</v>
      </c>
      <c r="M617" s="75">
        <f>Проект!$M$1215</f>
        <v>0.21</v>
      </c>
      <c r="N617" s="75" t="e">
        <f>Проект!#REF!</f>
        <v>#REF!</v>
      </c>
      <c r="O617" s="75" t="e">
        <f>Проект!#REF!</f>
        <v>#REF!</v>
      </c>
      <c r="P617" s="75" t="e">
        <f>Проект!#REF!</f>
        <v>#REF!</v>
      </c>
      <c r="Q617" s="75">
        <f>Проект!$Q$1215</f>
        <v>0.21</v>
      </c>
      <c r="R617" s="372"/>
      <c r="S617" s="41"/>
    </row>
    <row r="618" spans="1:19" ht="11.25" customHeight="1" x14ac:dyDescent="0.2">
      <c r="A618" s="48" t="str">
        <f ca="1">Проект!$A$1216</f>
        <v>Отсрочка выплаты процентов</v>
      </c>
      <c r="B618" s="334">
        <f>Проект!$B$1216</f>
        <v>6</v>
      </c>
      <c r="C618" s="50" t="str">
        <f ca="1">Проект!$C$1216</f>
        <v>мес.</v>
      </c>
      <c r="D618" s="48"/>
      <c r="E618" s="48">
        <f>Проект!$E$1216</f>
        <v>110</v>
      </c>
      <c r="F618" s="48"/>
      <c r="G618" s="48"/>
      <c r="H618" s="48"/>
      <c r="I618" s="48"/>
      <c r="J618" s="48"/>
      <c r="K618" s="48"/>
      <c r="L618" s="48"/>
      <c r="M618" s="48"/>
      <c r="N618" s="48"/>
      <c r="O618" s="48"/>
      <c r="P618" s="48"/>
      <c r="Q618" s="48"/>
      <c r="R618" s="372"/>
      <c r="S618" s="41"/>
    </row>
    <row r="619" spans="1:19" ht="11.25" customHeight="1" x14ac:dyDescent="0.2">
      <c r="A619" s="48"/>
      <c r="B619" s="48"/>
      <c r="C619" s="48"/>
      <c r="D619" s="101" t="str">
        <f>Проект!$D$1217</f>
        <v>autoloan_button</v>
      </c>
      <c r="E619" s="48"/>
      <c r="F619" s="48"/>
      <c r="G619" s="48"/>
      <c r="H619" s="48"/>
      <c r="I619" s="48"/>
      <c r="J619" s="48"/>
      <c r="K619" s="48"/>
      <c r="L619" s="48"/>
      <c r="M619" s="48"/>
      <c r="N619" s="48"/>
      <c r="O619" s="48"/>
      <c r="P619" s="48"/>
      <c r="Q619" s="48"/>
      <c r="R619" s="372"/>
      <c r="S619" s="41"/>
    </row>
    <row r="620" spans="1:19" ht="11.25" customHeight="1" x14ac:dyDescent="0.2">
      <c r="A620" s="48" t="str">
        <f ca="1">Проект!$A$1218</f>
        <v>Поступление денег от кредита</v>
      </c>
      <c r="B620" s="48"/>
      <c r="C620" s="50" t="str">
        <f ca="1">Проект!$C$1218</f>
        <v>руб.</v>
      </c>
      <c r="D620" s="101" t="str">
        <f>Проект!$D$1218</f>
        <v>2/1_00</v>
      </c>
      <c r="E620" s="48"/>
      <c r="F620" s="341">
        <f>Проект!$F$1218</f>
        <v>2359067.6844783714</v>
      </c>
      <c r="G620" s="341">
        <f>Проект!$G$1218</f>
        <v>2982103.1201237948</v>
      </c>
      <c r="H620" s="341">
        <f>Проект!$H$1218</f>
        <v>2393268.0173260393</v>
      </c>
      <c r="I620" s="341">
        <f>Проект!$I$1218</f>
        <v>1809034.9566888495</v>
      </c>
      <c r="J620" s="341">
        <f>Проект!$J$1218</f>
        <v>1144435.2062421832</v>
      </c>
      <c r="K620" s="341">
        <f>Проект!$K$1218</f>
        <v>0</v>
      </c>
      <c r="L620" s="341">
        <f>Проект!$L$1218</f>
        <v>0</v>
      </c>
      <c r="M620" s="341">
        <f>Проект!$M$1218</f>
        <v>0</v>
      </c>
      <c r="N620" s="341" t="e">
        <f>Проект!#REF!</f>
        <v>#REF!</v>
      </c>
      <c r="O620" s="341" t="e">
        <f>Проект!#REF!</f>
        <v>#REF!</v>
      </c>
      <c r="P620" s="341" t="e">
        <f>Проект!#REF!</f>
        <v>#REF!</v>
      </c>
      <c r="Q620" s="341">
        <f>Проект!$Q$1218</f>
        <v>0</v>
      </c>
      <c r="R620" s="372"/>
      <c r="S620" s="94">
        <f>Проект!$S$1218</f>
        <v>10687908.984859239</v>
      </c>
    </row>
    <row r="621" spans="1:19" ht="11.25" customHeight="1" x14ac:dyDescent="0.2">
      <c r="A621" s="48" t="str">
        <f ca="1">Проект!$A$1219</f>
        <v>Погашение основного долга</v>
      </c>
      <c r="B621" s="48"/>
      <c r="C621" s="73" t="str">
        <f ca="1">Проект!$C$1219</f>
        <v>руб.</v>
      </c>
      <c r="D621" s="101" t="str">
        <f>Проект!$D$1219</f>
        <v>2/1_01</v>
      </c>
      <c r="E621" s="48"/>
      <c r="F621" s="341">
        <f>Проект!$F$1219</f>
        <v>0</v>
      </c>
      <c r="G621" s="341">
        <f>Проект!$G$1219</f>
        <v>0</v>
      </c>
      <c r="H621" s="341">
        <f>Проект!$H$1219</f>
        <v>0</v>
      </c>
      <c r="I621" s="341">
        <f>Проект!$I$1219</f>
        <v>0</v>
      </c>
      <c r="J621" s="341">
        <f>Проект!$J$1219</f>
        <v>0</v>
      </c>
      <c r="K621" s="341">
        <f>Проект!$K$1219</f>
        <v>23659.363592692334</v>
      </c>
      <c r="L621" s="341">
        <f>Проект!$L$1219</f>
        <v>1202620.5457013601</v>
      </c>
      <c r="M621" s="341">
        <f>Проект!$M$1219</f>
        <v>2406104.568837841</v>
      </c>
      <c r="N621" s="341" t="e">
        <f>Проект!#REF!</f>
        <v>#REF!</v>
      </c>
      <c r="O621" s="341" t="e">
        <f>Проект!#REF!</f>
        <v>#REF!</v>
      </c>
      <c r="P621" s="341" t="e">
        <f>Проект!#REF!</f>
        <v>#REF!</v>
      </c>
      <c r="Q621" s="341">
        <f>Проект!$Q$1219</f>
        <v>0</v>
      </c>
      <c r="R621" s="372"/>
      <c r="S621" s="94">
        <f>Проект!$S$1219</f>
        <v>11525547.882203316</v>
      </c>
    </row>
    <row r="622" spans="1:19" ht="11.25" customHeight="1" x14ac:dyDescent="0.2">
      <c r="A622" s="48" t="str">
        <f ca="1">Проект!$A$1220</f>
        <v>Выплаченные проценты</v>
      </c>
      <c r="B622" s="48"/>
      <c r="C622" s="73" t="str">
        <f ca="1">Проект!$C$1220</f>
        <v>руб.</v>
      </c>
      <c r="D622" s="101" t="str">
        <f>Проект!$D$1220</f>
        <v>2/1_03</v>
      </c>
      <c r="E622" s="48"/>
      <c r="F622" s="84">
        <f>Проект!$F$1220</f>
        <v>0</v>
      </c>
      <c r="G622" s="84">
        <f>Проект!$G$1220</f>
        <v>0</v>
      </c>
      <c r="H622" s="84">
        <f>Проект!$H$1220</f>
        <v>0</v>
      </c>
      <c r="I622" s="84">
        <f>Проект!$I$1220</f>
        <v>0</v>
      </c>
      <c r="J622" s="84">
        <f>Проект!$J$1220</f>
        <v>0</v>
      </c>
      <c r="K622" s="84">
        <f>Проект!$K$1220</f>
        <v>0</v>
      </c>
      <c r="L622" s="84">
        <f>Проект!$L$1220</f>
        <v>180237.18952591211</v>
      </c>
      <c r="M622" s="84">
        <f>Проект!$M$1220</f>
        <v>138130.35957124989</v>
      </c>
      <c r="N622" s="84" t="e">
        <f>Проект!#REF!</f>
        <v>#REF!</v>
      </c>
      <c r="O622" s="84" t="e">
        <f>Проект!#REF!</f>
        <v>#REF!</v>
      </c>
      <c r="P622" s="84" t="e">
        <f>Проект!#REF!</f>
        <v>#REF!</v>
      </c>
      <c r="Q622" s="84">
        <f>Проект!$Q$1220</f>
        <v>0</v>
      </c>
      <c r="R622" s="372"/>
      <c r="S622" s="94">
        <f>Проект!$S$1220</f>
        <v>380633.53795206588</v>
      </c>
    </row>
    <row r="623" spans="1:19" ht="11.25" customHeight="1" x14ac:dyDescent="0.2">
      <c r="A623" s="48" t="str">
        <f ca="1">Проект!$A$1221</f>
        <v>Задолженность на конец текущего периода</v>
      </c>
      <c r="B623" s="48"/>
      <c r="C623" s="73" t="str">
        <f ca="1">Проект!$C$1221</f>
        <v>руб.</v>
      </c>
      <c r="D623" s="48" t="str">
        <f>Проект!$D$1221</f>
        <v>2/1_04;int_end</v>
      </c>
      <c r="E623" s="48"/>
      <c r="F623" s="106">
        <f>Проект!$F$1221</f>
        <v>2400351.3689567428</v>
      </c>
      <c r="G623" s="106">
        <f>Проект!$G$1221</f>
        <v>5476647.4426394468</v>
      </c>
      <c r="H623" s="106">
        <f>Проект!$H$1221</f>
        <v>8007638.9805148821</v>
      </c>
      <c r="I623" s="106">
        <f>Проект!$I$1221</f>
        <v>9988465.7311047968</v>
      </c>
      <c r="J623" s="106">
        <f>Проект!$J$1221</f>
        <v>11327726.703750553</v>
      </c>
      <c r="K623" s="106">
        <f>Проект!$K$1221</f>
        <v>11501888.518610623</v>
      </c>
      <c r="L623" s="106">
        <f>Проект!$L$1221</f>
        <v>10299267.972909262</v>
      </c>
      <c r="M623" s="106">
        <f>Проект!$M$1221</f>
        <v>7893163.4040714214</v>
      </c>
      <c r="N623" s="106" t="e">
        <f>Проект!#REF!</f>
        <v>#REF!</v>
      </c>
      <c r="O623" s="106" t="e">
        <f>Проект!#REF!</f>
        <v>#REF!</v>
      </c>
      <c r="P623" s="106" t="e">
        <f>Проект!#REF!</f>
        <v>#REF!</v>
      </c>
      <c r="Q623" s="106">
        <f>Проект!$Q$1221</f>
        <v>-1.862645149230957E-9</v>
      </c>
      <c r="R623" s="48"/>
      <c r="S623" s="41"/>
    </row>
    <row r="624" spans="1:19" hidden="1" x14ac:dyDescent="0.2">
      <c r="A624" s="48" t="str">
        <f ca="1">Проект!$A$1222</f>
        <v>Задолженность на начало текущего периода</v>
      </c>
      <c r="B624" s="48"/>
      <c r="C624" s="73" t="str">
        <f ca="1">Проект!$C$1222</f>
        <v>руб.</v>
      </c>
      <c r="D624" s="101" t="str">
        <f>Проект!$D$1222</f>
        <v>int_end</v>
      </c>
      <c r="E624" s="48"/>
      <c r="F624" s="84">
        <f>Проект!$F$1222</f>
        <v>2359067.6844783714</v>
      </c>
      <c r="G624" s="84">
        <f>Проект!$G$1222</f>
        <v>5382454.489080538</v>
      </c>
      <c r="H624" s="84">
        <f>Проект!$H$1222</f>
        <v>7869915.459965487</v>
      </c>
      <c r="I624" s="84">
        <f>Проект!$I$1222</f>
        <v>9816673.9372037333</v>
      </c>
      <c r="J624" s="84">
        <f>Проект!$J$1222</f>
        <v>11132900.937346982</v>
      </c>
      <c r="K624" s="84">
        <f>Проект!$K$1222</f>
        <v>11304067.340157863</v>
      </c>
      <c r="L624" s="84">
        <f>Проект!$L$1222</f>
        <v>10299267.972909264</v>
      </c>
      <c r="M624" s="84">
        <f>Проект!$M$1222</f>
        <v>7893163.4040714232</v>
      </c>
      <c r="N624" s="84" t="e">
        <f>Проект!#REF!</f>
        <v>#REF!</v>
      </c>
      <c r="O624" s="84" t="e">
        <f>Проект!#REF!</f>
        <v>#REF!</v>
      </c>
      <c r="P624" s="84" t="e">
        <f>Проект!#REF!</f>
        <v>#REF!</v>
      </c>
      <c r="Q624" s="84">
        <f>Проект!$Q$1222</f>
        <v>0</v>
      </c>
      <c r="R624" s="371">
        <f>Проект!$R$1222</f>
        <v>0</v>
      </c>
      <c r="S624" s="41"/>
    </row>
    <row r="625" spans="1:19" hidden="1" x14ac:dyDescent="0.2">
      <c r="A625" s="48" t="str">
        <f ca="1">Проект!$A$1223</f>
        <v xml:space="preserve">    интервал, в котором впервые взят кредит</v>
      </c>
      <c r="B625" s="48"/>
      <c r="C625" s="73"/>
      <c r="D625" s="101" t="str">
        <f>Проект!$D$1223</f>
        <v>2/1_06;int_end</v>
      </c>
      <c r="E625" s="48"/>
      <c r="F625" s="84">
        <f>Проект!$F$1223</f>
        <v>1</v>
      </c>
      <c r="G625" s="84">
        <f>Проект!$G$1223</f>
        <v>1</v>
      </c>
      <c r="H625" s="84">
        <f>Проект!$H$1223</f>
        <v>1</v>
      </c>
      <c r="I625" s="84">
        <f>Проект!$I$1223</f>
        <v>1</v>
      </c>
      <c r="J625" s="84">
        <f>Проект!$J$1223</f>
        <v>1</v>
      </c>
      <c r="K625" s="84">
        <f>Проект!$K$1223</f>
        <v>1</v>
      </c>
      <c r="L625" s="84">
        <f>Проект!$L$1223</f>
        <v>1</v>
      </c>
      <c r="M625" s="84">
        <f>Проект!$M$1223</f>
        <v>1</v>
      </c>
      <c r="N625" s="84" t="e">
        <f>Проект!#REF!</f>
        <v>#REF!</v>
      </c>
      <c r="O625" s="84" t="e">
        <f>Проект!#REF!</f>
        <v>#REF!</v>
      </c>
      <c r="P625" s="84" t="e">
        <f>Проект!#REF!</f>
        <v>#REF!</v>
      </c>
      <c r="Q625" s="84">
        <f>Проект!$Q$1223</f>
        <v>1</v>
      </c>
      <c r="R625" s="372"/>
      <c r="S625" s="41"/>
    </row>
    <row r="626" spans="1:19" hidden="1" x14ac:dyDescent="0.2">
      <c r="A626" s="48" t="str">
        <f ca="1">Проект!$A$1224</f>
        <v xml:space="preserve">    проценты, выплачиваемые из прибыли</v>
      </c>
      <c r="B626" s="48"/>
      <c r="C626" s="73" t="str">
        <f ca="1">Проект!$C$1224</f>
        <v>руб.</v>
      </c>
      <c r="D626" s="101" t="str">
        <f>Проект!$D$1224</f>
        <v>2/1_07</v>
      </c>
      <c r="E626" s="48"/>
      <c r="F626" s="84">
        <f>Проект!$F$1224</f>
        <v>0</v>
      </c>
      <c r="G626" s="84">
        <f>Проект!$G$1224</f>
        <v>0</v>
      </c>
      <c r="H626" s="84">
        <f>Проект!$H$1224</f>
        <v>0</v>
      </c>
      <c r="I626" s="84">
        <f>Проект!$I$1224</f>
        <v>0</v>
      </c>
      <c r="J626" s="84">
        <f>Проект!$J$1224</f>
        <v>0</v>
      </c>
      <c r="K626" s="84">
        <f>Проект!$K$1224</f>
        <v>0</v>
      </c>
      <c r="L626" s="84">
        <f>Проект!$L$1224</f>
        <v>29181.259256576224</v>
      </c>
      <c r="M626" s="84">
        <f>Проект!$M$1224</f>
        <v>22363.962978202348</v>
      </c>
      <c r="N626" s="84" t="e">
        <f>Проект!#REF!</f>
        <v>#REF!</v>
      </c>
      <c r="O626" s="84" t="e">
        <f>Проект!#REF!</f>
        <v>#REF!</v>
      </c>
      <c r="P626" s="84" t="e">
        <f>Проект!#REF!</f>
        <v>#REF!</v>
      </c>
      <c r="Q626" s="84">
        <f>Проект!$Q$1224</f>
        <v>0</v>
      </c>
      <c r="R626" s="372"/>
      <c r="S626" s="94">
        <f>Проект!$S$1224</f>
        <v>61626.382335096343</v>
      </c>
    </row>
    <row r="627" spans="1:19" hidden="1" x14ac:dyDescent="0.2">
      <c r="A627" s="48" t="str">
        <f ca="1">Проект!$A$1225</f>
        <v>Начисленные проценты</v>
      </c>
      <c r="B627" s="48"/>
      <c r="C627" s="73" t="str">
        <f ca="1">Проект!$C$1225</f>
        <v>руб.</v>
      </c>
      <c r="D627" s="48" t="str">
        <f>Проект!$D$1225</f>
        <v>2/1_02</v>
      </c>
      <c r="E627" s="48"/>
      <c r="F627" s="106">
        <f>Проект!$F$1225</f>
        <v>41283.684478371499</v>
      </c>
      <c r="G627" s="106">
        <f>Проект!$G$1225</f>
        <v>94192.953558909416</v>
      </c>
      <c r="H627" s="106">
        <f>Проект!$H$1225</f>
        <v>137723.52054939602</v>
      </c>
      <c r="I627" s="106">
        <f>Проект!$I$1225</f>
        <v>171791.79390106534</v>
      </c>
      <c r="J627" s="106">
        <f>Проект!$J$1225</f>
        <v>194825.76640357217</v>
      </c>
      <c r="K627" s="106">
        <f>Проект!$K$1225</f>
        <v>197821.1784527626</v>
      </c>
      <c r="L627" s="106">
        <f>Проект!$L$1225</f>
        <v>180237.18952591211</v>
      </c>
      <c r="M627" s="106">
        <f>Проект!$M$1225</f>
        <v>138130.35957124989</v>
      </c>
      <c r="N627" s="106" t="e">
        <f>Проект!#REF!</f>
        <v>#REF!</v>
      </c>
      <c r="O627" s="106" t="e">
        <f>Проект!#REF!</f>
        <v>#REF!</v>
      </c>
      <c r="P627" s="106" t="e">
        <f>Проект!#REF!</f>
        <v>#REF!</v>
      </c>
      <c r="Q627" s="106">
        <f>Проект!$Q$1225</f>
        <v>0</v>
      </c>
      <c r="R627" s="372"/>
      <c r="S627" s="94">
        <f>Проект!$S$1225</f>
        <v>1218272.4352961429</v>
      </c>
    </row>
    <row r="628" spans="1:19" ht="11.25" customHeight="1" x14ac:dyDescent="0.2">
      <c r="A628" s="48"/>
      <c r="B628" s="48"/>
      <c r="C628" s="48"/>
      <c r="D628" s="48"/>
      <c r="E628" s="106"/>
      <c r="F628" s="48"/>
      <c r="G628" s="48"/>
      <c r="H628" s="48"/>
      <c r="I628" s="48"/>
      <c r="J628" s="48"/>
      <c r="K628" s="48"/>
      <c r="L628" s="48"/>
      <c r="M628" s="48"/>
      <c r="N628" s="48"/>
      <c r="O628" s="48"/>
      <c r="P628" s="48"/>
      <c r="Q628" s="48"/>
      <c r="R628" s="372"/>
      <c r="S628" s="94"/>
    </row>
    <row r="629" spans="1:19" ht="11.25" customHeight="1" x14ac:dyDescent="0.25">
      <c r="A629" s="130" t="str">
        <f ca="1">Проект!$A$1226</f>
        <v xml:space="preserve"> = Итого: Поступления от кредитов</v>
      </c>
      <c r="B629" s="48"/>
      <c r="C629" s="73" t="str">
        <f ca="1">Проект!$C$1226</f>
        <v>руб.</v>
      </c>
      <c r="D629" s="48"/>
      <c r="E629" s="106">
        <f>Проект!$E$1226</f>
        <v>0</v>
      </c>
      <c r="F629" s="361">
        <f>Проект!$F$1226</f>
        <v>2359067.6844783714</v>
      </c>
      <c r="G629" s="361">
        <f>Проект!$G$1226</f>
        <v>2982103.1201237948</v>
      </c>
      <c r="H629" s="361">
        <f>Проект!$H$1226</f>
        <v>2393268.0173260393</v>
      </c>
      <c r="I629" s="361">
        <f>Проект!$I$1226</f>
        <v>1809034.9566888495</v>
      </c>
      <c r="J629" s="361">
        <f>Проект!$J$1226</f>
        <v>1144435.2062421832</v>
      </c>
      <c r="K629" s="361">
        <f>Проект!$K$1226</f>
        <v>0</v>
      </c>
      <c r="L629" s="361">
        <f>Проект!$L$1226</f>
        <v>0</v>
      </c>
      <c r="M629" s="361">
        <f>Проект!$M$1226</f>
        <v>0</v>
      </c>
      <c r="N629" s="361" t="e">
        <f>Проект!#REF!</f>
        <v>#REF!</v>
      </c>
      <c r="O629" s="361" t="e">
        <f>Проект!#REF!</f>
        <v>#REF!</v>
      </c>
      <c r="P629" s="361" t="e">
        <f>Проект!#REF!</f>
        <v>#REF!</v>
      </c>
      <c r="Q629" s="361">
        <f>Проект!$Q$1226</f>
        <v>0</v>
      </c>
      <c r="R629" s="372"/>
      <c r="S629" s="95">
        <f>Проект!$S$1226</f>
        <v>10687908.984859239</v>
      </c>
    </row>
    <row r="630" spans="1:19" ht="11.25" customHeight="1" x14ac:dyDescent="0.25">
      <c r="A630" s="130" t="str">
        <f ca="1">Проект!$A$1227</f>
        <v xml:space="preserve"> = Итого: Погашение кредитов</v>
      </c>
      <c r="B630" s="48"/>
      <c r="C630" s="73" t="str">
        <f ca="1">Проект!$C$1227</f>
        <v>руб.</v>
      </c>
      <c r="D630" s="48"/>
      <c r="E630" s="48"/>
      <c r="F630" s="160">
        <f>Проект!$F$1227</f>
        <v>0</v>
      </c>
      <c r="G630" s="160">
        <f>Проект!$G$1227</f>
        <v>0</v>
      </c>
      <c r="H630" s="160">
        <f>Проект!$H$1227</f>
        <v>0</v>
      </c>
      <c r="I630" s="160">
        <f>Проект!$I$1227</f>
        <v>0</v>
      </c>
      <c r="J630" s="160">
        <f>Проект!$J$1227</f>
        <v>0</v>
      </c>
      <c r="K630" s="160">
        <f>Проект!$K$1227</f>
        <v>23659.363592692334</v>
      </c>
      <c r="L630" s="160">
        <f>Проект!$L$1227</f>
        <v>1202620.5457013601</v>
      </c>
      <c r="M630" s="160">
        <f>Проект!$M$1227</f>
        <v>2406104.568837841</v>
      </c>
      <c r="N630" s="160" t="e">
        <f>Проект!#REF!</f>
        <v>#REF!</v>
      </c>
      <c r="O630" s="160" t="e">
        <f>Проект!#REF!</f>
        <v>#REF!</v>
      </c>
      <c r="P630" s="160" t="e">
        <f>Проект!#REF!</f>
        <v>#REF!</v>
      </c>
      <c r="Q630" s="160">
        <f>Проект!$Q$1227</f>
        <v>0</v>
      </c>
      <c r="R630" s="372"/>
      <c r="S630" s="95">
        <f>Проект!$S$1227</f>
        <v>11525547.882203316</v>
      </c>
    </row>
    <row r="631" spans="1:19" ht="11.25" customHeight="1" x14ac:dyDescent="0.25">
      <c r="A631" s="130" t="str">
        <f ca="1">Проект!$A$1228</f>
        <v xml:space="preserve"> = Итого: Выплата процентов</v>
      </c>
      <c r="B631" s="48"/>
      <c r="C631" s="73" t="str">
        <f ca="1">Проект!$C$1228</f>
        <v>руб.</v>
      </c>
      <c r="D631" s="48"/>
      <c r="E631" s="48"/>
      <c r="F631" s="160">
        <f>Проект!$F$1228</f>
        <v>0</v>
      </c>
      <c r="G631" s="160">
        <f>Проект!$G$1228</f>
        <v>0</v>
      </c>
      <c r="H631" s="160">
        <f>Проект!$H$1228</f>
        <v>0</v>
      </c>
      <c r="I631" s="160">
        <f>Проект!$I$1228</f>
        <v>0</v>
      </c>
      <c r="J631" s="160">
        <f>Проект!$J$1228</f>
        <v>0</v>
      </c>
      <c r="K631" s="160">
        <f>Проект!$K$1228</f>
        <v>0</v>
      </c>
      <c r="L631" s="160">
        <f>Проект!$L$1228</f>
        <v>180237.18952591211</v>
      </c>
      <c r="M631" s="160">
        <f>Проект!$M$1228</f>
        <v>138130.35957124989</v>
      </c>
      <c r="N631" s="160" t="e">
        <f>Проект!#REF!</f>
        <v>#REF!</v>
      </c>
      <c r="O631" s="160" t="e">
        <f>Проект!#REF!</f>
        <v>#REF!</v>
      </c>
      <c r="P631" s="160" t="e">
        <f>Проект!#REF!</f>
        <v>#REF!</v>
      </c>
      <c r="Q631" s="160">
        <f>Проект!$Q$1228</f>
        <v>0</v>
      </c>
      <c r="R631" s="372"/>
      <c r="S631" s="95">
        <f>Проект!$S$1228</f>
        <v>380633.53795206588</v>
      </c>
    </row>
    <row r="632" spans="1:19" hidden="1" x14ac:dyDescent="0.2">
      <c r="A632" s="48" t="str">
        <f ca="1">Проект!$A$1229</f>
        <v xml:space="preserve">    проценты, выплачиваемые из прибыли</v>
      </c>
      <c r="B632" s="48"/>
      <c r="C632" s="73" t="str">
        <f ca="1">Проект!$C$1229</f>
        <v>руб.</v>
      </c>
      <c r="D632" s="48"/>
      <c r="E632" s="48"/>
      <c r="F632" s="210">
        <f>Проект!$F$1229</f>
        <v>0</v>
      </c>
      <c r="G632" s="210">
        <f>Проект!$G$1229</f>
        <v>0</v>
      </c>
      <c r="H632" s="210">
        <f>Проект!$H$1229</f>
        <v>0</v>
      </c>
      <c r="I632" s="210">
        <f>Проект!$I$1229</f>
        <v>0</v>
      </c>
      <c r="J632" s="210">
        <f>Проект!$J$1229</f>
        <v>0</v>
      </c>
      <c r="K632" s="210">
        <f>Проект!$K$1229</f>
        <v>0</v>
      </c>
      <c r="L632" s="210">
        <f>Проект!$L$1229</f>
        <v>29181.259256576224</v>
      </c>
      <c r="M632" s="210">
        <f>Проект!$M$1229</f>
        <v>22363.962978202348</v>
      </c>
      <c r="N632" s="210" t="e">
        <f>Проект!#REF!</f>
        <v>#REF!</v>
      </c>
      <c r="O632" s="210" t="e">
        <f>Проект!#REF!</f>
        <v>#REF!</v>
      </c>
      <c r="P632" s="210" t="e">
        <f>Проект!#REF!</f>
        <v>#REF!</v>
      </c>
      <c r="Q632" s="210">
        <f>Проект!$Q$1229</f>
        <v>0</v>
      </c>
      <c r="R632" s="372"/>
      <c r="S632" s="94">
        <f>Проект!$S$1229</f>
        <v>61626.382335096343</v>
      </c>
    </row>
    <row r="633" spans="1:19" ht="10.5" hidden="1" x14ac:dyDescent="0.25">
      <c r="A633" s="130" t="str">
        <f ca="1">Проект!$A$1230</f>
        <v xml:space="preserve"> = Итого: Начисление процентов</v>
      </c>
      <c r="B633" s="48"/>
      <c r="C633" s="73" t="str">
        <f ca="1">Проект!$C$1230</f>
        <v>руб.</v>
      </c>
      <c r="D633" s="48"/>
      <c r="E633" s="48"/>
      <c r="F633" s="160">
        <f>Проект!$F$1230</f>
        <v>41283.684478371499</v>
      </c>
      <c r="G633" s="160">
        <f>Проект!$G$1230</f>
        <v>94192.953558909416</v>
      </c>
      <c r="H633" s="160">
        <f>Проект!$H$1230</f>
        <v>137723.52054939602</v>
      </c>
      <c r="I633" s="160">
        <f>Проект!$I$1230</f>
        <v>171791.79390106534</v>
      </c>
      <c r="J633" s="160">
        <f>Проект!$J$1230</f>
        <v>194825.76640357217</v>
      </c>
      <c r="K633" s="160">
        <f>Проект!$K$1230</f>
        <v>197821.1784527626</v>
      </c>
      <c r="L633" s="160">
        <f>Проект!$L$1230</f>
        <v>180237.18952591211</v>
      </c>
      <c r="M633" s="160">
        <f>Проект!$M$1230</f>
        <v>138130.35957124989</v>
      </c>
      <c r="N633" s="160" t="e">
        <f>Проект!#REF!</f>
        <v>#REF!</v>
      </c>
      <c r="O633" s="160" t="e">
        <f>Проект!#REF!</f>
        <v>#REF!</v>
      </c>
      <c r="P633" s="160" t="e">
        <f>Проект!#REF!</f>
        <v>#REF!</v>
      </c>
      <c r="Q633" s="160">
        <f>Проект!$Q$1230</f>
        <v>0</v>
      </c>
      <c r="R633" s="372"/>
      <c r="S633" s="95">
        <f>Проект!$S$1230</f>
        <v>1218272.4352961429</v>
      </c>
    </row>
    <row r="634" spans="1:19" hidden="1" x14ac:dyDescent="0.2">
      <c r="A634" s="52" t="str">
        <f ca="1">Проект!$A$1231</f>
        <v xml:space="preserve">    проценты по новым инвестиционным кредитам</v>
      </c>
      <c r="B634" s="48"/>
      <c r="C634" s="73" t="str">
        <f ca="1">Проект!$C$1231</f>
        <v>руб.</v>
      </c>
      <c r="D634" s="48"/>
      <c r="E634" s="48"/>
      <c r="F634" s="210">
        <f>Проект!$F$1231</f>
        <v>41283.684478371499</v>
      </c>
      <c r="G634" s="210">
        <f>Проект!$G$1231</f>
        <v>94192.953558909416</v>
      </c>
      <c r="H634" s="210">
        <f>Проект!$H$1231</f>
        <v>137723.52054939602</v>
      </c>
      <c r="I634" s="210">
        <f>Проект!$I$1231</f>
        <v>171791.79390106534</v>
      </c>
      <c r="J634" s="210">
        <f>Проект!$J$1231</f>
        <v>194825.76640357217</v>
      </c>
      <c r="K634" s="210">
        <f>Проект!$K$1231</f>
        <v>197821.1784527626</v>
      </c>
      <c r="L634" s="210">
        <f>Проект!$L$1231</f>
        <v>180237.18952591211</v>
      </c>
      <c r="M634" s="210">
        <f>Проект!$M$1231</f>
        <v>138130.35957124989</v>
      </c>
      <c r="N634" s="210" t="e">
        <f>Проект!#REF!</f>
        <v>#REF!</v>
      </c>
      <c r="O634" s="210" t="e">
        <f>Проект!#REF!</f>
        <v>#REF!</v>
      </c>
      <c r="P634" s="210" t="e">
        <f>Проект!#REF!</f>
        <v>#REF!</v>
      </c>
      <c r="Q634" s="210">
        <f>Проект!$Q$1231</f>
        <v>0</v>
      </c>
      <c r="R634" s="372"/>
      <c r="S634" s="94">
        <f>Проект!$S$1231</f>
        <v>1218272.4352961429</v>
      </c>
    </row>
    <row r="635" spans="1:19" ht="11.25" customHeight="1" x14ac:dyDescent="0.25">
      <c r="A635" s="130" t="str">
        <f ca="1">Проект!$A$1232</f>
        <v xml:space="preserve"> = Итого: Задолженность по кредитам</v>
      </c>
      <c r="B635" s="48"/>
      <c r="C635" s="73" t="str">
        <f ca="1">Проект!$C$1232</f>
        <v>руб.</v>
      </c>
      <c r="D635" s="101" t="str">
        <f>Проект!$D$1232</f>
        <v>int_end</v>
      </c>
      <c r="E635" s="106">
        <f>Проект!$E$1232</f>
        <v>0</v>
      </c>
      <c r="F635" s="160">
        <f>Проект!$F$1232</f>
        <v>2400351.3689567428</v>
      </c>
      <c r="G635" s="160">
        <f>Проект!$G$1232</f>
        <v>5476647.4426394468</v>
      </c>
      <c r="H635" s="160">
        <f>Проект!$H$1232</f>
        <v>8007638.9805148821</v>
      </c>
      <c r="I635" s="160">
        <f>Проект!$I$1232</f>
        <v>9988465.7311047968</v>
      </c>
      <c r="J635" s="160">
        <f>Проект!$J$1232</f>
        <v>11327726.703750553</v>
      </c>
      <c r="K635" s="160">
        <f>Проект!$K$1232</f>
        <v>11501888.518610623</v>
      </c>
      <c r="L635" s="160">
        <f>Проект!$L$1232</f>
        <v>10299267.972909262</v>
      </c>
      <c r="M635" s="160">
        <f>Проект!$M$1232</f>
        <v>7893163.4040714214</v>
      </c>
      <c r="N635" s="160" t="e">
        <f>Проект!#REF!</f>
        <v>#REF!</v>
      </c>
      <c r="O635" s="160" t="e">
        <f>Проект!#REF!</f>
        <v>#REF!</v>
      </c>
      <c r="P635" s="160" t="e">
        <f>Проект!#REF!</f>
        <v>#REF!</v>
      </c>
      <c r="Q635" s="160">
        <f>Проект!$Q$1232</f>
        <v>-1.862645149230957E-9</v>
      </c>
      <c r="R635" s="378">
        <f>Проект!$R$1232</f>
        <v>0</v>
      </c>
      <c r="S635" s="95"/>
    </row>
    <row r="636" spans="1:19" hidden="1" x14ac:dyDescent="0.2">
      <c r="A636" s="48" t="str">
        <f ca="1">Проект!$A$1233</f>
        <v xml:space="preserve">    задолженность по кредитам на оборотный капитал</v>
      </c>
      <c r="B636" s="48"/>
      <c r="C636" s="73" t="str">
        <f ca="1">Проект!$C$1233</f>
        <v>руб.</v>
      </c>
      <c r="D636" s="101" t="str">
        <f>Проект!$D$1233</f>
        <v>int_end</v>
      </c>
      <c r="E636" s="48"/>
      <c r="F636" s="84">
        <f>Проект!$F$1233</f>
        <v>0</v>
      </c>
      <c r="G636" s="84">
        <f>Проект!$G$1233</f>
        <v>0</v>
      </c>
      <c r="H636" s="84">
        <f>Проект!$H$1233</f>
        <v>0</v>
      </c>
      <c r="I636" s="84">
        <f>Проект!$I$1233</f>
        <v>0</v>
      </c>
      <c r="J636" s="84">
        <f>Проект!$J$1233</f>
        <v>0</v>
      </c>
      <c r="K636" s="84">
        <f>Проект!$K$1233</f>
        <v>0</v>
      </c>
      <c r="L636" s="84">
        <f>Проект!$L$1233</f>
        <v>0</v>
      </c>
      <c r="M636" s="84">
        <f>Проект!$M$1233</f>
        <v>0</v>
      </c>
      <c r="N636" s="84" t="e">
        <f>Проект!#REF!</f>
        <v>#REF!</v>
      </c>
      <c r="O636" s="84" t="e">
        <f>Проект!#REF!</f>
        <v>#REF!</v>
      </c>
      <c r="P636" s="84" t="e">
        <f>Проект!#REF!</f>
        <v>#REF!</v>
      </c>
      <c r="Q636" s="84">
        <f>Проект!$Q$1233</f>
        <v>0</v>
      </c>
      <c r="R636" s="371">
        <f>Проект!$R$1233</f>
        <v>0</v>
      </c>
      <c r="S636" s="41"/>
    </row>
    <row r="637" spans="1:19" hidden="1" x14ac:dyDescent="0.2">
      <c r="A637" s="48" t="str">
        <f ca="1">Проект!$A$1234</f>
        <v xml:space="preserve">    задолженность по инвестиционным кредитам</v>
      </c>
      <c r="B637" s="48"/>
      <c r="C637" s="73" t="str">
        <f ca="1">Проект!$C$1234</f>
        <v>руб.</v>
      </c>
      <c r="D637" s="101" t="str">
        <f>Проект!$D$1234</f>
        <v>int_end</v>
      </c>
      <c r="E637" s="48"/>
      <c r="F637" s="106">
        <f>Проект!$F$1234</f>
        <v>2400351.3689567428</v>
      </c>
      <c r="G637" s="106">
        <f>Проект!$G$1234</f>
        <v>5476647.4426394468</v>
      </c>
      <c r="H637" s="106">
        <f>Проект!$H$1234</f>
        <v>8007638.9805148821</v>
      </c>
      <c r="I637" s="106">
        <f>Проект!$I$1234</f>
        <v>9988465.7311047968</v>
      </c>
      <c r="J637" s="106">
        <f>Проект!$J$1234</f>
        <v>11327726.703750553</v>
      </c>
      <c r="K637" s="106">
        <f>Проект!$K$1234</f>
        <v>11501888.518610623</v>
      </c>
      <c r="L637" s="106">
        <f>Проект!$L$1234</f>
        <v>10299267.972909262</v>
      </c>
      <c r="M637" s="106">
        <f>Проект!$M$1234</f>
        <v>7893163.4040714214</v>
      </c>
      <c r="N637" s="106" t="e">
        <f>Проект!#REF!</f>
        <v>#REF!</v>
      </c>
      <c r="O637" s="106" t="e">
        <f>Проект!#REF!</f>
        <v>#REF!</v>
      </c>
      <c r="P637" s="106" t="e">
        <f>Проект!#REF!</f>
        <v>#REF!</v>
      </c>
      <c r="Q637" s="106">
        <f>Проект!$Q$1234</f>
        <v>-1.862645149230957E-9</v>
      </c>
      <c r="R637" s="379">
        <f>Проект!$R$1234</f>
        <v>0</v>
      </c>
      <c r="S637" s="41"/>
    </row>
    <row r="638" spans="1:19" ht="11.25" customHeight="1" x14ac:dyDescent="0.2">
      <c r="A638" s="45"/>
      <c r="B638" s="45"/>
      <c r="C638" s="45"/>
      <c r="D638" s="45"/>
      <c r="E638" s="45"/>
      <c r="F638" s="45"/>
      <c r="G638" s="45"/>
      <c r="H638" s="45"/>
      <c r="I638" s="45"/>
      <c r="J638" s="45"/>
      <c r="K638" s="45"/>
      <c r="L638" s="45"/>
      <c r="M638" s="45"/>
      <c r="N638" s="45"/>
      <c r="O638" s="45"/>
      <c r="P638" s="45"/>
      <c r="Q638" s="45"/>
      <c r="R638" s="45"/>
      <c r="S638" s="77"/>
    </row>
    <row r="639" spans="1:19" ht="11.25" customHeight="1" x14ac:dyDescent="0.2">
      <c r="A639" s="41" t="str">
        <f ca="1">Проект!$A$1236</f>
        <v>Общий коэффициент покрытия долга</v>
      </c>
      <c r="B639" s="41"/>
      <c r="C639" s="197" t="str">
        <f ca="1">Проект!$C$1236</f>
        <v>разы</v>
      </c>
      <c r="D639" s="101" t="str">
        <f>Проект!$D$1236</f>
        <v>int_avg</v>
      </c>
      <c r="E639" s="41"/>
      <c r="F639" s="214" t="str">
        <f>Проект!$F$1236</f>
        <v>-</v>
      </c>
      <c r="G639" s="214" t="str">
        <f>Проект!$G$1236</f>
        <v>-</v>
      </c>
      <c r="H639" s="214" t="str">
        <f>Проект!$H$1236</f>
        <v>-</v>
      </c>
      <c r="I639" s="214" t="str">
        <f>Проект!$I$1236</f>
        <v>-</v>
      </c>
      <c r="J639" s="214" t="str">
        <f>Проект!$J$1236</f>
        <v>-</v>
      </c>
      <c r="K639" s="214">
        <f ca="1">Проект!$K$1236</f>
        <v>10.29734359910044</v>
      </c>
      <c r="L639" s="214">
        <f ca="1">Проект!$L$1236</f>
        <v>1.1000000000000001</v>
      </c>
      <c r="M639" s="214">
        <f ca="1">Проект!$M$1236</f>
        <v>1.1000000000000003</v>
      </c>
      <c r="N639" s="214" t="e">
        <f>Проект!#REF!</f>
        <v>#REF!</v>
      </c>
      <c r="O639" s="214" t="e">
        <f>Проект!#REF!</f>
        <v>#REF!</v>
      </c>
      <c r="P639" s="214" t="e">
        <f>Проект!#REF!</f>
        <v>#REF!</v>
      </c>
      <c r="Q639" s="214" t="str">
        <f>Проект!$Q$1236</f>
        <v>-</v>
      </c>
      <c r="R639" s="41"/>
      <c r="S639" s="41"/>
    </row>
    <row r="640" spans="1:19" ht="11.25" customHeight="1" x14ac:dyDescent="0.2">
      <c r="A640" s="41" t="str">
        <f ca="1">Проект!$A$1237</f>
        <v>Справка: Остаток средств на счете (текущий проект)</v>
      </c>
      <c r="B640" s="41"/>
      <c r="C640" s="73" t="str">
        <f ca="1">Проект!$C$1237</f>
        <v>руб.</v>
      </c>
      <c r="D640" s="101" t="str">
        <f>Проект!$D$1237</f>
        <v>int_end</v>
      </c>
      <c r="E640" s="41"/>
      <c r="F640" s="94">
        <f ca="1">Проект!$F$1237</f>
        <v>41283.684478371404</v>
      </c>
      <c r="G640" s="94">
        <f ca="1">Проект!$G$1237</f>
        <v>52186.804602166172</v>
      </c>
      <c r="H640" s="94">
        <f ca="1">Проект!$H$1237</f>
        <v>41882.190303205512</v>
      </c>
      <c r="I640" s="94">
        <f ca="1">Проект!$I$1237</f>
        <v>31658.111742054811</v>
      </c>
      <c r="J640" s="94">
        <f ca="1">Проект!$J$1237</f>
        <v>20027.616109238239</v>
      </c>
      <c r="K640" s="94">
        <f ca="1">Проект!$K$1237</f>
        <v>239996.84876654632</v>
      </c>
      <c r="L640" s="94">
        <f ca="1">Проект!$L$1237</f>
        <v>378282.62228927377</v>
      </c>
      <c r="M640" s="94">
        <f ca="1">Проект!$M$1237</f>
        <v>632706.11513018364</v>
      </c>
      <c r="N640" s="94" t="e">
        <f>Проект!#REF!</f>
        <v>#REF!</v>
      </c>
      <c r="O640" s="94" t="e">
        <f>Проект!#REF!</f>
        <v>#REF!</v>
      </c>
      <c r="P640" s="94" t="e">
        <f>Проект!#REF!</f>
        <v>#REF!</v>
      </c>
      <c r="Q640" s="94">
        <f ca="1">Проект!$Q$1237</f>
        <v>24800866.549703859</v>
      </c>
      <c r="R640" s="41"/>
      <c r="S640" s="41"/>
    </row>
    <row r="643" spans="1:7" x14ac:dyDescent="0.2">
      <c r="A643" s="22" t="str">
        <f ca="1">Language!A$1007 &amp; ", " &amp; Проект!CUR_Report</f>
        <v>График: Остаток задолженности по кредитам, руб.</v>
      </c>
      <c r="B643" s="149"/>
      <c r="C643" s="22"/>
      <c r="D643" s="22"/>
      <c r="E643" s="22"/>
      <c r="F643" s="118"/>
      <c r="G643" s="118"/>
    </row>
    <row r="644" spans="1:7" x14ac:dyDescent="0.2">
      <c r="A644" s="22"/>
      <c r="B644" s="149"/>
      <c r="C644" s="22"/>
      <c r="D644" s="22"/>
      <c r="E644" s="22"/>
      <c r="F644" s="118"/>
      <c r="G644" s="118"/>
    </row>
    <row r="645" spans="1:7" x14ac:dyDescent="0.2">
      <c r="A645" s="22"/>
      <c r="B645" s="149"/>
      <c r="C645" s="22"/>
      <c r="D645" s="22"/>
      <c r="E645" s="22"/>
      <c r="F645" s="118"/>
      <c r="G645" s="118"/>
    </row>
    <row r="646" spans="1:7" x14ac:dyDescent="0.2">
      <c r="A646" s="22"/>
      <c r="B646" s="149"/>
      <c r="C646" s="22"/>
      <c r="D646" s="22"/>
      <c r="E646" s="22"/>
      <c r="F646" s="118"/>
      <c r="G646" s="118"/>
    </row>
    <row r="647" spans="1:7" x14ac:dyDescent="0.2">
      <c r="A647" s="22"/>
      <c r="B647" s="149"/>
      <c r="C647" s="22"/>
      <c r="D647" s="22"/>
      <c r="E647" s="22"/>
      <c r="F647" s="118"/>
      <c r="G647" s="118"/>
    </row>
    <row r="648" spans="1:7" x14ac:dyDescent="0.2">
      <c r="A648" s="22"/>
      <c r="B648" s="149"/>
      <c r="C648" s="22"/>
      <c r="D648" s="22"/>
      <c r="E648" s="22"/>
      <c r="F648" s="118"/>
      <c r="G648" s="118"/>
    </row>
    <row r="649" spans="1:7" x14ac:dyDescent="0.2">
      <c r="A649" s="22"/>
      <c r="B649" s="149"/>
      <c r="C649" s="22"/>
      <c r="D649" s="22"/>
      <c r="E649" s="22"/>
      <c r="F649" s="118"/>
      <c r="G649" s="118"/>
    </row>
    <row r="650" spans="1:7" x14ac:dyDescent="0.2">
      <c r="A650" s="22"/>
      <c r="B650" s="149"/>
      <c r="C650" s="22"/>
      <c r="D650" s="22"/>
      <c r="E650" s="22"/>
      <c r="F650" s="118"/>
      <c r="G650" s="118"/>
    </row>
    <row r="651" spans="1:7" x14ac:dyDescent="0.2">
      <c r="A651" s="22"/>
      <c r="B651" s="149"/>
      <c r="C651" s="22"/>
      <c r="D651" s="22"/>
      <c r="E651" s="22"/>
      <c r="F651" s="118"/>
      <c r="G651" s="118"/>
    </row>
    <row r="652" spans="1:7" x14ac:dyDescent="0.2">
      <c r="A652" s="22"/>
      <c r="B652" s="149"/>
      <c r="C652" s="22"/>
      <c r="D652" s="22"/>
      <c r="E652" s="22"/>
      <c r="F652" s="118"/>
      <c r="G652" s="118"/>
    </row>
    <row r="653" spans="1:7" x14ac:dyDescent="0.2">
      <c r="A653" s="22"/>
      <c r="B653" s="149"/>
      <c r="C653" s="22"/>
      <c r="D653" s="22"/>
      <c r="E653" s="22"/>
      <c r="F653" s="118"/>
      <c r="G653" s="118"/>
    </row>
    <row r="654" spans="1:7" x14ac:dyDescent="0.2">
      <c r="A654" s="22"/>
      <c r="B654" s="149"/>
      <c r="C654" s="22"/>
      <c r="D654" s="22"/>
      <c r="E654" s="22"/>
      <c r="F654" s="118"/>
      <c r="G654" s="118"/>
    </row>
    <row r="655" spans="1:7" x14ac:dyDescent="0.2">
      <c r="A655" s="22"/>
      <c r="B655" s="149"/>
      <c r="C655" s="22"/>
      <c r="D655" s="22"/>
      <c r="E655" s="22"/>
      <c r="F655" s="118"/>
      <c r="G655" s="118"/>
    </row>
    <row r="656" spans="1:7" x14ac:dyDescent="0.2">
      <c r="A656" s="22"/>
      <c r="B656" s="149"/>
      <c r="C656" s="22"/>
      <c r="D656" s="22"/>
      <c r="E656" s="22"/>
      <c r="F656" s="118"/>
      <c r="G656" s="118"/>
    </row>
    <row r="657" spans="1:19" x14ac:dyDescent="0.2">
      <c r="A657" s="22"/>
      <c r="B657" s="149"/>
      <c r="C657" s="22"/>
      <c r="D657" s="22"/>
      <c r="E657" s="22"/>
      <c r="F657" s="118"/>
      <c r="G657" s="118"/>
    </row>
    <row r="658" spans="1:19" x14ac:dyDescent="0.2">
      <c r="A658" s="22"/>
      <c r="B658" s="149"/>
      <c r="C658" s="22"/>
      <c r="D658" s="22"/>
      <c r="E658" s="22"/>
      <c r="F658" s="118"/>
      <c r="G658" s="118"/>
    </row>
    <row r="659" spans="1:19" x14ac:dyDescent="0.2">
      <c r="A659" s="22"/>
      <c r="B659" s="149"/>
      <c r="C659" s="22"/>
      <c r="D659" s="22"/>
      <c r="E659" s="22"/>
      <c r="F659" s="118"/>
      <c r="G659" s="118"/>
    </row>
    <row r="660" spans="1:19" x14ac:dyDescent="0.2">
      <c r="A660" s="22"/>
      <c r="B660" s="149"/>
      <c r="C660" s="22"/>
      <c r="D660" s="22"/>
      <c r="E660" s="22"/>
      <c r="F660" s="118"/>
      <c r="G660" s="118"/>
    </row>
    <row r="661" spans="1:19" x14ac:dyDescent="0.2">
      <c r="A661" s="22"/>
      <c r="B661" s="149"/>
      <c r="C661" s="22"/>
      <c r="D661" s="22"/>
      <c r="E661" s="22"/>
      <c r="F661" s="118"/>
      <c r="G661" s="118"/>
    </row>
    <row r="662" spans="1:19" x14ac:dyDescent="0.2">
      <c r="A662" s="22"/>
      <c r="B662" s="149"/>
      <c r="C662" s="22"/>
      <c r="D662" s="22"/>
      <c r="E662" s="22"/>
      <c r="F662" s="118"/>
      <c r="G662" s="118"/>
    </row>
    <row r="663" spans="1:19" x14ac:dyDescent="0.2">
      <c r="A663" s="22"/>
      <c r="B663" s="149"/>
      <c r="C663" s="22"/>
      <c r="D663" s="22"/>
      <c r="E663" s="22"/>
      <c r="F663" s="118"/>
      <c r="G663" s="118"/>
    </row>
    <row r="664" spans="1:19" x14ac:dyDescent="0.2">
      <c r="A664" s="22"/>
      <c r="B664" s="149"/>
      <c r="C664" s="22"/>
      <c r="D664" s="22"/>
      <c r="E664" s="22"/>
      <c r="F664" s="118"/>
      <c r="G664" s="118"/>
    </row>
    <row r="665" spans="1:19" x14ac:dyDescent="0.2">
      <c r="A665" s="22"/>
      <c r="B665" s="149"/>
      <c r="C665" s="22"/>
      <c r="D665" s="22"/>
      <c r="E665" s="22"/>
      <c r="F665" s="118"/>
      <c r="G665" s="118"/>
    </row>
    <row r="666" spans="1:19" x14ac:dyDescent="0.2">
      <c r="A666" s="22"/>
      <c r="B666" s="149"/>
      <c r="C666" s="22"/>
      <c r="D666" s="22"/>
      <c r="E666" s="22"/>
      <c r="F666" s="118"/>
      <c r="G666" s="118"/>
    </row>
    <row r="669" spans="1:19" ht="16" customHeight="1" thickBot="1" x14ac:dyDescent="0.25">
      <c r="A669" s="166" t="str">
        <f ca="1">Проект!$A$1299</f>
        <v xml:space="preserve">         ОТЧЕТ О ПРИБЫЛЯХ И УБЫТКАХ</v>
      </c>
      <c r="B669" s="166"/>
      <c r="C669" s="166"/>
      <c r="D669" s="166"/>
      <c r="E669" s="166"/>
      <c r="F669" s="178" t="str">
        <f>Проект!$F$1299</f>
        <v>4/ 2024</v>
      </c>
      <c r="G669" s="178" t="str">
        <f>Проект!$G$1299</f>
        <v>5/ 2024</v>
      </c>
      <c r="H669" s="178" t="str">
        <f>Проект!$H$1299</f>
        <v>6/ 2024</v>
      </c>
      <c r="I669" s="178" t="str">
        <f>Проект!$I$1299</f>
        <v>7/ 2024</v>
      </c>
      <c r="J669" s="178" t="str">
        <f>Проект!$J$1299</f>
        <v>8/ 2024</v>
      </c>
      <c r="K669" s="178" t="str">
        <f>Проект!$K$1299</f>
        <v>9/ 2024</v>
      </c>
      <c r="L669" s="178" t="str">
        <f>Проект!$L$1299</f>
        <v>10/ 2024</v>
      </c>
      <c r="M669" s="178" t="str">
        <f>Проект!$M$1299</f>
        <v>11/ 2024</v>
      </c>
      <c r="N669" s="178" t="e">
        <f>Проект!#REF!</f>
        <v>#REF!</v>
      </c>
      <c r="O669" s="178" t="e">
        <f>Проект!#REF!</f>
        <v>#REF!</v>
      </c>
      <c r="P669" s="178" t="e">
        <f>Проект!#REF!</f>
        <v>#REF!</v>
      </c>
      <c r="Q669" s="178" t="str">
        <f>Проект!$Q$1299</f>
        <v>3/ 2025</v>
      </c>
      <c r="R669" s="166"/>
      <c r="S669" s="195" t="str">
        <f ca="1">Проект!$S$1299</f>
        <v>ИТОГО</v>
      </c>
    </row>
    <row r="670" spans="1:19" ht="12" customHeight="1" thickTop="1" x14ac:dyDescent="0.2">
      <c r="A670" s="48"/>
      <c r="B670" s="48"/>
      <c r="C670" s="48"/>
      <c r="D670" s="48"/>
      <c r="E670" s="48"/>
      <c r="F670" s="48"/>
      <c r="G670" s="48"/>
      <c r="H670" s="48"/>
      <c r="I670" s="48"/>
      <c r="J670" s="48"/>
      <c r="K670" s="48"/>
      <c r="L670" s="48"/>
      <c r="M670" s="48"/>
      <c r="N670" s="48"/>
      <c r="O670" s="48"/>
      <c r="P670" s="48"/>
      <c r="Q670" s="48"/>
      <c r="R670" s="48"/>
      <c r="S670" s="41"/>
    </row>
    <row r="671" spans="1:19" ht="11.25" customHeight="1" x14ac:dyDescent="0.25">
      <c r="A671" s="130" t="str">
        <f ca="1">Проект!$A$1301</f>
        <v>Выручка (нетто)</v>
      </c>
      <c r="B671" s="48"/>
      <c r="C671" s="73" t="str">
        <f ca="1">Проект!$C$1301</f>
        <v>руб.</v>
      </c>
      <c r="D671" s="48"/>
      <c r="E671" s="48"/>
      <c r="F671" s="361">
        <f>Проект!$F$1301</f>
        <v>0</v>
      </c>
      <c r="G671" s="361">
        <f>Проект!$G$1301</f>
        <v>0</v>
      </c>
      <c r="H671" s="361">
        <f>Проект!$H$1301</f>
        <v>135920</v>
      </c>
      <c r="I671" s="361">
        <f>Проект!$I$1301</f>
        <v>679600</v>
      </c>
      <c r="J671" s="361">
        <f>Проект!$J$1301</f>
        <v>1359200</v>
      </c>
      <c r="K671" s="361">
        <f>Проект!$K$1301</f>
        <v>2718400</v>
      </c>
      <c r="L671" s="361">
        <f>Проект!$L$1301</f>
        <v>4077600</v>
      </c>
      <c r="M671" s="361">
        <f>Проект!$M$1301</f>
        <v>5436800</v>
      </c>
      <c r="N671" s="361" t="e">
        <f>Проект!#REF!</f>
        <v>#REF!</v>
      </c>
      <c r="O671" s="361" t="e">
        <f>Проект!#REF!</f>
        <v>#REF!</v>
      </c>
      <c r="P671" s="361" t="e">
        <f>Проект!#REF!</f>
        <v>#REF!</v>
      </c>
      <c r="Q671" s="361">
        <f>Проект!$Q$1301</f>
        <v>13592000</v>
      </c>
      <c r="R671" s="106"/>
      <c r="S671" s="95">
        <f>Проект!$S$1301</f>
        <v>57901920</v>
      </c>
    </row>
    <row r="672" spans="1:19" ht="11.25" customHeight="1" x14ac:dyDescent="0.25">
      <c r="A672" s="130" t="str">
        <f ca="1">Проект!$A$1302</f>
        <v>Себестоимость</v>
      </c>
      <c r="B672" s="48"/>
      <c r="C672" s="73" t="str">
        <f ca="1">Проект!$C$1302</f>
        <v>руб.</v>
      </c>
      <c r="D672" s="48"/>
      <c r="E672" s="48"/>
      <c r="F672" s="160">
        <f ca="1">Проект!$F$1302</f>
        <v>2468200</v>
      </c>
      <c r="G672" s="160">
        <f ca="1">Проект!$G$1302</f>
        <v>2057800</v>
      </c>
      <c r="H672" s="160">
        <f ca="1">Проект!$H$1302</f>
        <v>2057813.3087500001</v>
      </c>
      <c r="I672" s="160">
        <f ca="1">Проект!$I$1302</f>
        <v>2057866.54375</v>
      </c>
      <c r="J672" s="160">
        <f ca="1">Проект!$J$1302</f>
        <v>2057933.0874999999</v>
      </c>
      <c r="K672" s="160">
        <f ca="1">Проект!$K$1302</f>
        <v>2058066.175</v>
      </c>
      <c r="L672" s="160">
        <f ca="1">Проект!$L$1302</f>
        <v>2058199.2625</v>
      </c>
      <c r="M672" s="160">
        <f ca="1">Проект!$M$1302</f>
        <v>2058332.35</v>
      </c>
      <c r="N672" s="160" t="e">
        <f>Проект!#REF!</f>
        <v>#REF!</v>
      </c>
      <c r="O672" s="160" t="e">
        <f>Проект!#REF!</f>
        <v>#REF!</v>
      </c>
      <c r="P672" s="160" t="e">
        <f>Проект!#REF!</f>
        <v>#REF!</v>
      </c>
      <c r="Q672" s="160">
        <f ca="1">Проект!$Q$1302</f>
        <v>2059130.875</v>
      </c>
      <c r="R672" s="106"/>
      <c r="S672" s="95">
        <f ca="1">Проект!$S$1302</f>
        <v>25109669.5275</v>
      </c>
    </row>
    <row r="673" spans="1:19" hidden="1" x14ac:dyDescent="0.2">
      <c r="A673" s="52" t="str">
        <f ca="1">Проект!$A$1303</f>
        <v>в том числе</v>
      </c>
      <c r="B673" s="48"/>
      <c r="C673" s="48"/>
      <c r="D673" s="48"/>
      <c r="E673" s="48"/>
      <c r="F673" s="106"/>
      <c r="G673" s="106"/>
      <c r="H673" s="106"/>
      <c r="I673" s="106"/>
      <c r="J673" s="106"/>
      <c r="K673" s="106"/>
      <c r="L673" s="106"/>
      <c r="M673" s="106"/>
      <c r="N673" s="106"/>
      <c r="O673" s="106"/>
      <c r="P673" s="106"/>
      <c r="Q673" s="106"/>
      <c r="R673" s="106"/>
      <c r="S673" s="94"/>
    </row>
    <row r="674" spans="1:19" hidden="1" x14ac:dyDescent="0.2">
      <c r="A674" s="52" t="str">
        <f ca="1">Проект!$A$1304</f>
        <v xml:space="preserve">    Сырье и материалы</v>
      </c>
      <c r="B674" s="48"/>
      <c r="C674" s="73" t="str">
        <f ca="1">Проект!$C$1304</f>
        <v>руб.</v>
      </c>
      <c r="D674" s="48"/>
      <c r="E674" s="48"/>
      <c r="F674" s="84">
        <f>Проект!$F$1304</f>
        <v>0</v>
      </c>
      <c r="G674" s="84">
        <f>Проект!$G$1304</f>
        <v>0</v>
      </c>
      <c r="H674" s="84">
        <f>Проект!$H$1304</f>
        <v>13.30875</v>
      </c>
      <c r="I674" s="84">
        <f>Проект!$I$1304</f>
        <v>66.543750000000003</v>
      </c>
      <c r="J674" s="84">
        <f>Проект!$J$1304</f>
        <v>133.08750000000001</v>
      </c>
      <c r="K674" s="84">
        <f>Проект!$K$1304</f>
        <v>266.17500000000001</v>
      </c>
      <c r="L674" s="84">
        <f>Проект!$L$1304</f>
        <v>399.26249999999999</v>
      </c>
      <c r="M674" s="84">
        <f>Проект!$M$1304</f>
        <v>532.35</v>
      </c>
      <c r="N674" s="84" t="e">
        <f>Проект!#REF!</f>
        <v>#REF!</v>
      </c>
      <c r="O674" s="84" t="e">
        <f>Проект!#REF!</f>
        <v>#REF!</v>
      </c>
      <c r="P674" s="84" t="e">
        <f>Проект!#REF!</f>
        <v>#REF!</v>
      </c>
      <c r="Q674" s="84">
        <f>Проект!$Q$1304</f>
        <v>1330.8750000000002</v>
      </c>
      <c r="R674" s="106"/>
      <c r="S674" s="94">
        <f>Проект!$S$1304</f>
        <v>5669.5275000000001</v>
      </c>
    </row>
    <row r="675" spans="1:19" hidden="1" x14ac:dyDescent="0.2">
      <c r="A675" s="52" t="str">
        <f ca="1">Проект!$A$1305</f>
        <v xml:space="preserve">    Прочие переменные расходы</v>
      </c>
      <c r="B675" s="48"/>
      <c r="C675" s="73" t="str">
        <f ca="1">Проект!$C$1305</f>
        <v>руб.</v>
      </c>
      <c r="D675" s="48"/>
      <c r="E675" s="48"/>
      <c r="F675" s="84">
        <f>Проект!$F$1305</f>
        <v>0</v>
      </c>
      <c r="G675" s="84">
        <f>Проект!$G$1305</f>
        <v>0</v>
      </c>
      <c r="H675" s="84">
        <f>Проект!$H$1305</f>
        <v>0</v>
      </c>
      <c r="I675" s="84">
        <f>Проект!$I$1305</f>
        <v>0</v>
      </c>
      <c r="J675" s="84">
        <f>Проект!$J$1305</f>
        <v>0</v>
      </c>
      <c r="K675" s="84">
        <f>Проект!$K$1305</f>
        <v>0</v>
      </c>
      <c r="L675" s="84">
        <f>Проект!$L$1305</f>
        <v>0</v>
      </c>
      <c r="M675" s="84">
        <f>Проект!$M$1305</f>
        <v>0</v>
      </c>
      <c r="N675" s="84" t="e">
        <f>Проект!#REF!</f>
        <v>#REF!</v>
      </c>
      <c r="O675" s="84" t="e">
        <f>Проект!#REF!</f>
        <v>#REF!</v>
      </c>
      <c r="P675" s="84" t="e">
        <f>Проект!#REF!</f>
        <v>#REF!</v>
      </c>
      <c r="Q675" s="84">
        <f>Проект!$Q$1305</f>
        <v>0</v>
      </c>
      <c r="R675" s="106"/>
      <c r="S675" s="94">
        <f>Проект!$S$1305</f>
        <v>0</v>
      </c>
    </row>
    <row r="676" spans="1:19" hidden="1" x14ac:dyDescent="0.2">
      <c r="A676" s="52" t="str">
        <f ca="1">Проект!$A$1306</f>
        <v xml:space="preserve">    Оплата производственного персонала</v>
      </c>
      <c r="B676" s="48"/>
      <c r="C676" s="73" t="str">
        <f ca="1">Проект!$C$1306</f>
        <v>руб.</v>
      </c>
      <c r="D676" s="48"/>
      <c r="E676" s="48"/>
      <c r="F676" s="84">
        <f>Проект!$F$1306</f>
        <v>718200</v>
      </c>
      <c r="G676" s="84">
        <f>Проект!$G$1306</f>
        <v>307800</v>
      </c>
      <c r="H676" s="84">
        <f>Проект!$H$1306</f>
        <v>307800</v>
      </c>
      <c r="I676" s="84">
        <f>Проект!$I$1306</f>
        <v>307800</v>
      </c>
      <c r="J676" s="84">
        <f>Проект!$J$1306</f>
        <v>307800</v>
      </c>
      <c r="K676" s="84">
        <f>Проект!$K$1306</f>
        <v>307800</v>
      </c>
      <c r="L676" s="84">
        <f>Проект!$L$1306</f>
        <v>307800</v>
      </c>
      <c r="M676" s="84">
        <f>Проект!$M$1306</f>
        <v>307800</v>
      </c>
      <c r="N676" s="84" t="e">
        <f>Проект!#REF!</f>
        <v>#REF!</v>
      </c>
      <c r="O676" s="84" t="e">
        <f>Проект!#REF!</f>
        <v>#REF!</v>
      </c>
      <c r="P676" s="84" t="e">
        <f>Проект!#REF!</f>
        <v>#REF!</v>
      </c>
      <c r="Q676" s="84">
        <f>Проект!$Q$1306</f>
        <v>307800</v>
      </c>
      <c r="R676" s="106"/>
      <c r="S676" s="94">
        <f>Проект!$S$1306</f>
        <v>4104000</v>
      </c>
    </row>
    <row r="677" spans="1:19" hidden="1" x14ac:dyDescent="0.2">
      <c r="A677" s="52" t="str">
        <f ca="1">Проект!$A$1307</f>
        <v xml:space="preserve">    Лизинговые платежи</v>
      </c>
      <c r="B677" s="48"/>
      <c r="C677" s="73" t="str">
        <f ca="1">Проект!$C$1307</f>
        <v>руб.</v>
      </c>
      <c r="D677" s="48"/>
      <c r="E677" s="48"/>
      <c r="F677" s="84">
        <f ca="1">Проект!$F$1307</f>
        <v>0</v>
      </c>
      <c r="G677" s="84">
        <f ca="1">Проект!$G$1307</f>
        <v>0</v>
      </c>
      <c r="H677" s="84">
        <f ca="1">Проект!$H$1307</f>
        <v>0</v>
      </c>
      <c r="I677" s="84">
        <f ca="1">Проект!$I$1307</f>
        <v>0</v>
      </c>
      <c r="J677" s="84">
        <f ca="1">Проект!$J$1307</f>
        <v>0</v>
      </c>
      <c r="K677" s="84">
        <f ca="1">Проект!$K$1307</f>
        <v>0</v>
      </c>
      <c r="L677" s="84">
        <f ca="1">Проект!$L$1307</f>
        <v>0</v>
      </c>
      <c r="M677" s="84">
        <f ca="1">Проект!$M$1307</f>
        <v>0</v>
      </c>
      <c r="N677" s="84" t="e">
        <f>Проект!#REF!</f>
        <v>#REF!</v>
      </c>
      <c r="O677" s="84" t="e">
        <f>Проект!#REF!</f>
        <v>#REF!</v>
      </c>
      <c r="P677" s="84" t="e">
        <f>Проект!#REF!</f>
        <v>#REF!</v>
      </c>
      <c r="Q677" s="84">
        <f ca="1">Проект!$Q$1307</f>
        <v>0</v>
      </c>
      <c r="R677" s="106"/>
      <c r="S677" s="94">
        <f ca="1">Проект!$S$1307</f>
        <v>0</v>
      </c>
    </row>
    <row r="678" spans="1:19" hidden="1" x14ac:dyDescent="0.2">
      <c r="A678" s="52" t="str">
        <f ca="1">Проект!$A$1308</f>
        <v xml:space="preserve">    Прочие производственные расходы</v>
      </c>
      <c r="B678" s="48"/>
      <c r="C678" s="73" t="str">
        <f ca="1">Проект!$C$1308</f>
        <v>руб.</v>
      </c>
      <c r="D678" s="48"/>
      <c r="E678" s="48"/>
      <c r="F678" s="84">
        <f>Проект!$F$1308</f>
        <v>1750000</v>
      </c>
      <c r="G678" s="84">
        <f>Проект!$G$1308</f>
        <v>1750000</v>
      </c>
      <c r="H678" s="84">
        <f>Проект!$H$1308</f>
        <v>1750000</v>
      </c>
      <c r="I678" s="84">
        <f>Проект!$I$1308</f>
        <v>1750000</v>
      </c>
      <c r="J678" s="84">
        <f>Проект!$J$1308</f>
        <v>1750000</v>
      </c>
      <c r="K678" s="84">
        <f>Проект!$K$1308</f>
        <v>1750000</v>
      </c>
      <c r="L678" s="84">
        <f>Проект!$L$1308</f>
        <v>1750000</v>
      </c>
      <c r="M678" s="84">
        <f>Проект!$M$1308</f>
        <v>1750000</v>
      </c>
      <c r="N678" s="84" t="e">
        <f>Проект!#REF!</f>
        <v>#REF!</v>
      </c>
      <c r="O678" s="84" t="e">
        <f>Проект!#REF!</f>
        <v>#REF!</v>
      </c>
      <c r="P678" s="84" t="e">
        <f>Проект!#REF!</f>
        <v>#REF!</v>
      </c>
      <c r="Q678" s="84">
        <f>Проект!$Q$1308</f>
        <v>1750000</v>
      </c>
      <c r="R678" s="106"/>
      <c r="S678" s="94">
        <f>Проект!$S$1308</f>
        <v>21000000</v>
      </c>
    </row>
    <row r="679" spans="1:19" hidden="1" x14ac:dyDescent="0.2">
      <c r="A679" s="48" t="str">
        <f ca="1">Проект!$A$1309</f>
        <v xml:space="preserve">    Амортизация</v>
      </c>
      <c r="B679" s="48"/>
      <c r="C679" s="73" t="str">
        <f ca="1">Проект!$C$1309</f>
        <v>руб.</v>
      </c>
      <c r="D679" s="48"/>
      <c r="E679" s="48"/>
      <c r="F679" s="84">
        <f ca="1">Проект!$F$1309</f>
        <v>0</v>
      </c>
      <c r="G679" s="84">
        <f ca="1">Проект!$G$1309</f>
        <v>0</v>
      </c>
      <c r="H679" s="84">
        <f ca="1">Проект!$H$1309</f>
        <v>0</v>
      </c>
      <c r="I679" s="84">
        <f ca="1">Проект!$I$1309</f>
        <v>0</v>
      </c>
      <c r="J679" s="84">
        <f ca="1">Проект!$J$1309</f>
        <v>0</v>
      </c>
      <c r="K679" s="84">
        <f ca="1">Проект!$K$1309</f>
        <v>0</v>
      </c>
      <c r="L679" s="84">
        <f ca="1">Проект!$L$1309</f>
        <v>0</v>
      </c>
      <c r="M679" s="84">
        <f ca="1">Проект!$M$1309</f>
        <v>0</v>
      </c>
      <c r="N679" s="84" t="e">
        <f>Проект!#REF!</f>
        <v>#REF!</v>
      </c>
      <c r="O679" s="84" t="e">
        <f>Проект!#REF!</f>
        <v>#REF!</v>
      </c>
      <c r="P679" s="84" t="e">
        <f>Проект!#REF!</f>
        <v>#REF!</v>
      </c>
      <c r="Q679" s="84">
        <f ca="1">Проект!$Q$1309</f>
        <v>0</v>
      </c>
      <c r="R679" s="106"/>
      <c r="S679" s="94">
        <f ca="1">Проект!$S$1309</f>
        <v>0</v>
      </c>
    </row>
    <row r="680" spans="1:19" ht="11.25" customHeight="1" x14ac:dyDescent="0.25">
      <c r="A680" s="130" t="str">
        <f ca="1">Проект!$A$1310</f>
        <v>Валовая прибыль</v>
      </c>
      <c r="B680" s="48"/>
      <c r="C680" s="73" t="str">
        <f ca="1">Проект!$C$1310</f>
        <v>руб.</v>
      </c>
      <c r="D680" s="48"/>
      <c r="E680" s="48"/>
      <c r="F680" s="160">
        <f ca="1">Проект!$F$1310</f>
        <v>-2468200</v>
      </c>
      <c r="G680" s="160">
        <f ca="1">Проект!$G$1310</f>
        <v>-2057800</v>
      </c>
      <c r="H680" s="160">
        <f ca="1">Проект!$H$1310</f>
        <v>-1921893.3087500001</v>
      </c>
      <c r="I680" s="160">
        <f ca="1">Проект!$I$1310</f>
        <v>-1378266.54375</v>
      </c>
      <c r="J680" s="160">
        <f ca="1">Проект!$J$1310</f>
        <v>-698733.08749999991</v>
      </c>
      <c r="K680" s="160">
        <f ca="1">Проект!$K$1310</f>
        <v>660333.82499999995</v>
      </c>
      <c r="L680" s="160">
        <f ca="1">Проект!$L$1310</f>
        <v>2019400.7375</v>
      </c>
      <c r="M680" s="160">
        <f ca="1">Проект!$M$1310</f>
        <v>3378467.65</v>
      </c>
      <c r="N680" s="160" t="e">
        <f>Проект!#REF!</f>
        <v>#REF!</v>
      </c>
      <c r="O680" s="160" t="e">
        <f>Проект!#REF!</f>
        <v>#REF!</v>
      </c>
      <c r="P680" s="160" t="e">
        <f>Проект!#REF!</f>
        <v>#REF!</v>
      </c>
      <c r="Q680" s="160">
        <f ca="1">Проект!$Q$1310</f>
        <v>11532869.125</v>
      </c>
      <c r="R680" s="106"/>
      <c r="S680" s="95">
        <f ca="1">Проект!$S$1310</f>
        <v>32792250.4725</v>
      </c>
    </row>
    <row r="681" spans="1:19" ht="11.25" customHeight="1" x14ac:dyDescent="0.2">
      <c r="A681" s="52" t="str">
        <f ca="1">Проект!$A$1311</f>
        <v>Оплата административного и коммерческого персонала</v>
      </c>
      <c r="B681" s="48"/>
      <c r="C681" s="73" t="str">
        <f ca="1">Проект!$C$1311</f>
        <v>руб.</v>
      </c>
      <c r="D681" s="48"/>
      <c r="E681" s="48"/>
      <c r="F681" s="84">
        <f>Проект!$F$1311</f>
        <v>357960</v>
      </c>
      <c r="G681" s="84">
        <f>Проект!$G$1311</f>
        <v>357960</v>
      </c>
      <c r="H681" s="84">
        <f>Проект!$H$1311</f>
        <v>357960</v>
      </c>
      <c r="I681" s="84">
        <f>Проект!$I$1311</f>
        <v>357960</v>
      </c>
      <c r="J681" s="84">
        <f>Проект!$J$1311</f>
        <v>357960</v>
      </c>
      <c r="K681" s="84">
        <f>Проект!$K$1311</f>
        <v>357960</v>
      </c>
      <c r="L681" s="84">
        <f>Проект!$L$1311</f>
        <v>357960</v>
      </c>
      <c r="M681" s="84">
        <f>Проект!$M$1311</f>
        <v>357960</v>
      </c>
      <c r="N681" s="84" t="e">
        <f>Проект!#REF!</f>
        <v>#REF!</v>
      </c>
      <c r="O681" s="84" t="e">
        <f>Проект!#REF!</f>
        <v>#REF!</v>
      </c>
      <c r="P681" s="84" t="e">
        <f>Проект!#REF!</f>
        <v>#REF!</v>
      </c>
      <c r="Q681" s="84">
        <f>Проект!$Q$1311</f>
        <v>357960</v>
      </c>
      <c r="R681" s="106"/>
      <c r="S681" s="94">
        <f>Проект!$S$1311</f>
        <v>4295520</v>
      </c>
    </row>
    <row r="682" spans="1:19" ht="11.25" customHeight="1" x14ac:dyDescent="0.2">
      <c r="A682" s="52" t="str">
        <f ca="1">Проект!$A$1312</f>
        <v>Административные расходы</v>
      </c>
      <c r="B682" s="48"/>
      <c r="C682" s="73" t="str">
        <f ca="1">Проект!$C$1312</f>
        <v>руб.</v>
      </c>
      <c r="D682" s="48"/>
      <c r="E682" s="48"/>
      <c r="F682" s="84">
        <f>Проект!$F$1312</f>
        <v>140000</v>
      </c>
      <c r="G682" s="84">
        <f>Проект!$G$1312</f>
        <v>140000</v>
      </c>
      <c r="H682" s="84">
        <f>Проект!$H$1312</f>
        <v>140000</v>
      </c>
      <c r="I682" s="84">
        <f>Проект!$I$1312</f>
        <v>140000</v>
      </c>
      <c r="J682" s="84">
        <f>Проект!$J$1312</f>
        <v>140000</v>
      </c>
      <c r="K682" s="84">
        <f>Проект!$K$1312</f>
        <v>140000</v>
      </c>
      <c r="L682" s="84">
        <f>Проект!$L$1312</f>
        <v>140000</v>
      </c>
      <c r="M682" s="84">
        <f>Проект!$M$1312</f>
        <v>140000</v>
      </c>
      <c r="N682" s="84" t="e">
        <f>Проект!#REF!</f>
        <v>#REF!</v>
      </c>
      <c r="O682" s="84" t="e">
        <f>Проект!#REF!</f>
        <v>#REF!</v>
      </c>
      <c r="P682" s="84" t="e">
        <f>Проект!#REF!</f>
        <v>#REF!</v>
      </c>
      <c r="Q682" s="84">
        <f>Проект!$Q$1312</f>
        <v>140000</v>
      </c>
      <c r="R682" s="106"/>
      <c r="S682" s="94">
        <f>Проект!$S$1312</f>
        <v>1680000</v>
      </c>
    </row>
    <row r="683" spans="1:19" ht="11.25" customHeight="1" x14ac:dyDescent="0.2">
      <c r="A683" s="52" t="str">
        <f ca="1">Проект!$A$1313</f>
        <v>Коммерческие расходы</v>
      </c>
      <c r="B683" s="48"/>
      <c r="C683" s="73" t="str">
        <f ca="1">Проект!$C$1313</f>
        <v>руб.</v>
      </c>
      <c r="D683" s="48"/>
      <c r="E683" s="48"/>
      <c r="F683" s="84">
        <f>Проект!$F$1313</f>
        <v>0</v>
      </c>
      <c r="G683" s="84">
        <f>Проект!$G$1313</f>
        <v>0</v>
      </c>
      <c r="H683" s="84">
        <f>Проект!$H$1313</f>
        <v>0</v>
      </c>
      <c r="I683" s="84">
        <f>Проект!$I$1313</f>
        <v>0</v>
      </c>
      <c r="J683" s="84">
        <f>Проект!$J$1313</f>
        <v>0</v>
      </c>
      <c r="K683" s="84">
        <f>Проект!$K$1313</f>
        <v>0</v>
      </c>
      <c r="L683" s="84">
        <f>Проект!$L$1313</f>
        <v>0</v>
      </c>
      <c r="M683" s="84">
        <f>Проект!$M$1313</f>
        <v>0</v>
      </c>
      <c r="N683" s="84" t="e">
        <f>Проект!#REF!</f>
        <v>#REF!</v>
      </c>
      <c r="O683" s="84" t="e">
        <f>Проект!#REF!</f>
        <v>#REF!</v>
      </c>
      <c r="P683" s="84" t="e">
        <f>Проект!#REF!</f>
        <v>#REF!</v>
      </c>
      <c r="Q683" s="84">
        <f>Проект!$Q$1313</f>
        <v>0</v>
      </c>
      <c r="R683" s="106"/>
      <c r="S683" s="94">
        <f>Проект!$S$1313</f>
        <v>0</v>
      </c>
    </row>
    <row r="684" spans="1:19" ht="11.25" customHeight="1" x14ac:dyDescent="0.2">
      <c r="A684" s="48" t="str">
        <f ca="1">Проект!$A$1314</f>
        <v>Проценты</v>
      </c>
      <c r="B684" s="48"/>
      <c r="C684" s="73" t="str">
        <f ca="1">Проект!$C$1314</f>
        <v>руб.</v>
      </c>
      <c r="D684" s="48"/>
      <c r="E684" s="48"/>
      <c r="F684" s="84">
        <f>Проект!$F$1314</f>
        <v>41283.684478371499</v>
      </c>
      <c r="G684" s="84">
        <f>Проект!$G$1314</f>
        <v>94192.953558909416</v>
      </c>
      <c r="H684" s="84">
        <f>Проект!$H$1314</f>
        <v>137723.52054939602</v>
      </c>
      <c r="I684" s="84">
        <f>Проект!$I$1314</f>
        <v>171791.79390106534</v>
      </c>
      <c r="J684" s="84">
        <f>Проект!$J$1314</f>
        <v>194825.76640357217</v>
      </c>
      <c r="K684" s="84">
        <f>Проект!$K$1314</f>
        <v>197821.1784527626</v>
      </c>
      <c r="L684" s="84">
        <f>Проект!$L$1314</f>
        <v>180237.18952591211</v>
      </c>
      <c r="M684" s="84">
        <f>Проект!$M$1314</f>
        <v>138130.35957124989</v>
      </c>
      <c r="N684" s="84" t="e">
        <f>Проект!#REF!</f>
        <v>#REF!</v>
      </c>
      <c r="O684" s="84" t="e">
        <f>Проект!#REF!</f>
        <v>#REF!</v>
      </c>
      <c r="P684" s="84" t="e">
        <f>Проект!#REF!</f>
        <v>#REF!</v>
      </c>
      <c r="Q684" s="84">
        <f>Проект!$Q$1314</f>
        <v>0</v>
      </c>
      <c r="R684" s="106"/>
      <c r="S684" s="94">
        <f>Проект!$S$1314</f>
        <v>1218272.4352961429</v>
      </c>
    </row>
    <row r="685" spans="1:19" ht="11.25" customHeight="1" x14ac:dyDescent="0.2">
      <c r="A685" s="48" t="str">
        <f ca="1">Проект!$A$1315</f>
        <v>Прибыль / убыток от строительной деятельности</v>
      </c>
      <c r="B685" s="48"/>
      <c r="C685" s="73" t="str">
        <f ca="1">Проект!$C$1315</f>
        <v>руб.</v>
      </c>
      <c r="D685" s="48"/>
      <c r="E685" s="48"/>
      <c r="F685" s="84">
        <f>Проект!$F$1315</f>
        <v>0</v>
      </c>
      <c r="G685" s="84">
        <f>Проект!$G$1315</f>
        <v>0</v>
      </c>
      <c r="H685" s="84">
        <f>Проект!$H$1315</f>
        <v>0</v>
      </c>
      <c r="I685" s="84">
        <f>Проект!$I$1315</f>
        <v>0</v>
      </c>
      <c r="J685" s="84">
        <f>Проект!$J$1315</f>
        <v>0</v>
      </c>
      <c r="K685" s="84">
        <f>Проект!$K$1315</f>
        <v>0</v>
      </c>
      <c r="L685" s="84">
        <f>Проект!$L$1315</f>
        <v>0</v>
      </c>
      <c r="M685" s="84">
        <f>Проект!$M$1315</f>
        <v>0</v>
      </c>
      <c r="N685" s="84" t="e">
        <f>Проект!#REF!</f>
        <v>#REF!</v>
      </c>
      <c r="O685" s="84" t="e">
        <f>Проект!#REF!</f>
        <v>#REF!</v>
      </c>
      <c r="P685" s="84" t="e">
        <f>Проект!#REF!</f>
        <v>#REF!</v>
      </c>
      <c r="Q685" s="84">
        <f>Проект!$Q$1315</f>
        <v>0</v>
      </c>
      <c r="R685" s="106"/>
      <c r="S685" s="94">
        <f>Проект!$S$1315</f>
        <v>0</v>
      </c>
    </row>
    <row r="686" spans="1:19" ht="11.25" customHeight="1" x14ac:dyDescent="0.2">
      <c r="A686" s="52" t="str">
        <f ca="1">Проект!$A$1316</f>
        <v>Налоги, кроме налога на прибыль</v>
      </c>
      <c r="B686" s="48"/>
      <c r="C686" s="73" t="str">
        <f ca="1">Проект!$C$1316</f>
        <v>руб.</v>
      </c>
      <c r="D686" s="48"/>
      <c r="E686" s="48"/>
      <c r="F686" s="84">
        <f ca="1">Проект!$F$1316</f>
        <v>0</v>
      </c>
      <c r="G686" s="84">
        <f ca="1">Проект!$G$1316</f>
        <v>0</v>
      </c>
      <c r="H686" s="84">
        <f ca="1">Проект!$H$1316</f>
        <v>0</v>
      </c>
      <c r="I686" s="84">
        <f ca="1">Проект!$I$1316</f>
        <v>0</v>
      </c>
      <c r="J686" s="84">
        <f ca="1">Проект!$J$1316</f>
        <v>0</v>
      </c>
      <c r="K686" s="84">
        <f ca="1">Проект!$K$1316</f>
        <v>0</v>
      </c>
      <c r="L686" s="84">
        <f ca="1">Проект!$L$1316</f>
        <v>0</v>
      </c>
      <c r="M686" s="84">
        <f ca="1">Проект!$M$1316</f>
        <v>0</v>
      </c>
      <c r="N686" s="84" t="e">
        <f>Проект!#REF!</f>
        <v>#REF!</v>
      </c>
      <c r="O686" s="84" t="e">
        <f>Проект!#REF!</f>
        <v>#REF!</v>
      </c>
      <c r="P686" s="84" t="e">
        <f>Проект!#REF!</f>
        <v>#REF!</v>
      </c>
      <c r="Q686" s="84">
        <f ca="1">Проект!$Q$1316</f>
        <v>0</v>
      </c>
      <c r="R686" s="106"/>
      <c r="S686" s="94">
        <f ca="1">Проект!$S$1316</f>
        <v>0</v>
      </c>
    </row>
    <row r="687" spans="1:19" ht="11.25" customHeight="1" x14ac:dyDescent="0.25">
      <c r="A687" s="130" t="str">
        <f ca="1">Проект!$A$1317</f>
        <v>Прибыль (убыток) от операционной деятельности</v>
      </c>
      <c r="B687" s="48"/>
      <c r="C687" s="73" t="str">
        <f ca="1">Проект!$C$1317</f>
        <v>руб.</v>
      </c>
      <c r="D687" s="48"/>
      <c r="E687" s="48"/>
      <c r="F687" s="160">
        <f ca="1">Проект!$F$1317</f>
        <v>-3007443.6844783714</v>
      </c>
      <c r="G687" s="160">
        <f ca="1">Проект!$G$1317</f>
        <v>-2649952.9535589092</v>
      </c>
      <c r="H687" s="160">
        <f ca="1">Проект!$H$1317</f>
        <v>-2557576.8292993959</v>
      </c>
      <c r="I687" s="160">
        <f ca="1">Проект!$I$1317</f>
        <v>-2048018.3376510653</v>
      </c>
      <c r="J687" s="160">
        <f ca="1">Проект!$J$1317</f>
        <v>-1391518.8539035721</v>
      </c>
      <c r="K687" s="160">
        <f ca="1">Проект!$K$1317</f>
        <v>-35447.353452762647</v>
      </c>
      <c r="L687" s="160">
        <f ca="1">Проект!$L$1317</f>
        <v>1341203.547974088</v>
      </c>
      <c r="M687" s="160">
        <f ca="1">Проект!$M$1317</f>
        <v>2742377.2904287502</v>
      </c>
      <c r="N687" s="160" t="e">
        <f>Проект!#REF!</f>
        <v>#REF!</v>
      </c>
      <c r="O687" s="160" t="e">
        <f>Проект!#REF!</f>
        <v>#REF!</v>
      </c>
      <c r="P687" s="160" t="e">
        <f>Проект!#REF!</f>
        <v>#REF!</v>
      </c>
      <c r="Q687" s="160">
        <f ca="1">Проект!$Q$1317</f>
        <v>11034909.125</v>
      </c>
      <c r="R687" s="106"/>
      <c r="S687" s="95">
        <f ca="1">Проект!$S$1317</f>
        <v>25598458.03720386</v>
      </c>
    </row>
    <row r="688" spans="1:19" ht="11.25" customHeight="1" x14ac:dyDescent="0.2">
      <c r="A688" s="48" t="str">
        <f ca="1">Проект!$A$1318</f>
        <v>Прибыль / убыток от реализации внеоборотных активов</v>
      </c>
      <c r="B688" s="48"/>
      <c r="C688" s="73" t="str">
        <f ca="1">Проект!$C$1318</f>
        <v>руб.</v>
      </c>
      <c r="D688" s="48"/>
      <c r="E688" s="48"/>
      <c r="F688" s="84">
        <f>Проект!$F$1318</f>
        <v>0</v>
      </c>
      <c r="G688" s="84">
        <f>Проект!$G$1318</f>
        <v>0</v>
      </c>
      <c r="H688" s="84">
        <f>Проект!$H$1318</f>
        <v>0</v>
      </c>
      <c r="I688" s="84">
        <f>Проект!$I$1318</f>
        <v>0</v>
      </c>
      <c r="J688" s="84">
        <f>Проект!$J$1318</f>
        <v>0</v>
      </c>
      <c r="K688" s="84">
        <f>Проект!$K$1318</f>
        <v>0</v>
      </c>
      <c r="L688" s="84">
        <f>Проект!$L$1318</f>
        <v>0</v>
      </c>
      <c r="M688" s="84">
        <f>Проект!$M$1318</f>
        <v>0</v>
      </c>
      <c r="N688" s="84" t="e">
        <f>Проект!#REF!</f>
        <v>#REF!</v>
      </c>
      <c r="O688" s="84" t="e">
        <f>Проект!#REF!</f>
        <v>#REF!</v>
      </c>
      <c r="P688" s="84" t="e">
        <f>Проект!#REF!</f>
        <v>#REF!</v>
      </c>
      <c r="Q688" s="84">
        <f>Проект!$Q$1318</f>
        <v>0</v>
      </c>
      <c r="R688" s="106"/>
      <c r="S688" s="94">
        <f>Проект!$S$1318</f>
        <v>0</v>
      </c>
    </row>
    <row r="689" spans="1:19" ht="11.25" customHeight="1" x14ac:dyDescent="0.2">
      <c r="A689" s="48" t="str">
        <f ca="1">Проект!$A$1319</f>
        <v>Курсовые разницы</v>
      </c>
      <c r="B689" s="48"/>
      <c r="C689" s="73" t="str">
        <f ca="1">Проект!$C$1319</f>
        <v>руб.</v>
      </c>
      <c r="D689" s="48"/>
      <c r="E689" s="48"/>
      <c r="F689" s="84">
        <f>Проект!$F$1319</f>
        <v>9.4587448984384537E-11</v>
      </c>
      <c r="G689" s="84">
        <f>Проект!$G$1319</f>
        <v>6.3300831243395805E-10</v>
      </c>
      <c r="H689" s="84">
        <f>Проект!$H$1319</f>
        <v>-2.9103830456733704E-11</v>
      </c>
      <c r="I689" s="84">
        <f>Проект!$I$1319</f>
        <v>9.3132257461547852E-10</v>
      </c>
      <c r="J689" s="84">
        <f>Проект!$J$1319</f>
        <v>-4.6566128730773926E-10</v>
      </c>
      <c r="K689" s="84">
        <f>Проект!$K$1319</f>
        <v>6.9849193096160889E-10</v>
      </c>
      <c r="L689" s="84">
        <f>Проект!$L$1319</f>
        <v>-5.8207660913467407E-11</v>
      </c>
      <c r="M689" s="84">
        <f>Проект!$M$1319</f>
        <v>-8.7311491370201111E-10</v>
      </c>
      <c r="N689" s="84" t="e">
        <f>Проект!#REF!</f>
        <v>#REF!</v>
      </c>
      <c r="O689" s="84" t="e">
        <f>Проект!#REF!</f>
        <v>#REF!</v>
      </c>
      <c r="P689" s="84" t="e">
        <f>Проект!#REF!</f>
        <v>#REF!</v>
      </c>
      <c r="Q689" s="84">
        <f>Проект!$Q$1319</f>
        <v>0</v>
      </c>
      <c r="R689" s="106"/>
      <c r="S689" s="94">
        <f>Проект!$S$1319</f>
        <v>1.9208528101444244E-9</v>
      </c>
    </row>
    <row r="690" spans="1:19" ht="11.25" customHeight="1" x14ac:dyDescent="0.2">
      <c r="A690" s="48" t="str">
        <f ca="1">Проект!$A$1320</f>
        <v>Прочие доходы</v>
      </c>
      <c r="B690" s="48"/>
      <c r="C690" s="73" t="str">
        <f ca="1">Проект!$C$1320</f>
        <v>руб.</v>
      </c>
      <c r="D690" s="48"/>
      <c r="E690" s="48"/>
      <c r="F690" s="106">
        <f ca="1">Проект!$F$1320</f>
        <v>0</v>
      </c>
      <c r="G690" s="106">
        <f ca="1">Проект!$G$1320</f>
        <v>0</v>
      </c>
      <c r="H690" s="106">
        <f ca="1">Проект!$H$1320</f>
        <v>0</v>
      </c>
      <c r="I690" s="106">
        <f ca="1">Проект!$I$1320</f>
        <v>0</v>
      </c>
      <c r="J690" s="106">
        <f ca="1">Проект!$J$1320</f>
        <v>0</v>
      </c>
      <c r="K690" s="106">
        <f ca="1">Проект!$K$1320</f>
        <v>0</v>
      </c>
      <c r="L690" s="106">
        <f ca="1">Проект!$L$1320</f>
        <v>0</v>
      </c>
      <c r="M690" s="106">
        <f ca="1">Проект!$M$1320</f>
        <v>0</v>
      </c>
      <c r="N690" s="106" t="e">
        <f>Проект!#REF!</f>
        <v>#REF!</v>
      </c>
      <c r="O690" s="106" t="e">
        <f>Проект!#REF!</f>
        <v>#REF!</v>
      </c>
      <c r="P690" s="106" t="e">
        <f>Проект!#REF!</f>
        <v>#REF!</v>
      </c>
      <c r="Q690" s="106">
        <f ca="1">Проект!$Q$1320</f>
        <v>0</v>
      </c>
      <c r="R690" s="106"/>
      <c r="S690" s="94">
        <f ca="1">Проект!$S$1320</f>
        <v>0</v>
      </c>
    </row>
    <row r="691" spans="1:19" ht="11.25" customHeight="1" x14ac:dyDescent="0.2">
      <c r="A691" s="48" t="str">
        <f ca="1">Проект!$A$1321</f>
        <v>Прочие расходы</v>
      </c>
      <c r="B691" s="48"/>
      <c r="C691" s="73" t="str">
        <f ca="1">Проект!$C$1321</f>
        <v>руб.</v>
      </c>
      <c r="D691" s="48"/>
      <c r="E691" s="48"/>
      <c r="F691" s="106">
        <f>Проект!$F$1321</f>
        <v>0</v>
      </c>
      <c r="G691" s="106">
        <f>Проект!$G$1321</f>
        <v>0</v>
      </c>
      <c r="H691" s="106">
        <f>Проект!$H$1321</f>
        <v>0</v>
      </c>
      <c r="I691" s="106">
        <f>Проект!$I$1321</f>
        <v>0</v>
      </c>
      <c r="J691" s="106">
        <f>Проект!$J$1321</f>
        <v>0</v>
      </c>
      <c r="K691" s="106">
        <f>Проект!$K$1321</f>
        <v>0</v>
      </c>
      <c r="L691" s="106">
        <f>Проект!$L$1321</f>
        <v>0</v>
      </c>
      <c r="M691" s="106">
        <f>Проект!$M$1321</f>
        <v>0</v>
      </c>
      <c r="N691" s="106" t="e">
        <f>Проект!#REF!</f>
        <v>#REF!</v>
      </c>
      <c r="O691" s="106" t="e">
        <f>Проект!#REF!</f>
        <v>#REF!</v>
      </c>
      <c r="P691" s="106" t="e">
        <f>Проект!#REF!</f>
        <v>#REF!</v>
      </c>
      <c r="Q691" s="106">
        <f>Проект!$Q$1321</f>
        <v>0</v>
      </c>
      <c r="R691" s="106"/>
      <c r="S691" s="94">
        <f>Проект!$S$1321</f>
        <v>0</v>
      </c>
    </row>
    <row r="692" spans="1:19" ht="11.25" customHeight="1" x14ac:dyDescent="0.25">
      <c r="A692" s="130" t="str">
        <f ca="1">Проект!$A$1322</f>
        <v>Прибыль до налогообложения</v>
      </c>
      <c r="B692" s="48"/>
      <c r="C692" s="73" t="str">
        <f ca="1">Проект!$C$1322</f>
        <v>руб.</v>
      </c>
      <c r="D692" s="48"/>
      <c r="E692" s="48"/>
      <c r="F692" s="160">
        <f ca="1">Проект!$F$1322</f>
        <v>-3007443.6844783714</v>
      </c>
      <c r="G692" s="160">
        <f ca="1">Проект!$G$1322</f>
        <v>-2649952.9535589088</v>
      </c>
      <c r="H692" s="160">
        <f ca="1">Проект!$H$1322</f>
        <v>-2557576.8292993959</v>
      </c>
      <c r="I692" s="160">
        <f ca="1">Проект!$I$1322</f>
        <v>-2048018.3376510644</v>
      </c>
      <c r="J692" s="160">
        <f ca="1">Проект!$J$1322</f>
        <v>-1391518.8539035725</v>
      </c>
      <c r="K692" s="160">
        <f ca="1">Проект!$K$1322</f>
        <v>-35447.353452761949</v>
      </c>
      <c r="L692" s="160">
        <f ca="1">Проект!$L$1322</f>
        <v>1341203.547974088</v>
      </c>
      <c r="M692" s="160">
        <f ca="1">Проект!$M$1322</f>
        <v>2742377.2904287493</v>
      </c>
      <c r="N692" s="160" t="e">
        <f>Проект!#REF!</f>
        <v>#REF!</v>
      </c>
      <c r="O692" s="160" t="e">
        <f>Проект!#REF!</f>
        <v>#REF!</v>
      </c>
      <c r="P692" s="160" t="e">
        <f>Проект!#REF!</f>
        <v>#REF!</v>
      </c>
      <c r="Q692" s="160">
        <f ca="1">Проект!$Q$1322</f>
        <v>11034909.125</v>
      </c>
      <c r="R692" s="106"/>
      <c r="S692" s="95">
        <f ca="1">Проект!$S$1322</f>
        <v>25598458.03720386</v>
      </c>
    </row>
    <row r="693" spans="1:19" ht="11.25" customHeight="1" x14ac:dyDescent="0.2">
      <c r="A693" s="48" t="str">
        <f ca="1">Проект!$A$1323</f>
        <v>Налог на прибыль</v>
      </c>
      <c r="B693" s="48"/>
      <c r="C693" s="73" t="str">
        <f ca="1">Проект!$C$1323</f>
        <v>руб.</v>
      </c>
      <c r="D693" s="48"/>
      <c r="E693" s="48"/>
      <c r="F693" s="84">
        <f ca="1">Проект!$F$1323</f>
        <v>0</v>
      </c>
      <c r="G693" s="84">
        <f ca="1">Проект!$G$1323</f>
        <v>0</v>
      </c>
      <c r="H693" s="84">
        <f ca="1">Проект!$H$1323</f>
        <v>8155.2</v>
      </c>
      <c r="I693" s="84">
        <f ca="1">Проект!$I$1323</f>
        <v>40776</v>
      </c>
      <c r="J693" s="84">
        <f ca="1">Проект!$J$1323</f>
        <v>81552</v>
      </c>
      <c r="K693" s="84">
        <f ca="1">Проект!$K$1323</f>
        <v>163104</v>
      </c>
      <c r="L693" s="84">
        <f ca="1">Проект!$L$1323</f>
        <v>244656</v>
      </c>
      <c r="M693" s="84">
        <f ca="1">Проект!$M$1323</f>
        <v>326208</v>
      </c>
      <c r="N693" s="84" t="e">
        <f>Проект!#REF!</f>
        <v>#REF!</v>
      </c>
      <c r="O693" s="84" t="e">
        <f>Проект!#REF!</f>
        <v>#REF!</v>
      </c>
      <c r="P693" s="84" t="e">
        <f>Проект!#REF!</f>
        <v>#REF!</v>
      </c>
      <c r="Q693" s="84">
        <f ca="1">Проект!$Q$1323</f>
        <v>815520</v>
      </c>
      <c r="R693" s="106"/>
      <c r="S693" s="94">
        <f ca="1">Проект!$S$1323</f>
        <v>3474115.2</v>
      </c>
    </row>
    <row r="694" spans="1:19" ht="11.25" customHeight="1" x14ac:dyDescent="0.25">
      <c r="A694" s="130" t="str">
        <f ca="1">Проект!$A$1324</f>
        <v>Чистая прибыль (убыток)</v>
      </c>
      <c r="B694" s="48"/>
      <c r="C694" s="73" t="str">
        <f ca="1">Проект!$C$1324</f>
        <v>руб.</v>
      </c>
      <c r="D694" s="48"/>
      <c r="E694" s="48"/>
      <c r="F694" s="160">
        <f ca="1">Проект!$F$1324</f>
        <v>-3007443.6844783714</v>
      </c>
      <c r="G694" s="160">
        <f ca="1">Проект!$G$1324</f>
        <v>-2649952.9535589088</v>
      </c>
      <c r="H694" s="160">
        <f ca="1">Проект!$H$1324</f>
        <v>-2565732.0292993961</v>
      </c>
      <c r="I694" s="160">
        <f ca="1">Проект!$I$1324</f>
        <v>-2088794.3376510644</v>
      </c>
      <c r="J694" s="160">
        <f ca="1">Проект!$J$1324</f>
        <v>-1473070.8539035725</v>
      </c>
      <c r="K694" s="160">
        <f ca="1">Проект!$K$1324</f>
        <v>-198551.35345276195</v>
      </c>
      <c r="L694" s="160">
        <f ca="1">Проект!$L$1324</f>
        <v>1096547.547974088</v>
      </c>
      <c r="M694" s="160">
        <f ca="1">Проект!$M$1324</f>
        <v>2416169.2904287493</v>
      </c>
      <c r="N694" s="160" t="e">
        <f>Проект!#REF!</f>
        <v>#REF!</v>
      </c>
      <c r="O694" s="160" t="e">
        <f>Проект!#REF!</f>
        <v>#REF!</v>
      </c>
      <c r="P694" s="160" t="e">
        <f>Проект!#REF!</f>
        <v>#REF!</v>
      </c>
      <c r="Q694" s="160">
        <f ca="1">Проект!$Q$1324</f>
        <v>10219389.125</v>
      </c>
      <c r="R694" s="106"/>
      <c r="S694" s="95">
        <f ca="1">Проект!$S$1324</f>
        <v>22124342.83720386</v>
      </c>
    </row>
    <row r="697" spans="1:19" x14ac:dyDescent="0.2">
      <c r="A697" s="22" t="str">
        <f ca="1">Language!A$730 &amp; ", " &amp; Проект!CUR_Report</f>
        <v>График: Выручка, руб.</v>
      </c>
      <c r="B697" s="19"/>
      <c r="C697" s="19"/>
      <c r="D697" s="19"/>
      <c r="E697" s="19"/>
      <c r="F697" s="19"/>
      <c r="G697" s="19"/>
    </row>
    <row r="698" spans="1:19" x14ac:dyDescent="0.2">
      <c r="A698" s="19"/>
      <c r="B698" s="19"/>
      <c r="C698" s="19"/>
      <c r="D698" s="19"/>
      <c r="E698" s="19"/>
      <c r="F698" s="19"/>
      <c r="G698" s="19"/>
    </row>
    <row r="699" spans="1:19" x14ac:dyDescent="0.2">
      <c r="A699" s="19"/>
      <c r="B699" s="19"/>
      <c r="C699" s="19"/>
      <c r="D699" s="19"/>
      <c r="E699" s="19"/>
      <c r="F699" s="19"/>
      <c r="G699" s="19"/>
    </row>
    <row r="700" spans="1:19" x14ac:dyDescent="0.2">
      <c r="A700" s="19"/>
      <c r="B700" s="19"/>
      <c r="C700" s="19"/>
      <c r="D700" s="19"/>
      <c r="E700" s="19"/>
      <c r="F700" s="19"/>
      <c r="G700" s="19"/>
    </row>
    <row r="701" spans="1:19" x14ac:dyDescent="0.2">
      <c r="A701" s="19"/>
      <c r="B701" s="19"/>
      <c r="C701" s="19"/>
      <c r="D701" s="19"/>
      <c r="E701" s="19"/>
      <c r="F701" s="19"/>
      <c r="G701" s="19"/>
    </row>
    <row r="702" spans="1:19" x14ac:dyDescent="0.2">
      <c r="A702" s="19"/>
      <c r="B702" s="19"/>
      <c r="C702" s="19"/>
      <c r="D702" s="19"/>
      <c r="E702" s="19"/>
      <c r="F702" s="19"/>
      <c r="G702" s="19"/>
    </row>
    <row r="703" spans="1:19" x14ac:dyDescent="0.2">
      <c r="A703" s="19"/>
      <c r="B703" s="19"/>
      <c r="C703" s="19"/>
      <c r="D703" s="19"/>
      <c r="E703" s="19"/>
      <c r="F703" s="19"/>
      <c r="G703" s="19"/>
    </row>
    <row r="704" spans="1:19" x14ac:dyDescent="0.2">
      <c r="A704" s="19"/>
      <c r="B704" s="19"/>
      <c r="C704" s="19"/>
      <c r="D704" s="19"/>
      <c r="E704" s="19"/>
      <c r="F704" s="19"/>
      <c r="G704" s="19"/>
    </row>
    <row r="705" spans="1:7" x14ac:dyDescent="0.2">
      <c r="A705" s="19"/>
      <c r="B705" s="19"/>
      <c r="C705" s="19"/>
      <c r="D705" s="19"/>
      <c r="E705" s="19"/>
      <c r="F705" s="19"/>
      <c r="G705" s="19"/>
    </row>
    <row r="706" spans="1:7" x14ac:dyDescent="0.2">
      <c r="A706" s="19"/>
      <c r="B706" s="19"/>
      <c r="C706" s="19"/>
      <c r="D706" s="19"/>
      <c r="E706" s="19"/>
      <c r="F706" s="19"/>
      <c r="G706" s="19"/>
    </row>
    <row r="707" spans="1:7" x14ac:dyDescent="0.2">
      <c r="A707" s="19"/>
      <c r="B707" s="19"/>
      <c r="C707" s="19"/>
      <c r="D707" s="19"/>
      <c r="E707" s="19"/>
      <c r="F707" s="19"/>
      <c r="G707" s="19"/>
    </row>
    <row r="708" spans="1:7" x14ac:dyDescent="0.2">
      <c r="A708" s="19"/>
      <c r="B708" s="19"/>
      <c r="C708" s="19"/>
      <c r="D708" s="19"/>
      <c r="E708" s="19"/>
      <c r="F708" s="19"/>
      <c r="G708" s="19"/>
    </row>
    <row r="709" spans="1:7" x14ac:dyDescent="0.2">
      <c r="A709" s="19"/>
      <c r="B709" s="19"/>
      <c r="C709" s="19"/>
      <c r="D709" s="19"/>
      <c r="E709" s="19"/>
      <c r="F709" s="19"/>
      <c r="G709" s="19"/>
    </row>
    <row r="710" spans="1:7" x14ac:dyDescent="0.2">
      <c r="A710" s="19"/>
      <c r="B710" s="19"/>
      <c r="C710" s="19"/>
      <c r="D710" s="19"/>
      <c r="E710" s="19"/>
      <c r="F710" s="19"/>
      <c r="G710" s="19"/>
    </row>
    <row r="711" spans="1:7" x14ac:dyDescent="0.2">
      <c r="A711" s="19"/>
      <c r="B711" s="19"/>
      <c r="C711" s="19"/>
      <c r="D711" s="19"/>
      <c r="E711" s="19"/>
      <c r="F711" s="19"/>
      <c r="G711" s="19"/>
    </row>
    <row r="712" spans="1:7" x14ac:dyDescent="0.2">
      <c r="A712" s="19"/>
      <c r="B712" s="19"/>
      <c r="C712" s="19"/>
      <c r="D712" s="19"/>
      <c r="E712" s="19"/>
      <c r="F712" s="19"/>
      <c r="G712" s="19"/>
    </row>
    <row r="713" spans="1:7" x14ac:dyDescent="0.2">
      <c r="A713" s="19"/>
      <c r="B713" s="19"/>
      <c r="C713" s="19"/>
      <c r="D713" s="19"/>
      <c r="E713" s="19"/>
      <c r="F713" s="19"/>
      <c r="G713" s="19"/>
    </row>
    <row r="714" spans="1:7" x14ac:dyDescent="0.2">
      <c r="A714" s="19"/>
      <c r="B714" s="19"/>
      <c r="C714" s="19"/>
      <c r="D714" s="19"/>
      <c r="E714" s="19"/>
      <c r="F714" s="19"/>
      <c r="G714" s="19"/>
    </row>
    <row r="715" spans="1:7" x14ac:dyDescent="0.2">
      <c r="A715" s="19"/>
      <c r="B715" s="19"/>
      <c r="C715" s="19"/>
      <c r="D715" s="19"/>
      <c r="E715" s="19"/>
      <c r="F715" s="19"/>
      <c r="G715" s="19"/>
    </row>
    <row r="716" spans="1:7" x14ac:dyDescent="0.2">
      <c r="A716" s="19"/>
      <c r="B716" s="19"/>
      <c r="C716" s="19"/>
      <c r="D716" s="19"/>
      <c r="E716" s="19"/>
      <c r="F716" s="19"/>
      <c r="G716" s="19"/>
    </row>
    <row r="717" spans="1:7" x14ac:dyDescent="0.2">
      <c r="A717" s="19"/>
      <c r="B717" s="19"/>
      <c r="C717" s="19"/>
      <c r="D717" s="19"/>
      <c r="E717" s="19"/>
      <c r="F717" s="19"/>
      <c r="G717" s="19"/>
    </row>
    <row r="718" spans="1:7" x14ac:dyDescent="0.2">
      <c r="A718" s="19"/>
      <c r="B718" s="19"/>
      <c r="C718" s="19"/>
      <c r="D718" s="19"/>
      <c r="E718" s="19"/>
      <c r="F718" s="19"/>
      <c r="G718" s="19"/>
    </row>
    <row r="719" spans="1:7" x14ac:dyDescent="0.2">
      <c r="A719" s="19"/>
      <c r="B719" s="19"/>
      <c r="C719" s="19"/>
      <c r="D719" s="19"/>
      <c r="E719" s="19"/>
      <c r="F719" s="19"/>
      <c r="G719" s="19"/>
    </row>
    <row r="720" spans="1:7" x14ac:dyDescent="0.2">
      <c r="A720" s="19"/>
      <c r="B720" s="19"/>
      <c r="C720" s="19"/>
      <c r="D720" s="19"/>
      <c r="E720" s="19"/>
      <c r="F720" s="19"/>
      <c r="G720" s="19"/>
    </row>
    <row r="723" spans="1:7" x14ac:dyDescent="0.2">
      <c r="A723" s="22" t="str">
        <f ca="1">Language!A$731 &amp; ", " &amp; Проект!CUR_Report</f>
        <v>График: Чистая прибыль, руб.</v>
      </c>
      <c r="B723" s="19"/>
      <c r="C723" s="19"/>
      <c r="D723" s="19"/>
      <c r="E723" s="19"/>
      <c r="F723" s="19"/>
      <c r="G723" s="19"/>
    </row>
    <row r="724" spans="1:7" x14ac:dyDescent="0.2">
      <c r="A724" s="19"/>
      <c r="B724" s="19"/>
      <c r="C724" s="19"/>
      <c r="D724" s="19"/>
      <c r="E724" s="19"/>
      <c r="F724" s="19"/>
      <c r="G724" s="19"/>
    </row>
    <row r="725" spans="1:7" x14ac:dyDescent="0.2">
      <c r="A725" s="19"/>
      <c r="B725" s="19"/>
      <c r="C725" s="19"/>
      <c r="D725" s="19"/>
      <c r="E725" s="19"/>
      <c r="F725" s="19"/>
      <c r="G725" s="19"/>
    </row>
    <row r="726" spans="1:7" x14ac:dyDescent="0.2">
      <c r="A726" s="19"/>
      <c r="B726" s="19"/>
      <c r="C726" s="19"/>
      <c r="D726" s="19"/>
      <c r="E726" s="19"/>
      <c r="F726" s="19"/>
      <c r="G726" s="19"/>
    </row>
    <row r="727" spans="1:7" x14ac:dyDescent="0.2">
      <c r="A727" s="19"/>
      <c r="B727" s="19"/>
      <c r="C727" s="19"/>
      <c r="D727" s="19"/>
      <c r="E727" s="19"/>
      <c r="F727" s="19"/>
      <c r="G727" s="19"/>
    </row>
    <row r="728" spans="1:7" x14ac:dyDescent="0.2">
      <c r="A728" s="19"/>
      <c r="B728" s="19"/>
      <c r="C728" s="19"/>
      <c r="D728" s="19"/>
      <c r="E728" s="19"/>
      <c r="F728" s="19"/>
      <c r="G728" s="19"/>
    </row>
    <row r="729" spans="1:7" x14ac:dyDescent="0.2">
      <c r="A729" s="19"/>
      <c r="B729" s="19"/>
      <c r="C729" s="19"/>
      <c r="D729" s="19"/>
      <c r="E729" s="19"/>
      <c r="F729" s="19"/>
      <c r="G729" s="19"/>
    </row>
    <row r="730" spans="1:7" x14ac:dyDescent="0.2">
      <c r="A730" s="19"/>
      <c r="B730" s="19"/>
      <c r="C730" s="19"/>
      <c r="D730" s="19"/>
      <c r="E730" s="19"/>
      <c r="F730" s="19"/>
      <c r="G730" s="19"/>
    </row>
    <row r="731" spans="1:7" x14ac:dyDescent="0.2">
      <c r="A731" s="19"/>
      <c r="B731" s="19"/>
      <c r="C731" s="19"/>
      <c r="D731" s="19"/>
      <c r="E731" s="19"/>
      <c r="F731" s="19"/>
      <c r="G731" s="19"/>
    </row>
    <row r="732" spans="1:7" x14ac:dyDescent="0.2">
      <c r="A732" s="19"/>
      <c r="B732" s="19"/>
      <c r="C732" s="19"/>
      <c r="D732" s="19"/>
      <c r="E732" s="19"/>
      <c r="F732" s="19"/>
      <c r="G732" s="19"/>
    </row>
    <row r="733" spans="1:7" x14ac:dyDescent="0.2">
      <c r="A733" s="19"/>
      <c r="B733" s="19"/>
      <c r="C733" s="19"/>
      <c r="D733" s="19"/>
      <c r="E733" s="19"/>
      <c r="F733" s="19"/>
      <c r="G733" s="19"/>
    </row>
    <row r="734" spans="1:7" x14ac:dyDescent="0.2">
      <c r="A734" s="19"/>
      <c r="B734" s="19"/>
      <c r="C734" s="19"/>
      <c r="D734" s="19"/>
      <c r="E734" s="19"/>
      <c r="F734" s="19"/>
      <c r="G734" s="19"/>
    </row>
    <row r="735" spans="1:7" x14ac:dyDescent="0.2">
      <c r="A735" s="19"/>
      <c r="B735" s="19"/>
      <c r="C735" s="19"/>
      <c r="D735" s="19"/>
      <c r="E735" s="19"/>
      <c r="F735" s="19"/>
      <c r="G735" s="19"/>
    </row>
    <row r="736" spans="1:7" x14ac:dyDescent="0.2">
      <c r="A736" s="19"/>
      <c r="B736" s="19"/>
      <c r="C736" s="19"/>
      <c r="D736" s="19"/>
      <c r="E736" s="19"/>
      <c r="F736" s="19"/>
      <c r="G736" s="19"/>
    </row>
    <row r="737" spans="1:7" x14ac:dyDescent="0.2">
      <c r="A737" s="19"/>
      <c r="B737" s="19"/>
      <c r="C737" s="19"/>
      <c r="D737" s="19"/>
      <c r="E737" s="19"/>
      <c r="F737" s="19"/>
      <c r="G737" s="19"/>
    </row>
    <row r="738" spans="1:7" x14ac:dyDescent="0.2">
      <c r="A738" s="19"/>
      <c r="B738" s="19"/>
      <c r="C738" s="19"/>
      <c r="D738" s="19"/>
      <c r="E738" s="19"/>
      <c r="F738" s="19"/>
      <c r="G738" s="19"/>
    </row>
    <row r="739" spans="1:7" x14ac:dyDescent="0.2">
      <c r="A739" s="19"/>
      <c r="B739" s="19"/>
      <c r="C739" s="19"/>
      <c r="D739" s="19"/>
      <c r="E739" s="19"/>
      <c r="F739" s="19"/>
      <c r="G739" s="19"/>
    </row>
    <row r="740" spans="1:7" x14ac:dyDescent="0.2">
      <c r="A740" s="19"/>
      <c r="B740" s="19"/>
      <c r="C740" s="19"/>
      <c r="D740" s="19"/>
      <c r="E740" s="19"/>
      <c r="F740" s="19"/>
      <c r="G740" s="19"/>
    </row>
    <row r="741" spans="1:7" x14ac:dyDescent="0.2">
      <c r="A741" s="19"/>
      <c r="B741" s="19"/>
      <c r="C741" s="19"/>
      <c r="D741" s="19"/>
      <c r="E741" s="19"/>
      <c r="F741" s="19"/>
      <c r="G741" s="19"/>
    </row>
    <row r="742" spans="1:7" x14ac:dyDescent="0.2">
      <c r="A742" s="19"/>
      <c r="B742" s="19"/>
      <c r="C742" s="19"/>
      <c r="D742" s="19"/>
      <c r="E742" s="19"/>
      <c r="F742" s="19"/>
      <c r="G742" s="19"/>
    </row>
    <row r="743" spans="1:7" x14ac:dyDescent="0.2">
      <c r="A743" s="19"/>
      <c r="B743" s="19"/>
      <c r="C743" s="19"/>
      <c r="D743" s="19"/>
      <c r="E743" s="19"/>
      <c r="F743" s="19"/>
      <c r="G743" s="19"/>
    </row>
    <row r="744" spans="1:7" x14ac:dyDescent="0.2">
      <c r="A744" s="19"/>
      <c r="B744" s="19"/>
      <c r="C744" s="19"/>
      <c r="D744" s="19"/>
      <c r="E744" s="19"/>
      <c r="F744" s="19"/>
      <c r="G744" s="19"/>
    </row>
    <row r="745" spans="1:7" x14ac:dyDescent="0.2">
      <c r="A745" s="19"/>
      <c r="B745" s="19"/>
      <c r="C745" s="19"/>
      <c r="D745" s="19"/>
      <c r="E745" s="19"/>
      <c r="F745" s="19"/>
      <c r="G745" s="19"/>
    </row>
    <row r="746" spans="1:7" x14ac:dyDescent="0.2">
      <c r="A746" s="19"/>
      <c r="B746" s="19"/>
      <c r="C746" s="19"/>
      <c r="D746" s="19"/>
      <c r="E746" s="19"/>
      <c r="F746" s="19"/>
      <c r="G746" s="19"/>
    </row>
    <row r="749" spans="1:7" x14ac:dyDescent="0.2">
      <c r="A749" s="22" t="str">
        <f ca="1">Language!A$1009 &amp; ", " &amp; Проект!CUR_Report</f>
        <v>График: EBITDA, руб.</v>
      </c>
      <c r="B749" s="19"/>
      <c r="C749" s="19"/>
      <c r="D749" s="19"/>
      <c r="E749" s="19"/>
      <c r="F749" s="19"/>
      <c r="G749" s="19"/>
    </row>
    <row r="750" spans="1:7" x14ac:dyDescent="0.2">
      <c r="A750" s="19"/>
      <c r="B750" s="19"/>
      <c r="C750" s="19"/>
      <c r="D750" s="19"/>
      <c r="E750" s="19"/>
      <c r="F750" s="19"/>
      <c r="G750" s="19"/>
    </row>
    <row r="751" spans="1:7" x14ac:dyDescent="0.2">
      <c r="A751" s="19"/>
      <c r="B751" s="19"/>
      <c r="C751" s="19"/>
      <c r="D751" s="19"/>
      <c r="E751" s="19"/>
      <c r="F751" s="19"/>
      <c r="G751" s="19"/>
    </row>
    <row r="752" spans="1:7" x14ac:dyDescent="0.2">
      <c r="A752" s="19"/>
      <c r="B752" s="19"/>
      <c r="C752" s="19"/>
      <c r="D752" s="19"/>
      <c r="E752" s="19"/>
      <c r="F752" s="19"/>
      <c r="G752" s="19"/>
    </row>
    <row r="753" spans="1:7" x14ac:dyDescent="0.2">
      <c r="A753" s="19"/>
      <c r="B753" s="19"/>
      <c r="C753" s="19"/>
      <c r="D753" s="19"/>
      <c r="E753" s="19"/>
      <c r="F753" s="19"/>
      <c r="G753" s="19"/>
    </row>
    <row r="754" spans="1:7" x14ac:dyDescent="0.2">
      <c r="A754" s="19"/>
      <c r="B754" s="19"/>
      <c r="C754" s="19"/>
      <c r="D754" s="19"/>
      <c r="E754" s="19"/>
      <c r="F754" s="19"/>
      <c r="G754" s="19"/>
    </row>
    <row r="755" spans="1:7" x14ac:dyDescent="0.2">
      <c r="A755" s="19"/>
      <c r="B755" s="19"/>
      <c r="C755" s="19"/>
      <c r="D755" s="19"/>
      <c r="E755" s="19"/>
      <c r="F755" s="19"/>
      <c r="G755" s="19"/>
    </row>
    <row r="756" spans="1:7" x14ac:dyDescent="0.2">
      <c r="A756" s="19"/>
      <c r="B756" s="19"/>
      <c r="C756" s="19"/>
      <c r="D756" s="19"/>
      <c r="E756" s="19"/>
      <c r="F756" s="19"/>
      <c r="G756" s="19"/>
    </row>
    <row r="757" spans="1:7" x14ac:dyDescent="0.2">
      <c r="A757" s="19"/>
      <c r="B757" s="19"/>
      <c r="C757" s="19"/>
      <c r="D757" s="19"/>
      <c r="E757" s="19"/>
      <c r="F757" s="19"/>
      <c r="G757" s="19"/>
    </row>
    <row r="758" spans="1:7" x14ac:dyDescent="0.2">
      <c r="A758" s="19"/>
      <c r="B758" s="19"/>
      <c r="C758" s="19"/>
      <c r="D758" s="19"/>
      <c r="E758" s="19"/>
      <c r="F758" s="19"/>
      <c r="G758" s="19"/>
    </row>
    <row r="759" spans="1:7" x14ac:dyDescent="0.2">
      <c r="A759" s="19"/>
      <c r="B759" s="19"/>
      <c r="C759" s="19"/>
      <c r="D759" s="19"/>
      <c r="E759" s="19"/>
      <c r="F759" s="19"/>
      <c r="G759" s="19"/>
    </row>
    <row r="760" spans="1:7" x14ac:dyDescent="0.2">
      <c r="A760" s="19"/>
      <c r="B760" s="19"/>
      <c r="C760" s="19"/>
      <c r="D760" s="19"/>
      <c r="E760" s="19"/>
      <c r="F760" s="19"/>
      <c r="G760" s="19"/>
    </row>
    <row r="761" spans="1:7" x14ac:dyDescent="0.2">
      <c r="A761" s="19"/>
      <c r="B761" s="19"/>
      <c r="C761" s="19"/>
      <c r="D761" s="19"/>
      <c r="E761" s="19"/>
      <c r="F761" s="19"/>
      <c r="G761" s="19"/>
    </row>
    <row r="762" spans="1:7" x14ac:dyDescent="0.2">
      <c r="A762" s="19"/>
      <c r="B762" s="19"/>
      <c r="C762" s="19"/>
      <c r="D762" s="19"/>
      <c r="E762" s="19"/>
      <c r="F762" s="19"/>
      <c r="G762" s="19"/>
    </row>
    <row r="763" spans="1:7" x14ac:dyDescent="0.2">
      <c r="A763" s="19"/>
      <c r="B763" s="19"/>
      <c r="C763" s="19"/>
      <c r="D763" s="19"/>
      <c r="E763" s="19"/>
      <c r="F763" s="19"/>
      <c r="G763" s="19"/>
    </row>
    <row r="764" spans="1:7" x14ac:dyDescent="0.2">
      <c r="A764" s="19"/>
      <c r="B764" s="19"/>
      <c r="C764" s="19"/>
      <c r="D764" s="19"/>
      <c r="E764" s="19"/>
      <c r="F764" s="19"/>
      <c r="G764" s="19"/>
    </row>
    <row r="765" spans="1:7" x14ac:dyDescent="0.2">
      <c r="A765" s="19"/>
      <c r="B765" s="19"/>
      <c r="C765" s="19"/>
      <c r="D765" s="19"/>
      <c r="E765" s="19"/>
      <c r="F765" s="19"/>
      <c r="G765" s="19"/>
    </row>
    <row r="766" spans="1:7" x14ac:dyDescent="0.2">
      <c r="A766" s="19"/>
      <c r="B766" s="19"/>
      <c r="C766" s="19"/>
      <c r="D766" s="19"/>
      <c r="E766" s="19"/>
      <c r="F766" s="19"/>
      <c r="G766" s="19"/>
    </row>
    <row r="767" spans="1:7" x14ac:dyDescent="0.2">
      <c r="A767" s="19"/>
      <c r="B767" s="19"/>
      <c r="C767" s="19"/>
      <c r="D767" s="19"/>
      <c r="E767" s="19"/>
      <c r="F767" s="19"/>
      <c r="G767" s="19"/>
    </row>
    <row r="768" spans="1:7" x14ac:dyDescent="0.2">
      <c r="A768" s="19"/>
      <c r="B768" s="19"/>
      <c r="C768" s="19"/>
      <c r="D768" s="19"/>
      <c r="E768" s="19"/>
      <c r="F768" s="19"/>
      <c r="G768" s="19"/>
    </row>
    <row r="769" spans="1:19" x14ac:dyDescent="0.2">
      <c r="A769" s="19"/>
      <c r="B769" s="19"/>
      <c r="C769" s="19"/>
      <c r="D769" s="19"/>
      <c r="E769" s="19"/>
      <c r="F769" s="19"/>
      <c r="G769" s="19"/>
    </row>
    <row r="770" spans="1:19" x14ac:dyDescent="0.2">
      <c r="A770" s="19"/>
      <c r="B770" s="19"/>
      <c r="C770" s="19"/>
      <c r="D770" s="19"/>
      <c r="E770" s="19"/>
      <c r="F770" s="19"/>
      <c r="G770" s="19"/>
    </row>
    <row r="771" spans="1:19" x14ac:dyDescent="0.2">
      <c r="A771" s="19"/>
      <c r="B771" s="19"/>
      <c r="C771" s="19"/>
      <c r="D771" s="19"/>
      <c r="E771" s="19"/>
      <c r="F771" s="19"/>
      <c r="G771" s="19"/>
    </row>
    <row r="772" spans="1:19" x14ac:dyDescent="0.2">
      <c r="A772" s="19"/>
      <c r="B772" s="19"/>
      <c r="C772" s="19"/>
      <c r="D772" s="19"/>
      <c r="E772" s="19"/>
      <c r="F772" s="19"/>
      <c r="G772" s="19"/>
    </row>
    <row r="775" spans="1:19" ht="16" customHeight="1" thickBot="1" x14ac:dyDescent="0.25">
      <c r="A775" s="166" t="str">
        <f ca="1">Проект!$A$1421</f>
        <v xml:space="preserve">         ОТЧЕТ О ДВИЖЕНИИ ДЕНЕЖНЫХ СРЕДСТВ</v>
      </c>
      <c r="B775" s="166"/>
      <c r="C775" s="166"/>
      <c r="D775" s="166"/>
      <c r="E775" s="166"/>
      <c r="F775" s="178" t="str">
        <f>Проект!$F$1421</f>
        <v>4/ 2024</v>
      </c>
      <c r="G775" s="178" t="str">
        <f>Проект!$G$1421</f>
        <v>5/ 2024</v>
      </c>
      <c r="H775" s="178" t="str">
        <f>Проект!$H$1421</f>
        <v>6/ 2024</v>
      </c>
      <c r="I775" s="178" t="str">
        <f>Проект!$I$1421</f>
        <v>7/ 2024</v>
      </c>
      <c r="J775" s="178" t="str">
        <f>Проект!$J$1421</f>
        <v>8/ 2024</v>
      </c>
      <c r="K775" s="178" t="str">
        <f>Проект!$K$1421</f>
        <v>9/ 2024</v>
      </c>
      <c r="L775" s="178" t="str">
        <f>Проект!$L$1421</f>
        <v>10/ 2024</v>
      </c>
      <c r="M775" s="178" t="str">
        <f>Проект!$M$1421</f>
        <v>11/ 2024</v>
      </c>
      <c r="N775" s="178" t="e">
        <f>Проект!#REF!</f>
        <v>#REF!</v>
      </c>
      <c r="O775" s="178" t="e">
        <f>Проект!#REF!</f>
        <v>#REF!</v>
      </c>
      <c r="P775" s="178" t="e">
        <f>Проект!#REF!</f>
        <v>#REF!</v>
      </c>
      <c r="Q775" s="178" t="str">
        <f>Проект!$Q$1421</f>
        <v>3/ 2025</v>
      </c>
      <c r="R775" s="166"/>
      <c r="S775" s="195" t="str">
        <f ca="1">Проект!$S$1421</f>
        <v>ИТОГО</v>
      </c>
    </row>
    <row r="776" spans="1:19" ht="12" customHeight="1" thickTop="1" x14ac:dyDescent="0.2">
      <c r="A776" s="48"/>
      <c r="B776" s="48"/>
      <c r="C776" s="48"/>
      <c r="D776" s="48"/>
      <c r="E776" s="48"/>
      <c r="F776" s="48"/>
      <c r="G776" s="48"/>
      <c r="H776" s="48"/>
      <c r="I776" s="48"/>
      <c r="J776" s="48"/>
      <c r="K776" s="48"/>
      <c r="L776" s="48"/>
      <c r="M776" s="48"/>
      <c r="N776" s="48"/>
      <c r="O776" s="48"/>
      <c r="P776" s="48"/>
      <c r="Q776" s="48"/>
      <c r="R776" s="48"/>
      <c r="S776" s="41"/>
    </row>
    <row r="777" spans="1:19" ht="11.25" customHeight="1" x14ac:dyDescent="0.2">
      <c r="A777" s="48" t="str">
        <f ca="1">Проект!$A$1423</f>
        <v>Поступления от продаж</v>
      </c>
      <c r="B777" s="48"/>
      <c r="C777" s="73" t="str">
        <f ca="1">Проект!$C$1423</f>
        <v>руб.</v>
      </c>
      <c r="D777" s="48"/>
      <c r="E777" s="48"/>
      <c r="F777" s="84">
        <f>Проект!$F$1423</f>
        <v>0</v>
      </c>
      <c r="G777" s="84">
        <f>Проект!$G$1423</f>
        <v>0</v>
      </c>
      <c r="H777" s="84">
        <f>Проект!$H$1423</f>
        <v>135920</v>
      </c>
      <c r="I777" s="84">
        <f>Проект!$I$1423</f>
        <v>679600</v>
      </c>
      <c r="J777" s="84">
        <f>Проект!$J$1423</f>
        <v>1359200</v>
      </c>
      <c r="K777" s="84">
        <f>Проект!$K$1423</f>
        <v>2718400</v>
      </c>
      <c r="L777" s="84">
        <f>Проект!$L$1423</f>
        <v>4077600</v>
      </c>
      <c r="M777" s="84">
        <f>Проект!$M$1423</f>
        <v>5436800</v>
      </c>
      <c r="N777" s="84" t="e">
        <f>Проект!#REF!</f>
        <v>#REF!</v>
      </c>
      <c r="O777" s="84" t="e">
        <f>Проект!#REF!</f>
        <v>#REF!</v>
      </c>
      <c r="P777" s="84" t="e">
        <f>Проект!#REF!</f>
        <v>#REF!</v>
      </c>
      <c r="Q777" s="84">
        <f>Проект!$Q$1423</f>
        <v>13592000</v>
      </c>
      <c r="R777" s="48"/>
      <c r="S777" s="94">
        <f>Проект!$S$1423</f>
        <v>57901920</v>
      </c>
    </row>
    <row r="778" spans="1:19" ht="11.25" customHeight="1" x14ac:dyDescent="0.2">
      <c r="A778" s="48" t="str">
        <f ca="1">Проект!$A$1424</f>
        <v>Затраты на материалы и комплектующие</v>
      </c>
      <c r="B778" s="48"/>
      <c r="C778" s="73" t="str">
        <f ca="1">Проект!$C$1424</f>
        <v>руб.</v>
      </c>
      <c r="D778" s="48"/>
      <c r="E778" s="48"/>
      <c r="F778" s="84">
        <f>Проект!$F$1424</f>
        <v>0</v>
      </c>
      <c r="G778" s="84">
        <f>Проект!$G$1424</f>
        <v>0</v>
      </c>
      <c r="H778" s="84">
        <f>Проект!$H$1424</f>
        <v>-13.30875</v>
      </c>
      <c r="I778" s="84">
        <f>Проект!$I$1424</f>
        <v>-66.543750000000003</v>
      </c>
      <c r="J778" s="84">
        <f>Проект!$J$1424</f>
        <v>-133.08750000000001</v>
      </c>
      <c r="K778" s="84">
        <f>Проект!$K$1424</f>
        <v>-266.17500000000001</v>
      </c>
      <c r="L778" s="84">
        <f>Проект!$L$1424</f>
        <v>-399.26249999999999</v>
      </c>
      <c r="M778" s="84">
        <f>Проект!$M$1424</f>
        <v>-532.35</v>
      </c>
      <c r="N778" s="84" t="e">
        <f>Проект!#REF!</f>
        <v>#REF!</v>
      </c>
      <c r="O778" s="84" t="e">
        <f>Проект!#REF!</f>
        <v>#REF!</v>
      </c>
      <c r="P778" s="84" t="e">
        <f>Проект!#REF!</f>
        <v>#REF!</v>
      </c>
      <c r="Q778" s="84">
        <f>Проект!$Q$1424</f>
        <v>-1330.8750000000002</v>
      </c>
      <c r="R778" s="48"/>
      <c r="S778" s="94">
        <f>Проект!$S$1424</f>
        <v>-5669.5275000000001</v>
      </c>
    </row>
    <row r="779" spans="1:19" ht="11.25" customHeight="1" x14ac:dyDescent="0.2">
      <c r="A779" s="48" t="str">
        <f ca="1">Проект!$A$1425</f>
        <v>Прочие переменные затраты</v>
      </c>
      <c r="B779" s="48"/>
      <c r="C779" s="73" t="str">
        <f ca="1">Проект!$C$1425</f>
        <v>руб.</v>
      </c>
      <c r="D779" s="48"/>
      <c r="E779" s="48"/>
      <c r="F779" s="84">
        <f>Проект!$F$1425</f>
        <v>0</v>
      </c>
      <c r="G779" s="84">
        <f>Проект!$G$1425</f>
        <v>0</v>
      </c>
      <c r="H779" s="84">
        <f>Проект!$H$1425</f>
        <v>0</v>
      </c>
      <c r="I779" s="84">
        <f>Проект!$I$1425</f>
        <v>0</v>
      </c>
      <c r="J779" s="84">
        <f>Проект!$J$1425</f>
        <v>0</v>
      </c>
      <c r="K779" s="84">
        <f>Проект!$K$1425</f>
        <v>0</v>
      </c>
      <c r="L779" s="84">
        <f>Проект!$L$1425</f>
        <v>0</v>
      </c>
      <c r="M779" s="84">
        <f>Проект!$M$1425</f>
        <v>0</v>
      </c>
      <c r="N779" s="84" t="e">
        <f>Проект!#REF!</f>
        <v>#REF!</v>
      </c>
      <c r="O779" s="84" t="e">
        <f>Проект!#REF!</f>
        <v>#REF!</v>
      </c>
      <c r="P779" s="84" t="e">
        <f>Проект!#REF!</f>
        <v>#REF!</v>
      </c>
      <c r="Q779" s="84">
        <f>Проект!$Q$1425</f>
        <v>0</v>
      </c>
      <c r="R779" s="48"/>
      <c r="S779" s="94">
        <f>Проект!$S$1425</f>
        <v>0</v>
      </c>
    </row>
    <row r="780" spans="1:19" ht="11.25" customHeight="1" x14ac:dyDescent="0.2">
      <c r="A780" s="48" t="str">
        <f ca="1">Проект!$A$1426</f>
        <v>Зарплата</v>
      </c>
      <c r="B780" s="48"/>
      <c r="C780" s="73" t="str">
        <f ca="1">Проект!$C$1426</f>
        <v>руб.</v>
      </c>
      <c r="D780" s="48"/>
      <c r="E780" s="48"/>
      <c r="F780" s="84">
        <f>Проект!$F$1426</f>
        <v>-944000</v>
      </c>
      <c r="G780" s="84">
        <f>Проект!$G$1426</f>
        <v>-584000</v>
      </c>
      <c r="H780" s="84">
        <f>Проект!$H$1426</f>
        <v>-584000</v>
      </c>
      <c r="I780" s="84">
        <f>Проект!$I$1426</f>
        <v>-584000</v>
      </c>
      <c r="J780" s="84">
        <f>Проект!$J$1426</f>
        <v>-584000</v>
      </c>
      <c r="K780" s="84">
        <f>Проект!$K$1426</f>
        <v>-584000</v>
      </c>
      <c r="L780" s="84">
        <f>Проект!$L$1426</f>
        <v>-584000</v>
      </c>
      <c r="M780" s="84">
        <f>Проект!$M$1426</f>
        <v>-584000</v>
      </c>
      <c r="N780" s="84" t="e">
        <f>Проект!#REF!</f>
        <v>#REF!</v>
      </c>
      <c r="O780" s="84" t="e">
        <f>Проект!#REF!</f>
        <v>#REF!</v>
      </c>
      <c r="P780" s="84" t="e">
        <f>Проект!#REF!</f>
        <v>#REF!</v>
      </c>
      <c r="Q780" s="84">
        <f>Проект!$Q$1426</f>
        <v>-584000</v>
      </c>
      <c r="R780" s="48"/>
      <c r="S780" s="94">
        <f>Проект!$S$1426</f>
        <v>-7368000</v>
      </c>
    </row>
    <row r="781" spans="1:19" ht="11.25" customHeight="1" x14ac:dyDescent="0.2">
      <c r="A781" s="48" t="str">
        <f ca="1">Проект!$A$1427</f>
        <v>Общие затраты</v>
      </c>
      <c r="B781" s="48"/>
      <c r="C781" s="73" t="str">
        <f ca="1">Проект!$C$1427</f>
        <v>руб.</v>
      </c>
      <c r="D781" s="48"/>
      <c r="E781" s="48"/>
      <c r="F781" s="84">
        <f>Проект!$F$1427</f>
        <v>-1890000</v>
      </c>
      <c r="G781" s="84">
        <f>Проект!$G$1427</f>
        <v>-1890000</v>
      </c>
      <c r="H781" s="84">
        <f>Проект!$H$1427</f>
        <v>-1890000</v>
      </c>
      <c r="I781" s="84">
        <f>Проект!$I$1427</f>
        <v>-1890000</v>
      </c>
      <c r="J781" s="84">
        <f>Проект!$J$1427</f>
        <v>-1890000</v>
      </c>
      <c r="K781" s="84">
        <f>Проект!$K$1427</f>
        <v>-1890000</v>
      </c>
      <c r="L781" s="84">
        <f>Проект!$L$1427</f>
        <v>-1890000</v>
      </c>
      <c r="M781" s="84">
        <f>Проект!$M$1427</f>
        <v>-1890000</v>
      </c>
      <c r="N781" s="84" t="e">
        <f>Проект!#REF!</f>
        <v>#REF!</v>
      </c>
      <c r="O781" s="84" t="e">
        <f>Проект!#REF!</f>
        <v>#REF!</v>
      </c>
      <c r="P781" s="84" t="e">
        <f>Проект!#REF!</f>
        <v>#REF!</v>
      </c>
      <c r="Q781" s="84">
        <f>Проект!$Q$1427</f>
        <v>-1890000</v>
      </c>
      <c r="R781" s="48"/>
      <c r="S781" s="94">
        <f>Проект!$S$1427</f>
        <v>-22680000</v>
      </c>
    </row>
    <row r="782" spans="1:19" ht="11.25" customHeight="1" x14ac:dyDescent="0.2">
      <c r="A782" s="48" t="str">
        <f ca="1">Проект!$A$1428</f>
        <v>Налоги</v>
      </c>
      <c r="B782" s="48"/>
      <c r="C782" s="73" t="str">
        <f ca="1">Проект!$C$1428</f>
        <v>руб.</v>
      </c>
      <c r="D782" s="48"/>
      <c r="E782" s="48"/>
      <c r="F782" s="84">
        <f ca="1">Проект!$F$1428</f>
        <v>-132160</v>
      </c>
      <c r="G782" s="84">
        <f ca="1">Проект!$G$1428</f>
        <v>-81760.000000000015</v>
      </c>
      <c r="H782" s="84">
        <f ca="1">Проект!$H$1428</f>
        <v>-89915.200000000012</v>
      </c>
      <c r="I782" s="84">
        <f ca="1">Проект!$I$1428</f>
        <v>-122536.00000000001</v>
      </c>
      <c r="J782" s="84">
        <f ca="1">Проект!$J$1428</f>
        <v>-163312</v>
      </c>
      <c r="K782" s="84">
        <f ca="1">Проект!$K$1428</f>
        <v>-244864</v>
      </c>
      <c r="L782" s="84">
        <f ca="1">Проект!$L$1428</f>
        <v>-326416</v>
      </c>
      <c r="M782" s="84">
        <f ca="1">Проект!$M$1428</f>
        <v>-407968</v>
      </c>
      <c r="N782" s="84" t="e">
        <f>Проект!#REF!</f>
        <v>#REF!</v>
      </c>
      <c r="O782" s="84" t="e">
        <f>Проект!#REF!</f>
        <v>#REF!</v>
      </c>
      <c r="P782" s="84" t="e">
        <f>Проект!#REF!</f>
        <v>#REF!</v>
      </c>
      <c r="Q782" s="84">
        <f ca="1">Проект!$Q$1428</f>
        <v>-897280</v>
      </c>
      <c r="R782" s="48"/>
      <c r="S782" s="94">
        <f ca="1">Проект!$S$1428</f>
        <v>-4505635.2</v>
      </c>
    </row>
    <row r="783" spans="1:19" ht="11.25" customHeight="1" x14ac:dyDescent="0.2">
      <c r="A783" s="48" t="str">
        <f ca="1">Проект!$A$1429</f>
        <v>Выплата процентов по кредитам</v>
      </c>
      <c r="B783" s="48"/>
      <c r="C783" s="73" t="str">
        <f ca="1">Проект!$C$1429</f>
        <v>руб.</v>
      </c>
      <c r="D783" s="48"/>
      <c r="E783" s="48"/>
      <c r="F783" s="84">
        <f>Проект!$F$1429</f>
        <v>0</v>
      </c>
      <c r="G783" s="84">
        <f>Проект!$G$1429</f>
        <v>0</v>
      </c>
      <c r="H783" s="84">
        <f>Проект!$H$1429</f>
        <v>0</v>
      </c>
      <c r="I783" s="84">
        <f>Проект!$I$1429</f>
        <v>0</v>
      </c>
      <c r="J783" s="84">
        <f>Проект!$J$1429</f>
        <v>0</v>
      </c>
      <c r="K783" s="84">
        <f>Проект!$K$1429</f>
        <v>0</v>
      </c>
      <c r="L783" s="84">
        <f>Проект!$L$1429</f>
        <v>-180237.18952591211</v>
      </c>
      <c r="M783" s="84">
        <f>Проект!$M$1429</f>
        <v>-138130.35957124989</v>
      </c>
      <c r="N783" s="84" t="e">
        <f>Проект!#REF!</f>
        <v>#REF!</v>
      </c>
      <c r="O783" s="84" t="e">
        <f>Проект!#REF!</f>
        <v>#REF!</v>
      </c>
      <c r="P783" s="84" t="e">
        <f>Проект!#REF!</f>
        <v>#REF!</v>
      </c>
      <c r="Q783" s="84">
        <f>Проект!$Q$1429</f>
        <v>0</v>
      </c>
      <c r="R783" s="48"/>
      <c r="S783" s="94">
        <f>Проект!$S$1429</f>
        <v>-380633.53795206588</v>
      </c>
    </row>
    <row r="784" spans="1:19" ht="11.25" customHeight="1" x14ac:dyDescent="0.2">
      <c r="A784" s="48" t="str">
        <f ca="1">Проект!$A$1430</f>
        <v>Прочие поступления</v>
      </c>
      <c r="B784" s="48"/>
      <c r="C784" s="73" t="str">
        <f ca="1">Проект!$C$1430</f>
        <v>руб.</v>
      </c>
      <c r="D784" s="48"/>
      <c r="E784" s="48"/>
      <c r="F784" s="106">
        <f ca="1">Проект!$F$1430</f>
        <v>0</v>
      </c>
      <c r="G784" s="106">
        <f ca="1">Проект!$G$1430</f>
        <v>0</v>
      </c>
      <c r="H784" s="106">
        <f ca="1">Проект!$H$1430</f>
        <v>0</v>
      </c>
      <c r="I784" s="106">
        <f ca="1">Проект!$I$1430</f>
        <v>0</v>
      </c>
      <c r="J784" s="106">
        <f ca="1">Проект!$J$1430</f>
        <v>0</v>
      </c>
      <c r="K784" s="106">
        <f ca="1">Проект!$K$1430</f>
        <v>0</v>
      </c>
      <c r="L784" s="106">
        <f ca="1">Проект!$L$1430</f>
        <v>0</v>
      </c>
      <c r="M784" s="106">
        <f ca="1">Проект!$M$1430</f>
        <v>0</v>
      </c>
      <c r="N784" s="106" t="e">
        <f>Проект!#REF!</f>
        <v>#REF!</v>
      </c>
      <c r="O784" s="106" t="e">
        <f>Проект!#REF!</f>
        <v>#REF!</v>
      </c>
      <c r="P784" s="106" t="e">
        <f>Проект!#REF!</f>
        <v>#REF!</v>
      </c>
      <c r="Q784" s="106">
        <f ca="1">Проект!$Q$1430</f>
        <v>0</v>
      </c>
      <c r="R784" s="48"/>
      <c r="S784" s="94">
        <f ca="1">Проект!$S$1430</f>
        <v>0</v>
      </c>
    </row>
    <row r="785" spans="1:19" ht="11.25" customHeight="1" x14ac:dyDescent="0.2">
      <c r="A785" s="48" t="str">
        <f ca="1">Проект!$A$1431</f>
        <v>Прочие затраты</v>
      </c>
      <c r="B785" s="48"/>
      <c r="C785" s="73" t="str">
        <f ca="1">Проект!$C$1431</f>
        <v>руб.</v>
      </c>
      <c r="D785" s="48"/>
      <c r="E785" s="48"/>
      <c r="F785" s="106">
        <f>Проект!$F$1431</f>
        <v>0</v>
      </c>
      <c r="G785" s="106">
        <f>Проект!$G$1431</f>
        <v>0</v>
      </c>
      <c r="H785" s="106">
        <f>Проект!$H$1431</f>
        <v>0</v>
      </c>
      <c r="I785" s="106">
        <f>Проект!$I$1431</f>
        <v>0</v>
      </c>
      <c r="J785" s="106">
        <f>Проект!$J$1431</f>
        <v>0</v>
      </c>
      <c r="K785" s="106">
        <f>Проект!$K$1431</f>
        <v>0</v>
      </c>
      <c r="L785" s="106">
        <f>Проект!$L$1431</f>
        <v>0</v>
      </c>
      <c r="M785" s="106">
        <f>Проект!$M$1431</f>
        <v>0</v>
      </c>
      <c r="N785" s="106" t="e">
        <f>Проект!#REF!</f>
        <v>#REF!</v>
      </c>
      <c r="O785" s="106" t="e">
        <f>Проект!#REF!</f>
        <v>#REF!</v>
      </c>
      <c r="P785" s="106" t="e">
        <f>Проект!#REF!</f>
        <v>#REF!</v>
      </c>
      <c r="Q785" s="106">
        <f>Проект!$Q$1431</f>
        <v>0</v>
      </c>
      <c r="R785" s="48"/>
      <c r="S785" s="94">
        <f>Проект!$S$1431</f>
        <v>0</v>
      </c>
    </row>
    <row r="786" spans="1:19" ht="11.25" customHeight="1" x14ac:dyDescent="0.2">
      <c r="A786" s="48"/>
      <c r="B786" s="48"/>
      <c r="C786" s="48"/>
      <c r="D786" s="48"/>
      <c r="E786" s="48"/>
      <c r="F786" s="48"/>
      <c r="G786" s="48"/>
      <c r="H786" s="48"/>
      <c r="I786" s="48"/>
      <c r="J786" s="48"/>
      <c r="K786" s="48"/>
      <c r="L786" s="48"/>
      <c r="M786" s="48"/>
      <c r="N786" s="48"/>
      <c r="O786" s="48"/>
      <c r="P786" s="48"/>
      <c r="Q786" s="48"/>
      <c r="R786" s="48"/>
      <c r="S786" s="95"/>
    </row>
    <row r="787" spans="1:19" ht="11.25" customHeight="1" x14ac:dyDescent="0.25">
      <c r="A787" s="130" t="str">
        <f ca="1">Проект!$A$1433</f>
        <v>Денежные потоки от операционной деятельности</v>
      </c>
      <c r="B787" s="48"/>
      <c r="C787" s="73" t="str">
        <f ca="1">Проект!$C$1433</f>
        <v>руб.</v>
      </c>
      <c r="D787" s="48"/>
      <c r="E787" s="48"/>
      <c r="F787" s="160">
        <f ca="1">Проект!$F$1433</f>
        <v>-2966160</v>
      </c>
      <c r="G787" s="160">
        <f ca="1">Проект!$G$1433</f>
        <v>-2555760</v>
      </c>
      <c r="H787" s="160">
        <f ca="1">Проект!$H$1433</f>
        <v>-2428008.50875</v>
      </c>
      <c r="I787" s="160">
        <f ca="1">Проект!$I$1433</f>
        <v>-1917002.54375</v>
      </c>
      <c r="J787" s="160">
        <f ca="1">Проект!$J$1433</f>
        <v>-1278245.0874999999</v>
      </c>
      <c r="K787" s="160">
        <f ca="1">Проект!$K$1433</f>
        <v>-730.17499999981374</v>
      </c>
      <c r="L787" s="160">
        <f ca="1">Проект!$L$1433</f>
        <v>1096547.5479740878</v>
      </c>
      <c r="M787" s="160">
        <f ca="1">Проект!$M$1433</f>
        <v>2416169.2904287507</v>
      </c>
      <c r="N787" s="160" t="e">
        <f>Проект!#REF!</f>
        <v>#REF!</v>
      </c>
      <c r="O787" s="160" t="e">
        <f>Проект!#REF!</f>
        <v>#REF!</v>
      </c>
      <c r="P787" s="160" t="e">
        <f>Проект!#REF!</f>
        <v>#REF!</v>
      </c>
      <c r="Q787" s="160">
        <f ca="1">Проект!$Q$1433</f>
        <v>10219389.125</v>
      </c>
      <c r="R787" s="48"/>
      <c r="S787" s="95">
        <f ca="1">Проект!$S$1433</f>
        <v>22961981.734547932</v>
      </c>
    </row>
    <row r="788" spans="1:19" ht="11.25" customHeight="1" x14ac:dyDescent="0.2">
      <c r="A788" s="48"/>
      <c r="B788" s="48"/>
      <c r="C788" s="48"/>
      <c r="D788" s="48"/>
      <c r="E788" s="48"/>
      <c r="F788" s="48"/>
      <c r="G788" s="48"/>
      <c r="H788" s="48"/>
      <c r="I788" s="48"/>
      <c r="J788" s="48"/>
      <c r="K788" s="48"/>
      <c r="L788" s="48"/>
      <c r="M788" s="48"/>
      <c r="N788" s="48"/>
      <c r="O788" s="48"/>
      <c r="P788" s="48"/>
      <c r="Q788" s="48"/>
      <c r="R788" s="48"/>
      <c r="S788" s="95"/>
    </row>
    <row r="789" spans="1:19" ht="11.25" customHeight="1" x14ac:dyDescent="0.2">
      <c r="A789" s="48" t="str">
        <f ca="1">Проект!$A$1435</f>
        <v>Инвестиции в земельные участки</v>
      </c>
      <c r="B789" s="48"/>
      <c r="C789" s="73" t="str">
        <f ca="1">Проект!$C$1435</f>
        <v>руб.</v>
      </c>
      <c r="D789" s="48"/>
      <c r="E789" s="48"/>
      <c r="F789" s="84">
        <f>Проект!$F$1435</f>
        <v>0</v>
      </c>
      <c r="G789" s="84">
        <f>Проект!$G$1435</f>
        <v>0</v>
      </c>
      <c r="H789" s="84">
        <f>Проект!$H$1435</f>
        <v>0</v>
      </c>
      <c r="I789" s="84">
        <f>Проект!$I$1435</f>
        <v>0</v>
      </c>
      <c r="J789" s="84">
        <f>Проект!$J$1435</f>
        <v>0</v>
      </c>
      <c r="K789" s="84">
        <f>Проект!$K$1435</f>
        <v>0</v>
      </c>
      <c r="L789" s="84">
        <f>Проект!$L$1435</f>
        <v>0</v>
      </c>
      <c r="M789" s="84">
        <f>Проект!$M$1435</f>
        <v>0</v>
      </c>
      <c r="N789" s="84" t="e">
        <f>Проект!#REF!</f>
        <v>#REF!</v>
      </c>
      <c r="O789" s="84" t="e">
        <f>Проект!#REF!</f>
        <v>#REF!</v>
      </c>
      <c r="P789" s="84" t="e">
        <f>Проект!#REF!</f>
        <v>#REF!</v>
      </c>
      <c r="Q789" s="84">
        <f>Проект!$Q$1435</f>
        <v>0</v>
      </c>
      <c r="R789" s="48"/>
      <c r="S789" s="94">
        <f>Проект!$S$1435</f>
        <v>0</v>
      </c>
    </row>
    <row r="790" spans="1:19" ht="11.25" customHeight="1" x14ac:dyDescent="0.2">
      <c r="A790" s="48" t="str">
        <f ca="1">Проект!$A$1436</f>
        <v>Инвестиции в здания и сооружения</v>
      </c>
      <c r="B790" s="48"/>
      <c r="C790" s="73" t="str">
        <f ca="1">Проект!$C$1436</f>
        <v>руб.</v>
      </c>
      <c r="D790" s="48"/>
      <c r="E790" s="48"/>
      <c r="F790" s="84">
        <f>Проект!$F$1436</f>
        <v>0</v>
      </c>
      <c r="G790" s="84">
        <f>Проект!$G$1436</f>
        <v>0</v>
      </c>
      <c r="H790" s="84">
        <f>Проект!$H$1436</f>
        <v>0</v>
      </c>
      <c r="I790" s="84">
        <f>Проект!$I$1436</f>
        <v>0</v>
      </c>
      <c r="J790" s="84">
        <f>Проект!$J$1436</f>
        <v>0</v>
      </c>
      <c r="K790" s="84">
        <f>Проект!$K$1436</f>
        <v>0</v>
      </c>
      <c r="L790" s="84">
        <f>Проект!$L$1436</f>
        <v>0</v>
      </c>
      <c r="M790" s="84">
        <f>Проект!$M$1436</f>
        <v>0</v>
      </c>
      <c r="N790" s="84" t="e">
        <f>Проект!#REF!</f>
        <v>#REF!</v>
      </c>
      <c r="O790" s="84" t="e">
        <f>Проект!#REF!</f>
        <v>#REF!</v>
      </c>
      <c r="P790" s="84" t="e">
        <f>Проект!#REF!</f>
        <v>#REF!</v>
      </c>
      <c r="Q790" s="84">
        <f>Проект!$Q$1436</f>
        <v>0</v>
      </c>
      <c r="R790" s="48"/>
      <c r="S790" s="94">
        <f>Проект!$S$1436</f>
        <v>0</v>
      </c>
    </row>
    <row r="791" spans="1:19" ht="11.25" customHeight="1" x14ac:dyDescent="0.2">
      <c r="A791" s="48" t="str">
        <f ca="1">Проект!$A$1437</f>
        <v>Инвестиции в оборудование и прочие активы</v>
      </c>
      <c r="B791" s="48"/>
      <c r="C791" s="73" t="str">
        <f ca="1">Проект!$C$1437</f>
        <v>руб.</v>
      </c>
      <c r="D791" s="48"/>
      <c r="E791" s="48"/>
      <c r="F791" s="84">
        <f>Проект!$F$1437</f>
        <v>0</v>
      </c>
      <c r="G791" s="84">
        <f>Проект!$G$1437</f>
        <v>0</v>
      </c>
      <c r="H791" s="84">
        <f>Проект!$H$1437</f>
        <v>0</v>
      </c>
      <c r="I791" s="84">
        <f>Проект!$I$1437</f>
        <v>0</v>
      </c>
      <c r="J791" s="84">
        <f>Проект!$J$1437</f>
        <v>0</v>
      </c>
      <c r="K791" s="84">
        <f>Проект!$K$1437</f>
        <v>0</v>
      </c>
      <c r="L791" s="84">
        <f>Проект!$L$1437</f>
        <v>0</v>
      </c>
      <c r="M791" s="84">
        <f>Проект!$M$1437</f>
        <v>0</v>
      </c>
      <c r="N791" s="84" t="e">
        <f>Проект!#REF!</f>
        <v>#REF!</v>
      </c>
      <c r="O791" s="84" t="e">
        <f>Проект!#REF!</f>
        <v>#REF!</v>
      </c>
      <c r="P791" s="84" t="e">
        <f>Проект!#REF!</f>
        <v>#REF!</v>
      </c>
      <c r="Q791" s="84">
        <f>Проект!$Q$1437</f>
        <v>0</v>
      </c>
      <c r="R791" s="48"/>
      <c r="S791" s="94">
        <f>Проект!$S$1437</f>
        <v>0</v>
      </c>
    </row>
    <row r="792" spans="1:19" ht="11.25" customHeight="1" x14ac:dyDescent="0.2">
      <c r="A792" s="48" t="str">
        <f ca="1">Проект!$A$1438</f>
        <v>Инвестиции в нематериальные активы</v>
      </c>
      <c r="B792" s="48"/>
      <c r="C792" s="73" t="str">
        <f ca="1">Проект!$C$1438</f>
        <v>руб.</v>
      </c>
      <c r="D792" s="48"/>
      <c r="E792" s="48"/>
      <c r="F792" s="84">
        <f>Проект!$F$1438</f>
        <v>0</v>
      </c>
      <c r="G792" s="84">
        <f>Проект!$G$1438</f>
        <v>0</v>
      </c>
      <c r="H792" s="84">
        <f>Проект!$H$1438</f>
        <v>0</v>
      </c>
      <c r="I792" s="84">
        <f>Проект!$I$1438</f>
        <v>0</v>
      </c>
      <c r="J792" s="84">
        <f>Проект!$J$1438</f>
        <v>0</v>
      </c>
      <c r="K792" s="84">
        <f>Проект!$K$1438</f>
        <v>0</v>
      </c>
      <c r="L792" s="84">
        <f>Проект!$L$1438</f>
        <v>0</v>
      </c>
      <c r="M792" s="84">
        <f>Проект!$M$1438</f>
        <v>0</v>
      </c>
      <c r="N792" s="84" t="e">
        <f>Проект!#REF!</f>
        <v>#REF!</v>
      </c>
      <c r="O792" s="84" t="e">
        <f>Проект!#REF!</f>
        <v>#REF!</v>
      </c>
      <c r="P792" s="84" t="e">
        <f>Проект!#REF!</f>
        <v>#REF!</v>
      </c>
      <c r="Q792" s="84">
        <f>Проект!$Q$1438</f>
        <v>0</v>
      </c>
      <c r="R792" s="48"/>
      <c r="S792" s="94">
        <f>Проект!$S$1438</f>
        <v>0</v>
      </c>
    </row>
    <row r="793" spans="1:19" ht="11.25" customHeight="1" x14ac:dyDescent="0.2">
      <c r="A793" s="48" t="str">
        <f ca="1">Проект!$A$1439</f>
        <v>Инвестиции в финансовые активы</v>
      </c>
      <c r="B793" s="48"/>
      <c r="C793" s="73" t="str">
        <f ca="1">Проект!$C$1439</f>
        <v>руб.</v>
      </c>
      <c r="D793" s="48"/>
      <c r="E793" s="48"/>
      <c r="F793" s="84">
        <f>Проект!$F$1439</f>
        <v>0</v>
      </c>
      <c r="G793" s="84">
        <f>Проект!$G$1439</f>
        <v>0</v>
      </c>
      <c r="H793" s="84">
        <f>Проект!$H$1439</f>
        <v>0</v>
      </c>
      <c r="I793" s="84">
        <f>Проект!$I$1439</f>
        <v>0</v>
      </c>
      <c r="J793" s="84">
        <f>Проект!$J$1439</f>
        <v>0</v>
      </c>
      <c r="K793" s="84">
        <f>Проект!$K$1439</f>
        <v>0</v>
      </c>
      <c r="L793" s="84">
        <f>Проект!$L$1439</f>
        <v>0</v>
      </c>
      <c r="M793" s="84">
        <f>Проект!$M$1439</f>
        <v>0</v>
      </c>
      <c r="N793" s="84" t="e">
        <f>Проект!#REF!</f>
        <v>#REF!</v>
      </c>
      <c r="O793" s="84" t="e">
        <f>Проект!#REF!</f>
        <v>#REF!</v>
      </c>
      <c r="P793" s="84" t="e">
        <f>Проект!#REF!</f>
        <v>#REF!</v>
      </c>
      <c r="Q793" s="84">
        <f>Проект!$Q$1439</f>
        <v>0</v>
      </c>
      <c r="R793" s="48"/>
      <c r="S793" s="94">
        <f>Проект!$S$1439</f>
        <v>0</v>
      </c>
    </row>
    <row r="794" spans="1:19" ht="11.25" customHeight="1" x14ac:dyDescent="0.2">
      <c r="A794" s="48" t="str">
        <f ca="1">Проект!$A$1440</f>
        <v>Оплата расходов будущих периодов</v>
      </c>
      <c r="B794" s="48"/>
      <c r="C794" s="73" t="str">
        <f ca="1">Проект!$C$1440</f>
        <v>руб.</v>
      </c>
      <c r="D794" s="48"/>
      <c r="E794" s="48"/>
      <c r="F794" s="84">
        <f>Проект!$F$1440</f>
        <v>0</v>
      </c>
      <c r="G794" s="84">
        <f>Проект!$G$1440</f>
        <v>0</v>
      </c>
      <c r="H794" s="84">
        <f>Проект!$H$1440</f>
        <v>0</v>
      </c>
      <c r="I794" s="84">
        <f>Проект!$I$1440</f>
        <v>0</v>
      </c>
      <c r="J794" s="84">
        <f>Проект!$J$1440</f>
        <v>0</v>
      </c>
      <c r="K794" s="84">
        <f>Проект!$K$1440</f>
        <v>0</v>
      </c>
      <c r="L794" s="84">
        <f>Проект!$L$1440</f>
        <v>0</v>
      </c>
      <c r="M794" s="84">
        <f>Проект!$M$1440</f>
        <v>0</v>
      </c>
      <c r="N794" s="84" t="e">
        <f>Проект!#REF!</f>
        <v>#REF!</v>
      </c>
      <c r="O794" s="84" t="e">
        <f>Проект!#REF!</f>
        <v>#REF!</v>
      </c>
      <c r="P794" s="84" t="e">
        <f>Проект!#REF!</f>
        <v>#REF!</v>
      </c>
      <c r="Q794" s="84">
        <f>Проект!$Q$1440</f>
        <v>0</v>
      </c>
      <c r="R794" s="48"/>
      <c r="S794" s="94">
        <f>Проект!$S$1440</f>
        <v>0</v>
      </c>
    </row>
    <row r="795" spans="1:19" ht="11.25" customHeight="1" x14ac:dyDescent="0.2">
      <c r="A795" s="48" t="str">
        <f ca="1">Проект!$A$1441</f>
        <v>Прирост чистого оборотного капитала</v>
      </c>
      <c r="B795" s="48"/>
      <c r="C795" s="73" t="str">
        <f ca="1">Проект!$C$1441</f>
        <v>руб.</v>
      </c>
      <c r="D795" s="48"/>
      <c r="E795" s="48"/>
      <c r="F795" s="84">
        <f ca="1">Проект!$F$1441</f>
        <v>648376</v>
      </c>
      <c r="G795" s="84">
        <f ca="1">Проект!$G$1441</f>
        <v>-415440</v>
      </c>
      <c r="H795" s="84">
        <f ca="1">Проект!$H$1441</f>
        <v>24435.877125000115</v>
      </c>
      <c r="I795" s="84">
        <f ca="1">Проект!$I$1441</f>
        <v>97743.508499999763</v>
      </c>
      <c r="J795" s="84">
        <f ca="1">Проект!$J$1441</f>
        <v>122179.385625</v>
      </c>
      <c r="K795" s="84">
        <f ca="1">Проект!$K$1441</f>
        <v>244358.77125000022</v>
      </c>
      <c r="L795" s="84">
        <f ca="1">Проект!$L$1441</f>
        <v>244358.77124999976</v>
      </c>
      <c r="M795" s="84">
        <f ca="1">Проект!$M$1441</f>
        <v>244358.77125000011</v>
      </c>
      <c r="N795" s="84" t="e">
        <f>Проект!#REF!</f>
        <v>#REF!</v>
      </c>
      <c r="O795" s="84" t="e">
        <f>Проект!#REF!</f>
        <v>#REF!</v>
      </c>
      <c r="P795" s="84" t="e">
        <f>Проект!#REF!</f>
        <v>#REF!</v>
      </c>
      <c r="Q795" s="84">
        <f ca="1">Проект!$Q$1441</f>
        <v>244358.77124999976</v>
      </c>
      <c r="R795" s="48"/>
      <c r="S795" s="94">
        <f ca="1">Проект!$S$1441</f>
        <v>2676523.7124999999</v>
      </c>
    </row>
    <row r="796" spans="1:19" ht="11.25" customHeight="1" x14ac:dyDescent="0.2">
      <c r="A796" s="48" t="str">
        <f ca="1">Проект!$A$1442</f>
        <v>Выручка от реализации активов</v>
      </c>
      <c r="B796" s="48"/>
      <c r="C796" s="73" t="str">
        <f ca="1">Проект!$C$1442</f>
        <v>руб.</v>
      </c>
      <c r="D796" s="48"/>
      <c r="E796" s="48"/>
      <c r="F796" s="84">
        <f>Проект!$F$1442</f>
        <v>0</v>
      </c>
      <c r="G796" s="84">
        <f>Проект!$G$1442</f>
        <v>0</v>
      </c>
      <c r="H796" s="84">
        <f>Проект!$H$1442</f>
        <v>0</v>
      </c>
      <c r="I796" s="84">
        <f>Проект!$I$1442</f>
        <v>0</v>
      </c>
      <c r="J796" s="84">
        <f>Проект!$J$1442</f>
        <v>0</v>
      </c>
      <c r="K796" s="84">
        <f>Проект!$K$1442</f>
        <v>0</v>
      </c>
      <c r="L796" s="84">
        <f>Проект!$L$1442</f>
        <v>0</v>
      </c>
      <c r="M796" s="84">
        <f>Проект!$M$1442</f>
        <v>0</v>
      </c>
      <c r="N796" s="84" t="e">
        <f>Проект!#REF!</f>
        <v>#REF!</v>
      </c>
      <c r="O796" s="84" t="e">
        <f>Проект!#REF!</f>
        <v>#REF!</v>
      </c>
      <c r="P796" s="84" t="e">
        <f>Проект!#REF!</f>
        <v>#REF!</v>
      </c>
      <c r="Q796" s="84">
        <f>Проект!$Q$1442</f>
        <v>0</v>
      </c>
      <c r="R796" s="48"/>
      <c r="S796" s="94">
        <f>Проект!$S$1442</f>
        <v>0</v>
      </c>
    </row>
    <row r="797" spans="1:19" ht="11.25" customHeight="1" x14ac:dyDescent="0.2">
      <c r="A797" s="48"/>
      <c r="B797" s="48"/>
      <c r="C797" s="48"/>
      <c r="D797" s="48"/>
      <c r="E797" s="48"/>
      <c r="F797" s="48"/>
      <c r="G797" s="48"/>
      <c r="H797" s="48"/>
      <c r="I797" s="48"/>
      <c r="J797" s="48"/>
      <c r="K797" s="48"/>
      <c r="L797" s="48"/>
      <c r="M797" s="48"/>
      <c r="N797" s="48"/>
      <c r="O797" s="48"/>
      <c r="P797" s="48"/>
      <c r="Q797" s="48"/>
      <c r="R797" s="48"/>
      <c r="S797" s="41"/>
    </row>
    <row r="798" spans="1:19" ht="11.25" customHeight="1" x14ac:dyDescent="0.25">
      <c r="A798" s="130" t="str">
        <f ca="1">Проект!$A$1444</f>
        <v>Денежные потоки от инвестиционной деятельности</v>
      </c>
      <c r="B798" s="48"/>
      <c r="C798" s="73" t="str">
        <f ca="1">Проект!$C$1444</f>
        <v>руб.</v>
      </c>
      <c r="D798" s="48"/>
      <c r="E798" s="48"/>
      <c r="F798" s="160">
        <f ca="1">Проект!$F$1444</f>
        <v>648376</v>
      </c>
      <c r="G798" s="160">
        <f ca="1">Проект!$G$1444</f>
        <v>-415440</v>
      </c>
      <c r="H798" s="160">
        <f ca="1">Проект!$H$1444</f>
        <v>24435.877125000115</v>
      </c>
      <c r="I798" s="160">
        <f ca="1">Проект!$I$1444</f>
        <v>97743.508499999763</v>
      </c>
      <c r="J798" s="160">
        <f ca="1">Проект!$J$1444</f>
        <v>122179.385625</v>
      </c>
      <c r="K798" s="160">
        <f ca="1">Проект!$K$1444</f>
        <v>244358.77125000022</v>
      </c>
      <c r="L798" s="160">
        <f ca="1">Проект!$L$1444</f>
        <v>244358.77124999976</v>
      </c>
      <c r="M798" s="160">
        <f ca="1">Проект!$M$1444</f>
        <v>244358.77125000011</v>
      </c>
      <c r="N798" s="160" t="e">
        <f>Проект!#REF!</f>
        <v>#REF!</v>
      </c>
      <c r="O798" s="160" t="e">
        <f>Проект!#REF!</f>
        <v>#REF!</v>
      </c>
      <c r="P798" s="160" t="e">
        <f>Проект!#REF!</f>
        <v>#REF!</v>
      </c>
      <c r="Q798" s="160">
        <f ca="1">Проект!$Q$1444</f>
        <v>244358.77124999976</v>
      </c>
      <c r="R798" s="48"/>
      <c r="S798" s="95">
        <f ca="1">Проект!$S$1444</f>
        <v>2676523.7124999999</v>
      </c>
    </row>
    <row r="799" spans="1:19" ht="11.25" customHeight="1" x14ac:dyDescent="0.2">
      <c r="A799" s="48"/>
      <c r="B799" s="48"/>
      <c r="C799" s="48"/>
      <c r="D799" s="48"/>
      <c r="E799" s="48"/>
      <c r="F799" s="48"/>
      <c r="G799" s="48"/>
      <c r="H799" s="48"/>
      <c r="I799" s="48"/>
      <c r="J799" s="48"/>
      <c r="K799" s="48"/>
      <c r="L799" s="48"/>
      <c r="M799" s="48"/>
      <c r="N799" s="48"/>
      <c r="O799" s="48"/>
      <c r="P799" s="48"/>
      <c r="Q799" s="48"/>
      <c r="R799" s="48"/>
      <c r="S799" s="41"/>
    </row>
    <row r="800" spans="1:19" ht="11.25" customHeight="1" x14ac:dyDescent="0.2">
      <c r="A800" s="48" t="str">
        <f ca="1">Проект!$A$1446</f>
        <v>Поступления собственного капитала</v>
      </c>
      <c r="B800" s="48"/>
      <c r="C800" s="73" t="str">
        <f ca="1">Проект!$C$1446</f>
        <v>руб.</v>
      </c>
      <c r="D800" s="48"/>
      <c r="E800" s="48"/>
      <c r="F800" s="84">
        <f>Проект!$F$1446</f>
        <v>0</v>
      </c>
      <c r="G800" s="84">
        <f>Проект!$G$1446</f>
        <v>0</v>
      </c>
      <c r="H800" s="84">
        <f>Проект!$H$1446</f>
        <v>0</v>
      </c>
      <c r="I800" s="84">
        <f>Проект!$I$1446</f>
        <v>0</v>
      </c>
      <c r="J800" s="84">
        <f>Проект!$J$1446</f>
        <v>0</v>
      </c>
      <c r="K800" s="84">
        <f>Проект!$K$1446</f>
        <v>0</v>
      </c>
      <c r="L800" s="84">
        <f>Проект!$L$1446</f>
        <v>0</v>
      </c>
      <c r="M800" s="84">
        <f>Проект!$M$1446</f>
        <v>0</v>
      </c>
      <c r="N800" s="84" t="e">
        <f>Проект!#REF!</f>
        <v>#REF!</v>
      </c>
      <c r="O800" s="84" t="e">
        <f>Проект!#REF!</f>
        <v>#REF!</v>
      </c>
      <c r="P800" s="84" t="e">
        <f>Проект!#REF!</f>
        <v>#REF!</v>
      </c>
      <c r="Q800" s="84">
        <f>Проект!$Q$1446</f>
        <v>0</v>
      </c>
      <c r="R800" s="48"/>
      <c r="S800" s="94">
        <f>Проект!$S$1446</f>
        <v>0</v>
      </c>
    </row>
    <row r="801" spans="1:19" ht="11.25" customHeight="1" x14ac:dyDescent="0.2">
      <c r="A801" s="48" t="str">
        <f ca="1">Проект!$A$1447</f>
        <v>Целевое финансирование</v>
      </c>
      <c r="B801" s="48"/>
      <c r="C801" s="73" t="str">
        <f ca="1">Проект!$C$1447</f>
        <v>руб.</v>
      </c>
      <c r="D801" s="48"/>
      <c r="E801" s="48"/>
      <c r="F801" s="84">
        <f>Проект!$F$1447</f>
        <v>0</v>
      </c>
      <c r="G801" s="84">
        <f>Проект!$G$1447</f>
        <v>0</v>
      </c>
      <c r="H801" s="84">
        <f>Проект!$H$1447</f>
        <v>0</v>
      </c>
      <c r="I801" s="84">
        <f>Проект!$I$1447</f>
        <v>0</v>
      </c>
      <c r="J801" s="84">
        <f>Проект!$J$1447</f>
        <v>0</v>
      </c>
      <c r="K801" s="84">
        <f>Проект!$K$1447</f>
        <v>0</v>
      </c>
      <c r="L801" s="84">
        <f>Проект!$L$1447</f>
        <v>0</v>
      </c>
      <c r="M801" s="84">
        <f>Проект!$M$1447</f>
        <v>0</v>
      </c>
      <c r="N801" s="84" t="e">
        <f>Проект!#REF!</f>
        <v>#REF!</v>
      </c>
      <c r="O801" s="84" t="e">
        <f>Проект!#REF!</f>
        <v>#REF!</v>
      </c>
      <c r="P801" s="84" t="e">
        <f>Проект!#REF!</f>
        <v>#REF!</v>
      </c>
      <c r="Q801" s="84">
        <f>Проект!$Q$1447</f>
        <v>0</v>
      </c>
      <c r="R801" s="48"/>
      <c r="S801" s="94">
        <f>Проект!$S$1447</f>
        <v>0</v>
      </c>
    </row>
    <row r="802" spans="1:19" ht="11.25" customHeight="1" x14ac:dyDescent="0.2">
      <c r="A802" s="48" t="str">
        <f ca="1">Проект!$A$1448</f>
        <v>Средства от инвесторов строительства</v>
      </c>
      <c r="B802" s="48"/>
      <c r="C802" s="73" t="str">
        <f ca="1">Проект!$C$1448</f>
        <v>руб.</v>
      </c>
      <c r="D802" s="48"/>
      <c r="E802" s="48"/>
      <c r="F802" s="84">
        <f>Проект!$F$1448</f>
        <v>0</v>
      </c>
      <c r="G802" s="84">
        <f>Проект!$G$1448</f>
        <v>0</v>
      </c>
      <c r="H802" s="84">
        <f>Проект!$H$1448</f>
        <v>0</v>
      </c>
      <c r="I802" s="84">
        <f>Проект!$I$1448</f>
        <v>0</v>
      </c>
      <c r="J802" s="84">
        <f>Проект!$J$1448</f>
        <v>0</v>
      </c>
      <c r="K802" s="84">
        <f>Проект!$K$1448</f>
        <v>0</v>
      </c>
      <c r="L802" s="84">
        <f>Проект!$L$1448</f>
        <v>0</v>
      </c>
      <c r="M802" s="84">
        <f>Проект!$M$1448</f>
        <v>0</v>
      </c>
      <c r="N802" s="84" t="e">
        <f>Проект!#REF!</f>
        <v>#REF!</v>
      </c>
      <c r="O802" s="84" t="e">
        <f>Проект!#REF!</f>
        <v>#REF!</v>
      </c>
      <c r="P802" s="84" t="e">
        <f>Проект!#REF!</f>
        <v>#REF!</v>
      </c>
      <c r="Q802" s="84">
        <f>Проект!$Q$1448</f>
        <v>0</v>
      </c>
      <c r="R802" s="48"/>
      <c r="S802" s="94"/>
    </row>
    <row r="803" spans="1:19" ht="11.25" customHeight="1" x14ac:dyDescent="0.2">
      <c r="A803" s="48" t="str">
        <f ca="1">Проект!$A$1449</f>
        <v>Поступления кредитов</v>
      </c>
      <c r="B803" s="48"/>
      <c r="C803" s="73" t="str">
        <f ca="1">Проект!$C$1449</f>
        <v>руб.</v>
      </c>
      <c r="D803" s="48"/>
      <c r="E803" s="48"/>
      <c r="F803" s="84">
        <f>Проект!$F$1449</f>
        <v>2359067.6844783714</v>
      </c>
      <c r="G803" s="84">
        <f>Проект!$G$1449</f>
        <v>2982103.1201237948</v>
      </c>
      <c r="H803" s="84">
        <f>Проект!$H$1449</f>
        <v>2393268.0173260393</v>
      </c>
      <c r="I803" s="84">
        <f>Проект!$I$1449</f>
        <v>1809034.9566888495</v>
      </c>
      <c r="J803" s="84">
        <f>Проект!$J$1449</f>
        <v>1144435.2062421832</v>
      </c>
      <c r="K803" s="84">
        <f>Проект!$K$1449</f>
        <v>0</v>
      </c>
      <c r="L803" s="84">
        <f>Проект!$L$1449</f>
        <v>0</v>
      </c>
      <c r="M803" s="84">
        <f>Проект!$M$1449</f>
        <v>0</v>
      </c>
      <c r="N803" s="84" t="e">
        <f>Проект!#REF!</f>
        <v>#REF!</v>
      </c>
      <c r="O803" s="84" t="e">
        <f>Проект!#REF!</f>
        <v>#REF!</v>
      </c>
      <c r="P803" s="84" t="e">
        <f>Проект!#REF!</f>
        <v>#REF!</v>
      </c>
      <c r="Q803" s="84">
        <f>Проект!$Q$1449</f>
        <v>0</v>
      </c>
      <c r="R803" s="48"/>
      <c r="S803" s="94">
        <f>Проект!$S$1449</f>
        <v>10687908.984859239</v>
      </c>
    </row>
    <row r="804" spans="1:19" ht="11.25" customHeight="1" x14ac:dyDescent="0.2">
      <c r="A804" s="48" t="str">
        <f ca="1">Проект!$A$1450</f>
        <v>Возврат кредитов</v>
      </c>
      <c r="B804" s="48"/>
      <c r="C804" s="73" t="str">
        <f ca="1">Проект!$C$1450</f>
        <v>руб.</v>
      </c>
      <c r="D804" s="48"/>
      <c r="E804" s="48"/>
      <c r="F804" s="84">
        <f>Проект!$F$1450</f>
        <v>0</v>
      </c>
      <c r="G804" s="84">
        <f>Проект!$G$1450</f>
        <v>0</v>
      </c>
      <c r="H804" s="84">
        <f>Проект!$H$1450</f>
        <v>0</v>
      </c>
      <c r="I804" s="84">
        <f>Проект!$I$1450</f>
        <v>0</v>
      </c>
      <c r="J804" s="84">
        <f>Проект!$J$1450</f>
        <v>0</v>
      </c>
      <c r="K804" s="84">
        <f>Проект!$K$1450</f>
        <v>-23659.363592692334</v>
      </c>
      <c r="L804" s="84">
        <f>Проект!$L$1450</f>
        <v>-1202620.5457013601</v>
      </c>
      <c r="M804" s="84">
        <f>Проект!$M$1450</f>
        <v>-2406104.568837841</v>
      </c>
      <c r="N804" s="84" t="e">
        <f>Проект!#REF!</f>
        <v>#REF!</v>
      </c>
      <c r="O804" s="84" t="e">
        <f>Проект!#REF!</f>
        <v>#REF!</v>
      </c>
      <c r="P804" s="84" t="e">
        <f>Проект!#REF!</f>
        <v>#REF!</v>
      </c>
      <c r="Q804" s="84">
        <f>Проект!$Q$1450</f>
        <v>0</v>
      </c>
      <c r="R804" s="48"/>
      <c r="S804" s="94">
        <f>Проект!$S$1450</f>
        <v>-11525547.882203316</v>
      </c>
    </row>
    <row r="805" spans="1:19" ht="11.25" customHeight="1" x14ac:dyDescent="0.2">
      <c r="A805" s="48" t="str">
        <f ca="1">Проект!$A$1451</f>
        <v>Лизинговые платежи</v>
      </c>
      <c r="B805" s="48"/>
      <c r="C805" s="73" t="str">
        <f ca="1">Проект!$C$1451</f>
        <v>руб.</v>
      </c>
      <c r="D805" s="48"/>
      <c r="E805" s="48"/>
      <c r="F805" s="84">
        <f ca="1">Проект!$F$1451</f>
        <v>0</v>
      </c>
      <c r="G805" s="84">
        <f ca="1">Проект!$G$1451</f>
        <v>0</v>
      </c>
      <c r="H805" s="84">
        <f ca="1">Проект!$H$1451</f>
        <v>0</v>
      </c>
      <c r="I805" s="84">
        <f ca="1">Проект!$I$1451</f>
        <v>0</v>
      </c>
      <c r="J805" s="84">
        <f ca="1">Проект!$J$1451</f>
        <v>0</v>
      </c>
      <c r="K805" s="84">
        <f ca="1">Проект!$K$1451</f>
        <v>0</v>
      </c>
      <c r="L805" s="84">
        <f ca="1">Проект!$L$1451</f>
        <v>0</v>
      </c>
      <c r="M805" s="84">
        <f ca="1">Проект!$M$1451</f>
        <v>0</v>
      </c>
      <c r="N805" s="84" t="e">
        <f>Проект!#REF!</f>
        <v>#REF!</v>
      </c>
      <c r="O805" s="84" t="e">
        <f>Проект!#REF!</f>
        <v>#REF!</v>
      </c>
      <c r="P805" s="84" t="e">
        <f>Проект!#REF!</f>
        <v>#REF!</v>
      </c>
      <c r="Q805" s="84">
        <f ca="1">Проект!$Q$1451</f>
        <v>0</v>
      </c>
      <c r="R805" s="48"/>
      <c r="S805" s="94">
        <f ca="1">Проект!$S$1451</f>
        <v>0</v>
      </c>
    </row>
    <row r="806" spans="1:19" ht="11.25" customHeight="1" x14ac:dyDescent="0.2">
      <c r="A806" s="48" t="str">
        <f ca="1">Проект!$A$1452</f>
        <v>Выплата дивидендов</v>
      </c>
      <c r="B806" s="48"/>
      <c r="C806" s="73" t="str">
        <f ca="1">Проект!$C$1452</f>
        <v>руб.</v>
      </c>
      <c r="D806" s="48"/>
      <c r="E806" s="48"/>
      <c r="F806" s="106">
        <f ca="1">Проект!$F$1452</f>
        <v>0</v>
      </c>
      <c r="G806" s="106">
        <f ca="1">Проект!$G$1452</f>
        <v>0</v>
      </c>
      <c r="H806" s="106">
        <f ca="1">Проект!$H$1452</f>
        <v>0</v>
      </c>
      <c r="I806" s="106">
        <f ca="1">Проект!$I$1452</f>
        <v>0</v>
      </c>
      <c r="J806" s="106">
        <f ca="1">Проект!$J$1452</f>
        <v>0</v>
      </c>
      <c r="K806" s="106">
        <f ca="1">Проект!$K$1452</f>
        <v>0</v>
      </c>
      <c r="L806" s="106">
        <f ca="1">Проект!$L$1452</f>
        <v>0</v>
      </c>
      <c r="M806" s="106">
        <f ca="1">Проект!$M$1452</f>
        <v>0</v>
      </c>
      <c r="N806" s="106" t="e">
        <f>Проект!#REF!</f>
        <v>#REF!</v>
      </c>
      <c r="O806" s="106" t="e">
        <f>Проект!#REF!</f>
        <v>#REF!</v>
      </c>
      <c r="P806" s="106" t="e">
        <f>Проект!#REF!</f>
        <v>#REF!</v>
      </c>
      <c r="Q806" s="106">
        <f ca="1">Проект!$Q$1452</f>
        <v>0</v>
      </c>
      <c r="R806" s="48"/>
      <c r="S806" s="94">
        <f ca="1">Проект!$S$1452</f>
        <v>0</v>
      </c>
    </row>
    <row r="807" spans="1:19" ht="11.25" customHeight="1" x14ac:dyDescent="0.2">
      <c r="A807" s="48"/>
      <c r="B807" s="48"/>
      <c r="C807" s="48"/>
      <c r="D807" s="48"/>
      <c r="E807" s="48"/>
      <c r="F807" s="48"/>
      <c r="G807" s="48"/>
      <c r="H807" s="48"/>
      <c r="I807" s="48"/>
      <c r="J807" s="48"/>
      <c r="K807" s="48"/>
      <c r="L807" s="48"/>
      <c r="M807" s="48"/>
      <c r="N807" s="48"/>
      <c r="O807" s="48"/>
      <c r="P807" s="48"/>
      <c r="Q807" s="48"/>
      <c r="R807" s="48"/>
      <c r="S807" s="41"/>
    </row>
    <row r="808" spans="1:19" ht="11.25" customHeight="1" x14ac:dyDescent="0.25">
      <c r="A808" s="130" t="str">
        <f ca="1">Проект!$A$1454</f>
        <v>Денежные потоки от финансовой деятельности</v>
      </c>
      <c r="B808" s="48"/>
      <c r="C808" s="73" t="str">
        <f ca="1">Проект!$C$1454</f>
        <v>руб.</v>
      </c>
      <c r="D808" s="48"/>
      <c r="E808" s="48"/>
      <c r="F808" s="160">
        <f ca="1">Проект!$F$1454</f>
        <v>2359067.6844783714</v>
      </c>
      <c r="G808" s="160">
        <f ca="1">Проект!$G$1454</f>
        <v>2982103.1201237948</v>
      </c>
      <c r="H808" s="160">
        <f ca="1">Проект!$H$1454</f>
        <v>2393268.0173260393</v>
      </c>
      <c r="I808" s="160">
        <f ca="1">Проект!$I$1454</f>
        <v>1809034.9566888495</v>
      </c>
      <c r="J808" s="160">
        <f ca="1">Проект!$J$1454</f>
        <v>1144435.2062421832</v>
      </c>
      <c r="K808" s="160">
        <f ca="1">Проект!$K$1454</f>
        <v>-23659.363592692334</v>
      </c>
      <c r="L808" s="160">
        <f ca="1">Проект!$L$1454</f>
        <v>-1202620.5457013601</v>
      </c>
      <c r="M808" s="160">
        <f ca="1">Проект!$M$1454</f>
        <v>-2406104.568837841</v>
      </c>
      <c r="N808" s="160" t="e">
        <f>Проект!#REF!</f>
        <v>#REF!</v>
      </c>
      <c r="O808" s="160" t="e">
        <f>Проект!#REF!</f>
        <v>#REF!</v>
      </c>
      <c r="P808" s="160" t="e">
        <f>Проект!#REF!</f>
        <v>#REF!</v>
      </c>
      <c r="Q808" s="160">
        <f ca="1">Проект!$Q$1454</f>
        <v>0</v>
      </c>
      <c r="R808" s="48"/>
      <c r="S808" s="95">
        <f ca="1">Проект!$S$1454</f>
        <v>-837638.89734407701</v>
      </c>
    </row>
    <row r="809" spans="1:19" ht="11.25" customHeight="1" x14ac:dyDescent="0.2">
      <c r="A809" s="48"/>
      <c r="B809" s="48"/>
      <c r="C809" s="48"/>
      <c r="D809" s="48"/>
      <c r="E809" s="48"/>
      <c r="F809" s="48"/>
      <c r="G809" s="48"/>
      <c r="H809" s="48"/>
      <c r="I809" s="48"/>
      <c r="J809" s="48"/>
      <c r="K809" s="48"/>
      <c r="L809" s="48"/>
      <c r="M809" s="48"/>
      <c r="N809" s="48"/>
      <c r="O809" s="48"/>
      <c r="P809" s="48"/>
      <c r="Q809" s="48"/>
      <c r="R809" s="48"/>
      <c r="S809" s="41"/>
    </row>
    <row r="810" spans="1:19" ht="11.25" customHeight="1" x14ac:dyDescent="0.2">
      <c r="A810" s="52" t="str">
        <f ca="1">Проект!$A$1456</f>
        <v>Суммарный денежный поток за период</v>
      </c>
      <c r="B810" s="380"/>
      <c r="C810" s="381" t="str">
        <f ca="1">Проект!$C$1456</f>
        <v>руб.</v>
      </c>
      <c r="D810" s="380"/>
      <c r="E810" s="380"/>
      <c r="F810" s="210">
        <f ca="1">Проект!$F$1456</f>
        <v>41283.684478371404</v>
      </c>
      <c r="G810" s="210">
        <f ca="1">Проект!$G$1456</f>
        <v>10903.120123794768</v>
      </c>
      <c r="H810" s="210">
        <f ca="1">Проект!$H$1456</f>
        <v>-10304.61429896066</v>
      </c>
      <c r="I810" s="210">
        <f ca="1">Проект!$I$1456</f>
        <v>-10224.078561150702</v>
      </c>
      <c r="J810" s="210">
        <f ca="1">Проект!$J$1456</f>
        <v>-11630.495632816572</v>
      </c>
      <c r="K810" s="210">
        <f ca="1">Проект!$K$1456</f>
        <v>219969.23265730808</v>
      </c>
      <c r="L810" s="210">
        <f ca="1">Проект!$L$1456</f>
        <v>138285.77352272742</v>
      </c>
      <c r="M810" s="210">
        <f ca="1">Проект!$M$1456</f>
        <v>254423.49284090986</v>
      </c>
      <c r="N810" s="210" t="e">
        <f>Проект!#REF!</f>
        <v>#REF!</v>
      </c>
      <c r="O810" s="210" t="e">
        <f>Проект!#REF!</f>
        <v>#REF!</v>
      </c>
      <c r="P810" s="210" t="e">
        <f>Проект!#REF!</f>
        <v>#REF!</v>
      </c>
      <c r="Q810" s="210">
        <f ca="1">Проект!$Q$1456</f>
        <v>10463747.89625</v>
      </c>
      <c r="R810" s="52"/>
      <c r="S810" s="94">
        <f ca="1">Проект!$S$1456</f>
        <v>24800866.549703859</v>
      </c>
    </row>
    <row r="811" spans="1:19" ht="11.25" customHeight="1" x14ac:dyDescent="0.25">
      <c r="A811" s="52" t="str">
        <f ca="1">Проект!$A$1457</f>
        <v>Денежные средства на начало периода</v>
      </c>
      <c r="B811" s="380"/>
      <c r="C811" s="381" t="str">
        <f ca="1">Проект!$C$1457</f>
        <v>руб.</v>
      </c>
      <c r="D811" s="101" t="str">
        <f>Проект!$D$1457</f>
        <v>int_start</v>
      </c>
      <c r="E811" s="380"/>
      <c r="F811" s="210">
        <f>Проект!$F$1457</f>
        <v>0</v>
      </c>
      <c r="G811" s="210">
        <f ca="1">Проект!$G$1457</f>
        <v>41283.684478371404</v>
      </c>
      <c r="H811" s="210">
        <f ca="1">Проект!$H$1457</f>
        <v>52186.804602166172</v>
      </c>
      <c r="I811" s="210">
        <f ca="1">Проект!$I$1457</f>
        <v>41882.190303205512</v>
      </c>
      <c r="J811" s="210">
        <f ca="1">Проект!$J$1457</f>
        <v>31658.111742054811</v>
      </c>
      <c r="K811" s="210">
        <f ca="1">Проект!$K$1457</f>
        <v>20027.616109238239</v>
      </c>
      <c r="L811" s="210">
        <f ca="1">Проект!$L$1457</f>
        <v>239996.84876654632</v>
      </c>
      <c r="M811" s="210">
        <f ca="1">Проект!$M$1457</f>
        <v>378282.62228927377</v>
      </c>
      <c r="N811" s="210" t="e">
        <f>Проект!#REF!</f>
        <v>#REF!</v>
      </c>
      <c r="O811" s="210" t="e">
        <f>Проект!#REF!</f>
        <v>#REF!</v>
      </c>
      <c r="P811" s="210" t="e">
        <f>Проект!#REF!</f>
        <v>#REF!</v>
      </c>
      <c r="Q811" s="210">
        <f ca="1">Проект!$Q$1457</f>
        <v>14337118.653453857</v>
      </c>
      <c r="R811" s="130"/>
      <c r="S811" s="382"/>
    </row>
    <row r="812" spans="1:19" ht="11.25" customHeight="1" x14ac:dyDescent="0.25">
      <c r="A812" s="130" t="str">
        <f ca="1">Проект!$A$1458</f>
        <v>Денежные средства на конец периода</v>
      </c>
      <c r="B812" s="383"/>
      <c r="C812" s="381" t="str">
        <f ca="1">Проект!$C$1458</f>
        <v>руб.</v>
      </c>
      <c r="D812" s="101" t="str">
        <f>Проект!$D$1458</f>
        <v>int_end</v>
      </c>
      <c r="E812" s="380">
        <f>Проект!$E$1458</f>
        <v>0</v>
      </c>
      <c r="F812" s="160">
        <f ca="1">Проект!$F$1458</f>
        <v>41283.684478371404</v>
      </c>
      <c r="G812" s="160">
        <f ca="1">Проект!$G$1458</f>
        <v>52186.804602166172</v>
      </c>
      <c r="H812" s="160">
        <f ca="1">Проект!$H$1458</f>
        <v>41882.190303205512</v>
      </c>
      <c r="I812" s="160">
        <f ca="1">Проект!$I$1458</f>
        <v>31658.111742054811</v>
      </c>
      <c r="J812" s="160">
        <f ca="1">Проект!$J$1458</f>
        <v>20027.616109238239</v>
      </c>
      <c r="K812" s="160">
        <f ca="1">Проект!$K$1458</f>
        <v>239996.84876654632</v>
      </c>
      <c r="L812" s="160">
        <f ca="1">Проект!$L$1458</f>
        <v>378282.62228927377</v>
      </c>
      <c r="M812" s="160">
        <f ca="1">Проект!$M$1458</f>
        <v>632706.11513018364</v>
      </c>
      <c r="N812" s="160" t="e">
        <f>Проект!#REF!</f>
        <v>#REF!</v>
      </c>
      <c r="O812" s="160" t="e">
        <f>Проект!#REF!</f>
        <v>#REF!</v>
      </c>
      <c r="P812" s="160" t="e">
        <f>Проект!#REF!</f>
        <v>#REF!</v>
      </c>
      <c r="Q812" s="160">
        <f ca="1">Проект!$Q$1458</f>
        <v>24800866.549703859</v>
      </c>
      <c r="R812" s="130"/>
      <c r="S812" s="382"/>
    </row>
    <row r="815" spans="1:19" x14ac:dyDescent="0.2">
      <c r="A815" s="22" t="str">
        <f ca="1">Language!A$763 &amp; ", " &amp; Проект!CUR_Report</f>
        <v>График: Движение денежных средств, руб.</v>
      </c>
      <c r="B815" s="19"/>
      <c r="C815" s="19"/>
      <c r="D815" s="19"/>
      <c r="E815" s="19"/>
      <c r="F815" s="19"/>
      <c r="G815" s="19"/>
    </row>
    <row r="841" spans="1:1" x14ac:dyDescent="0.2">
      <c r="A841" s="11" t="str">
        <f ca="1">Language!A$764 &amp; ", " &amp; Проект!CUR_Report</f>
        <v>График: Остаток денежных средств, руб.</v>
      </c>
    </row>
    <row r="867" spans="1:7" x14ac:dyDescent="0.2">
      <c r="A867" s="22" t="str">
        <f ca="1">Language!A$1006 &amp; ", " &amp; Проект!CUR_Report</f>
        <v>График: Движение денег по кредитам, руб.</v>
      </c>
      <c r="B867" s="19"/>
      <c r="C867" s="19"/>
      <c r="D867" s="19"/>
      <c r="E867" s="19"/>
      <c r="F867" s="19"/>
      <c r="G867" s="19"/>
    </row>
    <row r="893" spans="1:1" x14ac:dyDescent="0.2">
      <c r="A893" s="11" t="str">
        <f ca="1">Language!A$1008 &amp; ", " &amp; Проект!CUR_Report</f>
        <v>График: Поступления от продаж, руб.</v>
      </c>
    </row>
    <row r="919" spans="1:19" ht="16" customHeight="1" thickBot="1" x14ac:dyDescent="0.25">
      <c r="A919" s="166" t="str">
        <f ca="1">Проект!$A$1561</f>
        <v xml:space="preserve">         БАЛАНС</v>
      </c>
      <c r="B919" s="166"/>
      <c r="C919" s="166"/>
      <c r="D919" s="166"/>
      <c r="E919" s="166"/>
      <c r="F919" s="178" t="str">
        <f>Проект!$F$1561</f>
        <v>4/ 2024</v>
      </c>
      <c r="G919" s="178" t="str">
        <f>Проект!$G$1561</f>
        <v>5/ 2024</v>
      </c>
      <c r="H919" s="178" t="str">
        <f>Проект!$H$1561</f>
        <v>6/ 2024</v>
      </c>
      <c r="I919" s="178" t="str">
        <f>Проект!$I$1561</f>
        <v>7/ 2024</v>
      </c>
      <c r="J919" s="178" t="str">
        <f>Проект!$J$1561</f>
        <v>8/ 2024</v>
      </c>
      <c r="K919" s="178" t="str">
        <f>Проект!$K$1561</f>
        <v>9/ 2024</v>
      </c>
      <c r="L919" s="178" t="str">
        <f>Проект!$L$1561</f>
        <v>10/ 2024</v>
      </c>
      <c r="M919" s="178" t="str">
        <f>Проект!$M$1561</f>
        <v>11/ 2024</v>
      </c>
      <c r="N919" s="178" t="e">
        <f>Проект!#REF!</f>
        <v>#REF!</v>
      </c>
      <c r="O919" s="178" t="e">
        <f>Проект!#REF!</f>
        <v>#REF!</v>
      </c>
      <c r="P919" s="178" t="e">
        <f>Проект!#REF!</f>
        <v>#REF!</v>
      </c>
      <c r="Q919" s="178" t="str">
        <f>Проект!$Q$1561</f>
        <v>3/ 2025</v>
      </c>
      <c r="R919" s="166"/>
      <c r="S919" s="110"/>
    </row>
    <row r="920" spans="1:19" ht="12" customHeight="1" thickTop="1" x14ac:dyDescent="0.2">
      <c r="A920" s="48"/>
      <c r="B920" s="48"/>
      <c r="C920" s="48"/>
      <c r="D920" s="48"/>
      <c r="E920" s="48"/>
      <c r="F920" s="48"/>
      <c r="G920" s="48"/>
      <c r="H920" s="48"/>
      <c r="I920" s="48"/>
      <c r="J920" s="48"/>
      <c r="K920" s="48"/>
      <c r="L920" s="48"/>
      <c r="M920" s="48"/>
      <c r="N920" s="48"/>
      <c r="O920" s="48"/>
      <c r="P920" s="48"/>
      <c r="Q920" s="48"/>
      <c r="R920" s="48"/>
      <c r="S920" s="41"/>
    </row>
    <row r="921" spans="1:19" ht="11.25" customHeight="1" x14ac:dyDescent="0.2">
      <c r="A921" s="48" t="str">
        <f ca="1">Проект!$A$1563</f>
        <v>Денежные средства</v>
      </c>
      <c r="B921" s="48"/>
      <c r="C921" s="73" t="str">
        <f ca="1">Проект!$C$1563</f>
        <v>руб.</v>
      </c>
      <c r="D921" s="101" t="str">
        <f>Проект!$D$1563</f>
        <v>int_end</v>
      </c>
      <c r="E921" s="48"/>
      <c r="F921" s="84">
        <f ca="1">Проект!$F$1563</f>
        <v>733387.6844783714</v>
      </c>
      <c r="G921" s="84">
        <f ca="1">Проект!$G$1563</f>
        <v>648530.80460216617</v>
      </c>
      <c r="H921" s="84">
        <f ca="1">Проект!$H$1563</f>
        <v>638229.29567820544</v>
      </c>
      <c r="I921" s="84">
        <f ca="1">Проект!$I$1563</f>
        <v>628017.63861705491</v>
      </c>
      <c r="J921" s="84">
        <f ca="1">Проект!$J$1563</f>
        <v>616402.66985923832</v>
      </c>
      <c r="K921" s="84">
        <f ca="1">Проект!$K$1563</f>
        <v>836402.95626654627</v>
      </c>
      <c r="L921" s="84">
        <f ca="1">Проект!$L$1563</f>
        <v>974719.78353927389</v>
      </c>
      <c r="M921" s="84">
        <f ca="1">Проект!$M$1563</f>
        <v>1229174.3301301836</v>
      </c>
      <c r="N921" s="84" t="e">
        <f>Проект!#REF!</f>
        <v>#REF!</v>
      </c>
      <c r="O921" s="84" t="e">
        <f>Проект!#REF!</f>
        <v>#REF!</v>
      </c>
      <c r="P921" s="84" t="e">
        <f>Проект!#REF!</f>
        <v>#REF!</v>
      </c>
      <c r="Q921" s="84">
        <f ca="1">Проект!$Q$1563</f>
        <v>25397521.08720386</v>
      </c>
      <c r="R921" s="48"/>
      <c r="S921" s="41"/>
    </row>
    <row r="922" spans="1:19" ht="11.25" customHeight="1" x14ac:dyDescent="0.2">
      <c r="A922" s="48" t="str">
        <f ca="1">Проект!$A$1564</f>
        <v>Дебиторская задолженность</v>
      </c>
      <c r="B922" s="48"/>
      <c r="C922" s="73" t="str">
        <f ca="1">Проект!$C$1564</f>
        <v>руб.</v>
      </c>
      <c r="D922" s="101" t="str">
        <f>Проект!$D$1564</f>
        <v>int_end</v>
      </c>
      <c r="E922" s="48"/>
      <c r="F922" s="84">
        <f>Проект!$F$1564</f>
        <v>0</v>
      </c>
      <c r="G922" s="84">
        <f>Проект!$G$1564</f>
        <v>0</v>
      </c>
      <c r="H922" s="84">
        <f>Проект!$H$1564</f>
        <v>0</v>
      </c>
      <c r="I922" s="84">
        <f>Проект!$I$1564</f>
        <v>0</v>
      </c>
      <c r="J922" s="84">
        <f>Проект!$J$1564</f>
        <v>0</v>
      </c>
      <c r="K922" s="84">
        <f>Проект!$K$1564</f>
        <v>0</v>
      </c>
      <c r="L922" s="84">
        <f>Проект!$L$1564</f>
        <v>0</v>
      </c>
      <c r="M922" s="84">
        <f>Проект!$M$1564</f>
        <v>0</v>
      </c>
      <c r="N922" s="84" t="e">
        <f>Проект!#REF!</f>
        <v>#REF!</v>
      </c>
      <c r="O922" s="84" t="e">
        <f>Проект!#REF!</f>
        <v>#REF!</v>
      </c>
      <c r="P922" s="84" t="e">
        <f>Проект!#REF!</f>
        <v>#REF!</v>
      </c>
      <c r="Q922" s="84">
        <f>Проект!$Q$1564</f>
        <v>0</v>
      </c>
      <c r="R922" s="48"/>
      <c r="S922" s="41"/>
    </row>
    <row r="923" spans="1:19" ht="11.25" customHeight="1" x14ac:dyDescent="0.2">
      <c r="A923" s="48" t="str">
        <f ca="1">Проект!$A$1565</f>
        <v>Авансы уплаченные</v>
      </c>
      <c r="B923" s="48"/>
      <c r="C923" s="73" t="str">
        <f ca="1">Проект!$C$1565</f>
        <v>руб.</v>
      </c>
      <c r="D923" s="101" t="str">
        <f>Проект!$D$1565</f>
        <v>int_end</v>
      </c>
      <c r="E923" s="48"/>
      <c r="F923" s="84">
        <f ca="1">Проект!$F$1565</f>
        <v>0</v>
      </c>
      <c r="G923" s="84">
        <f ca="1">Проект!$G$1565</f>
        <v>0</v>
      </c>
      <c r="H923" s="84">
        <f ca="1">Проект!$H$1565</f>
        <v>0</v>
      </c>
      <c r="I923" s="84">
        <f ca="1">Проект!$I$1565</f>
        <v>0</v>
      </c>
      <c r="J923" s="84">
        <f ca="1">Проект!$J$1565</f>
        <v>0</v>
      </c>
      <c r="K923" s="84">
        <f ca="1">Проект!$K$1565</f>
        <v>0</v>
      </c>
      <c r="L923" s="84">
        <f ca="1">Проект!$L$1565</f>
        <v>0</v>
      </c>
      <c r="M923" s="84">
        <f ca="1">Проект!$M$1565</f>
        <v>0</v>
      </c>
      <c r="N923" s="84" t="e">
        <f>Проект!#REF!</f>
        <v>#REF!</v>
      </c>
      <c r="O923" s="84" t="e">
        <f>Проект!#REF!</f>
        <v>#REF!</v>
      </c>
      <c r="P923" s="84" t="e">
        <f>Проект!#REF!</f>
        <v>#REF!</v>
      </c>
      <c r="Q923" s="84">
        <f ca="1">Проект!$Q$1565</f>
        <v>0</v>
      </c>
      <c r="R923" s="48"/>
      <c r="S923" s="41"/>
    </row>
    <row r="924" spans="1:19" ht="11.25" customHeight="1" x14ac:dyDescent="0.2">
      <c r="A924" s="48" t="str">
        <f ca="1">Проект!$A$1566</f>
        <v>Готовая продукция</v>
      </c>
      <c r="B924" s="48"/>
      <c r="C924" s="73" t="str">
        <f ca="1">Проект!$C$1566</f>
        <v>руб.</v>
      </c>
      <c r="D924" s="101" t="str">
        <f>Проект!$D$1566</f>
        <v>int_end</v>
      </c>
      <c r="E924" s="48"/>
      <c r="F924" s="84">
        <f>Проект!$F$1566</f>
        <v>0</v>
      </c>
      <c r="G924" s="84">
        <f>Проект!$G$1566</f>
        <v>0</v>
      </c>
      <c r="H924" s="84">
        <f>Проект!$H$1566</f>
        <v>0</v>
      </c>
      <c r="I924" s="84">
        <f>Проект!$I$1566</f>
        <v>0</v>
      </c>
      <c r="J924" s="84">
        <f>Проект!$J$1566</f>
        <v>0</v>
      </c>
      <c r="K924" s="84">
        <f>Проект!$K$1566</f>
        <v>0</v>
      </c>
      <c r="L924" s="84">
        <f>Проект!$L$1566</f>
        <v>0</v>
      </c>
      <c r="M924" s="84">
        <f>Проект!$M$1566</f>
        <v>0</v>
      </c>
      <c r="N924" s="84" t="e">
        <f>Проект!#REF!</f>
        <v>#REF!</v>
      </c>
      <c r="O924" s="84" t="e">
        <f>Проект!#REF!</f>
        <v>#REF!</v>
      </c>
      <c r="P924" s="84" t="e">
        <f>Проект!#REF!</f>
        <v>#REF!</v>
      </c>
      <c r="Q924" s="84">
        <f>Проект!$Q$1566</f>
        <v>0</v>
      </c>
      <c r="R924" s="48"/>
      <c r="S924" s="41"/>
    </row>
    <row r="925" spans="1:19" ht="11.25" customHeight="1" x14ac:dyDescent="0.2">
      <c r="A925" s="48" t="str">
        <f ca="1">Проект!$A$1567</f>
        <v>Незавершенное производство</v>
      </c>
      <c r="B925" s="48"/>
      <c r="C925" s="73" t="str">
        <f ca="1">Проект!$C$1567</f>
        <v>руб.</v>
      </c>
      <c r="D925" s="101" t="str">
        <f>Проект!$D$1567</f>
        <v>int_end</v>
      </c>
      <c r="E925" s="48"/>
      <c r="F925" s="84">
        <f>Проект!$F$1567</f>
        <v>0</v>
      </c>
      <c r="G925" s="84">
        <f>Проект!$G$1567</f>
        <v>0</v>
      </c>
      <c r="H925" s="84">
        <f>Проект!$H$1567</f>
        <v>26.6175</v>
      </c>
      <c r="I925" s="84">
        <f>Проект!$I$1567</f>
        <v>133.08750000000001</v>
      </c>
      <c r="J925" s="84">
        <f>Проект!$J$1567</f>
        <v>266.17500000000001</v>
      </c>
      <c r="K925" s="84">
        <f>Проект!$K$1567</f>
        <v>532.35</v>
      </c>
      <c r="L925" s="84">
        <f>Проект!$L$1567</f>
        <v>798.52499999999998</v>
      </c>
      <c r="M925" s="84">
        <f>Проект!$M$1567</f>
        <v>1064.7</v>
      </c>
      <c r="N925" s="84" t="e">
        <f>Проект!#REF!</f>
        <v>#REF!</v>
      </c>
      <c r="O925" s="84" t="e">
        <f>Проект!#REF!</f>
        <v>#REF!</v>
      </c>
      <c r="P925" s="84" t="e">
        <f>Проект!#REF!</f>
        <v>#REF!</v>
      </c>
      <c r="Q925" s="84">
        <f>Проект!$Q$1567</f>
        <v>2661.7500000000005</v>
      </c>
      <c r="R925" s="48"/>
      <c r="S925" s="41"/>
    </row>
    <row r="926" spans="1:19" ht="11.25" customHeight="1" x14ac:dyDescent="0.2">
      <c r="A926" s="48" t="str">
        <f ca="1">Проект!$A$1568</f>
        <v>Материалы и комплектующие</v>
      </c>
      <c r="B926" s="48"/>
      <c r="C926" s="73" t="str">
        <f ca="1">Проект!$C$1568</f>
        <v>руб.</v>
      </c>
      <c r="D926" s="101" t="str">
        <f>Проект!$D$1568</f>
        <v>int_end</v>
      </c>
      <c r="E926" s="48"/>
      <c r="F926" s="84">
        <f>Проект!$F$1568</f>
        <v>0</v>
      </c>
      <c r="G926" s="84">
        <f>Проект!$G$1568</f>
        <v>0</v>
      </c>
      <c r="H926" s="84">
        <f>Проект!$H$1568</f>
        <v>0</v>
      </c>
      <c r="I926" s="84">
        <f>Проект!$I$1568</f>
        <v>0</v>
      </c>
      <c r="J926" s="84">
        <f>Проект!$J$1568</f>
        <v>0</v>
      </c>
      <c r="K926" s="84">
        <f>Проект!$K$1568</f>
        <v>0</v>
      </c>
      <c r="L926" s="84">
        <f>Проект!$L$1568</f>
        <v>0</v>
      </c>
      <c r="M926" s="84">
        <f>Проект!$M$1568</f>
        <v>0</v>
      </c>
      <c r="N926" s="84" t="e">
        <f>Проект!#REF!</f>
        <v>#REF!</v>
      </c>
      <c r="O926" s="84" t="e">
        <f>Проект!#REF!</f>
        <v>#REF!</v>
      </c>
      <c r="P926" s="84" t="e">
        <f>Проект!#REF!</f>
        <v>#REF!</v>
      </c>
      <c r="Q926" s="84">
        <f>Проект!$Q$1568</f>
        <v>0</v>
      </c>
      <c r="R926" s="48"/>
      <c r="S926" s="41"/>
    </row>
    <row r="927" spans="1:19" ht="11.25" customHeight="1" x14ac:dyDescent="0.2">
      <c r="A927" s="48" t="str">
        <f ca="1">Проект!$A$1569</f>
        <v>НДС на приобретенные товары</v>
      </c>
      <c r="B927" s="48"/>
      <c r="C927" s="73" t="str">
        <f ca="1">Проект!$C$1569</f>
        <v>руб.</v>
      </c>
      <c r="D927" s="101" t="str">
        <f>Проект!$D$1569</f>
        <v>int_end</v>
      </c>
      <c r="E927" s="48"/>
      <c r="F927" s="84">
        <f ca="1">Проект!$F$1569</f>
        <v>0</v>
      </c>
      <c r="G927" s="84">
        <f ca="1">Проект!$G$1569</f>
        <v>0</v>
      </c>
      <c r="H927" s="84">
        <f ca="1">Проект!$H$1569</f>
        <v>0</v>
      </c>
      <c r="I927" s="84">
        <f ca="1">Проект!$I$1569</f>
        <v>0</v>
      </c>
      <c r="J927" s="84">
        <f ca="1">Проект!$J$1569</f>
        <v>0</v>
      </c>
      <c r="K927" s="84">
        <f ca="1">Проект!$K$1569</f>
        <v>0</v>
      </c>
      <c r="L927" s="84">
        <f ca="1">Проект!$L$1569</f>
        <v>0</v>
      </c>
      <c r="M927" s="84">
        <f ca="1">Проект!$M$1569</f>
        <v>0</v>
      </c>
      <c r="N927" s="84" t="e">
        <f>Проект!#REF!</f>
        <v>#REF!</v>
      </c>
      <c r="O927" s="84" t="e">
        <f>Проект!#REF!</f>
        <v>#REF!</v>
      </c>
      <c r="P927" s="84" t="e">
        <f>Проект!#REF!</f>
        <v>#REF!</v>
      </c>
      <c r="Q927" s="84">
        <f ca="1">Проект!$Q$1569</f>
        <v>0</v>
      </c>
      <c r="R927" s="48"/>
      <c r="S927" s="41"/>
    </row>
    <row r="928" spans="1:19" ht="11.25" customHeight="1" x14ac:dyDescent="0.2">
      <c r="A928" s="48" t="str">
        <f ca="1">Проект!$A$1570</f>
        <v>Расходы будущих периодов</v>
      </c>
      <c r="B928" s="48"/>
      <c r="C928" s="73" t="str">
        <f ca="1">Проект!$C$1570</f>
        <v>руб.</v>
      </c>
      <c r="D928" s="101" t="str">
        <f>Проект!$D$1570</f>
        <v>int_end</v>
      </c>
      <c r="E928" s="48"/>
      <c r="F928" s="84">
        <f ca="1">Проект!$F$1570</f>
        <v>0</v>
      </c>
      <c r="G928" s="84">
        <f ca="1">Проект!$G$1570</f>
        <v>0</v>
      </c>
      <c r="H928" s="84">
        <f ca="1">Проект!$H$1570</f>
        <v>0</v>
      </c>
      <c r="I928" s="84">
        <f ca="1">Проект!$I$1570</f>
        <v>0</v>
      </c>
      <c r="J928" s="84">
        <f ca="1">Проект!$J$1570</f>
        <v>0</v>
      </c>
      <c r="K928" s="84">
        <f ca="1">Проект!$K$1570</f>
        <v>0</v>
      </c>
      <c r="L928" s="84">
        <f ca="1">Проект!$L$1570</f>
        <v>0</v>
      </c>
      <c r="M928" s="84">
        <f ca="1">Проект!$M$1570</f>
        <v>0</v>
      </c>
      <c r="N928" s="84" t="e">
        <f>Проект!#REF!</f>
        <v>#REF!</v>
      </c>
      <c r="O928" s="84" t="e">
        <f>Проект!#REF!</f>
        <v>#REF!</v>
      </c>
      <c r="P928" s="84" t="e">
        <f>Проект!#REF!</f>
        <v>#REF!</v>
      </c>
      <c r="Q928" s="84">
        <f ca="1">Проект!$Q$1570</f>
        <v>0</v>
      </c>
      <c r="R928" s="48"/>
      <c r="S928" s="41"/>
    </row>
    <row r="929" spans="1:19" ht="11.25" customHeight="1" x14ac:dyDescent="0.2">
      <c r="A929" s="48" t="str">
        <f ca="1">Проект!$A$1571</f>
        <v>Прочие оборотные активы</v>
      </c>
      <c r="B929" s="48"/>
      <c r="C929" s="73" t="str">
        <f ca="1">Проект!$C$1571</f>
        <v>руб.</v>
      </c>
      <c r="D929" s="101" t="str">
        <f>Проект!$D$1571</f>
        <v>int_end</v>
      </c>
      <c r="E929" s="48"/>
      <c r="F929" s="106">
        <f>Проект!$F$1571</f>
        <v>0</v>
      </c>
      <c r="G929" s="106">
        <f>Проект!$G$1571</f>
        <v>0</v>
      </c>
      <c r="H929" s="106">
        <f>Проект!$H$1571</f>
        <v>0</v>
      </c>
      <c r="I929" s="106">
        <f>Проект!$I$1571</f>
        <v>0</v>
      </c>
      <c r="J929" s="106">
        <f>Проект!$J$1571</f>
        <v>0</v>
      </c>
      <c r="K929" s="106">
        <f>Проект!$K$1571</f>
        <v>0</v>
      </c>
      <c r="L929" s="106">
        <f>Проект!$L$1571</f>
        <v>0</v>
      </c>
      <c r="M929" s="106">
        <f>Проект!$M$1571</f>
        <v>0</v>
      </c>
      <c r="N929" s="106" t="e">
        <f>Проект!#REF!</f>
        <v>#REF!</v>
      </c>
      <c r="O929" s="106" t="e">
        <f>Проект!#REF!</f>
        <v>#REF!</v>
      </c>
      <c r="P929" s="106" t="e">
        <f>Проект!#REF!</f>
        <v>#REF!</v>
      </c>
      <c r="Q929" s="106">
        <f>Проект!$Q$1571</f>
        <v>0</v>
      </c>
      <c r="R929" s="48"/>
      <c r="S929" s="41"/>
    </row>
    <row r="930" spans="1:19" ht="11.25" customHeight="1" x14ac:dyDescent="0.25">
      <c r="A930" s="130" t="str">
        <f ca="1">Проект!$A$1572</f>
        <v>Суммарные оборотные активы</v>
      </c>
      <c r="B930" s="48"/>
      <c r="C930" s="73" t="str">
        <f ca="1">Проект!$C$1572</f>
        <v>руб.</v>
      </c>
      <c r="D930" s="101" t="str">
        <f>Проект!$D$1572</f>
        <v>int_end</v>
      </c>
      <c r="E930" s="48"/>
      <c r="F930" s="160">
        <f ca="1">Проект!$F$1572</f>
        <v>733387.6844783714</v>
      </c>
      <c r="G930" s="160">
        <f ca="1">Проект!$G$1572</f>
        <v>648530.80460216617</v>
      </c>
      <c r="H930" s="160">
        <f ca="1">Проект!$H$1572</f>
        <v>638255.91317820549</v>
      </c>
      <c r="I930" s="160">
        <f ca="1">Проект!$I$1572</f>
        <v>628150.72611705493</v>
      </c>
      <c r="J930" s="160">
        <f ca="1">Проект!$J$1572</f>
        <v>616668.84485923836</v>
      </c>
      <c r="K930" s="160">
        <f ca="1">Проект!$K$1572</f>
        <v>836935.30626654625</v>
      </c>
      <c r="L930" s="160">
        <f ca="1">Проект!$L$1572</f>
        <v>975518.30853927392</v>
      </c>
      <c r="M930" s="160">
        <f ca="1">Проект!$M$1572</f>
        <v>1230239.0301301836</v>
      </c>
      <c r="N930" s="160" t="e">
        <f>Проект!#REF!</f>
        <v>#REF!</v>
      </c>
      <c r="O930" s="160" t="e">
        <f>Проект!#REF!</f>
        <v>#REF!</v>
      </c>
      <c r="P930" s="160" t="e">
        <f>Проект!#REF!</f>
        <v>#REF!</v>
      </c>
      <c r="Q930" s="160">
        <f ca="1">Проект!$Q$1572</f>
        <v>25400182.83720386</v>
      </c>
      <c r="R930" s="48"/>
      <c r="S930" s="41"/>
    </row>
    <row r="931" spans="1:19" ht="11.25" customHeight="1" x14ac:dyDescent="0.2">
      <c r="A931" s="48"/>
      <c r="B931" s="48"/>
      <c r="C931" s="48"/>
      <c r="D931" s="48"/>
      <c r="E931" s="48"/>
      <c r="F931" s="106"/>
      <c r="G931" s="106"/>
      <c r="H931" s="106"/>
      <c r="I931" s="106"/>
      <c r="J931" s="106"/>
      <c r="K931" s="106"/>
      <c r="L931" s="106"/>
      <c r="M931" s="106"/>
      <c r="N931" s="106"/>
      <c r="O931" s="106"/>
      <c r="P931" s="106"/>
      <c r="Q931" s="106"/>
      <c r="R931" s="48"/>
      <c r="S931" s="41"/>
    </row>
    <row r="932" spans="1:19" ht="11.25" customHeight="1" x14ac:dyDescent="0.2">
      <c r="A932" s="48" t="str">
        <f ca="1">Проект!$A$1574</f>
        <v>Внеоборотные активы</v>
      </c>
      <c r="B932" s="48"/>
      <c r="C932" s="73" t="str">
        <f ca="1">Проект!$C$1574</f>
        <v>руб.</v>
      </c>
      <c r="D932" s="101" t="str">
        <f>Проект!$D$1574</f>
        <v>int_end</v>
      </c>
      <c r="E932" s="48"/>
      <c r="F932" s="84">
        <f ca="1">Проект!$F$1574</f>
        <v>0</v>
      </c>
      <c r="G932" s="84">
        <f ca="1">Проект!$G$1574</f>
        <v>0</v>
      </c>
      <c r="H932" s="84">
        <f ca="1">Проект!$H$1574</f>
        <v>0</v>
      </c>
      <c r="I932" s="84">
        <f ca="1">Проект!$I$1574</f>
        <v>0</v>
      </c>
      <c r="J932" s="84">
        <f ca="1">Проект!$J$1574</f>
        <v>0</v>
      </c>
      <c r="K932" s="84">
        <f ca="1">Проект!$K$1574</f>
        <v>0</v>
      </c>
      <c r="L932" s="84">
        <f ca="1">Проект!$L$1574</f>
        <v>0</v>
      </c>
      <c r="M932" s="84">
        <f ca="1">Проект!$M$1574</f>
        <v>0</v>
      </c>
      <c r="N932" s="84" t="e">
        <f>Проект!#REF!</f>
        <v>#REF!</v>
      </c>
      <c r="O932" s="84" t="e">
        <f>Проект!#REF!</f>
        <v>#REF!</v>
      </c>
      <c r="P932" s="84" t="e">
        <f>Проект!#REF!</f>
        <v>#REF!</v>
      </c>
      <c r="Q932" s="84">
        <f ca="1">Проект!$Q$1574</f>
        <v>0</v>
      </c>
      <c r="R932" s="48"/>
      <c r="S932" s="41"/>
    </row>
    <row r="933" spans="1:19" ht="11.25" customHeight="1" x14ac:dyDescent="0.2">
      <c r="A933" s="48" t="str">
        <f ca="1">Проект!$A$1575</f>
        <v xml:space="preserve">    земельные участки</v>
      </c>
      <c r="B933" s="48"/>
      <c r="C933" s="73" t="str">
        <f ca="1">Проект!$C$1575</f>
        <v>руб.</v>
      </c>
      <c r="D933" s="101" t="str">
        <f>Проект!$D$1575</f>
        <v>int_end</v>
      </c>
      <c r="E933" s="48"/>
      <c r="F933" s="84">
        <f ca="1">Проект!$F$1575</f>
        <v>0</v>
      </c>
      <c r="G933" s="84">
        <f ca="1">Проект!$G$1575</f>
        <v>0</v>
      </c>
      <c r="H933" s="84">
        <f ca="1">Проект!$H$1575</f>
        <v>0</v>
      </c>
      <c r="I933" s="84">
        <f ca="1">Проект!$I$1575</f>
        <v>0</v>
      </c>
      <c r="J933" s="84">
        <f ca="1">Проект!$J$1575</f>
        <v>0</v>
      </c>
      <c r="K933" s="84">
        <f ca="1">Проект!$K$1575</f>
        <v>0</v>
      </c>
      <c r="L933" s="84">
        <f ca="1">Проект!$L$1575</f>
        <v>0</v>
      </c>
      <c r="M933" s="84">
        <f ca="1">Проект!$M$1575</f>
        <v>0</v>
      </c>
      <c r="N933" s="84" t="e">
        <f>Проект!#REF!</f>
        <v>#REF!</v>
      </c>
      <c r="O933" s="84" t="e">
        <f>Проект!#REF!</f>
        <v>#REF!</v>
      </c>
      <c r="P933" s="84" t="e">
        <f>Проект!#REF!</f>
        <v>#REF!</v>
      </c>
      <c r="Q933" s="84">
        <f ca="1">Проект!$Q$1575</f>
        <v>0</v>
      </c>
      <c r="R933" s="48"/>
      <c r="S933" s="41"/>
    </row>
    <row r="934" spans="1:19" ht="11.25" customHeight="1" x14ac:dyDescent="0.2">
      <c r="A934" s="48" t="str">
        <f ca="1">Проект!$A$1576</f>
        <v xml:space="preserve">    здания и сооружения</v>
      </c>
      <c r="B934" s="48"/>
      <c r="C934" s="73" t="str">
        <f ca="1">Проект!$C$1576</f>
        <v>руб.</v>
      </c>
      <c r="D934" s="101" t="str">
        <f>Проект!$D$1576</f>
        <v>int_end</v>
      </c>
      <c r="E934" s="48"/>
      <c r="F934" s="84">
        <f ca="1">Проект!$F$1576</f>
        <v>0</v>
      </c>
      <c r="G934" s="84">
        <f ca="1">Проект!$G$1576</f>
        <v>0</v>
      </c>
      <c r="H934" s="84">
        <f ca="1">Проект!$H$1576</f>
        <v>0</v>
      </c>
      <c r="I934" s="84">
        <f ca="1">Проект!$I$1576</f>
        <v>0</v>
      </c>
      <c r="J934" s="84">
        <f ca="1">Проект!$J$1576</f>
        <v>0</v>
      </c>
      <c r="K934" s="84">
        <f ca="1">Проект!$K$1576</f>
        <v>0</v>
      </c>
      <c r="L934" s="84">
        <f ca="1">Проект!$L$1576</f>
        <v>0</v>
      </c>
      <c r="M934" s="84">
        <f ca="1">Проект!$M$1576</f>
        <v>0</v>
      </c>
      <c r="N934" s="84" t="e">
        <f>Проект!#REF!</f>
        <v>#REF!</v>
      </c>
      <c r="O934" s="84" t="e">
        <f>Проект!#REF!</f>
        <v>#REF!</v>
      </c>
      <c r="P934" s="84" t="e">
        <f>Проект!#REF!</f>
        <v>#REF!</v>
      </c>
      <c r="Q934" s="84">
        <f ca="1">Проект!$Q$1576</f>
        <v>0</v>
      </c>
      <c r="R934" s="48"/>
      <c r="S934" s="41"/>
    </row>
    <row r="935" spans="1:19" ht="11.25" customHeight="1" x14ac:dyDescent="0.2">
      <c r="A935" s="48" t="str">
        <f ca="1">Проект!$A$1577</f>
        <v xml:space="preserve">    оборудование и прочие активы</v>
      </c>
      <c r="B935" s="48"/>
      <c r="C935" s="73" t="str">
        <f ca="1">Проект!$C$1577</f>
        <v>руб.</v>
      </c>
      <c r="D935" s="101" t="str">
        <f>Проект!$D$1577</f>
        <v>int_end</v>
      </c>
      <c r="E935" s="48"/>
      <c r="F935" s="84">
        <f ca="1">Проект!$F$1577</f>
        <v>0</v>
      </c>
      <c r="G935" s="84">
        <f ca="1">Проект!$G$1577</f>
        <v>0</v>
      </c>
      <c r="H935" s="84">
        <f ca="1">Проект!$H$1577</f>
        <v>0</v>
      </c>
      <c r="I935" s="84">
        <f ca="1">Проект!$I$1577</f>
        <v>0</v>
      </c>
      <c r="J935" s="84">
        <f ca="1">Проект!$J$1577</f>
        <v>0</v>
      </c>
      <c r="K935" s="84">
        <f ca="1">Проект!$K$1577</f>
        <v>0</v>
      </c>
      <c r="L935" s="84">
        <f ca="1">Проект!$L$1577</f>
        <v>0</v>
      </c>
      <c r="M935" s="84">
        <f ca="1">Проект!$M$1577</f>
        <v>0</v>
      </c>
      <c r="N935" s="84" t="e">
        <f>Проект!#REF!</f>
        <v>#REF!</v>
      </c>
      <c r="O935" s="84" t="e">
        <f>Проект!#REF!</f>
        <v>#REF!</v>
      </c>
      <c r="P935" s="84" t="e">
        <f>Проект!#REF!</f>
        <v>#REF!</v>
      </c>
      <c r="Q935" s="84">
        <f ca="1">Проект!$Q$1577</f>
        <v>0</v>
      </c>
      <c r="R935" s="48"/>
      <c r="S935" s="41"/>
    </row>
    <row r="936" spans="1:19" ht="11.25" customHeight="1" x14ac:dyDescent="0.2">
      <c r="A936" s="48" t="str">
        <f ca="1">Проект!$A$1578</f>
        <v xml:space="preserve">    нематериальные активы</v>
      </c>
      <c r="B936" s="48"/>
      <c r="C936" s="73" t="str">
        <f ca="1">Проект!$C$1578</f>
        <v>руб.</v>
      </c>
      <c r="D936" s="101" t="str">
        <f>Проект!$D$1578</f>
        <v>int_end</v>
      </c>
      <c r="E936" s="48"/>
      <c r="F936" s="84">
        <f ca="1">Проект!$F$1578</f>
        <v>0</v>
      </c>
      <c r="G936" s="84">
        <f ca="1">Проект!$G$1578</f>
        <v>0</v>
      </c>
      <c r="H936" s="84">
        <f ca="1">Проект!$H$1578</f>
        <v>0</v>
      </c>
      <c r="I936" s="84">
        <f ca="1">Проект!$I$1578</f>
        <v>0</v>
      </c>
      <c r="J936" s="84">
        <f ca="1">Проект!$J$1578</f>
        <v>0</v>
      </c>
      <c r="K936" s="84">
        <f ca="1">Проект!$K$1578</f>
        <v>0</v>
      </c>
      <c r="L936" s="84">
        <f ca="1">Проект!$L$1578</f>
        <v>0</v>
      </c>
      <c r="M936" s="84">
        <f ca="1">Проект!$M$1578</f>
        <v>0</v>
      </c>
      <c r="N936" s="84" t="e">
        <f>Проект!#REF!</f>
        <v>#REF!</v>
      </c>
      <c r="O936" s="84" t="e">
        <f>Проект!#REF!</f>
        <v>#REF!</v>
      </c>
      <c r="P936" s="84" t="e">
        <f>Проект!#REF!</f>
        <v>#REF!</v>
      </c>
      <c r="Q936" s="84">
        <f ca="1">Проект!$Q$1578</f>
        <v>0</v>
      </c>
      <c r="R936" s="48"/>
      <c r="S936" s="41"/>
    </row>
    <row r="937" spans="1:19" ht="11.25" customHeight="1" x14ac:dyDescent="0.2">
      <c r="A937" s="48" t="str">
        <f ca="1">Проект!$A$1579</f>
        <v>Финансовые вложения</v>
      </c>
      <c r="B937" s="48"/>
      <c r="C937" s="73" t="str">
        <f ca="1">Проект!$C$1579</f>
        <v>руб.</v>
      </c>
      <c r="D937" s="101" t="str">
        <f>Проект!$D$1579</f>
        <v>int_end</v>
      </c>
      <c r="E937" s="48"/>
      <c r="F937" s="84">
        <f ca="1">Проект!$F$1579</f>
        <v>0</v>
      </c>
      <c r="G937" s="84">
        <f ca="1">Проект!$G$1579</f>
        <v>0</v>
      </c>
      <c r="H937" s="84">
        <f ca="1">Проект!$H$1579</f>
        <v>0</v>
      </c>
      <c r="I937" s="84">
        <f ca="1">Проект!$I$1579</f>
        <v>0</v>
      </c>
      <c r="J937" s="84">
        <f ca="1">Проект!$J$1579</f>
        <v>0</v>
      </c>
      <c r="K937" s="84">
        <f ca="1">Проект!$K$1579</f>
        <v>0</v>
      </c>
      <c r="L937" s="84">
        <f ca="1">Проект!$L$1579</f>
        <v>0</v>
      </c>
      <c r="M937" s="84">
        <f ca="1">Проект!$M$1579</f>
        <v>0</v>
      </c>
      <c r="N937" s="84" t="e">
        <f>Проект!#REF!</f>
        <v>#REF!</v>
      </c>
      <c r="O937" s="84" t="e">
        <f>Проект!#REF!</f>
        <v>#REF!</v>
      </c>
      <c r="P937" s="84" t="e">
        <f>Проект!#REF!</f>
        <v>#REF!</v>
      </c>
      <c r="Q937" s="84">
        <f ca="1">Проект!$Q$1579</f>
        <v>0</v>
      </c>
      <c r="R937" s="48"/>
      <c r="S937" s="41"/>
    </row>
    <row r="938" spans="1:19" ht="11.25" customHeight="1" x14ac:dyDescent="0.2">
      <c r="A938" s="48" t="str">
        <f ca="1">Проект!$A$1580</f>
        <v>Незавершенные капиталовложения</v>
      </c>
      <c r="B938" s="48"/>
      <c r="C938" s="73" t="str">
        <f ca="1">Проект!$C$1580</f>
        <v>руб.</v>
      </c>
      <c r="D938" s="101" t="str">
        <f>Проект!$D$1580</f>
        <v>int_end</v>
      </c>
      <c r="E938" s="48"/>
      <c r="F938" s="84">
        <f ca="1">Проект!$F$1580</f>
        <v>0</v>
      </c>
      <c r="G938" s="84">
        <f ca="1">Проект!$G$1580</f>
        <v>0</v>
      </c>
      <c r="H938" s="84">
        <f ca="1">Проект!$H$1580</f>
        <v>0</v>
      </c>
      <c r="I938" s="84">
        <f ca="1">Проект!$I$1580</f>
        <v>0</v>
      </c>
      <c r="J938" s="84">
        <f ca="1">Проект!$J$1580</f>
        <v>0</v>
      </c>
      <c r="K938" s="84">
        <f ca="1">Проект!$K$1580</f>
        <v>0</v>
      </c>
      <c r="L938" s="84">
        <f ca="1">Проект!$L$1580</f>
        <v>0</v>
      </c>
      <c r="M938" s="84">
        <f ca="1">Проект!$M$1580</f>
        <v>0</v>
      </c>
      <c r="N938" s="84" t="e">
        <f>Проект!#REF!</f>
        <v>#REF!</v>
      </c>
      <c r="O938" s="84" t="e">
        <f>Проект!#REF!</f>
        <v>#REF!</v>
      </c>
      <c r="P938" s="84" t="e">
        <f>Проект!#REF!</f>
        <v>#REF!</v>
      </c>
      <c r="Q938" s="84">
        <f ca="1">Проект!$Q$1580</f>
        <v>0</v>
      </c>
      <c r="R938" s="48"/>
      <c r="S938" s="41"/>
    </row>
    <row r="939" spans="1:19" ht="11.25" customHeight="1" x14ac:dyDescent="0.25">
      <c r="A939" s="130" t="str">
        <f ca="1">Проект!$A$1581</f>
        <v>Суммарные внеоборотные активы</v>
      </c>
      <c r="B939" s="48"/>
      <c r="C939" s="73" t="str">
        <f ca="1">Проект!$C$1581</f>
        <v>руб.</v>
      </c>
      <c r="D939" s="101" t="str">
        <f>Проект!$D$1581</f>
        <v>int_end</v>
      </c>
      <c r="E939" s="48"/>
      <c r="F939" s="160">
        <f ca="1">Проект!$F$1581</f>
        <v>0</v>
      </c>
      <c r="G939" s="160">
        <f ca="1">Проект!$G$1581</f>
        <v>0</v>
      </c>
      <c r="H939" s="160">
        <f ca="1">Проект!$H$1581</f>
        <v>0</v>
      </c>
      <c r="I939" s="160">
        <f ca="1">Проект!$I$1581</f>
        <v>0</v>
      </c>
      <c r="J939" s="160">
        <f ca="1">Проект!$J$1581</f>
        <v>0</v>
      </c>
      <c r="K939" s="160">
        <f ca="1">Проект!$K$1581</f>
        <v>0</v>
      </c>
      <c r="L939" s="160">
        <f ca="1">Проект!$L$1581</f>
        <v>0</v>
      </c>
      <c r="M939" s="160">
        <f ca="1">Проект!$M$1581</f>
        <v>0</v>
      </c>
      <c r="N939" s="160" t="e">
        <f>Проект!#REF!</f>
        <v>#REF!</v>
      </c>
      <c r="O939" s="160" t="e">
        <f>Проект!#REF!</f>
        <v>#REF!</v>
      </c>
      <c r="P939" s="160" t="e">
        <f>Проект!#REF!</f>
        <v>#REF!</v>
      </c>
      <c r="Q939" s="160">
        <f ca="1">Проект!$Q$1581</f>
        <v>0</v>
      </c>
      <c r="R939" s="48"/>
      <c r="S939" s="41"/>
    </row>
    <row r="940" spans="1:19" ht="11.25" customHeight="1" x14ac:dyDescent="0.2">
      <c r="A940" s="48"/>
      <c r="B940" s="48"/>
      <c r="C940" s="48"/>
      <c r="D940" s="48"/>
      <c r="E940" s="48"/>
      <c r="F940" s="106"/>
      <c r="G940" s="106"/>
      <c r="H940" s="106"/>
      <c r="I940" s="106"/>
      <c r="J940" s="106"/>
      <c r="K940" s="106"/>
      <c r="L940" s="106"/>
      <c r="M940" s="106"/>
      <c r="N940" s="106"/>
      <c r="O940" s="106"/>
      <c r="P940" s="106"/>
      <c r="Q940" s="106"/>
      <c r="R940" s="48"/>
      <c r="S940" s="41"/>
    </row>
    <row r="941" spans="1:19" ht="11.25" customHeight="1" x14ac:dyDescent="0.25">
      <c r="A941" s="130" t="str">
        <f ca="1">Проект!$A$1583</f>
        <v xml:space="preserve"> = ИТОГО АКТИВОВ</v>
      </c>
      <c r="B941" s="48"/>
      <c r="C941" s="73" t="str">
        <f ca="1">Проект!$C$1583</f>
        <v>руб.</v>
      </c>
      <c r="D941" s="101" t="str">
        <f>Проект!$D$1583</f>
        <v>int_end</v>
      </c>
      <c r="E941" s="48"/>
      <c r="F941" s="160">
        <f ca="1">Проект!$F$1583</f>
        <v>733387.6844783714</v>
      </c>
      <c r="G941" s="160">
        <f ca="1">Проект!$G$1583</f>
        <v>648530.80460216617</v>
      </c>
      <c r="H941" s="160">
        <f ca="1">Проект!$H$1583</f>
        <v>638255.91317820549</v>
      </c>
      <c r="I941" s="160">
        <f ca="1">Проект!$I$1583</f>
        <v>628150.72611705493</v>
      </c>
      <c r="J941" s="160">
        <f ca="1">Проект!$J$1583</f>
        <v>616668.84485923836</v>
      </c>
      <c r="K941" s="160">
        <f ca="1">Проект!$K$1583</f>
        <v>836935.30626654625</v>
      </c>
      <c r="L941" s="160">
        <f ca="1">Проект!$L$1583</f>
        <v>975518.30853927392</v>
      </c>
      <c r="M941" s="160">
        <f ca="1">Проект!$M$1583</f>
        <v>1230239.0301301836</v>
      </c>
      <c r="N941" s="160" t="e">
        <f>Проект!#REF!</f>
        <v>#REF!</v>
      </c>
      <c r="O941" s="160" t="e">
        <f>Проект!#REF!</f>
        <v>#REF!</v>
      </c>
      <c r="P941" s="160" t="e">
        <f>Проект!#REF!</f>
        <v>#REF!</v>
      </c>
      <c r="Q941" s="160">
        <f ca="1">Проект!$Q$1583</f>
        <v>25400182.83720386</v>
      </c>
      <c r="R941" s="48"/>
      <c r="S941" s="41"/>
    </row>
    <row r="942" spans="1:19" ht="11.25" customHeight="1" x14ac:dyDescent="0.2">
      <c r="A942" s="48"/>
      <c r="B942" s="48"/>
      <c r="C942" s="48"/>
      <c r="D942" s="48"/>
      <c r="E942" s="48"/>
      <c r="F942" s="106"/>
      <c r="G942" s="106"/>
      <c r="H942" s="106"/>
      <c r="I942" s="106"/>
      <c r="J942" s="106"/>
      <c r="K942" s="106"/>
      <c r="L942" s="106"/>
      <c r="M942" s="106"/>
      <c r="N942" s="106"/>
      <c r="O942" s="106"/>
      <c r="P942" s="106"/>
      <c r="Q942" s="106"/>
      <c r="R942" s="48"/>
      <c r="S942" s="41"/>
    </row>
    <row r="943" spans="1:19" ht="11.25" customHeight="1" x14ac:dyDescent="0.2">
      <c r="A943" s="48" t="str">
        <f ca="1">Проект!$A$1585</f>
        <v>Кредиторская задолженность</v>
      </c>
      <c r="B943" s="48"/>
      <c r="C943" s="73" t="str">
        <f ca="1">Проект!$C$1585</f>
        <v>руб.</v>
      </c>
      <c r="D943" s="101" t="str">
        <f>Проект!$D$1585</f>
        <v>int_end</v>
      </c>
      <c r="E943" s="48"/>
      <c r="F943" s="106">
        <f ca="1">Проект!$F$1585</f>
        <v>0</v>
      </c>
      <c r="G943" s="106">
        <f ca="1">Проект!$G$1585</f>
        <v>0</v>
      </c>
      <c r="H943" s="106">
        <f ca="1">Проект!$H$1585</f>
        <v>0</v>
      </c>
      <c r="I943" s="106">
        <f ca="1">Проект!$I$1585</f>
        <v>0</v>
      </c>
      <c r="J943" s="106">
        <f ca="1">Проект!$J$1585</f>
        <v>0</v>
      </c>
      <c r="K943" s="106">
        <f ca="1">Проект!$K$1585</f>
        <v>0</v>
      </c>
      <c r="L943" s="106">
        <f ca="1">Проект!$L$1585</f>
        <v>0</v>
      </c>
      <c r="M943" s="106">
        <f ca="1">Проект!$M$1585</f>
        <v>0</v>
      </c>
      <c r="N943" s="106" t="e">
        <f>Проект!#REF!</f>
        <v>#REF!</v>
      </c>
      <c r="O943" s="106" t="e">
        <f>Проект!#REF!</f>
        <v>#REF!</v>
      </c>
      <c r="P943" s="106" t="e">
        <f>Проект!#REF!</f>
        <v>#REF!</v>
      </c>
      <c r="Q943" s="106">
        <f ca="1">Проект!$Q$1585</f>
        <v>0</v>
      </c>
      <c r="R943" s="48"/>
      <c r="S943" s="41"/>
    </row>
    <row r="944" spans="1:19" ht="11.25" customHeight="1" x14ac:dyDescent="0.2">
      <c r="A944" s="48" t="str">
        <f ca="1">Проект!$A$1586</f>
        <v xml:space="preserve">    за поставленные товары</v>
      </c>
      <c r="B944" s="48"/>
      <c r="C944" s="73" t="str">
        <f ca="1">Проект!$C$1586</f>
        <v>руб.</v>
      </c>
      <c r="D944" s="101" t="str">
        <f>Проект!$D$1586</f>
        <v>int_end</v>
      </c>
      <c r="E944" s="48"/>
      <c r="F944" s="84">
        <f>Проект!$F$1586</f>
        <v>0</v>
      </c>
      <c r="G944" s="84">
        <f>Проект!$G$1586</f>
        <v>0</v>
      </c>
      <c r="H944" s="84">
        <f>Проект!$H$1586</f>
        <v>0</v>
      </c>
      <c r="I944" s="84">
        <f>Проект!$I$1586</f>
        <v>0</v>
      </c>
      <c r="J944" s="84">
        <f>Проект!$J$1586</f>
        <v>0</v>
      </c>
      <c r="K944" s="84">
        <f>Проект!$K$1586</f>
        <v>0</v>
      </c>
      <c r="L944" s="84">
        <f>Проект!$L$1586</f>
        <v>0</v>
      </c>
      <c r="M944" s="84">
        <f>Проект!$M$1586</f>
        <v>0</v>
      </c>
      <c r="N944" s="84" t="e">
        <f>Проект!#REF!</f>
        <v>#REF!</v>
      </c>
      <c r="O944" s="84" t="e">
        <f>Проект!#REF!</f>
        <v>#REF!</v>
      </c>
      <c r="P944" s="84" t="e">
        <f>Проект!#REF!</f>
        <v>#REF!</v>
      </c>
      <c r="Q944" s="84">
        <f>Проект!$Q$1586</f>
        <v>0</v>
      </c>
      <c r="R944" s="48"/>
      <c r="S944" s="41"/>
    </row>
    <row r="945" spans="1:19" ht="11.25" customHeight="1" x14ac:dyDescent="0.2">
      <c r="A945" s="48" t="str">
        <f ca="1">Проект!$A$1587</f>
        <v xml:space="preserve">    за внеоборотные активы</v>
      </c>
      <c r="B945" s="48"/>
      <c r="C945" s="73" t="str">
        <f ca="1">Проект!$C$1587</f>
        <v>руб.</v>
      </c>
      <c r="D945" s="101" t="str">
        <f>Проект!$D$1587</f>
        <v>int_end</v>
      </c>
      <c r="E945" s="48"/>
      <c r="F945" s="84">
        <f ca="1">Проект!$F$1587</f>
        <v>0</v>
      </c>
      <c r="G945" s="84">
        <f ca="1">Проект!$G$1587</f>
        <v>0</v>
      </c>
      <c r="H945" s="84">
        <f ca="1">Проект!$H$1587</f>
        <v>0</v>
      </c>
      <c r="I945" s="84">
        <f ca="1">Проект!$I$1587</f>
        <v>0</v>
      </c>
      <c r="J945" s="84">
        <f ca="1">Проект!$J$1587</f>
        <v>0</v>
      </c>
      <c r="K945" s="84">
        <f ca="1">Проект!$K$1587</f>
        <v>0</v>
      </c>
      <c r="L945" s="84">
        <f ca="1">Проект!$L$1587</f>
        <v>0</v>
      </c>
      <c r="M945" s="84">
        <f ca="1">Проект!$M$1587</f>
        <v>0</v>
      </c>
      <c r="N945" s="84" t="e">
        <f>Проект!#REF!</f>
        <v>#REF!</v>
      </c>
      <c r="O945" s="84" t="e">
        <f>Проект!#REF!</f>
        <v>#REF!</v>
      </c>
      <c r="P945" s="84" t="e">
        <f>Проект!#REF!</f>
        <v>#REF!</v>
      </c>
      <c r="Q945" s="84">
        <f ca="1">Проект!$Q$1587</f>
        <v>0</v>
      </c>
      <c r="R945" s="48"/>
      <c r="S945" s="41"/>
    </row>
    <row r="946" spans="1:19" ht="11.25" customHeight="1" x14ac:dyDescent="0.2">
      <c r="A946" s="48" t="str">
        <f ca="1">Проект!$A$1588</f>
        <v>Расчеты с бюджетом</v>
      </c>
      <c r="B946" s="48"/>
      <c r="C946" s="73" t="str">
        <f ca="1">Проект!$C$1588</f>
        <v>руб.</v>
      </c>
      <c r="D946" s="101" t="str">
        <f>Проект!$D$1588</f>
        <v>int_end</v>
      </c>
      <c r="E946" s="48"/>
      <c r="F946" s="84">
        <f ca="1">Проект!$F$1588</f>
        <v>396480</v>
      </c>
      <c r="G946" s="84">
        <f ca="1">Проект!$G$1588</f>
        <v>245280.00000000003</v>
      </c>
      <c r="H946" s="84">
        <f ca="1">Проект!$H$1588</f>
        <v>269745.60000000003</v>
      </c>
      <c r="I946" s="84">
        <f ca="1">Проект!$I$1588</f>
        <v>367608</v>
      </c>
      <c r="J946" s="84">
        <f ca="1">Проект!$J$1588</f>
        <v>489936</v>
      </c>
      <c r="K946" s="84">
        <f ca="1">Проект!$K$1588</f>
        <v>734592</v>
      </c>
      <c r="L946" s="84">
        <f ca="1">Проект!$L$1588</f>
        <v>979248</v>
      </c>
      <c r="M946" s="84">
        <f ca="1">Проект!$M$1588</f>
        <v>1223904</v>
      </c>
      <c r="N946" s="84" t="e">
        <f>Проект!#REF!</f>
        <v>#REF!</v>
      </c>
      <c r="O946" s="84" t="e">
        <f>Проект!#REF!</f>
        <v>#REF!</v>
      </c>
      <c r="P946" s="84" t="e">
        <f>Проект!#REF!</f>
        <v>#REF!</v>
      </c>
      <c r="Q946" s="84">
        <f ca="1">Проект!$Q$1588</f>
        <v>2691840</v>
      </c>
      <c r="R946" s="48"/>
      <c r="S946" s="41"/>
    </row>
    <row r="947" spans="1:19" ht="11.25" customHeight="1" x14ac:dyDescent="0.2">
      <c r="A947" s="48" t="str">
        <f ca="1">Проект!$A$1589</f>
        <v>Расчеты с персоналом</v>
      </c>
      <c r="B947" s="48"/>
      <c r="C947" s="73" t="str">
        <f ca="1">Проект!$C$1589</f>
        <v>руб.</v>
      </c>
      <c r="D947" s="101" t="str">
        <f>Проект!$D$1589</f>
        <v>int_end</v>
      </c>
      <c r="E947" s="48"/>
      <c r="F947" s="84">
        <f>Проект!$F$1589</f>
        <v>944000</v>
      </c>
      <c r="G947" s="84">
        <f>Проект!$G$1589</f>
        <v>584000</v>
      </c>
      <c r="H947" s="84">
        <f>Проект!$H$1589</f>
        <v>584000</v>
      </c>
      <c r="I947" s="84">
        <f>Проект!$I$1589</f>
        <v>584000</v>
      </c>
      <c r="J947" s="84">
        <f>Проект!$J$1589</f>
        <v>584000</v>
      </c>
      <c r="K947" s="84">
        <f>Проект!$K$1589</f>
        <v>584000</v>
      </c>
      <c r="L947" s="84">
        <f>Проект!$L$1589</f>
        <v>584000</v>
      </c>
      <c r="M947" s="84">
        <f>Проект!$M$1589</f>
        <v>584000</v>
      </c>
      <c r="N947" s="84" t="e">
        <f>Проект!#REF!</f>
        <v>#REF!</v>
      </c>
      <c r="O947" s="84" t="e">
        <f>Проект!#REF!</f>
        <v>#REF!</v>
      </c>
      <c r="P947" s="84" t="e">
        <f>Проект!#REF!</f>
        <v>#REF!</v>
      </c>
      <c r="Q947" s="84">
        <f>Проект!$Q$1589</f>
        <v>584000</v>
      </c>
      <c r="R947" s="48"/>
      <c r="S947" s="41"/>
    </row>
    <row r="948" spans="1:19" ht="11.25" customHeight="1" x14ac:dyDescent="0.2">
      <c r="A948" s="48" t="str">
        <f ca="1">Проект!$A$1590</f>
        <v>Авансы покупателей</v>
      </c>
      <c r="B948" s="48"/>
      <c r="C948" s="73" t="str">
        <f ca="1">Проект!$C$1590</f>
        <v>руб.</v>
      </c>
      <c r="D948" s="101" t="str">
        <f>Проект!$D$1590</f>
        <v>int_end</v>
      </c>
      <c r="E948" s="48"/>
      <c r="F948" s="84">
        <f>Проект!$F$1590</f>
        <v>0</v>
      </c>
      <c r="G948" s="84">
        <f>Проект!$G$1590</f>
        <v>0</v>
      </c>
      <c r="H948" s="84">
        <f>Проект!$H$1590</f>
        <v>0</v>
      </c>
      <c r="I948" s="84">
        <f>Проект!$I$1590</f>
        <v>0</v>
      </c>
      <c r="J948" s="84">
        <f>Проект!$J$1590</f>
        <v>0</v>
      </c>
      <c r="K948" s="84">
        <f>Проект!$K$1590</f>
        <v>0</v>
      </c>
      <c r="L948" s="84">
        <f>Проект!$L$1590</f>
        <v>0</v>
      </c>
      <c r="M948" s="84">
        <f>Проект!$M$1590</f>
        <v>0</v>
      </c>
      <c r="N948" s="84" t="e">
        <f>Проект!#REF!</f>
        <v>#REF!</v>
      </c>
      <c r="O948" s="84" t="e">
        <f>Проект!#REF!</f>
        <v>#REF!</v>
      </c>
      <c r="P948" s="84" t="e">
        <f>Проект!#REF!</f>
        <v>#REF!</v>
      </c>
      <c r="Q948" s="84">
        <f>Проект!$Q$1590</f>
        <v>0</v>
      </c>
      <c r="R948" s="48"/>
      <c r="S948" s="41"/>
    </row>
    <row r="949" spans="1:19" ht="11.25" customHeight="1" x14ac:dyDescent="0.2">
      <c r="A949" s="48" t="str">
        <f ca="1">Проект!$A$1591</f>
        <v>Краткосрочные кредиты</v>
      </c>
      <c r="B949" s="48"/>
      <c r="C949" s="73" t="str">
        <f ca="1">Проект!$C$1591</f>
        <v>руб.</v>
      </c>
      <c r="D949" s="101" t="str">
        <f>Проект!$D$1591</f>
        <v>int_end</v>
      </c>
      <c r="E949" s="48"/>
      <c r="F949" s="84">
        <f>Проект!$F$1591</f>
        <v>0</v>
      </c>
      <c r="G949" s="84">
        <f>Проект!$G$1591</f>
        <v>0</v>
      </c>
      <c r="H949" s="84">
        <f>Проект!$H$1591</f>
        <v>0</v>
      </c>
      <c r="I949" s="84">
        <f>Проект!$I$1591</f>
        <v>0</v>
      </c>
      <c r="J949" s="84">
        <f>Проект!$J$1591</f>
        <v>0</v>
      </c>
      <c r="K949" s="84">
        <f>Проект!$K$1591</f>
        <v>0</v>
      </c>
      <c r="L949" s="84">
        <f>Проект!$L$1591</f>
        <v>0</v>
      </c>
      <c r="M949" s="84">
        <f>Проект!$M$1591</f>
        <v>0</v>
      </c>
      <c r="N949" s="84" t="e">
        <f>Проект!#REF!</f>
        <v>#REF!</v>
      </c>
      <c r="O949" s="84" t="e">
        <f>Проект!#REF!</f>
        <v>#REF!</v>
      </c>
      <c r="P949" s="84" t="e">
        <f>Проект!#REF!</f>
        <v>#REF!</v>
      </c>
      <c r="Q949" s="84">
        <f>Проект!$Q$1591</f>
        <v>0</v>
      </c>
      <c r="R949" s="48"/>
      <c r="S949" s="41"/>
    </row>
    <row r="950" spans="1:19" ht="11.25" customHeight="1" x14ac:dyDescent="0.2">
      <c r="A950" s="48" t="str">
        <f ca="1">Проект!$A$1592</f>
        <v>Прочие краткосрочные обязательства</v>
      </c>
      <c r="B950" s="48"/>
      <c r="C950" s="73" t="str">
        <f ca="1">Проект!$C$1592</f>
        <v>руб.</v>
      </c>
      <c r="D950" s="101" t="str">
        <f>Проект!$D$1592</f>
        <v>int_end</v>
      </c>
      <c r="E950" s="48"/>
      <c r="F950" s="106">
        <f>Проект!$F$1592</f>
        <v>0</v>
      </c>
      <c r="G950" s="106">
        <f>Проект!$G$1592</f>
        <v>0</v>
      </c>
      <c r="H950" s="106">
        <f>Проект!$H$1592</f>
        <v>0</v>
      </c>
      <c r="I950" s="106">
        <f>Проект!$I$1592</f>
        <v>0</v>
      </c>
      <c r="J950" s="106">
        <f>Проект!$J$1592</f>
        <v>0</v>
      </c>
      <c r="K950" s="106">
        <f>Проект!$K$1592</f>
        <v>0</v>
      </c>
      <c r="L950" s="106">
        <f>Проект!$L$1592</f>
        <v>0</v>
      </c>
      <c r="M950" s="106">
        <f>Проект!$M$1592</f>
        <v>0</v>
      </c>
      <c r="N950" s="106" t="e">
        <f>Проект!#REF!</f>
        <v>#REF!</v>
      </c>
      <c r="O950" s="106" t="e">
        <f>Проект!#REF!</f>
        <v>#REF!</v>
      </c>
      <c r="P950" s="106" t="e">
        <f>Проект!#REF!</f>
        <v>#REF!</v>
      </c>
      <c r="Q950" s="106">
        <f>Проект!$Q$1592</f>
        <v>0</v>
      </c>
      <c r="R950" s="48"/>
      <c r="S950" s="41"/>
    </row>
    <row r="951" spans="1:19" ht="11.25" customHeight="1" x14ac:dyDescent="0.25">
      <c r="A951" s="130" t="str">
        <f ca="1">Проект!$A$1593</f>
        <v>Суммарные краткосрочные обязательства</v>
      </c>
      <c r="B951" s="48"/>
      <c r="C951" s="73" t="str">
        <f ca="1">Проект!$C$1593</f>
        <v>руб.</v>
      </c>
      <c r="D951" s="101" t="str">
        <f>Проект!$D$1593</f>
        <v>int_end</v>
      </c>
      <c r="E951" s="48"/>
      <c r="F951" s="160">
        <f ca="1">Проект!$F$1593</f>
        <v>1340480</v>
      </c>
      <c r="G951" s="160">
        <f ca="1">Проект!$G$1593</f>
        <v>829280</v>
      </c>
      <c r="H951" s="160">
        <f ca="1">Проект!$H$1593</f>
        <v>853745.60000000009</v>
      </c>
      <c r="I951" s="160">
        <f ca="1">Проект!$I$1593</f>
        <v>951608</v>
      </c>
      <c r="J951" s="160">
        <f ca="1">Проект!$J$1593</f>
        <v>1073936</v>
      </c>
      <c r="K951" s="160">
        <f ca="1">Проект!$K$1593</f>
        <v>1318592</v>
      </c>
      <c r="L951" s="160">
        <f ca="1">Проект!$L$1593</f>
        <v>1563248</v>
      </c>
      <c r="M951" s="160">
        <f ca="1">Проект!$M$1593</f>
        <v>1807904</v>
      </c>
      <c r="N951" s="160" t="e">
        <f>Проект!#REF!</f>
        <v>#REF!</v>
      </c>
      <c r="O951" s="160" t="e">
        <f>Проект!#REF!</f>
        <v>#REF!</v>
      </c>
      <c r="P951" s="160" t="e">
        <f>Проект!#REF!</f>
        <v>#REF!</v>
      </c>
      <c r="Q951" s="160">
        <f ca="1">Проект!$Q$1593</f>
        <v>3275840</v>
      </c>
      <c r="R951" s="48"/>
      <c r="S951" s="41"/>
    </row>
    <row r="952" spans="1:19" ht="11.25" customHeight="1" x14ac:dyDescent="0.2">
      <c r="A952" s="48"/>
      <c r="B952" s="48"/>
      <c r="C952" s="73" t="str">
        <f ca="1">Проект!$C$1594</f>
        <v>руб.</v>
      </c>
      <c r="D952" s="101" t="str">
        <f>Проект!$D$1594</f>
        <v>int_end</v>
      </c>
      <c r="E952" s="48"/>
      <c r="F952" s="106"/>
      <c r="G952" s="106"/>
      <c r="H952" s="106"/>
      <c r="I952" s="106"/>
      <c r="J952" s="106"/>
      <c r="K952" s="106"/>
      <c r="L952" s="106"/>
      <c r="M952" s="106"/>
      <c r="N952" s="106"/>
      <c r="O952" s="106"/>
      <c r="P952" s="106"/>
      <c r="Q952" s="106"/>
      <c r="R952" s="48"/>
      <c r="S952" s="41"/>
    </row>
    <row r="953" spans="1:19" ht="11.25" customHeight="1" x14ac:dyDescent="0.25">
      <c r="A953" s="130" t="str">
        <f ca="1">Проект!$A$1595</f>
        <v>Долгосрочные обязательства</v>
      </c>
      <c r="B953" s="48"/>
      <c r="C953" s="73" t="str">
        <f ca="1">Проект!$C$1595</f>
        <v>руб.</v>
      </c>
      <c r="D953" s="101" t="str">
        <f>Проект!$D$1595</f>
        <v>int_end</v>
      </c>
      <c r="E953" s="48"/>
      <c r="F953" s="361">
        <f>Проект!$F$1595</f>
        <v>2400351.3689567428</v>
      </c>
      <c r="G953" s="361">
        <f>Проект!$G$1595</f>
        <v>5476647.4426394468</v>
      </c>
      <c r="H953" s="361">
        <f>Проект!$H$1595</f>
        <v>8007638.9805148821</v>
      </c>
      <c r="I953" s="361">
        <f>Проект!$I$1595</f>
        <v>9988465.7311047968</v>
      </c>
      <c r="J953" s="361">
        <f>Проект!$J$1595</f>
        <v>11327726.703750553</v>
      </c>
      <c r="K953" s="361">
        <f>Проект!$K$1595</f>
        <v>11501888.518610623</v>
      </c>
      <c r="L953" s="361">
        <f>Проект!$L$1595</f>
        <v>10299267.972909262</v>
      </c>
      <c r="M953" s="361">
        <f>Проект!$M$1595</f>
        <v>7893163.4040714214</v>
      </c>
      <c r="N953" s="361" t="e">
        <f>Проект!#REF!</f>
        <v>#REF!</v>
      </c>
      <c r="O953" s="361" t="e">
        <f>Проект!#REF!</f>
        <v>#REF!</v>
      </c>
      <c r="P953" s="361" t="e">
        <f>Проект!#REF!</f>
        <v>#REF!</v>
      </c>
      <c r="Q953" s="361">
        <f>Проект!$Q$1595</f>
        <v>-1.862645149230957E-9</v>
      </c>
      <c r="R953" s="48"/>
      <c r="S953" s="41"/>
    </row>
    <row r="954" spans="1:19" ht="11.25" customHeight="1" x14ac:dyDescent="0.2">
      <c r="A954" s="48"/>
      <c r="B954" s="48"/>
      <c r="C954" s="48"/>
      <c r="D954" s="48"/>
      <c r="E954" s="48"/>
      <c r="F954" s="106"/>
      <c r="G954" s="106"/>
      <c r="H954" s="106"/>
      <c r="I954" s="106"/>
      <c r="J954" s="106"/>
      <c r="K954" s="106"/>
      <c r="L954" s="106"/>
      <c r="M954" s="106"/>
      <c r="N954" s="106"/>
      <c r="O954" s="106"/>
      <c r="P954" s="106"/>
      <c r="Q954" s="106"/>
      <c r="R954" s="48"/>
      <c r="S954" s="41"/>
    </row>
    <row r="955" spans="1:19" ht="11.25" customHeight="1" x14ac:dyDescent="0.2">
      <c r="A955" s="48" t="str">
        <f ca="1">Проект!$A$1597</f>
        <v>Средства собственников</v>
      </c>
      <c r="B955" s="48"/>
      <c r="C955" s="73" t="str">
        <f ca="1">Проект!$C$1597</f>
        <v>руб.</v>
      </c>
      <c r="D955" s="101" t="str">
        <f>Проект!$D$1597</f>
        <v>int_end</v>
      </c>
      <c r="E955" s="48"/>
      <c r="F955" s="84">
        <f>Проект!$F$1597</f>
        <v>0</v>
      </c>
      <c r="G955" s="84">
        <f>Проект!$G$1597</f>
        <v>0</v>
      </c>
      <c r="H955" s="84">
        <f>Проект!$H$1597</f>
        <v>0</v>
      </c>
      <c r="I955" s="84">
        <f>Проект!$I$1597</f>
        <v>0</v>
      </c>
      <c r="J955" s="84">
        <f>Проект!$J$1597</f>
        <v>0</v>
      </c>
      <c r="K955" s="84">
        <f>Проект!$K$1597</f>
        <v>0</v>
      </c>
      <c r="L955" s="84">
        <f>Проект!$L$1597</f>
        <v>0</v>
      </c>
      <c r="M955" s="84">
        <f>Проект!$M$1597</f>
        <v>0</v>
      </c>
      <c r="N955" s="84" t="e">
        <f>Проект!#REF!</f>
        <v>#REF!</v>
      </c>
      <c r="O955" s="84" t="e">
        <f>Проект!#REF!</f>
        <v>#REF!</v>
      </c>
      <c r="P955" s="84" t="e">
        <f>Проект!#REF!</f>
        <v>#REF!</v>
      </c>
      <c r="Q955" s="84">
        <f>Проект!$Q$1597</f>
        <v>0</v>
      </c>
      <c r="R955" s="48"/>
      <c r="S955" s="41"/>
    </row>
    <row r="956" spans="1:19" ht="11.25" customHeight="1" x14ac:dyDescent="0.2">
      <c r="A956" s="48" t="str">
        <f ca="1">Проект!$A$1598</f>
        <v>Нераспределенная прибыль</v>
      </c>
      <c r="B956" s="48"/>
      <c r="C956" s="73" t="str">
        <f ca="1">Проект!$C$1598</f>
        <v>руб.</v>
      </c>
      <c r="D956" s="101" t="str">
        <f>Проект!$D$1598</f>
        <v>int_end</v>
      </c>
      <c r="E956" s="48"/>
      <c r="F956" s="106">
        <f ca="1">Проект!$F$1598</f>
        <v>-3007443.6844783714</v>
      </c>
      <c r="G956" s="106">
        <f ca="1">Проект!$G$1598</f>
        <v>-5657396.6380372802</v>
      </c>
      <c r="H956" s="106">
        <f ca="1">Проект!$H$1598</f>
        <v>-8223128.6673366763</v>
      </c>
      <c r="I956" s="106">
        <f ca="1">Проект!$I$1598</f>
        <v>-10311923.004987741</v>
      </c>
      <c r="J956" s="106">
        <f ca="1">Проект!$J$1598</f>
        <v>-11784993.858891314</v>
      </c>
      <c r="K956" s="106">
        <f ca="1">Проект!$K$1598</f>
        <v>-11983545.212344076</v>
      </c>
      <c r="L956" s="106">
        <f ca="1">Проект!$L$1598</f>
        <v>-10886997.664369989</v>
      </c>
      <c r="M956" s="106">
        <f ca="1">Проект!$M$1598</f>
        <v>-8470828.373941239</v>
      </c>
      <c r="N956" s="106" t="e">
        <f>Проект!#REF!</f>
        <v>#REF!</v>
      </c>
      <c r="O956" s="106" t="e">
        <f>Проект!#REF!</f>
        <v>#REF!</v>
      </c>
      <c r="P956" s="106" t="e">
        <f>Проект!#REF!</f>
        <v>#REF!</v>
      </c>
      <c r="Q956" s="106">
        <f ca="1">Проект!$Q$1598</f>
        <v>22124342.83720386</v>
      </c>
      <c r="R956" s="48"/>
      <c r="S956" s="41"/>
    </row>
    <row r="957" spans="1:19" ht="11.25" customHeight="1" x14ac:dyDescent="0.2">
      <c r="A957" s="48" t="str">
        <f ca="1">Проект!$A$1599</f>
        <v>Прочие источники финансирования</v>
      </c>
      <c r="B957" s="48"/>
      <c r="C957" s="73" t="str">
        <f ca="1">Проект!$C$1599</f>
        <v>руб.</v>
      </c>
      <c r="D957" s="101" t="str">
        <f>Проект!$D$1599</f>
        <v>int_end</v>
      </c>
      <c r="E957" s="48"/>
      <c r="F957" s="84">
        <f>Проект!$F$1599</f>
        <v>0</v>
      </c>
      <c r="G957" s="84">
        <f>Проект!$G$1599</f>
        <v>0</v>
      </c>
      <c r="H957" s="84">
        <f>Проект!$H$1599</f>
        <v>0</v>
      </c>
      <c r="I957" s="84">
        <f>Проект!$I$1599</f>
        <v>0</v>
      </c>
      <c r="J957" s="84">
        <f>Проект!$J$1599</f>
        <v>0</v>
      </c>
      <c r="K957" s="84">
        <f>Проект!$K$1599</f>
        <v>0</v>
      </c>
      <c r="L957" s="84">
        <f>Проект!$L$1599</f>
        <v>0</v>
      </c>
      <c r="M957" s="84">
        <f>Проект!$M$1599</f>
        <v>0</v>
      </c>
      <c r="N957" s="84" t="e">
        <f>Проект!#REF!</f>
        <v>#REF!</v>
      </c>
      <c r="O957" s="84" t="e">
        <f>Проект!#REF!</f>
        <v>#REF!</v>
      </c>
      <c r="P957" s="84" t="e">
        <f>Проект!#REF!</f>
        <v>#REF!</v>
      </c>
      <c r="Q957" s="84">
        <f>Проект!$Q$1599</f>
        <v>0</v>
      </c>
      <c r="R957" s="48"/>
      <c r="S957" s="41"/>
    </row>
    <row r="958" spans="1:19" ht="11.25" customHeight="1" x14ac:dyDescent="0.25">
      <c r="A958" s="130" t="str">
        <f ca="1">Проект!$A$1600</f>
        <v>Суммарный собственный капитал</v>
      </c>
      <c r="B958" s="48"/>
      <c r="C958" s="73" t="str">
        <f ca="1">Проект!$C$1600</f>
        <v>руб.</v>
      </c>
      <c r="D958" s="101" t="str">
        <f>Проект!$D$1600</f>
        <v>int_end</v>
      </c>
      <c r="E958" s="48"/>
      <c r="F958" s="160">
        <f ca="1">Проект!$F$1600</f>
        <v>-3007443.6844783714</v>
      </c>
      <c r="G958" s="160">
        <f ca="1">Проект!$G$1600</f>
        <v>-5657396.6380372802</v>
      </c>
      <c r="H958" s="160">
        <f ca="1">Проект!$H$1600</f>
        <v>-8223128.6673366763</v>
      </c>
      <c r="I958" s="160">
        <f ca="1">Проект!$I$1600</f>
        <v>-10311923.004987741</v>
      </c>
      <c r="J958" s="160">
        <f ca="1">Проект!$J$1600</f>
        <v>-11784993.858891314</v>
      </c>
      <c r="K958" s="160">
        <f ca="1">Проект!$K$1600</f>
        <v>-11983545.212344076</v>
      </c>
      <c r="L958" s="160">
        <f ca="1">Проект!$L$1600</f>
        <v>-10886997.664369989</v>
      </c>
      <c r="M958" s="160">
        <f ca="1">Проект!$M$1600</f>
        <v>-8470828.373941239</v>
      </c>
      <c r="N958" s="160" t="e">
        <f>Проект!#REF!</f>
        <v>#REF!</v>
      </c>
      <c r="O958" s="160" t="e">
        <f>Проект!#REF!</f>
        <v>#REF!</v>
      </c>
      <c r="P958" s="160" t="e">
        <f>Проект!#REF!</f>
        <v>#REF!</v>
      </c>
      <c r="Q958" s="160">
        <f ca="1">Проект!$Q$1600</f>
        <v>22124342.83720386</v>
      </c>
      <c r="R958" s="48"/>
      <c r="S958" s="41"/>
    </row>
    <row r="959" spans="1:19" ht="11.25" customHeight="1" x14ac:dyDescent="0.25">
      <c r="A959" s="130"/>
      <c r="B959" s="48"/>
      <c r="C959" s="48"/>
      <c r="D959" s="48"/>
      <c r="E959" s="48"/>
      <c r="F959" s="106"/>
      <c r="G959" s="106"/>
      <c r="H959" s="106"/>
      <c r="I959" s="106"/>
      <c r="J959" s="106"/>
      <c r="K959" s="106"/>
      <c r="L959" s="106"/>
      <c r="M959" s="106"/>
      <c r="N959" s="106"/>
      <c r="O959" s="106"/>
      <c r="P959" s="106"/>
      <c r="Q959" s="106"/>
      <c r="R959" s="48"/>
      <c r="S959" s="41"/>
    </row>
    <row r="960" spans="1:19" ht="11.25" customHeight="1" x14ac:dyDescent="0.25">
      <c r="A960" s="130" t="str">
        <f ca="1">Проект!$A$1602</f>
        <v xml:space="preserve"> = ИТОГО ПАССИВОВ</v>
      </c>
      <c r="B960" s="48"/>
      <c r="C960" s="73" t="str">
        <f ca="1">Проект!$C$1602</f>
        <v>руб.</v>
      </c>
      <c r="D960" s="101" t="str">
        <f>Проект!$D$1602</f>
        <v>int_end</v>
      </c>
      <c r="E960" s="48"/>
      <c r="F960" s="160">
        <f ca="1">Проект!$F$1602</f>
        <v>733387.6844783714</v>
      </c>
      <c r="G960" s="160">
        <f ca="1">Проект!$G$1602</f>
        <v>648530.80460216664</v>
      </c>
      <c r="H960" s="160">
        <f ca="1">Проект!$H$1602</f>
        <v>638255.91317820549</v>
      </c>
      <c r="I960" s="160">
        <f ca="1">Проект!$I$1602</f>
        <v>628150.72611705586</v>
      </c>
      <c r="J960" s="160">
        <f ca="1">Проект!$J$1602</f>
        <v>616668.84485923871</v>
      </c>
      <c r="K960" s="160">
        <f ca="1">Проект!$K$1602</f>
        <v>836935.30626654625</v>
      </c>
      <c r="L960" s="160">
        <f ca="1">Проект!$L$1602</f>
        <v>975518.30853927322</v>
      </c>
      <c r="M960" s="160">
        <f ca="1">Проект!$M$1602</f>
        <v>1230239.0301301815</v>
      </c>
      <c r="N960" s="160" t="e">
        <f>Проект!#REF!</f>
        <v>#REF!</v>
      </c>
      <c r="O960" s="160" t="e">
        <f>Проект!#REF!</f>
        <v>#REF!</v>
      </c>
      <c r="P960" s="160" t="e">
        <f>Проект!#REF!</f>
        <v>#REF!</v>
      </c>
      <c r="Q960" s="160">
        <f ca="1">Проект!$Q$1602</f>
        <v>25400182.83720386</v>
      </c>
      <c r="R960" s="48"/>
      <c r="S960" s="77"/>
    </row>
    <row r="961" spans="1:19" ht="11.25" customHeight="1" x14ac:dyDescent="0.2">
      <c r="A961" s="359" t="str">
        <f ca="1">Проект!$A$1603</f>
        <v>Контроль сходимости баланса</v>
      </c>
      <c r="B961" s="384" t="str">
        <f ca="1">Проект!$B$1603</f>
        <v/>
      </c>
      <c r="C961" s="359"/>
      <c r="D961" s="359"/>
      <c r="E961" s="359"/>
      <c r="F961" s="385">
        <f ca="1">Проект!$F$1603</f>
        <v>0</v>
      </c>
      <c r="G961" s="385">
        <f ca="1">Проект!$G$1603</f>
        <v>0</v>
      </c>
      <c r="H961" s="385">
        <f ca="1">Проект!$H$1603</f>
        <v>0</v>
      </c>
      <c r="I961" s="385">
        <f ca="1">Проект!$I$1603</f>
        <v>0</v>
      </c>
      <c r="J961" s="385">
        <f ca="1">Проект!$J$1603</f>
        <v>0</v>
      </c>
      <c r="K961" s="385">
        <f ca="1">Проект!$K$1603</f>
        <v>0</v>
      </c>
      <c r="L961" s="385">
        <f ca="1">Проект!$L$1603</f>
        <v>0</v>
      </c>
      <c r="M961" s="385">
        <f ca="1">Проект!$M$1603</f>
        <v>0</v>
      </c>
      <c r="N961" s="385" t="e">
        <f>Проект!#REF!</f>
        <v>#REF!</v>
      </c>
      <c r="O961" s="385" t="e">
        <f>Проект!#REF!</f>
        <v>#REF!</v>
      </c>
      <c r="P961" s="385" t="e">
        <f>Проект!#REF!</f>
        <v>#REF!</v>
      </c>
      <c r="Q961" s="385">
        <f ca="1">Проект!$Q$1603</f>
        <v>0</v>
      </c>
      <c r="R961" s="359"/>
      <c r="S961" s="77"/>
    </row>
    <row r="964" spans="1:19" ht="16" customHeight="1" thickBot="1" x14ac:dyDescent="0.25">
      <c r="A964" s="166" t="str">
        <f ca="1">Проект!$A$1656</f>
        <v xml:space="preserve">         ПОКАЗАТЕЛИ ФИНАНСОВОЙ СОСТОЯТЕЛЬНОСТИ</v>
      </c>
      <c r="B964" s="166"/>
      <c r="C964" s="166"/>
      <c r="D964" s="166"/>
      <c r="E964" s="166"/>
      <c r="F964" s="178" t="str">
        <f>Проект!$F$1656</f>
        <v>4/ 2024</v>
      </c>
      <c r="G964" s="178" t="str">
        <f>Проект!$G$1656</f>
        <v>5/ 2024</v>
      </c>
      <c r="H964" s="178" t="str">
        <f>Проект!$H$1656</f>
        <v>6/ 2024</v>
      </c>
      <c r="I964" s="178" t="str">
        <f>Проект!$I$1656</f>
        <v>7/ 2024</v>
      </c>
      <c r="J964" s="178" t="str">
        <f>Проект!$J$1656</f>
        <v>8/ 2024</v>
      </c>
      <c r="K964" s="178" t="str">
        <f>Проект!$K$1656</f>
        <v>9/ 2024</v>
      </c>
      <c r="L964" s="178" t="str">
        <f>Проект!$L$1656</f>
        <v>10/ 2024</v>
      </c>
      <c r="M964" s="178" t="str">
        <f>Проект!$M$1656</f>
        <v>11/ 2024</v>
      </c>
      <c r="N964" s="178" t="e">
        <f>Проект!#REF!</f>
        <v>#REF!</v>
      </c>
      <c r="O964" s="178" t="e">
        <f>Проект!#REF!</f>
        <v>#REF!</v>
      </c>
      <c r="P964" s="178" t="e">
        <f>Проект!#REF!</f>
        <v>#REF!</v>
      </c>
      <c r="Q964" s="178" t="str">
        <f>Проект!$Q$1656</f>
        <v>3/ 2025</v>
      </c>
      <c r="R964" s="166"/>
      <c r="S964" s="38"/>
    </row>
    <row r="965" spans="1:19" ht="12" customHeight="1" thickTop="1" x14ac:dyDescent="0.2">
      <c r="A965" s="48"/>
      <c r="B965" s="48"/>
      <c r="C965" s="48"/>
      <c r="D965" s="48"/>
      <c r="E965" s="48"/>
      <c r="F965" s="48"/>
      <c r="G965" s="48"/>
      <c r="H965" s="48"/>
      <c r="I965" s="48"/>
      <c r="J965" s="48"/>
      <c r="K965" s="48"/>
      <c r="L965" s="48"/>
      <c r="M965" s="48"/>
      <c r="N965" s="48"/>
      <c r="O965" s="48"/>
      <c r="P965" s="48"/>
      <c r="Q965" s="48"/>
      <c r="R965" s="48"/>
      <c r="S965" s="41"/>
    </row>
    <row r="966" spans="1:19" ht="11.25" customHeight="1" x14ac:dyDescent="0.2">
      <c r="A966" s="48" t="str">
        <f ca="1">Проект!$A$1658</f>
        <v>Рентабельность активов</v>
      </c>
      <c r="B966" s="48"/>
      <c r="C966" s="50" t="str">
        <f>Проект!$C$1658</f>
        <v>%</v>
      </c>
      <c r="D966" s="101" t="str">
        <f>Проект!$D$1658</f>
        <v>int_avg</v>
      </c>
      <c r="E966" s="48"/>
      <c r="F966" s="137">
        <f ca="1">Проект!$F$1658</f>
        <v>-98.418135394267807</v>
      </c>
      <c r="G966" s="137">
        <f ca="1">Проект!$G$1658</f>
        <v>-46.022157882647228</v>
      </c>
      <c r="H966" s="137">
        <f ca="1">Проект!$H$1658</f>
        <v>-47.853749073042223</v>
      </c>
      <c r="I966" s="137">
        <f ca="1">Проект!$I$1658</f>
        <v>-39.585282126697365</v>
      </c>
      <c r="J966" s="137">
        <f ca="1">Проект!$J$1658</f>
        <v>-28.400662487944633</v>
      </c>
      <c r="K966" s="137">
        <f ca="1">Проект!$K$1658</f>
        <v>-3.2782188184972632</v>
      </c>
      <c r="L966" s="137">
        <f ca="1">Проект!$L$1658</f>
        <v>14.520173612386566</v>
      </c>
      <c r="M966" s="137">
        <f ca="1">Проект!$M$1658</f>
        <v>26.289411783287623</v>
      </c>
      <c r="N966" s="137" t="e">
        <f>Проект!#REF!</f>
        <v>#REF!</v>
      </c>
      <c r="O966" s="137" t="e">
        <f>Проект!#REF!</f>
        <v>#REF!</v>
      </c>
      <c r="P966" s="137" t="e">
        <f>Проект!#REF!</f>
        <v>#REF!</v>
      </c>
      <c r="Q966" s="137">
        <f ca="1">Проект!$Q$1658</f>
        <v>4.8280231006990588</v>
      </c>
      <c r="R966" s="48"/>
      <c r="S966" s="41"/>
    </row>
    <row r="967" spans="1:19" ht="11.25" customHeight="1" x14ac:dyDescent="0.2">
      <c r="A967" s="48" t="str">
        <f ca="1">Проект!$A$1659</f>
        <v>Рентабельность собственного капитала</v>
      </c>
      <c r="B967" s="48"/>
      <c r="C967" s="50" t="str">
        <f>Проект!$C$1659</f>
        <v>%</v>
      </c>
      <c r="D967" s="101" t="str">
        <f>Проект!$D$1659</f>
        <v>int_avg</v>
      </c>
      <c r="E967" s="48"/>
      <c r="F967" s="137" t="str">
        <f ca="1">Проект!$F$1659</f>
        <v>-</v>
      </c>
      <c r="G967" s="137" t="str">
        <f ca="1">Проект!$G$1659</f>
        <v>-</v>
      </c>
      <c r="H967" s="137" t="str">
        <f ca="1">Проект!$H$1659</f>
        <v>-</v>
      </c>
      <c r="I967" s="137" t="str">
        <f ca="1">Проект!$I$1659</f>
        <v>-</v>
      </c>
      <c r="J967" s="137" t="str">
        <f ca="1">Проект!$J$1659</f>
        <v>-</v>
      </c>
      <c r="K967" s="137" t="str">
        <f ca="1">Проект!$K$1659</f>
        <v>-</v>
      </c>
      <c r="L967" s="137" t="str">
        <f ca="1">Проект!$L$1659</f>
        <v>-</v>
      </c>
      <c r="M967" s="137" t="str">
        <f ca="1">Проект!$M$1659</f>
        <v>-</v>
      </c>
      <c r="N967" s="137" t="e">
        <f>Проект!#REF!</f>
        <v>#REF!</v>
      </c>
      <c r="O967" s="137" t="e">
        <f>Проект!#REF!</f>
        <v>#REF!</v>
      </c>
      <c r="P967" s="137" t="e">
        <f>Проект!#REF!</f>
        <v>#REF!</v>
      </c>
      <c r="Q967" s="137">
        <f ca="1">Проект!$Q$1659</f>
        <v>5.5428841616838129</v>
      </c>
      <c r="R967" s="48"/>
      <c r="S967" s="41"/>
    </row>
    <row r="968" spans="1:19" ht="11.25" customHeight="1" x14ac:dyDescent="0.2">
      <c r="A968" s="48" t="str">
        <f ca="1">Проект!$A$1660</f>
        <v>Рентабельность внеоборотных активов</v>
      </c>
      <c r="B968" s="48"/>
      <c r="C968" s="50" t="str">
        <f>Проект!$C$1660</f>
        <v>%</v>
      </c>
      <c r="D968" s="101" t="str">
        <f>Проект!$D$1660</f>
        <v>int_avg</v>
      </c>
      <c r="E968" s="48"/>
      <c r="F968" s="137" t="str">
        <f ca="1">Проект!$F$1660</f>
        <v>-</v>
      </c>
      <c r="G968" s="137" t="str">
        <f ca="1">Проект!$G$1660</f>
        <v>-</v>
      </c>
      <c r="H968" s="137" t="str">
        <f ca="1">Проект!$H$1660</f>
        <v>-</v>
      </c>
      <c r="I968" s="137" t="str">
        <f ca="1">Проект!$I$1660</f>
        <v>-</v>
      </c>
      <c r="J968" s="137" t="str">
        <f ca="1">Проект!$J$1660</f>
        <v>-</v>
      </c>
      <c r="K968" s="137" t="str">
        <f ca="1">Проект!$K$1660</f>
        <v>-</v>
      </c>
      <c r="L968" s="137" t="str">
        <f ca="1">Проект!$L$1660</f>
        <v>-</v>
      </c>
      <c r="M968" s="137" t="str">
        <f ca="1">Проект!$M$1660</f>
        <v>-</v>
      </c>
      <c r="N968" s="137" t="e">
        <f>Проект!#REF!</f>
        <v>#REF!</v>
      </c>
      <c r="O968" s="137" t="e">
        <f>Проект!#REF!</f>
        <v>#REF!</v>
      </c>
      <c r="P968" s="137" t="e">
        <f>Проект!#REF!</f>
        <v>#REF!</v>
      </c>
      <c r="Q968" s="137" t="str">
        <f ca="1">Проект!$Q$1660</f>
        <v>-</v>
      </c>
      <c r="R968" s="48"/>
      <c r="S968" s="41"/>
    </row>
    <row r="969" spans="1:19" ht="11.25" customHeight="1" x14ac:dyDescent="0.2">
      <c r="A969" s="48" t="str">
        <f ca="1">Проект!$A$1661</f>
        <v>Прямые расходы к выручке от реализации</v>
      </c>
      <c r="B969" s="48"/>
      <c r="C969" s="50" t="str">
        <f>Проект!$C$1661</f>
        <v>%</v>
      </c>
      <c r="D969" s="101" t="str">
        <f>Проект!$D$1661</f>
        <v>int_avg</v>
      </c>
      <c r="E969" s="48"/>
      <c r="F969" s="137" t="str">
        <f>Проект!$F$1661</f>
        <v>-</v>
      </c>
      <c r="G969" s="137" t="str">
        <f>Проект!$G$1661</f>
        <v>-</v>
      </c>
      <c r="H969" s="137">
        <f ca="1">Проект!$H$1661</f>
        <v>15.139886026706886</v>
      </c>
      <c r="I969" s="137">
        <f ca="1">Проект!$I$1661</f>
        <v>3.0280555381842258</v>
      </c>
      <c r="J969" s="137">
        <f ca="1">Проект!$J$1661</f>
        <v>1.5140767271188933</v>
      </c>
      <c r="K969" s="137">
        <f ca="1">Проект!$K$1661</f>
        <v>0.75708732158622716</v>
      </c>
      <c r="L969" s="137">
        <f ca="1">Проект!$L$1661</f>
        <v>0.50475751974200511</v>
      </c>
      <c r="M969" s="137">
        <f ca="1">Проект!$M$1661</f>
        <v>0.37859261881989409</v>
      </c>
      <c r="N969" s="137" t="e">
        <f>Проект!#REF!</f>
        <v>#REF!</v>
      </c>
      <c r="O969" s="137" t="e">
        <f>Проект!#REF!</f>
        <v>#REF!</v>
      </c>
      <c r="P969" s="137" t="e">
        <f>Проект!#REF!</f>
        <v>#REF!</v>
      </c>
      <c r="Q969" s="137">
        <f ca="1">Проект!$Q$1661</f>
        <v>0.15149579716009418</v>
      </c>
      <c r="R969" s="48"/>
      <c r="S969" s="41"/>
    </row>
    <row r="970" spans="1:19" ht="11.25" customHeight="1" x14ac:dyDescent="0.2">
      <c r="A970" s="48" t="str">
        <f ca="1">Проект!$A$1662</f>
        <v>Прибыльность продаж</v>
      </c>
      <c r="B970" s="48"/>
      <c r="C970" s="50" t="str">
        <f>Проект!$C$1662</f>
        <v>%</v>
      </c>
      <c r="D970" s="101" t="str">
        <f>Проект!$D$1662</f>
        <v>int_avg</v>
      </c>
      <c r="E970" s="48"/>
      <c r="F970" s="137" t="str">
        <f>Проект!$F$1662</f>
        <v>-</v>
      </c>
      <c r="G970" s="137" t="str">
        <f>Проект!$G$1662</f>
        <v>-</v>
      </c>
      <c r="H970" s="137">
        <f ca="1">Проект!$H$1662</f>
        <v>-18.876780674657123</v>
      </c>
      <c r="I970" s="137">
        <f ca="1">Проект!$I$1662</f>
        <v>-3.0735643579327023</v>
      </c>
      <c r="J970" s="137">
        <f ca="1">Проект!$J$1662</f>
        <v>-1.0837778501350592</v>
      </c>
      <c r="K970" s="137">
        <f ca="1">Проект!$K$1662</f>
        <v>-7.3039785702163754E-2</v>
      </c>
      <c r="L970" s="137">
        <f ca="1">Проект!$L$1662</f>
        <v>0.2689198420576045</v>
      </c>
      <c r="M970" s="137">
        <f ca="1">Проект!$M$1662</f>
        <v>0.44441018437844859</v>
      </c>
      <c r="N970" s="137" t="e">
        <f>Проект!#REF!</f>
        <v>#REF!</v>
      </c>
      <c r="O970" s="137" t="e">
        <f>Проект!#REF!</f>
        <v>#REF!</v>
      </c>
      <c r="P970" s="137" t="e">
        <f>Проект!#REF!</f>
        <v>#REF!</v>
      </c>
      <c r="Q970" s="137">
        <f ca="1">Проект!$Q$1662</f>
        <v>0.75186794621836373</v>
      </c>
      <c r="R970" s="48"/>
      <c r="S970" s="41"/>
    </row>
    <row r="971" spans="1:19" ht="11.25" customHeight="1" x14ac:dyDescent="0.2">
      <c r="A971" s="48"/>
      <c r="B971" s="48"/>
      <c r="C971" s="48"/>
      <c r="D971" s="48"/>
      <c r="E971" s="48"/>
      <c r="F971" s="48"/>
      <c r="G971" s="48"/>
      <c r="H971" s="48"/>
      <c r="I971" s="48"/>
      <c r="J971" s="48"/>
      <c r="K971" s="48"/>
      <c r="L971" s="48"/>
      <c r="M971" s="48"/>
      <c r="N971" s="48"/>
      <c r="O971" s="48"/>
      <c r="P971" s="48"/>
      <c r="Q971" s="48"/>
      <c r="R971" s="48"/>
      <c r="S971" s="41"/>
    </row>
    <row r="972" spans="1:19" ht="11.25" customHeight="1" x14ac:dyDescent="0.2">
      <c r="A972" s="386" t="str">
        <f ca="1">Проект!$A$1664</f>
        <v>Доля постоянных  затрат</v>
      </c>
      <c r="B972" s="48"/>
      <c r="C972" s="50" t="str">
        <f>Проект!$C$1664</f>
        <v>%</v>
      </c>
      <c r="D972" s="101" t="str">
        <f>Проект!$D$1664</f>
        <v>int_avg</v>
      </c>
      <c r="E972" s="48"/>
      <c r="F972" s="387">
        <f ca="1">Проект!$F$1664</f>
        <v>1</v>
      </c>
      <c r="G972" s="387">
        <f ca="1">Проект!$G$1664</f>
        <v>1</v>
      </c>
      <c r="H972" s="387">
        <f ca="1">Проект!$H$1664</f>
        <v>0.99999505893236806</v>
      </c>
      <c r="I972" s="387">
        <f ca="1">Проект!$I$1664</f>
        <v>0.99997560371658978</v>
      </c>
      <c r="J972" s="387">
        <f ca="1">Проект!$J$1664</f>
        <v>0.99995161719278902</v>
      </c>
      <c r="K972" s="387">
        <f ca="1">Проект!$K$1664</f>
        <v>0.99990334431584738</v>
      </c>
      <c r="L972" s="387">
        <f ca="1">Проект!$L$1664</f>
        <v>0.99985409186607277</v>
      </c>
      <c r="M972" s="387">
        <f ca="1">Проект!$M$1664</f>
        <v>0.99980242521037654</v>
      </c>
      <c r="N972" s="387" t="e">
        <f>Проект!#REF!</f>
        <v>#REF!</v>
      </c>
      <c r="O972" s="387" t="e">
        <f>Проект!#REF!</f>
        <v>#REF!</v>
      </c>
      <c r="P972" s="387" t="e">
        <f>Проект!#REF!</f>
        <v>#REF!</v>
      </c>
      <c r="Q972" s="387">
        <f ca="1">Проект!$Q$1664</f>
        <v>0.99947953550927282</v>
      </c>
      <c r="R972" s="48"/>
      <c r="S972" s="41"/>
    </row>
    <row r="973" spans="1:19" ht="11.25" customHeight="1" x14ac:dyDescent="0.2">
      <c r="A973" s="386" t="str">
        <f ca="1">Проект!$A$1665</f>
        <v>Точка безубыточности</v>
      </c>
      <c r="B973" s="48"/>
      <c r="C973" s="73" t="str">
        <f ca="1">Проект!$C$1665</f>
        <v>руб.</v>
      </c>
      <c r="D973" s="101" t="str">
        <f>Проект!$D$1665</f>
        <v>int_avg</v>
      </c>
      <c r="E973" s="48"/>
      <c r="F973" s="87" t="str">
        <f ca="1">Проект!$F$1665</f>
        <v>-</v>
      </c>
      <c r="G973" s="87" t="str">
        <f ca="1">Проект!$G$1665</f>
        <v>-</v>
      </c>
      <c r="H973" s="87">
        <f ca="1">Проект!$H$1665</f>
        <v>2555998.1568150981</v>
      </c>
      <c r="I973" s="87">
        <f ca="1">Проект!$I$1665</f>
        <v>2555998.701587854</v>
      </c>
      <c r="J973" s="87">
        <f ca="1">Проект!$J$1665</f>
        <v>2556001.9736587452</v>
      </c>
      <c r="K973" s="87">
        <f ca="1">Проект!$K$1665</f>
        <v>2556011.4167512041</v>
      </c>
      <c r="L973" s="87">
        <f ca="1">Проект!$L$1665</f>
        <v>2556020.0886768443</v>
      </c>
      <c r="M973" s="87">
        <f ca="1">Проект!$M$1665</f>
        <v>2556024.7364676329</v>
      </c>
      <c r="N973" s="87" t="e">
        <f>Проект!#REF!</f>
        <v>#REF!</v>
      </c>
      <c r="O973" s="87" t="e">
        <f>Проект!#REF!</f>
        <v>#REF!</v>
      </c>
      <c r="P973" s="87" t="e">
        <f>Проект!#REF!</f>
        <v>#REF!</v>
      </c>
      <c r="Q973" s="87">
        <f ca="1">Проект!$Q$1665</f>
        <v>2556010.2744389339</v>
      </c>
      <c r="R973" s="48"/>
      <c r="S973" s="41"/>
    </row>
    <row r="974" spans="1:19" ht="11.25" customHeight="1" x14ac:dyDescent="0.2">
      <c r="A974" s="386" t="str">
        <f ca="1">Проект!$A$1666</f>
        <v>"Запас прочности"</v>
      </c>
      <c r="B974" s="48"/>
      <c r="C974" s="50" t="str">
        <f>Проект!$C$1666</f>
        <v>%</v>
      </c>
      <c r="D974" s="101" t="str">
        <f>Проект!$D$1666</f>
        <v>int_avg</v>
      </c>
      <c r="E974" s="48"/>
      <c r="F974" s="137" t="str">
        <f ca="1">Проект!$F$1666</f>
        <v>-</v>
      </c>
      <c r="G974" s="137" t="str">
        <f ca="1">Проект!$G$1666</f>
        <v>-</v>
      </c>
      <c r="H974" s="137">
        <f ca="1">Проект!$H$1666</f>
        <v>-17.805165956556049</v>
      </c>
      <c r="I974" s="137">
        <f ca="1">Проект!$I$1666</f>
        <v>-2.7610339929191494</v>
      </c>
      <c r="J974" s="137">
        <f ca="1">Проект!$J$1666</f>
        <v>-0.88051940381014215</v>
      </c>
      <c r="K974" s="137">
        <f ca="1">Проект!$K$1666</f>
        <v>5.9736824326366962E-2</v>
      </c>
      <c r="L974" s="137">
        <f ca="1">Проект!$L$1666</f>
        <v>0.37315575616126045</v>
      </c>
      <c r="M974" s="137">
        <f ca="1">Проект!$M$1666</f>
        <v>0.52986596224477023</v>
      </c>
      <c r="N974" s="137" t="e">
        <f>Проект!#REF!</f>
        <v>#REF!</v>
      </c>
      <c r="O974" s="137" t="e">
        <f>Проект!#REF!</f>
        <v>#REF!</v>
      </c>
      <c r="P974" s="137" t="e">
        <f>Проект!#REF!</f>
        <v>#REF!</v>
      </c>
      <c r="Q974" s="137">
        <f ca="1">Проект!$Q$1666</f>
        <v>0.81194744890825965</v>
      </c>
      <c r="R974" s="48"/>
      <c r="S974" s="41"/>
    </row>
    <row r="975" spans="1:19" ht="11.25" customHeight="1" x14ac:dyDescent="0.2">
      <c r="A975" s="48"/>
      <c r="B975" s="48"/>
      <c r="C975" s="48"/>
      <c r="D975" s="48"/>
      <c r="E975" s="48"/>
      <c r="F975" s="48"/>
      <c r="G975" s="48"/>
      <c r="H975" s="48"/>
      <c r="I975" s="48"/>
      <c r="J975" s="48"/>
      <c r="K975" s="48"/>
      <c r="L975" s="48"/>
      <c r="M975" s="48"/>
      <c r="N975" s="48"/>
      <c r="O975" s="48"/>
      <c r="P975" s="48"/>
      <c r="Q975" s="48"/>
      <c r="R975" s="48"/>
      <c r="S975" s="41"/>
    </row>
    <row r="976" spans="1:19" ht="11.25" customHeight="1" x14ac:dyDescent="0.2">
      <c r="A976" s="48" t="str">
        <f ca="1">Проект!$A$1668</f>
        <v>Рентабельность по EBITDA</v>
      </c>
      <c r="B976" s="48"/>
      <c r="C976" s="50" t="str">
        <f>Проект!$C$1668</f>
        <v>%</v>
      </c>
      <c r="D976" s="101" t="str">
        <f>Проект!$D$1668</f>
        <v>int_avg</v>
      </c>
      <c r="E976" s="48"/>
      <c r="F976" s="81">
        <f ca="1">Проект!$F$1668</f>
        <v>-1</v>
      </c>
      <c r="G976" s="81">
        <f ca="1">Проект!$G$1668</f>
        <v>-0.99999999999999978</v>
      </c>
      <c r="H976" s="81">
        <f ca="1">Проект!$H$1668</f>
        <v>-0.94681844452531783</v>
      </c>
      <c r="I976" s="81">
        <f ca="1">Проект!$I$1668</f>
        <v>-0.73409776118731918</v>
      </c>
      <c r="J976" s="81">
        <f ca="1">Проект!$J$1668</f>
        <v>-0.46820936812757058</v>
      </c>
      <c r="K976" s="81">
        <f ca="1">Проект!$K$1668</f>
        <v>6.3525885058669504E-2</v>
      </c>
      <c r="L976" s="81">
        <f ca="1">Проект!$L$1668</f>
        <v>0.59520576820866222</v>
      </c>
      <c r="M976" s="81">
        <f ca="1">Проект!$M$1668</f>
        <v>1.12683028997055</v>
      </c>
      <c r="N976" s="81" t="e">
        <f>Проект!#REF!</f>
        <v>#REF!</v>
      </c>
      <c r="O976" s="81" t="e">
        <f>Проект!#REF!</f>
        <v>#REF!</v>
      </c>
      <c r="P976" s="81" t="e">
        <f>Проект!#REF!</f>
        <v>#REF!</v>
      </c>
      <c r="Q976" s="81">
        <f ca="1">Проект!$Q$1668</f>
        <v>4.3154153154607773</v>
      </c>
      <c r="R976" s="48"/>
      <c r="S976" s="41"/>
    </row>
    <row r="977" spans="1:19" ht="11.25" customHeight="1" x14ac:dyDescent="0.2">
      <c r="A977" s="48" t="str">
        <f ca="1">Проект!$A$1669</f>
        <v>Рентабельность по EBIT</v>
      </c>
      <c r="B977" s="48"/>
      <c r="C977" s="50" t="str">
        <f>Проект!$C$1669</f>
        <v>%</v>
      </c>
      <c r="D977" s="101" t="str">
        <f>Проект!$D$1669</f>
        <v>int_avg</v>
      </c>
      <c r="E977" s="48"/>
      <c r="F977" s="81">
        <f ca="1">Проект!$F$1669</f>
        <v>-1</v>
      </c>
      <c r="G977" s="81">
        <f ca="1">Проект!$G$1669</f>
        <v>-0.99999999999999978</v>
      </c>
      <c r="H977" s="81">
        <f ca="1">Проект!$H$1669</f>
        <v>-0.94681844452531783</v>
      </c>
      <c r="I977" s="81">
        <f ca="1">Проект!$I$1669</f>
        <v>-0.73409776118731918</v>
      </c>
      <c r="J977" s="81">
        <f ca="1">Проект!$J$1669</f>
        <v>-0.46820936812757058</v>
      </c>
      <c r="K977" s="81">
        <f ca="1">Проект!$K$1669</f>
        <v>6.3525885058669504E-2</v>
      </c>
      <c r="L977" s="81">
        <f ca="1">Проект!$L$1669</f>
        <v>0.59520576820866222</v>
      </c>
      <c r="M977" s="81">
        <f ca="1">Проект!$M$1669</f>
        <v>1.12683028997055</v>
      </c>
      <c r="N977" s="81" t="e">
        <f>Проект!#REF!</f>
        <v>#REF!</v>
      </c>
      <c r="O977" s="81" t="e">
        <f>Проект!#REF!</f>
        <v>#REF!</v>
      </c>
      <c r="P977" s="81" t="e">
        <f>Проект!#REF!</f>
        <v>#REF!</v>
      </c>
      <c r="Q977" s="81">
        <f ca="1">Проект!$Q$1669</f>
        <v>4.3154153154607773</v>
      </c>
      <c r="R977" s="48"/>
      <c r="S977" s="41"/>
    </row>
    <row r="978" spans="1:19" ht="11.25" customHeight="1" x14ac:dyDescent="0.2">
      <c r="A978" s="48" t="str">
        <f ca="1">Проект!$A$1670</f>
        <v xml:space="preserve">Рентабельность по чистой прибыли </v>
      </c>
      <c r="B978" s="48"/>
      <c r="C978" s="50" t="str">
        <f>Проект!$C$1670</f>
        <v>%</v>
      </c>
      <c r="D978" s="101" t="str">
        <f>Проект!$D$1670</f>
        <v>int_avg</v>
      </c>
      <c r="E978" s="48"/>
      <c r="F978" s="81">
        <f ca="1">Проект!$F$1670</f>
        <v>-1.0139182257458705</v>
      </c>
      <c r="G978" s="81">
        <f ca="1">Проект!$G$1670</f>
        <v>-1.0368551638490737</v>
      </c>
      <c r="H978" s="81">
        <f ca="1">Проект!$H$1670</f>
        <v>-1.0038965586326851</v>
      </c>
      <c r="I978" s="81">
        <f ca="1">Проект!$I$1670</f>
        <v>-0.81726764390916395</v>
      </c>
      <c r="J978" s="81">
        <f ca="1">Проект!$J$1670</f>
        <v>-0.5763429077326665</v>
      </c>
      <c r="K978" s="81">
        <f ca="1">Проект!$K$1670</f>
        <v>-7.7679702733389241E-2</v>
      </c>
      <c r="L978" s="81">
        <f ca="1">Проект!$L$1670</f>
        <v>0.42898248323605304</v>
      </c>
      <c r="M978" s="81">
        <f ca="1">Проект!$M$1670</f>
        <v>0.9451850413074816</v>
      </c>
      <c r="N978" s="81" t="e">
        <f>Проект!#REF!</f>
        <v>#REF!</v>
      </c>
      <c r="O978" s="81" t="e">
        <f>Проект!#REF!</f>
        <v>#REF!</v>
      </c>
      <c r="P978" s="81" t="e">
        <f>Проект!#REF!</f>
        <v>#REF!</v>
      </c>
      <c r="Q978" s="81">
        <f ca="1">Проект!$Q$1670</f>
        <v>3.9964903965331304</v>
      </c>
      <c r="R978" s="48"/>
      <c r="S978" s="41"/>
    </row>
    <row r="979" spans="1:19" ht="11.25" customHeight="1" x14ac:dyDescent="0.2">
      <c r="A979" s="48"/>
      <c r="B979" s="48"/>
      <c r="C979" s="48"/>
      <c r="D979" s="48"/>
      <c r="E979" s="48"/>
      <c r="F979" s="48"/>
      <c r="G979" s="48"/>
      <c r="H979" s="48"/>
      <c r="I979" s="48"/>
      <c r="J979" s="48"/>
      <c r="K979" s="48"/>
      <c r="L979" s="48"/>
      <c r="M979" s="48"/>
      <c r="N979" s="48"/>
      <c r="O979" s="48"/>
      <c r="P979" s="48"/>
      <c r="Q979" s="48"/>
      <c r="R979" s="48"/>
      <c r="S979" s="41"/>
    </row>
    <row r="980" spans="1:19" ht="11.25" customHeight="1" x14ac:dyDescent="0.2">
      <c r="A980" s="48" t="str">
        <f ca="1">Проект!$A$1672</f>
        <v>Эффективная ставка налога на прибыль</v>
      </c>
      <c r="B980" s="44"/>
      <c r="C980" s="73" t="str">
        <f>Проект!$C$1672</f>
        <v>%</v>
      </c>
      <c r="D980" s="101" t="str">
        <f>Проект!$D$1672</f>
        <v>int_avg</v>
      </c>
      <c r="E980" s="48"/>
      <c r="F980" s="211">
        <f ca="1">Проект!$F$1672</f>
        <v>0</v>
      </c>
      <c r="G980" s="211">
        <f ca="1">Проект!$G$1672</f>
        <v>0</v>
      </c>
      <c r="H980" s="211">
        <f ca="1">Проект!$H$1672</f>
        <v>0</v>
      </c>
      <c r="I980" s="211">
        <f ca="1">Проект!$I$1672</f>
        <v>0</v>
      </c>
      <c r="J980" s="211">
        <f ca="1">Проект!$J$1672</f>
        <v>0</v>
      </c>
      <c r="K980" s="211">
        <f ca="1">Проект!$K$1672</f>
        <v>0</v>
      </c>
      <c r="L980" s="211">
        <f ca="1">Проект!$L$1672</f>
        <v>0.18241526453576512</v>
      </c>
      <c r="M980" s="211">
        <f ca="1">Проект!$M$1672</f>
        <v>0.11895080999193948</v>
      </c>
      <c r="N980" s="211" t="e">
        <f>Проект!#REF!</f>
        <v>#REF!</v>
      </c>
      <c r="O980" s="211" t="e">
        <f>Проект!#REF!</f>
        <v>#REF!</v>
      </c>
      <c r="P980" s="211" t="e">
        <f>Проект!#REF!</f>
        <v>#REF!</v>
      </c>
      <c r="Q980" s="211">
        <f ca="1">Проект!$Q$1672</f>
        <v>7.39036444035963E-2</v>
      </c>
      <c r="R980" s="48"/>
      <c r="S980" s="41"/>
    </row>
    <row r="981" spans="1:19" ht="11.25" customHeight="1" x14ac:dyDescent="0.2">
      <c r="A981" s="48"/>
      <c r="B981" s="48"/>
      <c r="C981" s="48"/>
      <c r="D981" s="48"/>
      <c r="E981" s="48"/>
      <c r="F981" s="48"/>
      <c r="G981" s="48"/>
      <c r="H981" s="48"/>
      <c r="I981" s="48"/>
      <c r="J981" s="48"/>
      <c r="K981" s="48"/>
      <c r="L981" s="48"/>
      <c r="M981" s="48"/>
      <c r="N981" s="48"/>
      <c r="O981" s="48"/>
      <c r="P981" s="48"/>
      <c r="Q981" s="48"/>
      <c r="R981" s="48"/>
      <c r="S981" s="41"/>
    </row>
    <row r="982" spans="1:19" ht="11.25" customHeight="1" x14ac:dyDescent="0.2">
      <c r="A982" s="48" t="str">
        <f ca="1">Проект!$A$1674</f>
        <v>Коэффициент общей ликвидности</v>
      </c>
      <c r="B982" s="48"/>
      <c r="C982" s="73" t="str">
        <f ca="1">Проект!$C$1674</f>
        <v>разы</v>
      </c>
      <c r="D982" s="101" t="str">
        <f>Проект!$D$1674</f>
        <v>int_avg</v>
      </c>
      <c r="E982" s="48"/>
      <c r="F982" s="388">
        <f ca="1">Проект!$F$1674</f>
        <v>0.54710826306873017</v>
      </c>
      <c r="G982" s="388">
        <f ca="1">Проект!$G$1674</f>
        <v>0.78204081203232467</v>
      </c>
      <c r="H982" s="388">
        <f ca="1">Проект!$H$1674</f>
        <v>0.7475949664375493</v>
      </c>
      <c r="I982" s="388">
        <f ca="1">Проект!$I$1674</f>
        <v>0.66009399470901353</v>
      </c>
      <c r="J982" s="388">
        <f ca="1">Проект!$J$1674</f>
        <v>0.57421377517769989</v>
      </c>
      <c r="K982" s="388">
        <f ca="1">Проект!$K$1674</f>
        <v>0.63471893221447295</v>
      </c>
      <c r="L982" s="388">
        <f ca="1">Проект!$L$1674</f>
        <v>0.62403298039675981</v>
      </c>
      <c r="M982" s="388">
        <f ca="1">Проект!$M$1674</f>
        <v>0.68047807302278418</v>
      </c>
      <c r="N982" s="388" t="e">
        <f>Проект!#REF!</f>
        <v>#REF!</v>
      </c>
      <c r="O982" s="388" t="e">
        <f>Проект!#REF!</f>
        <v>#REF!</v>
      </c>
      <c r="P982" s="388" t="e">
        <f>Проект!#REF!</f>
        <v>#REF!</v>
      </c>
      <c r="Q982" s="388">
        <f ca="1">Проект!$Q$1674</f>
        <v>7.7537922600627196</v>
      </c>
      <c r="R982" s="48"/>
      <c r="S982" s="41"/>
    </row>
    <row r="983" spans="1:19" ht="11.25" customHeight="1" x14ac:dyDescent="0.2">
      <c r="A983" s="48" t="str">
        <f ca="1">Проект!$A$1675</f>
        <v>Чистый оборотный капитал</v>
      </c>
      <c r="B983" s="48"/>
      <c r="C983" s="73" t="str">
        <f ca="1">Проект!$C$1675</f>
        <v>руб.</v>
      </c>
      <c r="D983" s="101" t="str">
        <f>Проект!$D$1675</f>
        <v>int_avg</v>
      </c>
      <c r="E983" s="48"/>
      <c r="F983" s="25">
        <f ca="1">Проект!$F$1675</f>
        <v>-607092.3155216286</v>
      </c>
      <c r="G983" s="25">
        <f ca="1">Проект!$G$1675</f>
        <v>-180749.19539783383</v>
      </c>
      <c r="H983" s="25">
        <f ca="1">Проект!$H$1675</f>
        <v>-215489.6868217946</v>
      </c>
      <c r="I983" s="25">
        <f ca="1">Проект!$I$1675</f>
        <v>-323457.27388294507</v>
      </c>
      <c r="J983" s="25">
        <f ca="1">Проект!$J$1675</f>
        <v>-457267.15514076164</v>
      </c>
      <c r="K983" s="25">
        <f ca="1">Проект!$K$1675</f>
        <v>-481656.69373345375</v>
      </c>
      <c r="L983" s="25">
        <f ca="1">Проект!$L$1675</f>
        <v>-587729.69146072608</v>
      </c>
      <c r="M983" s="25">
        <f ca="1">Проект!$M$1675</f>
        <v>-577664.96986981644</v>
      </c>
      <c r="N983" s="25" t="e">
        <f>Проект!#REF!</f>
        <v>#REF!</v>
      </c>
      <c r="O983" s="25" t="e">
        <f>Проект!#REF!</f>
        <v>#REF!</v>
      </c>
      <c r="P983" s="25" t="e">
        <f>Проект!#REF!</f>
        <v>#REF!</v>
      </c>
      <c r="Q983" s="25">
        <f ca="1">Проект!$Q$1675</f>
        <v>22124342.83720386</v>
      </c>
      <c r="R983" s="48"/>
      <c r="S983" s="41"/>
    </row>
    <row r="984" spans="1:19" ht="11.25" customHeight="1" x14ac:dyDescent="0.2">
      <c r="A984" s="48"/>
      <c r="B984" s="48"/>
      <c r="C984" s="48"/>
      <c r="D984" s="48"/>
      <c r="E984" s="48"/>
      <c r="F984" s="48"/>
      <c r="G984" s="48"/>
      <c r="H984" s="48"/>
      <c r="I984" s="48"/>
      <c r="J984" s="48"/>
      <c r="K984" s="48"/>
      <c r="L984" s="48"/>
      <c r="M984" s="48"/>
      <c r="N984" s="48"/>
      <c r="O984" s="48"/>
      <c r="P984" s="48"/>
      <c r="Q984" s="48"/>
      <c r="R984" s="48"/>
      <c r="S984" s="41"/>
    </row>
    <row r="985" spans="1:19" ht="11.25" customHeight="1" x14ac:dyDescent="0.2">
      <c r="A985" s="48" t="str">
        <f ca="1">Проект!$A$1677</f>
        <v>Коэффициент общей платежеспособности</v>
      </c>
      <c r="B985" s="48"/>
      <c r="C985" s="73" t="str">
        <f ca="1">Проект!$C$1677</f>
        <v>разы</v>
      </c>
      <c r="D985" s="101" t="str">
        <f>Проект!$D$1677</f>
        <v>int_avg</v>
      </c>
      <c r="E985" s="48"/>
      <c r="F985" s="388">
        <f ca="1">Проект!$F$1677</f>
        <v>-4.100755641427825</v>
      </c>
      <c r="G985" s="388">
        <f ca="1">Проект!$G$1677</f>
        <v>-8.7234046523167716</v>
      </c>
      <c r="H985" s="388">
        <f ca="1">Проект!$H$1677</f>
        <v>-12.883748505187326</v>
      </c>
      <c r="I985" s="388">
        <f ca="1">Проект!$I$1677</f>
        <v>-16.416319485502139</v>
      </c>
      <c r="J985" s="388">
        <f ca="1">Проект!$J$1677</f>
        <v>-19.110733349244139</v>
      </c>
      <c r="K985" s="388">
        <f ca="1">Проект!$K$1677</f>
        <v>-14.318365018917687</v>
      </c>
      <c r="L985" s="388">
        <f ca="1">Проект!$L$1677</f>
        <v>-11.160218695097603</v>
      </c>
      <c r="M985" s="388">
        <f ca="1">Проект!$M$1677</f>
        <v>-6.8855142508727534</v>
      </c>
      <c r="N985" s="388" t="e">
        <f>Проект!#REF!</f>
        <v>#REF!</v>
      </c>
      <c r="O985" s="388" t="e">
        <f>Проект!#REF!</f>
        <v>#REF!</v>
      </c>
      <c r="P985" s="388" t="e">
        <f>Проект!#REF!</f>
        <v>#REF!</v>
      </c>
      <c r="Q985" s="388">
        <f ca="1">Проект!$Q$1677</f>
        <v>0.87103084962042676</v>
      </c>
      <c r="R985" s="48"/>
      <c r="S985" s="41"/>
    </row>
    <row r="986" spans="1:19" ht="11.25" customHeight="1" x14ac:dyDescent="0.2">
      <c r="A986" s="48" t="str">
        <f ca="1">Проект!$A$1678</f>
        <v>Коэффициент автономии</v>
      </c>
      <c r="B986" s="48"/>
      <c r="C986" s="73" t="str">
        <f ca="1">Проект!$C$1678</f>
        <v>разы</v>
      </c>
      <c r="D986" s="101" t="str">
        <f>Проект!$D$1678</f>
        <v>int_avg</v>
      </c>
      <c r="E986" s="48"/>
      <c r="F986" s="388">
        <f ca="1">Проект!$F$1678</f>
        <v>-0.80395061628161513</v>
      </c>
      <c r="G986" s="388">
        <f ca="1">Проект!$G$1678</f>
        <v>-0.89715536524937978</v>
      </c>
      <c r="H986" s="388">
        <f ca="1">Проект!$H$1678</f>
        <v>-0.92797334238470441</v>
      </c>
      <c r="I986" s="388">
        <f ca="1">Проект!$I$1678</f>
        <v>-0.94258258750751389</v>
      </c>
      <c r="J986" s="388">
        <f ca="1">Проект!$J$1678</f>
        <v>-0.95027530907829449</v>
      </c>
      <c r="K986" s="388">
        <f ca="1">Проект!$K$1678</f>
        <v>-0.9347188816322739</v>
      </c>
      <c r="L986" s="388">
        <f ca="1">Проект!$L$1678</f>
        <v>-0.91776463688081944</v>
      </c>
      <c r="M986" s="388">
        <f ca="1">Проект!$M$1678</f>
        <v>-0.87318518891912189</v>
      </c>
      <c r="N986" s="388" t="e">
        <f>Проект!#REF!</f>
        <v>#REF!</v>
      </c>
      <c r="O986" s="388" t="e">
        <f>Проект!#REF!</f>
        <v>#REF!</v>
      </c>
      <c r="P986" s="388" t="e">
        <f>Проект!#REF!</f>
        <v>#REF!</v>
      </c>
      <c r="Q986" s="388">
        <f ca="1">Проект!$Q$1678</f>
        <v>6.753792260062724</v>
      </c>
      <c r="R986" s="48"/>
      <c r="S986" s="41"/>
    </row>
    <row r="987" spans="1:19" ht="11.25" customHeight="1" x14ac:dyDescent="0.2">
      <c r="A987" s="48" t="str">
        <f ca="1">Проект!$A$1679</f>
        <v>Доля долгосрочных кредитов в валюте баланса</v>
      </c>
      <c r="B987" s="48"/>
      <c r="C987" s="73" t="str">
        <f>Проект!$C$1679</f>
        <v>%</v>
      </c>
      <c r="D987" s="101" t="str">
        <f>Проект!$D$1679</f>
        <v>int_avg</v>
      </c>
      <c r="E987" s="48"/>
      <c r="F987" s="81">
        <f ca="1">Проект!$F$1679</f>
        <v>3.2729638358517219</v>
      </c>
      <c r="G987" s="81">
        <f ca="1">Проект!$G$1679</f>
        <v>8.4446990085521527</v>
      </c>
      <c r="H987" s="81">
        <f ca="1">Проект!$H$1679</f>
        <v>12.546125801860128</v>
      </c>
      <c r="I987" s="81">
        <f ca="1">Проект!$I$1679</f>
        <v>15.90138372178439</v>
      </c>
      <c r="J987" s="81">
        <f ca="1">Проект!$J$1679</f>
        <v>18.369221662781143</v>
      </c>
      <c r="K987" s="81">
        <f ca="1">Проект!$K$1679</f>
        <v>13.74286451114002</v>
      </c>
      <c r="L987" s="81">
        <f ca="1">Проект!$L$1679</f>
        <v>10.55773928869796</v>
      </c>
      <c r="M987" s="81">
        <f ca="1">Проект!$M$1679</f>
        <v>6.4159591841564172</v>
      </c>
      <c r="N987" s="81" t="e">
        <f>Проект!#REF!</f>
        <v>#REF!</v>
      </c>
      <c r="O987" s="81" t="e">
        <f>Проект!#REF!</f>
        <v>#REF!</v>
      </c>
      <c r="P987" s="81" t="e">
        <f>Проект!#REF!</f>
        <v>#REF!</v>
      </c>
      <c r="Q987" s="81">
        <f ca="1">Проект!$Q$1679</f>
        <v>-7.3331958323651316E-17</v>
      </c>
      <c r="R987" s="48"/>
      <c r="S987" s="41"/>
    </row>
    <row r="988" spans="1:19" ht="11.25" customHeight="1" x14ac:dyDescent="0.2">
      <c r="A988" s="48" t="str">
        <f ca="1">Проект!$A$1680</f>
        <v>Общий коэффициент покрытия долга</v>
      </c>
      <c r="B988" s="48"/>
      <c r="C988" s="73" t="str">
        <f ca="1">Проект!$C$1680</f>
        <v>разы</v>
      </c>
      <c r="D988" s="101" t="str">
        <f>Проект!$D$1680</f>
        <v>int_avg</v>
      </c>
      <c r="E988" s="48"/>
      <c r="F988" s="388" t="str">
        <f>Проект!$F$1680</f>
        <v>-</v>
      </c>
      <c r="G988" s="388" t="str">
        <f>Проект!$G$1680</f>
        <v>-</v>
      </c>
      <c r="H988" s="388" t="str">
        <f>Проект!$H$1680</f>
        <v>-</v>
      </c>
      <c r="I988" s="388" t="str">
        <f>Проект!$I$1680</f>
        <v>-</v>
      </c>
      <c r="J988" s="388" t="str">
        <f>Проект!$J$1680</f>
        <v>-</v>
      </c>
      <c r="K988" s="388">
        <f ca="1">Проект!$K$1680</f>
        <v>10.29734359910044</v>
      </c>
      <c r="L988" s="388">
        <f ca="1">Проект!$L$1680</f>
        <v>1.1000000000000001</v>
      </c>
      <c r="M988" s="388">
        <f ca="1">Проект!$M$1680</f>
        <v>1.1000000000000003</v>
      </c>
      <c r="N988" s="388" t="e">
        <f>Проект!#REF!</f>
        <v>#REF!</v>
      </c>
      <c r="O988" s="388" t="e">
        <f>Проект!#REF!</f>
        <v>#REF!</v>
      </c>
      <c r="P988" s="388" t="e">
        <f>Проект!#REF!</f>
        <v>#REF!</v>
      </c>
      <c r="Q988" s="388" t="str">
        <f>Проект!$Q$1680</f>
        <v>-</v>
      </c>
      <c r="R988" s="48"/>
      <c r="S988" s="41"/>
    </row>
    <row r="989" spans="1:19" ht="11.25" customHeight="1" x14ac:dyDescent="0.2">
      <c r="A989" s="48" t="str">
        <f ca="1">Проект!$A$1681</f>
        <v>Покрытие процентов по кредитам</v>
      </c>
      <c r="B989" s="48"/>
      <c r="C989" s="73" t="str">
        <f ca="1">Проект!$C$1681</f>
        <v>разы</v>
      </c>
      <c r="D989" s="101" t="str">
        <f>Проект!$D$1681</f>
        <v>int_avg</v>
      </c>
      <c r="E989" s="48"/>
      <c r="F989" s="389">
        <f ca="1">Проект!$F$1681</f>
        <v>-71.848238292635187</v>
      </c>
      <c r="G989" s="389">
        <f ca="1">Проект!$G$1681</f>
        <v>-27.133239838387659</v>
      </c>
      <c r="H989" s="389">
        <f ca="1">Проект!$H$1681</f>
        <v>-17.570370689747897</v>
      </c>
      <c r="I989" s="389">
        <f ca="1">Проект!$I$1681</f>
        <v>-10.921514358424567</v>
      </c>
      <c r="J989" s="389">
        <f ca="1">Проект!$J$1681</f>
        <v>-6.1423758755867457</v>
      </c>
      <c r="K989" s="389">
        <f ca="1">Проект!$K$1681</f>
        <v>0.82081112987997706</v>
      </c>
      <c r="L989" s="389">
        <f ca="1">Проект!$L$1681</f>
        <v>8.4413252420431668</v>
      </c>
      <c r="M989" s="389">
        <f ca="1">Проект!$M$1681</f>
        <v>20.853544861107714</v>
      </c>
      <c r="N989" s="389" t="e">
        <f>Проект!#REF!</f>
        <v>#REF!</v>
      </c>
      <c r="O989" s="389" t="e">
        <f>Проект!#REF!</f>
        <v>#REF!</v>
      </c>
      <c r="P989" s="389" t="e">
        <f>Проект!#REF!</f>
        <v>#REF!</v>
      </c>
      <c r="Q989" s="389" t="str">
        <f>Проект!$Q$1681</f>
        <v>-</v>
      </c>
      <c r="R989" s="48"/>
      <c r="S989" s="41"/>
    </row>
    <row r="992" spans="1:19" ht="16" customHeight="1" thickBot="1" x14ac:dyDescent="0.25">
      <c r="A992" s="166" t="str">
        <f ca="1">Проект!$A$1759</f>
        <v xml:space="preserve">         ЭФФЕКТИВНОСТЬ ПОЛНЫХ ИНВЕСТИЦИОННЫХ ЗАТРАТ</v>
      </c>
      <c r="B992" s="166"/>
      <c r="C992" s="166"/>
      <c r="D992" s="166"/>
      <c r="E992" s="166"/>
      <c r="F992" s="178" t="str">
        <f>Проект!$F$1759</f>
        <v>4/ 2024</v>
      </c>
      <c r="G992" s="178" t="str">
        <f>Проект!$G$1759</f>
        <v>5/ 2024</v>
      </c>
      <c r="H992" s="178" t="str">
        <f>Проект!$H$1759</f>
        <v>6/ 2024</v>
      </c>
      <c r="I992" s="178" t="str">
        <f>Проект!$I$1759</f>
        <v>7/ 2024</v>
      </c>
      <c r="J992" s="178" t="str">
        <f>Проект!$J$1759</f>
        <v>8/ 2024</v>
      </c>
      <c r="K992" s="178" t="str">
        <f>Проект!$K$1759</f>
        <v>9/ 2024</v>
      </c>
      <c r="L992" s="178" t="str">
        <f>Проект!$L$1759</f>
        <v>10/ 2024</v>
      </c>
      <c r="M992" s="178" t="str">
        <f>Проект!$M$1759</f>
        <v>11/ 2024</v>
      </c>
      <c r="N992" s="178" t="e">
        <f>Проект!#REF!</f>
        <v>#REF!</v>
      </c>
      <c r="O992" s="178" t="e">
        <f>Проект!#REF!</f>
        <v>#REF!</v>
      </c>
      <c r="P992" s="178" t="e">
        <f>Проект!#REF!</f>
        <v>#REF!</v>
      </c>
      <c r="Q992" s="178" t="str">
        <f>Проект!$Q$1759</f>
        <v>3/ 2025</v>
      </c>
      <c r="R992" s="166"/>
      <c r="S992" s="167" t="str">
        <f ca="1">Проект!$S$1759</f>
        <v>ИТОГО</v>
      </c>
    </row>
    <row r="993" spans="1:19" ht="12" customHeight="1" thickTop="1" x14ac:dyDescent="0.2">
      <c r="A993" s="48"/>
      <c r="B993" s="48"/>
      <c r="C993" s="48"/>
      <c r="D993" s="48"/>
      <c r="E993" s="48"/>
      <c r="F993" s="48"/>
      <c r="G993" s="48"/>
      <c r="H993" s="48"/>
      <c r="I993" s="48"/>
      <c r="J993" s="48"/>
      <c r="K993" s="48"/>
      <c r="L993" s="48"/>
      <c r="M993" s="48"/>
      <c r="N993" s="48"/>
      <c r="O993" s="48"/>
      <c r="P993" s="48"/>
      <c r="Q993" s="48"/>
      <c r="R993" s="48"/>
      <c r="S993" s="41"/>
    </row>
    <row r="994" spans="1:19" ht="11.25" customHeight="1" x14ac:dyDescent="0.2">
      <c r="A994" s="48" t="str">
        <f ca="1">Проект!$A$1761</f>
        <v>Учитывать ранее осуществленные инвестиции</v>
      </c>
      <c r="B994" s="334">
        <f>Проект!$B$1761</f>
        <v>2</v>
      </c>
      <c r="C994" s="197" t="str">
        <f ca="1">Проект!$C$1761</f>
        <v>Нет</v>
      </c>
      <c r="D994" s="48"/>
      <c r="E994" s="48"/>
      <c r="F994" s="48"/>
      <c r="G994" s="48"/>
      <c r="H994" s="48"/>
      <c r="I994" s="48"/>
      <c r="J994" s="48"/>
      <c r="K994" s="48"/>
      <c r="L994" s="48"/>
      <c r="M994" s="48"/>
      <c r="N994" s="48"/>
      <c r="O994" s="48"/>
      <c r="P994" s="48"/>
      <c r="Q994" s="48"/>
      <c r="R994" s="48"/>
      <c r="S994" s="41"/>
    </row>
    <row r="995" spans="1:19" ht="11.25" customHeight="1" x14ac:dyDescent="0.2">
      <c r="A995" s="48" t="str">
        <f ca="1">Проект!$A$1762</f>
        <v>Учитывать остаточную стоимость проекта</v>
      </c>
      <c r="B995" s="334">
        <f>Проект!$B$1762</f>
        <v>1</v>
      </c>
      <c r="C995" s="197" t="str">
        <f ca="1">Проект!$C$1762</f>
        <v>Да</v>
      </c>
      <c r="D995" s="48"/>
      <c r="E995" s="48"/>
      <c r="F995" s="48"/>
      <c r="G995" s="48"/>
      <c r="H995" s="48"/>
      <c r="I995" s="48"/>
      <c r="J995" s="48"/>
      <c r="K995" s="48"/>
      <c r="L995" s="48"/>
      <c r="M995" s="48"/>
      <c r="N995" s="48"/>
      <c r="O995" s="48"/>
      <c r="P995" s="48"/>
      <c r="Q995" s="48"/>
      <c r="R995" s="48"/>
      <c r="S995" s="41"/>
    </row>
    <row r="996" spans="1:19" ht="11.25" customHeight="1" x14ac:dyDescent="0.2">
      <c r="A996" s="48" t="str">
        <f ca="1">Проект!$A$1763</f>
        <v>Валюта расчетов:</v>
      </c>
      <c r="B996" s="334">
        <f>Проект!$B$1763</f>
        <v>1</v>
      </c>
      <c r="C996" s="50" t="str">
        <f ca="1">Проект!$C$1763</f>
        <v>руб.</v>
      </c>
      <c r="D996" s="48"/>
      <c r="E996" s="48"/>
      <c r="F996" s="48"/>
      <c r="G996" s="48"/>
      <c r="H996" s="48"/>
      <c r="I996" s="48"/>
      <c r="J996" s="48"/>
      <c r="K996" s="48"/>
      <c r="L996" s="48"/>
      <c r="M996" s="48"/>
      <c r="N996" s="48"/>
      <c r="O996" s="48"/>
      <c r="P996" s="48"/>
      <c r="Q996" s="48"/>
      <c r="R996" s="48"/>
      <c r="S996" s="41"/>
    </row>
    <row r="997" spans="1:19" ht="11.25" customHeight="1" x14ac:dyDescent="0.2">
      <c r="A997" s="48" t="str">
        <f ca="1">Проект!$A$1764</f>
        <v>Годовая ставка дисконтирования:</v>
      </c>
      <c r="B997" s="344">
        <f>Проект!$B$1764</f>
        <v>0.25</v>
      </c>
      <c r="C997" s="73" t="str">
        <f>Проект!$C$1764</f>
        <v>%</v>
      </c>
      <c r="D997" s="101" t="str">
        <f>Проект!$D$1764</f>
        <v>int_avg</v>
      </c>
      <c r="E997" s="48"/>
      <c r="F997" s="135">
        <f>Проект!$F$1764</f>
        <v>0.25</v>
      </c>
      <c r="G997" s="135">
        <f>Проект!$G$1764</f>
        <v>0.25</v>
      </c>
      <c r="H997" s="135">
        <f>Проект!$H$1764</f>
        <v>0.25</v>
      </c>
      <c r="I997" s="135">
        <f>Проект!$I$1764</f>
        <v>0.25</v>
      </c>
      <c r="J997" s="135">
        <f>Проект!$J$1764</f>
        <v>0.25</v>
      </c>
      <c r="K997" s="135">
        <f>Проект!$K$1764</f>
        <v>0.25</v>
      </c>
      <c r="L997" s="135">
        <f>Проект!$L$1764</f>
        <v>0.25</v>
      </c>
      <c r="M997" s="135">
        <f>Проект!$M$1764</f>
        <v>0.25</v>
      </c>
      <c r="N997" s="135" t="e">
        <f>Проект!#REF!</f>
        <v>#REF!</v>
      </c>
      <c r="O997" s="135" t="e">
        <f>Проект!#REF!</f>
        <v>#REF!</v>
      </c>
      <c r="P997" s="135" t="e">
        <f>Проект!#REF!</f>
        <v>#REF!</v>
      </c>
      <c r="Q997" s="135">
        <f>Проект!$Q$1764</f>
        <v>0.25</v>
      </c>
      <c r="R997" s="48"/>
      <c r="S997" s="41"/>
    </row>
    <row r="998" spans="1:19" hidden="1" x14ac:dyDescent="0.2">
      <c r="A998" s="48" t="str">
        <f ca="1">Проект!$A$1765</f>
        <v xml:space="preserve">    ставка дисконтирования на расчетный период</v>
      </c>
      <c r="B998" s="48"/>
      <c r="C998" s="48"/>
      <c r="D998" s="101" t="str">
        <f>Проект!$D$1765</f>
        <v>int_avg</v>
      </c>
      <c r="E998" s="48"/>
      <c r="F998" s="135">
        <f>Проект!$F$1765</f>
        <v>1.8105030477883588E-2</v>
      </c>
      <c r="G998" s="135">
        <f>Проект!$G$1765</f>
        <v>1.8105030477883588E-2</v>
      </c>
      <c r="H998" s="135">
        <f>Проект!$H$1765</f>
        <v>1.8105030477883588E-2</v>
      </c>
      <c r="I998" s="135">
        <f>Проект!$I$1765</f>
        <v>1.8105030477883588E-2</v>
      </c>
      <c r="J998" s="135">
        <f>Проект!$J$1765</f>
        <v>1.8105030477883588E-2</v>
      </c>
      <c r="K998" s="135">
        <f>Проект!$K$1765</f>
        <v>1.8105030477883588E-2</v>
      </c>
      <c r="L998" s="135">
        <f>Проект!$L$1765</f>
        <v>1.8105030477883588E-2</v>
      </c>
      <c r="M998" s="135">
        <f>Проект!$M$1765</f>
        <v>1.8105030477883588E-2</v>
      </c>
      <c r="N998" s="135" t="e">
        <f>Проект!#REF!</f>
        <v>#REF!</v>
      </c>
      <c r="O998" s="135" t="e">
        <f>Проект!#REF!</f>
        <v>#REF!</v>
      </c>
      <c r="P998" s="135" t="e">
        <f>Проект!#REF!</f>
        <v>#REF!</v>
      </c>
      <c r="Q998" s="135">
        <f>Проект!$Q$1765</f>
        <v>1.8105030477883588E-2</v>
      </c>
      <c r="R998" s="48"/>
      <c r="S998" s="41"/>
    </row>
    <row r="999" spans="1:19" hidden="1" x14ac:dyDescent="0.2">
      <c r="A999" s="48" t="str">
        <f ca="1">Проект!$A$1766</f>
        <v xml:space="preserve">    коэффициент дисконта для потока на начало периода</v>
      </c>
      <c r="B999" s="48"/>
      <c r="C999" s="48"/>
      <c r="D999" s="101" t="str">
        <f>Проект!$D$1766</f>
        <v>int_avg</v>
      </c>
      <c r="E999" s="48"/>
      <c r="F999" s="390">
        <f>Проект!$F$1766</f>
        <v>1</v>
      </c>
      <c r="G999" s="390">
        <f>Проект!$G$1766</f>
        <v>1.0181050304778836</v>
      </c>
      <c r="H999" s="390">
        <f>Проект!$H$1766</f>
        <v>1.0365378530843723</v>
      </c>
      <c r="I999" s="390">
        <f>Проект!$I$1766</f>
        <v>1.0553044025059448</v>
      </c>
      <c r="J999" s="390">
        <f>Проект!$J$1766</f>
        <v>1.0744107208767597</v>
      </c>
      <c r="K999" s="390">
        <f>Проект!$K$1766</f>
        <v>1.0938629597239984</v>
      </c>
      <c r="L999" s="390">
        <f>Проект!$L$1766</f>
        <v>1.1136673819484293</v>
      </c>
      <c r="M999" s="390">
        <f>Проект!$M$1766</f>
        <v>1.1338303638408305</v>
      </c>
      <c r="N999" s="390" t="e">
        <f>Проект!#REF!</f>
        <v>#REF!</v>
      </c>
      <c r="O999" s="390" t="e">
        <f>Проект!#REF!</f>
        <v>#REF!</v>
      </c>
      <c r="P999" s="390" t="e">
        <f>Проект!#REF!</f>
        <v>#REF!</v>
      </c>
      <c r="Q999" s="390">
        <f>Проект!$Q$1766</f>
        <v>1.2181994985661853</v>
      </c>
      <c r="R999" s="48"/>
      <c r="S999" s="41"/>
    </row>
    <row r="1000" spans="1:19" ht="11.25" customHeight="1" x14ac:dyDescent="0.2">
      <c r="A1000" s="48"/>
      <c r="B1000" s="48"/>
      <c r="C1000" s="48"/>
      <c r="D1000" s="48"/>
      <c r="E1000" s="48"/>
      <c r="F1000" s="390"/>
      <c r="G1000" s="48"/>
      <c r="H1000" s="48"/>
      <c r="I1000" s="48"/>
      <c r="J1000" s="48"/>
      <c r="K1000" s="48"/>
      <c r="L1000" s="48"/>
      <c r="M1000" s="48"/>
      <c r="N1000" s="48"/>
      <c r="O1000" s="48"/>
      <c r="P1000" s="48"/>
      <c r="Q1000" s="48"/>
      <c r="R1000" s="48"/>
      <c r="S1000" s="41"/>
    </row>
    <row r="1001" spans="1:19" hidden="1" x14ac:dyDescent="0.2">
      <c r="A1001" s="52" t="str">
        <f ca="1">Проект!$A$1768</f>
        <v>Учитываемые денежные потоки проекта:</v>
      </c>
      <c r="B1001" s="48"/>
      <c r="C1001" s="48"/>
      <c r="D1001" s="48"/>
      <c r="E1001" s="48"/>
      <c r="F1001" s="48"/>
      <c r="G1001" s="48"/>
      <c r="H1001" s="48"/>
      <c r="I1001" s="48"/>
      <c r="J1001" s="48"/>
      <c r="K1001" s="48"/>
      <c r="L1001" s="48"/>
      <c r="M1001" s="48"/>
      <c r="N1001" s="48"/>
      <c r="O1001" s="48"/>
      <c r="P1001" s="48"/>
      <c r="Q1001" s="48"/>
      <c r="R1001" s="48"/>
      <c r="S1001" s="41"/>
    </row>
    <row r="1002" spans="1:19" hidden="1" x14ac:dyDescent="0.2">
      <c r="A1002" s="48" t="str">
        <f ca="1">Проект!$A$1769</f>
        <v>Денежные потоки от операционной деятельности</v>
      </c>
      <c r="B1002" s="197" t="str">
        <f ca="1">Проект!$B$1769</f>
        <v>Да</v>
      </c>
      <c r="C1002" s="73" t="str">
        <f ca="1">Проект!$C$1769</f>
        <v>руб.</v>
      </c>
      <c r="D1002" s="48"/>
      <c r="E1002" s="48"/>
      <c r="F1002" s="84">
        <f ca="1">Проект!$F$1769</f>
        <v>-2966160</v>
      </c>
      <c r="G1002" s="84">
        <f ca="1">Проект!$G$1769</f>
        <v>-2555760</v>
      </c>
      <c r="H1002" s="84">
        <f ca="1">Проект!$H$1769</f>
        <v>-2428008.50875</v>
      </c>
      <c r="I1002" s="84">
        <f ca="1">Проект!$I$1769</f>
        <v>-1917002.54375</v>
      </c>
      <c r="J1002" s="84">
        <f ca="1">Проект!$J$1769</f>
        <v>-1278245.0874999999</v>
      </c>
      <c r="K1002" s="84">
        <f ca="1">Проект!$K$1769</f>
        <v>-730.17499999981374</v>
      </c>
      <c r="L1002" s="84">
        <f ca="1">Проект!$L$1769</f>
        <v>1096547.5479740878</v>
      </c>
      <c r="M1002" s="84">
        <f ca="1">Проект!$M$1769</f>
        <v>2416169.2904287507</v>
      </c>
      <c r="N1002" s="84" t="e">
        <f>Проект!#REF!</f>
        <v>#REF!</v>
      </c>
      <c r="O1002" s="84" t="e">
        <f>Проект!#REF!</f>
        <v>#REF!</v>
      </c>
      <c r="P1002" s="84" t="e">
        <f>Проект!#REF!</f>
        <v>#REF!</v>
      </c>
      <c r="Q1002" s="84">
        <f ca="1">Проект!$Q$1769</f>
        <v>10219389.125</v>
      </c>
      <c r="R1002" s="48"/>
      <c r="S1002" s="94">
        <f ca="1">Проект!$S$1769</f>
        <v>22961981.734547932</v>
      </c>
    </row>
    <row r="1003" spans="1:19" hidden="1" x14ac:dyDescent="0.2">
      <c r="A1003" s="48" t="str">
        <f ca="1">Проект!$A$1770</f>
        <v xml:space="preserve">    за исключением процентов по кредитам</v>
      </c>
      <c r="B1003" s="197" t="str">
        <f ca="1">Проект!$B$1770</f>
        <v>Да</v>
      </c>
      <c r="C1003" s="73" t="str">
        <f ca="1">Проект!$C$1770</f>
        <v>руб.</v>
      </c>
      <c r="D1003" s="73"/>
      <c r="E1003" s="48"/>
      <c r="F1003" s="84">
        <f>Проект!$F$1770</f>
        <v>0</v>
      </c>
      <c r="G1003" s="84">
        <f>Проект!$G$1770</f>
        <v>0</v>
      </c>
      <c r="H1003" s="84">
        <f>Проект!$H$1770</f>
        <v>0</v>
      </c>
      <c r="I1003" s="84">
        <f>Проект!$I$1770</f>
        <v>0</v>
      </c>
      <c r="J1003" s="84">
        <f>Проект!$J$1770</f>
        <v>0</v>
      </c>
      <c r="K1003" s="84">
        <f>Проект!$K$1770</f>
        <v>0</v>
      </c>
      <c r="L1003" s="84">
        <f>Проект!$L$1770</f>
        <v>180237.18952591211</v>
      </c>
      <c r="M1003" s="84">
        <f>Проект!$M$1770</f>
        <v>138130.35957124989</v>
      </c>
      <c r="N1003" s="84" t="e">
        <f>Проект!#REF!</f>
        <v>#REF!</v>
      </c>
      <c r="O1003" s="84" t="e">
        <f>Проект!#REF!</f>
        <v>#REF!</v>
      </c>
      <c r="P1003" s="84" t="e">
        <f>Проект!#REF!</f>
        <v>#REF!</v>
      </c>
      <c r="Q1003" s="84">
        <f>Проект!$Q$1770</f>
        <v>0</v>
      </c>
      <c r="R1003" s="48"/>
      <c r="S1003" s="94">
        <f>Проект!$S$1770</f>
        <v>380633.53795206588</v>
      </c>
    </row>
    <row r="1004" spans="1:19" hidden="1" x14ac:dyDescent="0.2">
      <c r="A1004" s="48" t="str">
        <f ca="1">Проект!$A$1771</f>
        <v>Денежные потоки от инвестиционной деятельности</v>
      </c>
      <c r="B1004" s="197" t="str">
        <f ca="1">Проект!$B$1771</f>
        <v>Да</v>
      </c>
      <c r="C1004" s="73" t="str">
        <f ca="1">Проект!$C$1771</f>
        <v>руб.</v>
      </c>
      <c r="D1004" s="73"/>
      <c r="E1004" s="48"/>
      <c r="F1004" s="84">
        <f ca="1">Проект!$F$1771</f>
        <v>648376</v>
      </c>
      <c r="G1004" s="84">
        <f ca="1">Проект!$G$1771</f>
        <v>-415440</v>
      </c>
      <c r="H1004" s="84">
        <f ca="1">Проект!$H$1771</f>
        <v>24435.877125000115</v>
      </c>
      <c r="I1004" s="84">
        <f ca="1">Проект!$I$1771</f>
        <v>97743.508499999763</v>
      </c>
      <c r="J1004" s="84">
        <f ca="1">Проект!$J$1771</f>
        <v>122179.385625</v>
      </c>
      <c r="K1004" s="84">
        <f ca="1">Проект!$K$1771</f>
        <v>244358.77125000022</v>
      </c>
      <c r="L1004" s="84">
        <f ca="1">Проект!$L$1771</f>
        <v>244358.77124999976</v>
      </c>
      <c r="M1004" s="84">
        <f ca="1">Проект!$M$1771</f>
        <v>244358.77125000011</v>
      </c>
      <c r="N1004" s="84" t="e">
        <f>Проект!#REF!</f>
        <v>#REF!</v>
      </c>
      <c r="O1004" s="84" t="e">
        <f>Проект!#REF!</f>
        <v>#REF!</v>
      </c>
      <c r="P1004" s="84" t="e">
        <f>Проект!#REF!</f>
        <v>#REF!</v>
      </c>
      <c r="Q1004" s="84">
        <f ca="1">Проект!$Q$1771</f>
        <v>244358.77124999976</v>
      </c>
      <c r="R1004" s="48"/>
      <c r="S1004" s="94">
        <f ca="1">Проект!$S$1771</f>
        <v>2676523.7124999999</v>
      </c>
    </row>
    <row r="1005" spans="1:19" hidden="1" x14ac:dyDescent="0.2">
      <c r="A1005" s="48" t="str">
        <f ca="1">Проект!$A$1772</f>
        <v>Поступления собственного капитала</v>
      </c>
      <c r="B1005" s="197" t="str">
        <f ca="1">Проект!$B$1772</f>
        <v>Нет</v>
      </c>
      <c r="C1005" s="73" t="str">
        <f ca="1">Проект!$C$1772</f>
        <v>руб.</v>
      </c>
      <c r="D1005" s="73"/>
      <c r="E1005" s="48"/>
      <c r="F1005" s="48"/>
      <c r="G1005" s="48"/>
      <c r="H1005" s="48"/>
      <c r="I1005" s="48"/>
      <c r="J1005" s="48"/>
      <c r="K1005" s="48"/>
      <c r="L1005" s="48"/>
      <c r="M1005" s="48"/>
      <c r="N1005" s="48"/>
      <c r="O1005" s="48"/>
      <c r="P1005" s="48"/>
      <c r="Q1005" s="48"/>
      <c r="R1005" s="48"/>
      <c r="S1005" s="41"/>
    </row>
    <row r="1006" spans="1:19" hidden="1" x14ac:dyDescent="0.2">
      <c r="A1006" s="48" t="str">
        <f ca="1">Проект!$A$1773</f>
        <v>Поступления целевого финансирования</v>
      </c>
      <c r="B1006" s="197" t="str">
        <f ca="1">Проект!$B$1773</f>
        <v>Нет</v>
      </c>
      <c r="C1006" s="73" t="str">
        <f ca="1">Проект!$C$1773</f>
        <v>руб.</v>
      </c>
      <c r="D1006" s="73"/>
      <c r="E1006" s="48"/>
      <c r="F1006" s="48"/>
      <c r="G1006" s="48"/>
      <c r="H1006" s="48"/>
      <c r="I1006" s="48"/>
      <c r="J1006" s="48"/>
      <c r="K1006" s="48"/>
      <c r="L1006" s="48"/>
      <c r="M1006" s="48"/>
      <c r="N1006" s="48"/>
      <c r="O1006" s="48"/>
      <c r="P1006" s="48"/>
      <c r="Q1006" s="48"/>
      <c r="R1006" s="48"/>
      <c r="S1006" s="41"/>
    </row>
    <row r="1007" spans="1:19" hidden="1" x14ac:dyDescent="0.2">
      <c r="A1007" s="48" t="str">
        <f ca="1">Проект!$A$1774</f>
        <v>Поступления кредитов</v>
      </c>
      <c r="B1007" s="197" t="str">
        <f ca="1">Проект!$B$1774</f>
        <v>Нет</v>
      </c>
      <c r="C1007" s="73" t="str">
        <f ca="1">Проект!$C$1774</f>
        <v>руб.</v>
      </c>
      <c r="D1007" s="73"/>
      <c r="E1007" s="48"/>
      <c r="F1007" s="48"/>
      <c r="G1007" s="48"/>
      <c r="H1007" s="48"/>
      <c r="I1007" s="48"/>
      <c r="J1007" s="48"/>
      <c r="K1007" s="48"/>
      <c r="L1007" s="48"/>
      <c r="M1007" s="48"/>
      <c r="N1007" s="48"/>
      <c r="O1007" s="48"/>
      <c r="P1007" s="48"/>
      <c r="Q1007" s="48"/>
      <c r="R1007" s="48"/>
      <c r="S1007" s="41"/>
    </row>
    <row r="1008" spans="1:19" hidden="1" x14ac:dyDescent="0.2">
      <c r="A1008" s="48" t="str">
        <f ca="1">Проект!$A$1775</f>
        <v>Возврат кредитов</v>
      </c>
      <c r="B1008" s="197" t="str">
        <f ca="1">Проект!$B$1775</f>
        <v>Нет</v>
      </c>
      <c r="C1008" s="73" t="str">
        <f ca="1">Проект!$C$1775</f>
        <v>руб.</v>
      </c>
      <c r="D1008" s="73"/>
      <c r="E1008" s="48"/>
      <c r="F1008" s="48"/>
      <c r="G1008" s="48"/>
      <c r="H1008" s="48"/>
      <c r="I1008" s="48"/>
      <c r="J1008" s="48"/>
      <c r="K1008" s="48"/>
      <c r="L1008" s="48"/>
      <c r="M1008" s="48"/>
      <c r="N1008" s="48"/>
      <c r="O1008" s="48"/>
      <c r="P1008" s="48"/>
      <c r="Q1008" s="48"/>
      <c r="R1008" s="48"/>
      <c r="S1008" s="41"/>
    </row>
    <row r="1009" spans="1:19" hidden="1" x14ac:dyDescent="0.2">
      <c r="A1009" s="48" t="str">
        <f ca="1">Проект!$A$1776</f>
        <v>Лизинговые платежи</v>
      </c>
      <c r="B1009" s="197" t="str">
        <f ca="1">Проект!$B$1776</f>
        <v>Да</v>
      </c>
      <c r="C1009" s="73" t="str">
        <f ca="1">Проект!$C$1776</f>
        <v>руб.</v>
      </c>
      <c r="D1009" s="73"/>
      <c r="E1009" s="48"/>
      <c r="F1009" s="84">
        <f ca="1">Проект!$F$1776</f>
        <v>0</v>
      </c>
      <c r="G1009" s="84">
        <f ca="1">Проект!$G$1776</f>
        <v>0</v>
      </c>
      <c r="H1009" s="84">
        <f ca="1">Проект!$H$1776</f>
        <v>0</v>
      </c>
      <c r="I1009" s="84">
        <f ca="1">Проект!$I$1776</f>
        <v>0</v>
      </c>
      <c r="J1009" s="84">
        <f ca="1">Проект!$J$1776</f>
        <v>0</v>
      </c>
      <c r="K1009" s="84">
        <f ca="1">Проект!$K$1776</f>
        <v>0</v>
      </c>
      <c r="L1009" s="84">
        <f ca="1">Проект!$L$1776</f>
        <v>0</v>
      </c>
      <c r="M1009" s="84">
        <f ca="1">Проект!$M$1776</f>
        <v>0</v>
      </c>
      <c r="N1009" s="84" t="e">
        <f>Проект!#REF!</f>
        <v>#REF!</v>
      </c>
      <c r="O1009" s="84" t="e">
        <f>Проект!#REF!</f>
        <v>#REF!</v>
      </c>
      <c r="P1009" s="84" t="e">
        <f>Проект!#REF!</f>
        <v>#REF!</v>
      </c>
      <c r="Q1009" s="84">
        <f ca="1">Проект!$Q$1776</f>
        <v>0</v>
      </c>
      <c r="R1009" s="48"/>
      <c r="S1009" s="94">
        <f ca="1">Проект!$S$1776</f>
        <v>0</v>
      </c>
    </row>
    <row r="1010" spans="1:19" hidden="1" x14ac:dyDescent="0.2">
      <c r="A1010" s="48" t="str">
        <f ca="1">Проект!$A$1777</f>
        <v>Выплата дивидендов</v>
      </c>
      <c r="B1010" s="197" t="str">
        <f ca="1">Проект!$B$1777</f>
        <v>Нет</v>
      </c>
      <c r="C1010" s="73" t="str">
        <f ca="1">Проект!$C$1777</f>
        <v>руб.</v>
      </c>
      <c r="D1010" s="73"/>
      <c r="E1010" s="48"/>
      <c r="F1010" s="48"/>
      <c r="G1010" s="48"/>
      <c r="H1010" s="48"/>
      <c r="I1010" s="48"/>
      <c r="J1010" s="48"/>
      <c r="K1010" s="48"/>
      <c r="L1010" s="48"/>
      <c r="M1010" s="48"/>
      <c r="N1010" s="48"/>
      <c r="O1010" s="48"/>
      <c r="P1010" s="48"/>
      <c r="Q1010" s="48"/>
      <c r="R1010" s="48"/>
      <c r="S1010" s="41"/>
    </row>
    <row r="1011" spans="1:19" hidden="1" x14ac:dyDescent="0.2">
      <c r="A1011" s="48" t="str">
        <f ca="1">Проект!$A$1778</f>
        <v>Ранее осуществленные инвестиции</v>
      </c>
      <c r="B1011" s="197" t="str">
        <f ca="1">Проект!$B$1778</f>
        <v>Нет</v>
      </c>
      <c r="C1011" s="73" t="str">
        <f ca="1">Проект!$C$1778</f>
        <v>руб.</v>
      </c>
      <c r="D1011" s="73"/>
      <c r="E1011" s="48"/>
      <c r="F1011" s="84">
        <f>Проект!$F$1778</f>
        <v>0</v>
      </c>
      <c r="G1011" s="48">
        <f>Проект!$G$1778</f>
        <v>0</v>
      </c>
      <c r="H1011" s="48">
        <f>Проект!$H$1778</f>
        <v>0</v>
      </c>
      <c r="I1011" s="48">
        <f>Проект!$I$1778</f>
        <v>0</v>
      </c>
      <c r="J1011" s="48">
        <f>Проект!$J$1778</f>
        <v>0</v>
      </c>
      <c r="K1011" s="48">
        <f>Проект!$K$1778</f>
        <v>0</v>
      </c>
      <c r="L1011" s="48">
        <f>Проект!$L$1778</f>
        <v>0</v>
      </c>
      <c r="M1011" s="48">
        <f>Проект!$M$1778</f>
        <v>0</v>
      </c>
      <c r="N1011" s="48" t="e">
        <f>Проект!#REF!</f>
        <v>#REF!</v>
      </c>
      <c r="O1011" s="48" t="e">
        <f>Проект!#REF!</f>
        <v>#REF!</v>
      </c>
      <c r="P1011" s="48" t="e">
        <f>Проект!#REF!</f>
        <v>#REF!</v>
      </c>
      <c r="Q1011" s="48">
        <f>Проект!$Q$1778</f>
        <v>0</v>
      </c>
      <c r="R1011" s="48"/>
      <c r="S1011" s="94">
        <f>Проект!$S$1778</f>
        <v>0</v>
      </c>
    </row>
    <row r="1012" spans="1:19" hidden="1" x14ac:dyDescent="0.2">
      <c r="A1012" s="48" t="str">
        <f ca="1">Проект!$A$1779</f>
        <v>Остаточная стоимость проекта</v>
      </c>
      <c r="B1012" s="197" t="str">
        <f ca="1">Проект!$B$1779</f>
        <v>Да</v>
      </c>
      <c r="C1012" s="73" t="str">
        <f ca="1">Проект!$C$1779</f>
        <v>руб.</v>
      </c>
      <c r="D1012" s="73"/>
      <c r="E1012" s="48"/>
      <c r="F1012" s="83">
        <f>Проект!$F$1779</f>
        <v>0</v>
      </c>
      <c r="G1012" s="83">
        <f>Проект!$G$1779</f>
        <v>0</v>
      </c>
      <c r="H1012" s="83">
        <f>Проект!$H$1779</f>
        <v>0</v>
      </c>
      <c r="I1012" s="83">
        <f>Проект!$I$1779</f>
        <v>0</v>
      </c>
      <c r="J1012" s="83">
        <f>Проект!$J$1779</f>
        <v>0</v>
      </c>
      <c r="K1012" s="83">
        <f>Проект!$K$1779</f>
        <v>0</v>
      </c>
      <c r="L1012" s="83">
        <f>Проект!$L$1779</f>
        <v>0</v>
      </c>
      <c r="M1012" s="83">
        <f>Проект!$M$1779</f>
        <v>0</v>
      </c>
      <c r="N1012" s="83" t="e">
        <f>Проект!#REF!</f>
        <v>#REF!</v>
      </c>
      <c r="O1012" s="83" t="e">
        <f>Проект!#REF!</f>
        <v>#REF!</v>
      </c>
      <c r="P1012" s="83" t="e">
        <f>Проект!#REF!</f>
        <v>#REF!</v>
      </c>
      <c r="Q1012" s="83">
        <f ca="1">Проект!$Q$1779</f>
        <v>-3273178.25</v>
      </c>
      <c r="R1012" s="48"/>
      <c r="S1012" s="94">
        <f ca="1">Проект!$S$1779</f>
        <v>-3273178.25</v>
      </c>
    </row>
    <row r="1013" spans="1:19" ht="10.5" hidden="1" x14ac:dyDescent="0.25">
      <c r="A1013" s="76"/>
      <c r="B1013" s="76"/>
      <c r="C1013" s="391"/>
      <c r="D1013" s="391"/>
      <c r="E1013" s="76"/>
      <c r="F1013" s="392"/>
      <c r="G1013" s="392"/>
      <c r="H1013" s="392"/>
      <c r="I1013" s="392"/>
      <c r="J1013" s="392"/>
      <c r="K1013" s="392"/>
      <c r="L1013" s="392"/>
      <c r="M1013" s="392"/>
      <c r="N1013" s="392"/>
      <c r="O1013" s="392"/>
      <c r="P1013" s="392"/>
      <c r="Q1013" s="392"/>
      <c r="R1013" s="392"/>
      <c r="S1013" s="393"/>
    </row>
    <row r="1014" spans="1:19" ht="11.25" customHeight="1" x14ac:dyDescent="0.2">
      <c r="A1014" s="128" t="str">
        <f ca="1">Проект!$A$1781</f>
        <v>Чистый денежный поток</v>
      </c>
      <c r="B1014" s="128"/>
      <c r="C1014" s="342" t="str">
        <f ca="1">Проект!$C$1781</f>
        <v>руб.</v>
      </c>
      <c r="D1014" s="342"/>
      <c r="E1014" s="128"/>
      <c r="F1014" s="394">
        <f ca="1">Проект!$F$1781</f>
        <v>-2317784</v>
      </c>
      <c r="G1014" s="394">
        <f ca="1">Проект!$G$1781</f>
        <v>-2971200</v>
      </c>
      <c r="H1014" s="394">
        <f ca="1">Проект!$H$1781</f>
        <v>-2403572.6316249999</v>
      </c>
      <c r="I1014" s="394">
        <f ca="1">Проект!$I$1781</f>
        <v>-1819259.0352500002</v>
      </c>
      <c r="J1014" s="394">
        <f ca="1">Проект!$J$1781</f>
        <v>-1156065.7018749998</v>
      </c>
      <c r="K1014" s="394">
        <f ca="1">Проект!$K$1781</f>
        <v>243628.59625000041</v>
      </c>
      <c r="L1014" s="394">
        <f ca="1">Проект!$L$1781</f>
        <v>1521143.5087499996</v>
      </c>
      <c r="M1014" s="394">
        <f ca="1">Проект!$M$1781</f>
        <v>2798658.4212500006</v>
      </c>
      <c r="N1014" s="394" t="e">
        <f>Проект!#REF!</f>
        <v>#REF!</v>
      </c>
      <c r="O1014" s="394" t="e">
        <f>Проект!#REF!</f>
        <v>#REF!</v>
      </c>
      <c r="P1014" s="394" t="e">
        <f>Проект!#REF!</f>
        <v>#REF!</v>
      </c>
      <c r="Q1014" s="394">
        <f ca="1">Проект!$Q$1781</f>
        <v>7190569.6462500002</v>
      </c>
      <c r="R1014" s="128"/>
      <c r="S1014" s="94">
        <f ca="1">Проект!$S$1781</f>
        <v>22745960.734999999</v>
      </c>
    </row>
    <row r="1015" spans="1:19" ht="11.25" customHeight="1" x14ac:dyDescent="0.2">
      <c r="A1015" s="48" t="str">
        <f ca="1">Проект!$A$1782</f>
        <v>Дисконтированный чистый денежный поток</v>
      </c>
      <c r="B1015" s="48"/>
      <c r="C1015" s="73" t="str">
        <f ca="1">Проект!$C$1782</f>
        <v>руб.</v>
      </c>
      <c r="D1015" s="73"/>
      <c r="E1015" s="48"/>
      <c r="F1015" s="84">
        <f ca="1">Проект!$F$1782</f>
        <v>-2317784</v>
      </c>
      <c r="G1015" s="84">
        <f ca="1">Проект!$G$1782</f>
        <v>-2918362.9498474849</v>
      </c>
      <c r="H1015" s="84">
        <f ca="1">Проект!$H$1782</f>
        <v>-2318846.9427072178</v>
      </c>
      <c r="I1015" s="84">
        <f ca="1">Проект!$I$1782</f>
        <v>-1723918.7393987507</v>
      </c>
      <c r="J1015" s="84">
        <f ca="1">Проект!$J$1782</f>
        <v>-1075999.7824031452</v>
      </c>
      <c r="K1015" s="84">
        <f ca="1">Проект!$K$1782</f>
        <v>222723.14286194713</v>
      </c>
      <c r="L1015" s="84">
        <f ca="1">Проект!$L$1782</f>
        <v>1365886.7390806272</v>
      </c>
      <c r="M1015" s="84">
        <f ca="1">Проект!$M$1782</f>
        <v>2468321.9911042023</v>
      </c>
      <c r="N1015" s="84" t="e">
        <f>Проект!#REF!</f>
        <v>#REF!</v>
      </c>
      <c r="O1015" s="84" t="e">
        <f>Проект!#REF!</f>
        <v>#REF!</v>
      </c>
      <c r="P1015" s="84" t="e">
        <f>Проект!#REF!</f>
        <v>#REF!</v>
      </c>
      <c r="Q1015" s="84">
        <f ca="1">Проект!$Q$1782</f>
        <v>5902620.7568737837</v>
      </c>
      <c r="R1015" s="48"/>
      <c r="S1015" s="94">
        <f ca="1">Проект!$S$1782</f>
        <v>17968169.040777203</v>
      </c>
    </row>
    <row r="1016" spans="1:19" ht="11.25" customHeight="1" x14ac:dyDescent="0.2">
      <c r="A1016" s="48" t="str">
        <f ca="1">Проект!$A$1783</f>
        <v>Дисконтированный поток нарастающим итогом</v>
      </c>
      <c r="B1016" s="48"/>
      <c r="C1016" s="73" t="str">
        <f ca="1">Проект!$C$1783</f>
        <v>руб.</v>
      </c>
      <c r="D1016" s="101" t="str">
        <f>Проект!$D$1783</f>
        <v>int_end</v>
      </c>
      <c r="E1016" s="48"/>
      <c r="F1016" s="106">
        <f ca="1">Проект!$F$1783</f>
        <v>-2317784</v>
      </c>
      <c r="G1016" s="106">
        <f ca="1">Проект!$G$1783</f>
        <v>-5236146.9498474849</v>
      </c>
      <c r="H1016" s="106">
        <f ca="1">Проект!$H$1783</f>
        <v>-7554993.8925547022</v>
      </c>
      <c r="I1016" s="106">
        <f ca="1">Проект!$I$1783</f>
        <v>-9278912.6319534536</v>
      </c>
      <c r="J1016" s="106">
        <f ca="1">Проект!$J$1783</f>
        <v>-10354912.414356599</v>
      </c>
      <c r="K1016" s="106">
        <f ca="1">Проект!$K$1783</f>
        <v>-10132189.271494651</v>
      </c>
      <c r="L1016" s="106">
        <f ca="1">Проект!$L$1783</f>
        <v>-8766302.5324140247</v>
      </c>
      <c r="M1016" s="106">
        <f ca="1">Проект!$M$1783</f>
        <v>-6297980.5413098224</v>
      </c>
      <c r="N1016" s="106" t="e">
        <f>Проект!#REF!</f>
        <v>#REF!</v>
      </c>
      <c r="O1016" s="106" t="e">
        <f>Проект!#REF!</f>
        <v>#REF!</v>
      </c>
      <c r="P1016" s="106" t="e">
        <f>Проект!#REF!</f>
        <v>#REF!</v>
      </c>
      <c r="Q1016" s="106">
        <f ca="1">Проект!$Q$1783</f>
        <v>17968169.040777203</v>
      </c>
      <c r="R1016" s="48"/>
      <c r="S1016" s="41"/>
    </row>
    <row r="1017" spans="1:19" ht="11.25" customHeight="1" x14ac:dyDescent="0.2">
      <c r="A1017" s="48"/>
      <c r="B1017" s="48"/>
      <c r="C1017" s="48"/>
      <c r="D1017" s="48"/>
      <c r="E1017" s="48"/>
      <c r="F1017" s="48"/>
      <c r="G1017" s="48"/>
      <c r="H1017" s="48"/>
      <c r="I1017" s="48"/>
      <c r="J1017" s="48"/>
      <c r="K1017" s="48"/>
      <c r="L1017" s="48"/>
      <c r="M1017" s="48"/>
      <c r="N1017" s="48"/>
      <c r="O1017" s="48"/>
      <c r="P1017" s="48"/>
      <c r="Q1017" s="48"/>
      <c r="R1017" s="48"/>
      <c r="S1017" s="41"/>
    </row>
    <row r="1018" spans="1:19" ht="11.25" customHeight="1" x14ac:dyDescent="0.2">
      <c r="A1018" s="52" t="str">
        <f ca="1">Проект!$A$1785</f>
        <v>Простой срок окупаемости</v>
      </c>
      <c r="B1018" s="388">
        <f ca="1">Проект!$B$1785</f>
        <v>0.76405472895294224</v>
      </c>
      <c r="C1018" s="50" t="str">
        <f ca="1">Проект!$C$1785</f>
        <v>года</v>
      </c>
      <c r="D1018" s="48"/>
      <c r="E1018" s="48"/>
      <c r="F1018" s="48"/>
      <c r="G1018" s="48"/>
      <c r="H1018" s="48"/>
      <c r="I1018" s="48"/>
      <c r="J1018" s="48"/>
      <c r="K1018" s="48"/>
      <c r="L1018" s="48"/>
      <c r="M1018" s="48"/>
      <c r="N1018" s="48"/>
      <c r="O1018" s="48"/>
      <c r="P1018" s="48"/>
      <c r="Q1018" s="48"/>
      <c r="R1018" s="48"/>
      <c r="S1018" s="41"/>
    </row>
    <row r="1019" spans="1:19" hidden="1" x14ac:dyDescent="0.2">
      <c r="A1019" s="48" t="str">
        <f ca="1">Проект!$A$1786</f>
        <v xml:space="preserve">    недисконтированный поток нарастающим итогом</v>
      </c>
      <c r="B1019" s="48"/>
      <c r="C1019" s="48"/>
      <c r="D1019" s="101" t="str">
        <f>Проект!$D$1786</f>
        <v>int_end</v>
      </c>
      <c r="E1019" s="48"/>
      <c r="F1019" s="84">
        <f ca="1">Проект!$F$1786</f>
        <v>-2317784</v>
      </c>
      <c r="G1019" s="84">
        <f ca="1">Проект!$G$1786</f>
        <v>-5288984</v>
      </c>
      <c r="H1019" s="84">
        <f ca="1">Проект!$H$1786</f>
        <v>-7692556.6316250004</v>
      </c>
      <c r="I1019" s="84">
        <f ca="1">Проект!$I$1786</f>
        <v>-9511815.666875001</v>
      </c>
      <c r="J1019" s="84">
        <f ca="1">Проект!$J$1786</f>
        <v>-10667881.36875</v>
      </c>
      <c r="K1019" s="84">
        <f ca="1">Проект!$K$1786</f>
        <v>-10424252.772500001</v>
      </c>
      <c r="L1019" s="84">
        <f ca="1">Проект!$L$1786</f>
        <v>-8903109.2637500018</v>
      </c>
      <c r="M1019" s="84">
        <f ca="1">Проект!$M$1786</f>
        <v>-6104450.8425000012</v>
      </c>
      <c r="N1019" s="84" t="e">
        <f>Проект!#REF!</f>
        <v>#REF!</v>
      </c>
      <c r="O1019" s="84" t="e">
        <f>Проект!#REF!</f>
        <v>#REF!</v>
      </c>
      <c r="P1019" s="84" t="e">
        <f>Проект!#REF!</f>
        <v>#REF!</v>
      </c>
      <c r="Q1019" s="84">
        <f ca="1">Проект!$Q$1786</f>
        <v>22745960.734999999</v>
      </c>
      <c r="R1019" s="48"/>
      <c r="S1019" s="41"/>
    </row>
    <row r="1020" spans="1:19" hidden="1" x14ac:dyDescent="0.2">
      <c r="A1020" s="48" t="str">
        <f ca="1">Проект!$A$1787</f>
        <v xml:space="preserve">    знак остатка денежных средств</v>
      </c>
      <c r="B1020" s="48"/>
      <c r="C1020" s="48"/>
      <c r="D1020" s="101" t="str">
        <f>Проект!$D$1787</f>
        <v>int_end</v>
      </c>
      <c r="E1020" s="101">
        <f ca="1">Проект!$E$1787</f>
        <v>9</v>
      </c>
      <c r="F1020" s="101">
        <f ca="1">Проект!$F$1787</f>
        <v>-1</v>
      </c>
      <c r="G1020" s="101">
        <f ca="1">Проект!$G$1787</f>
        <v>-1</v>
      </c>
      <c r="H1020" s="101">
        <f ca="1">Проект!$H$1787</f>
        <v>-1</v>
      </c>
      <c r="I1020" s="101">
        <f ca="1">Проект!$I$1787</f>
        <v>-1</v>
      </c>
      <c r="J1020" s="101">
        <f ca="1">Проект!$J$1787</f>
        <v>-1</v>
      </c>
      <c r="K1020" s="101">
        <f ca="1">Проект!$K$1787</f>
        <v>-1</v>
      </c>
      <c r="L1020" s="101">
        <f ca="1">Проект!$L$1787</f>
        <v>-1</v>
      </c>
      <c r="M1020" s="101">
        <f ca="1">Проект!$M$1787</f>
        <v>-1</v>
      </c>
      <c r="N1020" s="101" t="e">
        <f>Проект!#REF!</f>
        <v>#REF!</v>
      </c>
      <c r="O1020" s="101" t="e">
        <f>Проект!#REF!</f>
        <v>#REF!</v>
      </c>
      <c r="P1020" s="101" t="e">
        <f>Проект!#REF!</f>
        <v>#REF!</v>
      </c>
      <c r="Q1020" s="101">
        <f ca="1">Проект!$Q$1787</f>
        <v>1</v>
      </c>
      <c r="R1020" s="48"/>
      <c r="S1020" s="41"/>
    </row>
    <row r="1021" spans="1:19" hidden="1" x14ac:dyDescent="0.2">
      <c r="A1021" s="48" t="str">
        <f ca="1">Проект!$A$1788</f>
        <v xml:space="preserve">    знак остатка денежных средств (с конца)</v>
      </c>
      <c r="B1021" s="48"/>
      <c r="C1021" s="48"/>
      <c r="D1021" s="101" t="str">
        <f>Проект!$D$1788</f>
        <v>int_end</v>
      </c>
      <c r="E1021" s="48"/>
      <c r="F1021" s="101">
        <f ca="1">Проект!$F$1788</f>
        <v>1</v>
      </c>
      <c r="G1021" s="101">
        <f ca="1">Проект!$G$1788</f>
        <v>1</v>
      </c>
      <c r="H1021" s="101">
        <f ca="1">Проект!$H$1788</f>
        <v>1</v>
      </c>
      <c r="I1021" s="101">
        <f ca="1">Проект!$I$1788</f>
        <v>-1</v>
      </c>
      <c r="J1021" s="101">
        <f ca="1">Проект!$J$1788</f>
        <v>-1</v>
      </c>
      <c r="K1021" s="101">
        <f ca="1">Проект!$K$1788</f>
        <v>-1</v>
      </c>
      <c r="L1021" s="101">
        <f ca="1">Проект!$L$1788</f>
        <v>-1</v>
      </c>
      <c r="M1021" s="101">
        <f ca="1">Проект!$M$1788</f>
        <v>-1</v>
      </c>
      <c r="N1021" s="101" t="e">
        <f>Проект!#REF!</f>
        <v>#REF!</v>
      </c>
      <c r="O1021" s="101" t="e">
        <f>Проект!#REF!</f>
        <v>#REF!</v>
      </c>
      <c r="P1021" s="101" t="e">
        <f>Проект!#REF!</f>
        <v>#REF!</v>
      </c>
      <c r="Q1021" s="101">
        <f ca="1">Проект!$Q$1788</f>
        <v>-1</v>
      </c>
      <c r="R1021" s="48"/>
      <c r="S1021" s="41"/>
    </row>
    <row r="1022" spans="1:19" ht="11.25" customHeight="1" x14ac:dyDescent="0.2">
      <c r="A1022" s="48"/>
      <c r="B1022" s="48"/>
      <c r="C1022" s="48"/>
      <c r="D1022" s="48"/>
      <c r="E1022" s="48"/>
      <c r="F1022" s="48"/>
      <c r="G1022" s="48"/>
      <c r="H1022" s="48"/>
      <c r="I1022" s="48"/>
      <c r="J1022" s="48"/>
      <c r="K1022" s="48"/>
      <c r="L1022" s="48"/>
      <c r="M1022" s="48"/>
      <c r="N1022" s="48"/>
      <c r="O1022" s="48"/>
      <c r="P1022" s="48"/>
      <c r="Q1022" s="48"/>
      <c r="R1022" s="48"/>
      <c r="S1022" s="41"/>
    </row>
    <row r="1023" spans="1:19" ht="11.25" customHeight="1" x14ac:dyDescent="0.25">
      <c r="A1023" s="130" t="str">
        <f ca="1">Проект!$A$1790</f>
        <v>Чистая приведенная стоимость (NPV)</v>
      </c>
      <c r="B1023" s="120">
        <f ca="1">Проект!$B$1790</f>
        <v>17968169.040777203</v>
      </c>
      <c r="C1023" s="73" t="str">
        <f ca="1">Проект!$C$1790</f>
        <v>руб.</v>
      </c>
      <c r="D1023" s="48"/>
      <c r="E1023" s="48"/>
      <c r="F1023" s="48"/>
      <c r="G1023" s="48"/>
      <c r="H1023" s="48"/>
      <c r="I1023" s="48"/>
      <c r="J1023" s="48"/>
      <c r="K1023" s="48"/>
      <c r="L1023" s="48"/>
      <c r="M1023" s="48"/>
      <c r="N1023" s="48"/>
      <c r="O1023" s="48"/>
      <c r="P1023" s="48"/>
      <c r="Q1023" s="48"/>
      <c r="R1023" s="48"/>
      <c r="S1023" s="41"/>
    </row>
    <row r="1024" spans="1:19" ht="11.25" customHeight="1" x14ac:dyDescent="0.25">
      <c r="A1024" s="130" t="str">
        <f ca="1">Проект!$A$1791</f>
        <v>Дисконтированный срок окупаемости (PBP)</v>
      </c>
      <c r="B1024" s="395">
        <f ca="1">Проект!$B$1791</f>
        <v>0.77747051172837778</v>
      </c>
      <c r="C1024" s="50" t="str">
        <f ca="1">Проект!$C$1791</f>
        <v>года</v>
      </c>
      <c r="D1024" s="48"/>
      <c r="E1024" s="48"/>
      <c r="F1024" s="48"/>
      <c r="G1024" s="48"/>
      <c r="H1024" s="48"/>
      <c r="I1024" s="48"/>
      <c r="J1024" s="48"/>
      <c r="K1024" s="48"/>
      <c r="L1024" s="48"/>
      <c r="M1024" s="48"/>
      <c r="N1024" s="48"/>
      <c r="O1024" s="48"/>
      <c r="P1024" s="48"/>
      <c r="Q1024" s="48"/>
      <c r="R1024" s="48"/>
      <c r="S1024" s="41"/>
    </row>
    <row r="1025" spans="1:19" hidden="1" x14ac:dyDescent="0.2">
      <c r="A1025" s="380" t="str">
        <f ca="1">Проект!$A$1792</f>
        <v xml:space="preserve">    знак остатка дисконтированных денежных средств</v>
      </c>
      <c r="B1025" s="380"/>
      <c r="C1025" s="48"/>
      <c r="D1025" s="101" t="str">
        <f>Проект!$D$1792</f>
        <v>int_end</v>
      </c>
      <c r="E1025" s="101">
        <f ca="1">Проект!$E$1792</f>
        <v>9</v>
      </c>
      <c r="F1025" s="101">
        <f ca="1">Проект!$F$1792</f>
        <v>-1</v>
      </c>
      <c r="G1025" s="101">
        <f ca="1">Проект!$G$1792</f>
        <v>-1</v>
      </c>
      <c r="H1025" s="101">
        <f ca="1">Проект!$H$1792</f>
        <v>-1</v>
      </c>
      <c r="I1025" s="101">
        <f ca="1">Проект!$I$1792</f>
        <v>-1</v>
      </c>
      <c r="J1025" s="101">
        <f ca="1">Проект!$J$1792</f>
        <v>-1</v>
      </c>
      <c r="K1025" s="101">
        <f ca="1">Проект!$K$1792</f>
        <v>-1</v>
      </c>
      <c r="L1025" s="101">
        <f ca="1">Проект!$L$1792</f>
        <v>-1</v>
      </c>
      <c r="M1025" s="101">
        <f ca="1">Проект!$M$1792</f>
        <v>-1</v>
      </c>
      <c r="N1025" s="101" t="e">
        <f>Проект!#REF!</f>
        <v>#REF!</v>
      </c>
      <c r="O1025" s="101" t="e">
        <f>Проект!#REF!</f>
        <v>#REF!</v>
      </c>
      <c r="P1025" s="101" t="e">
        <f>Проект!#REF!</f>
        <v>#REF!</v>
      </c>
      <c r="Q1025" s="101">
        <f ca="1">Проект!$Q$1792</f>
        <v>1</v>
      </c>
      <c r="R1025" s="48"/>
      <c r="S1025" s="41"/>
    </row>
    <row r="1026" spans="1:19" hidden="1" x14ac:dyDescent="0.2">
      <c r="A1026" s="380" t="str">
        <f ca="1">Проект!$A$1793</f>
        <v xml:space="preserve">    знак остатка дисконтированных денежных средств (с конца)</v>
      </c>
      <c r="B1026" s="380"/>
      <c r="C1026" s="48"/>
      <c r="D1026" s="101" t="str">
        <f>Проект!$D$1793</f>
        <v>int_end</v>
      </c>
      <c r="E1026" s="48"/>
      <c r="F1026" s="101">
        <f ca="1">Проект!$F$1793</f>
        <v>1</v>
      </c>
      <c r="G1026" s="101">
        <f ca="1">Проект!$G$1793</f>
        <v>1</v>
      </c>
      <c r="H1026" s="101">
        <f ca="1">Проект!$H$1793</f>
        <v>1</v>
      </c>
      <c r="I1026" s="101">
        <f ca="1">Проект!$I$1793</f>
        <v>-1</v>
      </c>
      <c r="J1026" s="101">
        <f ca="1">Проект!$J$1793</f>
        <v>-1</v>
      </c>
      <c r="K1026" s="101">
        <f ca="1">Проект!$K$1793</f>
        <v>-1</v>
      </c>
      <c r="L1026" s="101">
        <f ca="1">Проект!$L$1793</f>
        <v>-1</v>
      </c>
      <c r="M1026" s="101">
        <f ca="1">Проект!$M$1793</f>
        <v>-1</v>
      </c>
      <c r="N1026" s="101" t="e">
        <f>Проект!#REF!</f>
        <v>#REF!</v>
      </c>
      <c r="O1026" s="101" t="e">
        <f>Проект!#REF!</f>
        <v>#REF!</v>
      </c>
      <c r="P1026" s="101" t="e">
        <f>Проект!#REF!</f>
        <v>#REF!</v>
      </c>
      <c r="Q1026" s="101">
        <f ca="1">Проект!$Q$1793</f>
        <v>-1</v>
      </c>
      <c r="R1026" s="48"/>
      <c r="S1026" s="41"/>
    </row>
    <row r="1027" spans="1:19" ht="11.25" customHeight="1" x14ac:dyDescent="0.25">
      <c r="A1027" s="130" t="str">
        <f ca="1">Проект!$A$1794</f>
        <v>Внутренняя норма рентабельности (IRR)</v>
      </c>
      <c r="B1027" s="223">
        <f ca="1">Проект!$B$1794</f>
        <v>5.1949015427970213</v>
      </c>
      <c r="C1027" s="216" t="str">
        <f ca="1">Проект!$C$1794</f>
        <v>(реальная - без учета инфляции)</v>
      </c>
      <c r="D1027" s="48"/>
      <c r="E1027" s="101">
        <f ca="1">Проект!$E$1794</f>
        <v>5.1949015427970213</v>
      </c>
      <c r="F1027" s="48"/>
      <c r="G1027" s="48"/>
      <c r="H1027" s="48"/>
      <c r="I1027" s="48"/>
      <c r="J1027" s="48"/>
      <c r="K1027" s="48"/>
      <c r="L1027" s="48"/>
      <c r="M1027" s="48"/>
      <c r="N1027" s="48"/>
      <c r="O1027" s="48"/>
      <c r="P1027" s="48"/>
      <c r="Q1027" s="48"/>
      <c r="R1027" s="48"/>
      <c r="S1027" s="41"/>
    </row>
    <row r="1028" spans="1:19" ht="10.5" hidden="1" x14ac:dyDescent="0.2">
      <c r="A1028" s="128" t="str">
        <f ca="1">Проект!$A$1795</f>
        <v>Чистый денежный поток</v>
      </c>
      <c r="B1028" s="223"/>
      <c r="C1028" s="216"/>
      <c r="D1028" s="48"/>
      <c r="E1028" s="101"/>
      <c r="F1028" s="102">
        <f ca="1">Проект!$F$1795</f>
        <v>-2317784</v>
      </c>
      <c r="G1028" s="102">
        <f ca="1">Проект!$G$1795</f>
        <v>-2971200</v>
      </c>
      <c r="H1028" s="102">
        <f ca="1">Проект!$H$1795</f>
        <v>-2403572.6316249999</v>
      </c>
      <c r="I1028" s="102">
        <f ca="1">Проект!$I$1795</f>
        <v>-1819259.0352500002</v>
      </c>
      <c r="J1028" s="102">
        <f ca="1">Проект!$J$1795</f>
        <v>-1156065.7018749998</v>
      </c>
      <c r="K1028" s="102">
        <f ca="1">Проект!$K$1795</f>
        <v>243628.59625000041</v>
      </c>
      <c r="L1028" s="102">
        <f ca="1">Проект!$L$1795</f>
        <v>1521143.5087499996</v>
      </c>
      <c r="M1028" s="102">
        <f ca="1">Проект!$M$1795</f>
        <v>2798658.4212500006</v>
      </c>
      <c r="N1028" s="102" t="e">
        <f>Проект!#REF!</f>
        <v>#REF!</v>
      </c>
      <c r="O1028" s="102" t="e">
        <f>Проект!#REF!</f>
        <v>#REF!</v>
      </c>
      <c r="P1028" s="102" t="e">
        <f>Проект!#REF!</f>
        <v>#REF!</v>
      </c>
      <c r="Q1028" s="102">
        <f ca="1">Проект!$Q$1795</f>
        <v>7190569.6462500002</v>
      </c>
      <c r="R1028" s="48"/>
      <c r="S1028" s="41"/>
    </row>
    <row r="1029" spans="1:19" ht="11.25" customHeight="1" x14ac:dyDescent="0.2">
      <c r="A1029" s="52" t="str">
        <f ca="1">Проект!$A$1796</f>
        <v>Норма доходности дисконтированных затрат (PI)</v>
      </c>
      <c r="B1029" s="396">
        <f ca="1">Проект!$B$1796</f>
        <v>2.7352313879415515</v>
      </c>
      <c r="C1029" s="73" t="str">
        <f ca="1">Проект!$C$1796</f>
        <v>разы</v>
      </c>
      <c r="D1029" s="48"/>
      <c r="E1029" s="48"/>
      <c r="F1029" s="48"/>
      <c r="G1029" s="48"/>
      <c r="H1029" s="48"/>
      <c r="I1029" s="48"/>
      <c r="J1029" s="48"/>
      <c r="K1029" s="48"/>
      <c r="L1029" s="48"/>
      <c r="M1029" s="48"/>
      <c r="N1029" s="48"/>
      <c r="O1029" s="48"/>
      <c r="P1029" s="48"/>
      <c r="Q1029" s="48"/>
      <c r="R1029" s="48"/>
      <c r="S1029" s="41"/>
    </row>
    <row r="1030" spans="1:19" hidden="1" x14ac:dyDescent="0.2">
      <c r="A1030" s="48" t="str">
        <f ca="1">Проект!$A$1797</f>
        <v xml:space="preserve">    притоки</v>
      </c>
      <c r="B1030" s="48"/>
      <c r="C1030" s="73" t="str">
        <f ca="1">Проект!$C$1797</f>
        <v>руб.</v>
      </c>
      <c r="D1030" s="48"/>
      <c r="E1030" s="48"/>
      <c r="F1030" s="106">
        <f ca="1">Проект!$F$1797</f>
        <v>0</v>
      </c>
      <c r="G1030" s="106">
        <f ca="1">Проект!$G$1797</f>
        <v>0</v>
      </c>
      <c r="H1030" s="106">
        <f ca="1">Проект!$H$1797</f>
        <v>0</v>
      </c>
      <c r="I1030" s="106">
        <f ca="1">Проект!$I$1797</f>
        <v>0</v>
      </c>
      <c r="J1030" s="106">
        <f ca="1">Проект!$J$1797</f>
        <v>0</v>
      </c>
      <c r="K1030" s="106">
        <f ca="1">Проект!$K$1797</f>
        <v>243628.59625000041</v>
      </c>
      <c r="L1030" s="106">
        <f ca="1">Проект!$L$1797</f>
        <v>1521143.5087499996</v>
      </c>
      <c r="M1030" s="106">
        <f ca="1">Проект!$M$1797</f>
        <v>2798658.4212500006</v>
      </c>
      <c r="N1030" s="106" t="e">
        <f>Проект!#REF!</f>
        <v>#REF!</v>
      </c>
      <c r="O1030" s="106" t="e">
        <f>Проект!#REF!</f>
        <v>#REF!</v>
      </c>
      <c r="P1030" s="106" t="e">
        <f>Проект!#REF!</f>
        <v>#REF!</v>
      </c>
      <c r="Q1030" s="106">
        <f ca="1">Проект!$Q$1797</f>
        <v>7190569.6462500002</v>
      </c>
      <c r="R1030" s="48"/>
      <c r="S1030" s="94">
        <f ca="1">Проект!$S$1797</f>
        <v>33413842.103750005</v>
      </c>
    </row>
    <row r="1031" spans="1:19" hidden="1" x14ac:dyDescent="0.2">
      <c r="A1031" s="48" t="str">
        <f ca="1">Проект!$A$1798</f>
        <v xml:space="preserve">    дисконтированные притоки</v>
      </c>
      <c r="B1031" s="48"/>
      <c r="C1031" s="73" t="str">
        <f ca="1">Проект!$C$1798</f>
        <v>руб.</v>
      </c>
      <c r="D1031" s="48"/>
      <c r="E1031" s="48"/>
      <c r="F1031" s="106">
        <f ca="1">Проект!$F$1798</f>
        <v>0</v>
      </c>
      <c r="G1031" s="106">
        <f ca="1">Проект!$G$1798</f>
        <v>0</v>
      </c>
      <c r="H1031" s="106">
        <f ca="1">Проект!$H$1798</f>
        <v>0</v>
      </c>
      <c r="I1031" s="106">
        <f ca="1">Проект!$I$1798</f>
        <v>0</v>
      </c>
      <c r="J1031" s="106">
        <f ca="1">Проект!$J$1798</f>
        <v>0</v>
      </c>
      <c r="K1031" s="106">
        <f ca="1">Проект!$K$1798</f>
        <v>222723.14286194713</v>
      </c>
      <c r="L1031" s="106">
        <f ca="1">Проект!$L$1798</f>
        <v>1365886.7390806272</v>
      </c>
      <c r="M1031" s="106">
        <f ca="1">Проект!$M$1798</f>
        <v>2468321.9911042023</v>
      </c>
      <c r="N1031" s="106" t="e">
        <f>Проект!#REF!</f>
        <v>#REF!</v>
      </c>
      <c r="O1031" s="106" t="e">
        <f>Проект!#REF!</f>
        <v>#REF!</v>
      </c>
      <c r="P1031" s="106" t="e">
        <f>Проект!#REF!</f>
        <v>#REF!</v>
      </c>
      <c r="Q1031" s="106">
        <f ca="1">Проект!$Q$1798</f>
        <v>5902620.7568737837</v>
      </c>
      <c r="R1031" s="48"/>
      <c r="S1031" s="94">
        <f ca="1">Проект!$S$1798</f>
        <v>28323081.455133803</v>
      </c>
    </row>
    <row r="1032" spans="1:19" hidden="1" x14ac:dyDescent="0.2">
      <c r="A1032" s="48" t="str">
        <f ca="1">Проект!$A$1799</f>
        <v xml:space="preserve">    оттоки</v>
      </c>
      <c r="B1032" s="48"/>
      <c r="C1032" s="73" t="str">
        <f ca="1">Проект!$C$1799</f>
        <v>руб.</v>
      </c>
      <c r="D1032" s="48"/>
      <c r="E1032" s="48"/>
      <c r="F1032" s="106">
        <f ca="1">Проект!$F$1799</f>
        <v>-2317784</v>
      </c>
      <c r="G1032" s="106">
        <f ca="1">Проект!$G$1799</f>
        <v>-2971200</v>
      </c>
      <c r="H1032" s="106">
        <f ca="1">Проект!$H$1799</f>
        <v>-2403572.6316249999</v>
      </c>
      <c r="I1032" s="106">
        <f ca="1">Проект!$I$1799</f>
        <v>-1819259.0352500002</v>
      </c>
      <c r="J1032" s="106">
        <f ca="1">Проект!$J$1799</f>
        <v>-1156065.7018749998</v>
      </c>
      <c r="K1032" s="106">
        <f ca="1">Проект!$K$1799</f>
        <v>0</v>
      </c>
      <c r="L1032" s="106">
        <f ca="1">Проект!$L$1799</f>
        <v>0</v>
      </c>
      <c r="M1032" s="106">
        <f ca="1">Проект!$M$1799</f>
        <v>0</v>
      </c>
      <c r="N1032" s="106" t="e">
        <f>Проект!#REF!</f>
        <v>#REF!</v>
      </c>
      <c r="O1032" s="106" t="e">
        <f>Проект!#REF!</f>
        <v>#REF!</v>
      </c>
      <c r="P1032" s="106" t="e">
        <f>Проект!#REF!</f>
        <v>#REF!</v>
      </c>
      <c r="Q1032" s="106">
        <f ca="1">Проект!$Q$1799</f>
        <v>0</v>
      </c>
      <c r="R1032" s="48"/>
      <c r="S1032" s="94">
        <f ca="1">Проект!$S$1799</f>
        <v>-10667881.36875</v>
      </c>
    </row>
    <row r="1033" spans="1:19" hidden="1" x14ac:dyDescent="0.2">
      <c r="A1033" s="48" t="str">
        <f ca="1">Проект!$A$1800</f>
        <v xml:space="preserve">    дисконтированные оттоки</v>
      </c>
      <c r="B1033" s="48"/>
      <c r="C1033" s="73" t="str">
        <f ca="1">Проект!$C$1800</f>
        <v>руб.</v>
      </c>
      <c r="D1033" s="48"/>
      <c r="E1033" s="48"/>
      <c r="F1033" s="106">
        <f ca="1">Проект!$F$1800</f>
        <v>-2317784</v>
      </c>
      <c r="G1033" s="106">
        <f ca="1">Проект!$G$1800</f>
        <v>-2918362.9498474849</v>
      </c>
      <c r="H1033" s="106">
        <f ca="1">Проект!$H$1800</f>
        <v>-2318846.9427072178</v>
      </c>
      <c r="I1033" s="106">
        <f ca="1">Проект!$I$1800</f>
        <v>-1723918.7393987507</v>
      </c>
      <c r="J1033" s="106">
        <f ca="1">Проект!$J$1800</f>
        <v>-1075999.7824031452</v>
      </c>
      <c r="K1033" s="106">
        <f ca="1">Проект!$K$1800</f>
        <v>0</v>
      </c>
      <c r="L1033" s="106">
        <f ca="1">Проект!$L$1800</f>
        <v>0</v>
      </c>
      <c r="M1033" s="106">
        <f ca="1">Проект!$M$1800</f>
        <v>0</v>
      </c>
      <c r="N1033" s="106" t="e">
        <f>Проект!#REF!</f>
        <v>#REF!</v>
      </c>
      <c r="O1033" s="106" t="e">
        <f>Проект!#REF!</f>
        <v>#REF!</v>
      </c>
      <c r="P1033" s="106" t="e">
        <f>Проект!#REF!</f>
        <v>#REF!</v>
      </c>
      <c r="Q1033" s="106">
        <f ca="1">Проект!$Q$1800</f>
        <v>0</v>
      </c>
      <c r="R1033" s="48"/>
      <c r="S1033" s="94">
        <f ca="1">Проект!$S$1800</f>
        <v>-10354912.414356599</v>
      </c>
    </row>
    <row r="1034" spans="1:19" ht="11.25" customHeight="1" x14ac:dyDescent="0.2">
      <c r="A1034" s="48"/>
      <c r="B1034" s="48"/>
      <c r="C1034" s="48"/>
      <c r="D1034" s="48"/>
      <c r="E1034" s="48"/>
      <c r="F1034" s="106"/>
      <c r="G1034" s="106"/>
      <c r="H1034" s="106"/>
      <c r="I1034" s="106"/>
      <c r="J1034" s="106"/>
      <c r="K1034" s="106"/>
      <c r="L1034" s="106"/>
      <c r="M1034" s="106"/>
      <c r="N1034" s="106"/>
      <c r="O1034" s="106"/>
      <c r="P1034" s="106"/>
      <c r="Q1034" s="106"/>
      <c r="R1034" s="48"/>
      <c r="S1034" s="41"/>
    </row>
    <row r="1035" spans="1:19" ht="11.25" customHeight="1" x14ac:dyDescent="0.2">
      <c r="A1035" s="52" t="str">
        <f ca="1">Проект!$A$1802</f>
        <v>Модифицированная IRR (MIRR)</v>
      </c>
      <c r="B1035" s="397">
        <f ca="1">Проект!$B$1802</f>
        <v>2.72647691921952</v>
      </c>
      <c r="C1035" s="48"/>
      <c r="D1035" s="48"/>
      <c r="E1035" s="398">
        <f ca="1">Проект!$E$1802</f>
        <v>2.72647691921952</v>
      </c>
      <c r="F1035" s="106"/>
      <c r="G1035" s="106"/>
      <c r="H1035" s="106"/>
      <c r="I1035" s="106"/>
      <c r="J1035" s="106"/>
      <c r="K1035" s="106"/>
      <c r="L1035" s="106"/>
      <c r="M1035" s="106"/>
      <c r="N1035" s="106"/>
      <c r="O1035" s="106"/>
      <c r="P1035" s="106"/>
      <c r="Q1035" s="106"/>
      <c r="R1035" s="48"/>
      <c r="S1035" s="41"/>
    </row>
    <row r="1036" spans="1:19" ht="11.25" customHeight="1" x14ac:dyDescent="0.2">
      <c r="A1036" s="48" t="str">
        <f ca="1">Проект!$A$1803</f>
        <v>Ставка реинвестирования доходов</v>
      </c>
      <c r="B1036" s="344">
        <f>Проект!$B$1803</f>
        <v>0.25</v>
      </c>
      <c r="C1036" s="48"/>
      <c r="D1036" s="48"/>
      <c r="E1036" s="48"/>
      <c r="F1036" s="48"/>
      <c r="G1036" s="48"/>
      <c r="H1036" s="48"/>
      <c r="I1036" s="48"/>
      <c r="J1036" s="48"/>
      <c r="K1036" s="48"/>
      <c r="L1036" s="48"/>
      <c r="M1036" s="48"/>
      <c r="N1036" s="48"/>
      <c r="O1036" s="48"/>
      <c r="P1036" s="48"/>
      <c r="Q1036" s="48"/>
      <c r="R1036" s="48"/>
      <c r="S1036" s="41"/>
    </row>
    <row r="1037" spans="1:19" ht="11.25" customHeight="1" x14ac:dyDescent="0.2">
      <c r="A1037" s="48" t="str">
        <f ca="1">Проект!$A$1804</f>
        <v>Ставка дисконтирования инвестиционных затрат</v>
      </c>
      <c r="B1037" s="344">
        <f>Проект!$B$1804</f>
        <v>0.25</v>
      </c>
      <c r="C1037" s="48"/>
      <c r="D1037" s="48"/>
      <c r="E1037" s="48"/>
      <c r="F1037" s="48"/>
      <c r="G1037" s="48"/>
      <c r="H1037" s="48"/>
      <c r="I1037" s="48"/>
      <c r="J1037" s="48"/>
      <c r="K1037" s="48"/>
      <c r="L1037" s="48"/>
      <c r="M1037" s="48"/>
      <c r="N1037" s="48"/>
      <c r="O1037" s="48"/>
      <c r="P1037" s="48"/>
      <c r="Q1037" s="48"/>
      <c r="R1037" s="48"/>
      <c r="S1037" s="41"/>
    </row>
    <row r="1040" spans="1:19" x14ac:dyDescent="0.2">
      <c r="A1040" s="22" t="str">
        <f ca="1">Language!A$872 &amp; ", " &amp; Проект!CUR_Report</f>
        <v>График: Окупаемость проекта (для полных инвестиционных затрат), руб.</v>
      </c>
      <c r="B1040" s="19"/>
      <c r="C1040" s="19"/>
      <c r="D1040" s="19"/>
      <c r="E1040" s="19"/>
      <c r="F1040" s="19"/>
      <c r="G1040" s="19"/>
    </row>
    <row r="1041" spans="1:7" x14ac:dyDescent="0.2">
      <c r="A1041" s="19"/>
      <c r="B1041" s="19"/>
      <c r="C1041" s="19"/>
      <c r="D1041" s="19"/>
      <c r="E1041" s="19"/>
      <c r="F1041" s="19"/>
      <c r="G1041" s="19"/>
    </row>
    <row r="1042" spans="1:7" x14ac:dyDescent="0.2">
      <c r="A1042" s="19"/>
      <c r="B1042" s="19"/>
      <c r="C1042" s="19"/>
      <c r="D1042" s="19"/>
      <c r="E1042" s="19"/>
      <c r="F1042" s="19"/>
      <c r="G1042" s="19"/>
    </row>
    <row r="1043" spans="1:7" x14ac:dyDescent="0.2">
      <c r="A1043" s="19"/>
      <c r="B1043" s="19"/>
      <c r="C1043" s="19"/>
      <c r="D1043" s="19"/>
      <c r="E1043" s="19"/>
      <c r="F1043" s="19"/>
      <c r="G1043" s="19"/>
    </row>
    <row r="1044" spans="1:7" x14ac:dyDescent="0.2">
      <c r="A1044" s="19"/>
      <c r="B1044" s="19"/>
      <c r="C1044" s="19"/>
      <c r="D1044" s="19"/>
      <c r="E1044" s="19"/>
      <c r="F1044" s="19"/>
      <c r="G1044" s="19"/>
    </row>
    <row r="1045" spans="1:7" x14ac:dyDescent="0.2">
      <c r="A1045" s="19"/>
      <c r="B1045" s="19"/>
      <c r="C1045" s="19"/>
      <c r="D1045" s="19"/>
      <c r="E1045" s="19"/>
      <c r="F1045" s="19"/>
      <c r="G1045" s="19"/>
    </row>
    <row r="1046" spans="1:7" x14ac:dyDescent="0.2">
      <c r="A1046" s="19"/>
      <c r="B1046" s="19"/>
      <c r="C1046" s="19"/>
      <c r="D1046" s="19"/>
      <c r="E1046" s="19"/>
      <c r="F1046" s="19"/>
      <c r="G1046" s="19"/>
    </row>
    <row r="1047" spans="1:7" x14ac:dyDescent="0.2">
      <c r="A1047" s="19"/>
      <c r="B1047" s="19"/>
      <c r="C1047" s="19"/>
      <c r="D1047" s="19"/>
      <c r="E1047" s="19"/>
      <c r="F1047" s="19"/>
      <c r="G1047" s="19"/>
    </row>
    <row r="1048" spans="1:7" x14ac:dyDescent="0.2">
      <c r="A1048" s="19"/>
      <c r="B1048" s="19"/>
      <c r="C1048" s="19"/>
      <c r="D1048" s="19"/>
      <c r="E1048" s="19"/>
      <c r="F1048" s="19"/>
      <c r="G1048" s="19"/>
    </row>
    <row r="1049" spans="1:7" x14ac:dyDescent="0.2">
      <c r="A1049" s="19"/>
      <c r="B1049" s="19"/>
      <c r="C1049" s="19"/>
      <c r="D1049" s="19"/>
      <c r="E1049" s="19"/>
      <c r="F1049" s="19"/>
      <c r="G1049" s="19"/>
    </row>
    <row r="1050" spans="1:7" x14ac:dyDescent="0.2">
      <c r="A1050" s="19"/>
      <c r="B1050" s="19"/>
      <c r="C1050" s="19"/>
      <c r="D1050" s="19"/>
      <c r="E1050" s="19"/>
      <c r="F1050" s="19"/>
      <c r="G1050" s="19"/>
    </row>
    <row r="1051" spans="1:7" x14ac:dyDescent="0.2">
      <c r="A1051" s="19"/>
      <c r="B1051" s="19"/>
      <c r="C1051" s="19"/>
      <c r="D1051" s="19"/>
      <c r="E1051" s="19"/>
      <c r="F1051" s="19"/>
      <c r="G1051" s="19"/>
    </row>
    <row r="1052" spans="1:7" x14ac:dyDescent="0.2">
      <c r="A1052" s="19"/>
      <c r="B1052" s="19"/>
      <c r="C1052" s="19"/>
      <c r="D1052" s="19"/>
      <c r="E1052" s="19"/>
      <c r="F1052" s="19"/>
      <c r="G1052" s="19"/>
    </row>
    <row r="1053" spans="1:7" x14ac:dyDescent="0.2">
      <c r="A1053" s="19"/>
      <c r="B1053" s="19"/>
      <c r="C1053" s="19"/>
      <c r="D1053" s="19"/>
      <c r="E1053" s="19"/>
      <c r="F1053" s="19"/>
      <c r="G1053" s="19"/>
    </row>
    <row r="1054" spans="1:7" x14ac:dyDescent="0.2">
      <c r="A1054" s="19"/>
      <c r="B1054" s="19"/>
      <c r="C1054" s="19"/>
      <c r="D1054" s="19"/>
      <c r="E1054" s="19"/>
      <c r="F1054" s="19"/>
      <c r="G1054" s="19"/>
    </row>
    <row r="1055" spans="1:7" x14ac:dyDescent="0.2">
      <c r="A1055" s="19"/>
      <c r="B1055" s="19"/>
      <c r="C1055" s="19"/>
      <c r="D1055" s="19"/>
      <c r="E1055" s="19"/>
      <c r="F1055" s="19"/>
      <c r="G1055" s="19"/>
    </row>
    <row r="1056" spans="1:7" x14ac:dyDescent="0.2">
      <c r="A1056" s="19"/>
      <c r="B1056" s="19"/>
      <c r="C1056" s="19"/>
      <c r="D1056" s="19"/>
      <c r="E1056" s="19"/>
      <c r="F1056" s="19"/>
      <c r="G1056" s="19"/>
    </row>
    <row r="1057" spans="1:19" x14ac:dyDescent="0.2">
      <c r="A1057" s="19"/>
      <c r="B1057" s="19"/>
      <c r="C1057" s="19"/>
      <c r="D1057" s="19"/>
      <c r="E1057" s="19"/>
      <c r="F1057" s="19"/>
      <c r="G1057" s="19"/>
    </row>
    <row r="1058" spans="1:19" x14ac:dyDescent="0.2">
      <c r="A1058" s="19"/>
      <c r="B1058" s="19"/>
      <c r="C1058" s="19"/>
      <c r="D1058" s="19"/>
      <c r="E1058" s="19"/>
      <c r="F1058" s="19"/>
      <c r="G1058" s="19"/>
    </row>
    <row r="1059" spans="1:19" x14ac:dyDescent="0.2">
      <c r="A1059" s="19"/>
      <c r="B1059" s="19"/>
      <c r="C1059" s="19"/>
      <c r="D1059" s="19"/>
      <c r="E1059" s="19"/>
      <c r="F1059" s="19"/>
      <c r="G1059" s="19"/>
    </row>
    <row r="1060" spans="1:19" x14ac:dyDescent="0.2">
      <c r="A1060" s="19"/>
      <c r="B1060" s="19"/>
      <c r="C1060" s="19"/>
      <c r="D1060" s="19"/>
      <c r="E1060" s="19"/>
      <c r="F1060" s="19"/>
      <c r="G1060" s="19"/>
    </row>
    <row r="1061" spans="1:19" x14ac:dyDescent="0.2">
      <c r="A1061" s="19"/>
      <c r="B1061" s="19"/>
      <c r="C1061" s="19"/>
      <c r="D1061" s="19"/>
      <c r="E1061" s="19"/>
      <c r="F1061" s="19"/>
      <c r="G1061" s="19"/>
    </row>
    <row r="1062" spans="1:19" x14ac:dyDescent="0.2">
      <c r="A1062" s="19"/>
      <c r="B1062" s="19"/>
      <c r="C1062" s="19"/>
      <c r="D1062" s="19"/>
      <c r="E1062" s="19"/>
      <c r="F1062" s="19"/>
      <c r="G1062" s="19"/>
    </row>
    <row r="1063" spans="1:19" x14ac:dyDescent="0.2">
      <c r="A1063" s="19"/>
      <c r="B1063" s="19"/>
      <c r="C1063" s="19"/>
      <c r="D1063" s="19"/>
      <c r="E1063" s="19"/>
      <c r="F1063" s="19"/>
      <c r="G1063" s="19"/>
    </row>
    <row r="1066" spans="1:19" ht="16" customHeight="1" thickBot="1" x14ac:dyDescent="0.25">
      <c r="A1066" s="166" t="str">
        <f ca="1">Проект!$A$1976</f>
        <v xml:space="preserve">         ОЦЕНКА БИЗНЕСА</v>
      </c>
      <c r="B1066" s="166"/>
      <c r="C1066" s="166"/>
      <c r="D1066" s="166"/>
      <c r="E1066" s="166"/>
      <c r="F1066" s="178" t="str">
        <f>Проект!$F$1976</f>
        <v>4/ 2024</v>
      </c>
      <c r="G1066" s="178" t="str">
        <f>Проект!$G$1976</f>
        <v>5/ 2024</v>
      </c>
      <c r="H1066" s="178" t="str">
        <f>Проект!$H$1976</f>
        <v>6/ 2024</v>
      </c>
      <c r="I1066" s="178" t="str">
        <f>Проект!$I$1976</f>
        <v>7/ 2024</v>
      </c>
      <c r="J1066" s="178" t="str">
        <f>Проект!$J$1976</f>
        <v>8/ 2024</v>
      </c>
      <c r="K1066" s="178" t="str">
        <f>Проект!$K$1976</f>
        <v>9/ 2024</v>
      </c>
      <c r="L1066" s="178" t="str">
        <f>Проект!$L$1976</f>
        <v>10/ 2024</v>
      </c>
      <c r="M1066" s="178" t="str">
        <f>Проект!$M$1976</f>
        <v>11/ 2024</v>
      </c>
      <c r="N1066" s="178" t="e">
        <f>Проект!#REF!</f>
        <v>#REF!</v>
      </c>
      <c r="O1066" s="178" t="e">
        <f>Проект!#REF!</f>
        <v>#REF!</v>
      </c>
      <c r="P1066" s="178" t="e">
        <f>Проект!#REF!</f>
        <v>#REF!</v>
      </c>
      <c r="Q1066" s="178" t="str">
        <f>Проект!$Q$1976</f>
        <v>3/ 2025</v>
      </c>
      <c r="R1066" s="166"/>
      <c r="S1066" s="167" t="str">
        <f ca="1">Проект!$S$1976</f>
        <v>ИТОГО</v>
      </c>
    </row>
    <row r="1067" spans="1:19" ht="12" customHeight="1" thickTop="1" x14ac:dyDescent="0.2">
      <c r="A1067" s="48"/>
      <c r="B1067" s="48"/>
      <c r="C1067" s="48"/>
      <c r="D1067" s="48"/>
      <c r="E1067" s="48"/>
      <c r="F1067" s="48"/>
      <c r="G1067" s="48"/>
      <c r="H1067" s="48"/>
      <c r="I1067" s="48"/>
      <c r="J1067" s="48"/>
      <c r="K1067" s="48"/>
      <c r="L1067" s="48"/>
      <c r="M1067" s="48"/>
      <c r="N1067" s="48"/>
      <c r="O1067" s="48"/>
      <c r="P1067" s="48"/>
      <c r="Q1067" s="48"/>
      <c r="R1067" s="48"/>
      <c r="S1067" s="41"/>
    </row>
    <row r="1068" spans="1:19" ht="11.25" customHeight="1" x14ac:dyDescent="0.2">
      <c r="A1068" s="48" t="str">
        <f ca="1">Проект!$A$1978</f>
        <v>Валюта расчетов:</v>
      </c>
      <c r="B1068" s="334">
        <f>Проект!$B$1978</f>
        <v>1</v>
      </c>
      <c r="C1068" s="50" t="str">
        <f ca="1">Проект!$C$1978</f>
        <v>руб.</v>
      </c>
      <c r="D1068" s="48"/>
      <c r="E1068" s="48"/>
      <c r="F1068" s="48"/>
      <c r="G1068" s="48"/>
      <c r="H1068" s="48"/>
      <c r="I1068" s="48"/>
      <c r="J1068" s="48"/>
      <c r="K1068" s="48"/>
      <c r="L1068" s="48"/>
      <c r="M1068" s="48"/>
      <c r="N1068" s="48"/>
      <c r="O1068" s="48"/>
      <c r="P1068" s="48"/>
      <c r="Q1068" s="48"/>
      <c r="R1068" s="48"/>
      <c r="S1068" s="41"/>
    </row>
    <row r="1069" spans="1:19" ht="11.25" customHeight="1" x14ac:dyDescent="0.2">
      <c r="A1069" s="48" t="str">
        <f ca="1">Проект!$A$1979</f>
        <v>Годовая ставка дисконтирования:</v>
      </c>
      <c r="B1069" s="344">
        <f>Проект!$B$1979</f>
        <v>0.25</v>
      </c>
      <c r="C1069" s="73" t="str">
        <f>Проект!$C$1979</f>
        <v>%</v>
      </c>
      <c r="D1069" s="101" t="str">
        <f>Проект!$D$1979</f>
        <v>int_avg</v>
      </c>
      <c r="E1069" s="48"/>
      <c r="F1069" s="251">
        <f>Проект!$F$1979</f>
        <v>0.25</v>
      </c>
      <c r="G1069" s="251">
        <f>Проект!$G$1979</f>
        <v>0.25</v>
      </c>
      <c r="H1069" s="251">
        <f>Проект!$H$1979</f>
        <v>0.25</v>
      </c>
      <c r="I1069" s="251">
        <f>Проект!$I$1979</f>
        <v>0.25</v>
      </c>
      <c r="J1069" s="251">
        <f>Проект!$J$1979</f>
        <v>0.25</v>
      </c>
      <c r="K1069" s="251">
        <f>Проект!$K$1979</f>
        <v>0.25</v>
      </c>
      <c r="L1069" s="251">
        <f>Проект!$L$1979</f>
        <v>0.25</v>
      </c>
      <c r="M1069" s="251">
        <f>Проект!$M$1979</f>
        <v>0.25</v>
      </c>
      <c r="N1069" s="251" t="e">
        <f>Проект!#REF!</f>
        <v>#REF!</v>
      </c>
      <c r="O1069" s="251" t="e">
        <f>Проект!#REF!</f>
        <v>#REF!</v>
      </c>
      <c r="P1069" s="251" t="e">
        <f>Проект!#REF!</f>
        <v>#REF!</v>
      </c>
      <c r="Q1069" s="251">
        <f>Проект!$Q$1979</f>
        <v>0.25</v>
      </c>
      <c r="R1069" s="48"/>
      <c r="S1069" s="41"/>
    </row>
    <row r="1070" spans="1:19" hidden="1" x14ac:dyDescent="0.2">
      <c r="A1070" s="48" t="str">
        <f ca="1">Проект!$A$1980</f>
        <v xml:space="preserve">    ставка дисконтирования на расчетный период</v>
      </c>
      <c r="B1070" s="48"/>
      <c r="C1070" s="48"/>
      <c r="D1070" s="101" t="str">
        <f>Проект!$D$1980</f>
        <v>int_avg</v>
      </c>
      <c r="E1070" s="48"/>
      <c r="F1070" s="251">
        <f>Проект!$F$1980</f>
        <v>1.8105030477883588E-2</v>
      </c>
      <c r="G1070" s="251">
        <f>Проект!$G$1980</f>
        <v>1.8105030477883588E-2</v>
      </c>
      <c r="H1070" s="251">
        <f>Проект!$H$1980</f>
        <v>1.8105030477883588E-2</v>
      </c>
      <c r="I1070" s="251">
        <f>Проект!$I$1980</f>
        <v>1.8105030477883588E-2</v>
      </c>
      <c r="J1070" s="251">
        <f>Проект!$J$1980</f>
        <v>1.8105030477883588E-2</v>
      </c>
      <c r="K1070" s="251">
        <f>Проект!$K$1980</f>
        <v>1.8105030477883588E-2</v>
      </c>
      <c r="L1070" s="251">
        <f>Проект!$L$1980</f>
        <v>1.8105030477883588E-2</v>
      </c>
      <c r="M1070" s="251">
        <f>Проект!$M$1980</f>
        <v>1.8105030477883588E-2</v>
      </c>
      <c r="N1070" s="251" t="e">
        <f>Проект!#REF!</f>
        <v>#REF!</v>
      </c>
      <c r="O1070" s="251" t="e">
        <f>Проект!#REF!</f>
        <v>#REF!</v>
      </c>
      <c r="P1070" s="251" t="e">
        <f>Проект!#REF!</f>
        <v>#REF!</v>
      </c>
      <c r="Q1070" s="251">
        <f>Проект!$Q$1980</f>
        <v>1.8105030477883588E-2</v>
      </c>
      <c r="R1070" s="48"/>
      <c r="S1070" s="41"/>
    </row>
    <row r="1071" spans="1:19" hidden="1" x14ac:dyDescent="0.2">
      <c r="A1071" s="48" t="str">
        <f ca="1">Проект!$A$1981</f>
        <v xml:space="preserve">    коэффициент дисконта на середину периода</v>
      </c>
      <c r="B1071" s="48"/>
      <c r="C1071" s="48"/>
      <c r="D1071" s="101" t="str">
        <f>Проект!$D$1981</f>
        <v>int_avg</v>
      </c>
      <c r="E1071" s="48"/>
      <c r="F1071" s="399">
        <f>Проект!$F$1981</f>
        <v>1.0090119079960769</v>
      </c>
      <c r="G1071" s="399">
        <f>Проект!$G$1981</f>
        <v>1.0272800993428932</v>
      </c>
      <c r="H1071" s="399">
        <f>Проект!$H$1981</f>
        <v>1.0458790368508195</v>
      </c>
      <c r="I1071" s="399">
        <f>Проект!$I$1981</f>
        <v>1.064814708689183</v>
      </c>
      <c r="J1071" s="399">
        <f>Проект!$J$1981</f>
        <v>1.0840932114432995</v>
      </c>
      <c r="K1071" s="399">
        <f>Проект!$K$1981</f>
        <v>1.1037207520773471</v>
      </c>
      <c r="L1071" s="399">
        <f>Проект!$L$1981</f>
        <v>1.1237036499327802</v>
      </c>
      <c r="M1071" s="399">
        <f>Проект!$M$1981</f>
        <v>1.1440483387629221</v>
      </c>
      <c r="N1071" s="399" t="e">
        <f>Проект!#REF!</f>
        <v>#REF!</v>
      </c>
      <c r="O1071" s="399" t="e">
        <f>Проект!#REF!</f>
        <v>#REF!</v>
      </c>
      <c r="P1071" s="399" t="e">
        <f>Проект!#REF!</f>
        <v>#REF!</v>
      </c>
      <c r="Q1071" s="399">
        <f>Проект!$Q$1981</f>
        <v>1.2291778003681306</v>
      </c>
      <c r="R1071" s="48"/>
      <c r="S1071" s="41"/>
    </row>
    <row r="1072" spans="1:19" hidden="1" x14ac:dyDescent="0.2">
      <c r="A1072" s="48" t="str">
        <f ca="1">Проект!$A$1982</f>
        <v xml:space="preserve">    коэффициент дисконта для потока на конец периода</v>
      </c>
      <c r="B1072" s="48"/>
      <c r="C1072" s="48"/>
      <c r="D1072" s="101" t="str">
        <f>Проект!$D$1982</f>
        <v>int_avg</v>
      </c>
      <c r="E1072" s="48"/>
      <c r="F1072" s="399">
        <f>Проект!$F$1982</f>
        <v>1.0181050304778836</v>
      </c>
      <c r="G1072" s="399">
        <f>Проект!$G$1982</f>
        <v>1.0365378530843723</v>
      </c>
      <c r="H1072" s="399">
        <f>Проект!$H$1982</f>
        <v>1.0553044025059448</v>
      </c>
      <c r="I1072" s="399">
        <f>Проект!$I$1982</f>
        <v>1.0744107208767597</v>
      </c>
      <c r="J1072" s="399">
        <f>Проект!$J$1982</f>
        <v>1.0938629597239984</v>
      </c>
      <c r="K1072" s="399">
        <f>Проект!$K$1982</f>
        <v>1.1136673819484293</v>
      </c>
      <c r="L1072" s="399">
        <f>Проект!$L$1982</f>
        <v>1.1338303638408305</v>
      </c>
      <c r="M1072" s="399">
        <f>Проект!$M$1982</f>
        <v>1.1543583971349185</v>
      </c>
      <c r="N1072" s="399" t="e">
        <f>Проект!#REF!</f>
        <v>#REF!</v>
      </c>
      <c r="O1072" s="399" t="e">
        <f>Проект!#REF!</f>
        <v>#REF!</v>
      </c>
      <c r="P1072" s="399" t="e">
        <f>Проект!#REF!</f>
        <v>#REF!</v>
      </c>
      <c r="Q1072" s="399">
        <f>Проект!$Q$1982</f>
        <v>1.2402550376158685</v>
      </c>
      <c r="R1072" s="48"/>
      <c r="S1072" s="41"/>
    </row>
    <row r="1073" spans="1:19" ht="11.25" customHeight="1" x14ac:dyDescent="0.2">
      <c r="A1073" s="48" t="str">
        <f ca="1">Проект!$A$1983</f>
        <v>Долгосрочные темпы роста в постпрогнозный период</v>
      </c>
      <c r="B1073" s="344">
        <f ca="1">Проект!$B$1983</f>
        <v>8.0000000000000002E-3</v>
      </c>
      <c r="C1073" s="73" t="str">
        <f>Проект!$C$1983</f>
        <v>%</v>
      </c>
      <c r="D1073" s="48"/>
      <c r="E1073" s="48"/>
      <c r="F1073" s="48"/>
      <c r="G1073" s="48"/>
      <c r="H1073" s="48"/>
      <c r="I1073" s="48"/>
      <c r="J1073" s="48"/>
      <c r="K1073" s="48"/>
      <c r="L1073" s="48"/>
      <c r="M1073" s="48"/>
      <c r="N1073" s="48"/>
      <c r="O1073" s="48"/>
      <c r="P1073" s="48"/>
      <c r="Q1073" s="48"/>
      <c r="R1073" s="48"/>
      <c r="S1073" s="41"/>
    </row>
    <row r="1074" spans="1:19" hidden="1" x14ac:dyDescent="0.2">
      <c r="A1074" s="48" t="str">
        <f ca="1">Проект!$A$1984</f>
        <v xml:space="preserve">    в пересчете на период, равный шагу проекта</v>
      </c>
      <c r="B1074" s="137">
        <f ca="1">Проект!$B$1984</f>
        <v>0</v>
      </c>
      <c r="C1074" s="48"/>
      <c r="D1074" s="48"/>
      <c r="E1074" s="48"/>
      <c r="F1074" s="48"/>
      <c r="G1074" s="48"/>
      <c r="H1074" s="48"/>
      <c r="I1074" s="48"/>
      <c r="J1074" s="48"/>
      <c r="K1074" s="48"/>
      <c r="L1074" s="48"/>
      <c r="M1074" s="48"/>
      <c r="N1074" s="48"/>
      <c r="O1074" s="48"/>
      <c r="P1074" s="48"/>
      <c r="Q1074" s="48"/>
      <c r="R1074" s="48"/>
      <c r="S1074" s="41"/>
    </row>
    <row r="1075" spans="1:19" ht="11.25" customHeight="1" x14ac:dyDescent="0.2">
      <c r="A1075" s="48"/>
      <c r="B1075" s="48"/>
      <c r="C1075" s="48"/>
      <c r="D1075" s="48"/>
      <c r="E1075" s="48"/>
      <c r="F1075" s="48"/>
      <c r="G1075" s="48"/>
      <c r="H1075" s="48"/>
      <c r="I1075" s="48"/>
      <c r="J1075" s="48"/>
      <c r="K1075" s="48"/>
      <c r="L1075" s="48"/>
      <c r="M1075" s="48"/>
      <c r="N1075" s="48"/>
      <c r="O1075" s="48"/>
      <c r="P1075" s="48"/>
      <c r="Q1075" s="48"/>
      <c r="R1075" s="48"/>
      <c r="S1075" s="41"/>
    </row>
    <row r="1076" spans="1:19" ht="11.25" customHeight="1" x14ac:dyDescent="0.25">
      <c r="A1076" s="130" t="str">
        <f ca="1">Проект!$A$1986</f>
        <v>Денежный поток для собственного капитала</v>
      </c>
      <c r="B1076" s="48"/>
      <c r="C1076" s="73" t="str">
        <f ca="1">Проект!$C$1986</f>
        <v>руб.</v>
      </c>
      <c r="D1076" s="48"/>
      <c r="E1076" s="48"/>
      <c r="F1076" s="160">
        <f ca="1">Проект!$F$1986</f>
        <v>0</v>
      </c>
      <c r="G1076" s="160">
        <f ca="1">Проект!$G$1986</f>
        <v>-83289.833435114007</v>
      </c>
      <c r="H1076" s="160">
        <f ca="1">Проект!$H$1986</f>
        <v>-148028.13484835671</v>
      </c>
      <c r="I1076" s="160">
        <f ca="1">Проект!$I$1986</f>
        <v>-182015.87246221513</v>
      </c>
      <c r="J1076" s="160">
        <f ca="1">Проект!$J$1986</f>
        <v>-206456.26203638921</v>
      </c>
      <c r="K1076" s="160">
        <f ca="1">Проект!$K$1986</f>
        <v>22148.054204545941</v>
      </c>
      <c r="L1076" s="160">
        <f ca="1">Проект!$L$1986</f>
        <v>138285.77352272766</v>
      </c>
      <c r="M1076" s="160">
        <f ca="1">Проект!$M$1986</f>
        <v>254423.49284090847</v>
      </c>
      <c r="N1076" s="160" t="e">
        <f>Проект!#REF!</f>
        <v>#REF!</v>
      </c>
      <c r="O1076" s="160" t="e">
        <f>Проект!#REF!</f>
        <v>#REF!</v>
      </c>
      <c r="P1076" s="160" t="e">
        <f>Проект!#REF!</f>
        <v>#REF!</v>
      </c>
      <c r="Q1076" s="160">
        <f ca="1">Проект!$Q$1986</f>
        <v>10463747.89625</v>
      </c>
      <c r="R1076" s="130"/>
      <c r="S1076" s="95">
        <f ca="1">Проект!$S$1986</f>
        <v>23963227.652359784</v>
      </c>
    </row>
    <row r="1077" spans="1:19" ht="11.25" customHeight="1" x14ac:dyDescent="0.2">
      <c r="A1077" s="48" t="str">
        <f ca="1">Проект!$A$1987</f>
        <v>Чистая прибыль</v>
      </c>
      <c r="B1077" s="48"/>
      <c r="C1077" s="73" t="str">
        <f ca="1">Проект!$C$1987</f>
        <v>руб.</v>
      </c>
      <c r="D1077" s="48"/>
      <c r="E1077" s="48"/>
      <c r="F1077" s="106">
        <f ca="1">Проект!$F$1987</f>
        <v>-3007443.6844783714</v>
      </c>
      <c r="G1077" s="106">
        <f ca="1">Проект!$G$1987</f>
        <v>-2649952.9535589088</v>
      </c>
      <c r="H1077" s="106">
        <f ca="1">Проект!$H$1987</f>
        <v>-2565732.0292993961</v>
      </c>
      <c r="I1077" s="106">
        <f ca="1">Проект!$I$1987</f>
        <v>-2088794.3376510644</v>
      </c>
      <c r="J1077" s="106">
        <f ca="1">Проект!$J$1987</f>
        <v>-1473070.8539035725</v>
      </c>
      <c r="K1077" s="106">
        <f ca="1">Проект!$K$1987</f>
        <v>-198551.35345276195</v>
      </c>
      <c r="L1077" s="106">
        <f ca="1">Проект!$L$1987</f>
        <v>1096547.547974088</v>
      </c>
      <c r="M1077" s="106">
        <f ca="1">Проект!$M$1987</f>
        <v>2416169.2904287493</v>
      </c>
      <c r="N1077" s="106" t="e">
        <f>Проект!#REF!</f>
        <v>#REF!</v>
      </c>
      <c r="O1077" s="106" t="e">
        <f>Проект!#REF!</f>
        <v>#REF!</v>
      </c>
      <c r="P1077" s="106" t="e">
        <f>Проект!#REF!</f>
        <v>#REF!</v>
      </c>
      <c r="Q1077" s="106">
        <f ca="1">Проект!$Q$1987</f>
        <v>10219389.125</v>
      </c>
      <c r="R1077" s="48"/>
      <c r="S1077" s="94">
        <f ca="1">Проект!$S$1987</f>
        <v>22124342.83720386</v>
      </c>
    </row>
    <row r="1078" spans="1:19" ht="11.25" customHeight="1" x14ac:dyDescent="0.2">
      <c r="A1078" s="48" t="str">
        <f ca="1">Проект!$A$1988</f>
        <v>Амортизация</v>
      </c>
      <c r="B1078" s="48"/>
      <c r="C1078" s="73" t="str">
        <f ca="1">Проект!$C$1988</f>
        <v>руб.</v>
      </c>
      <c r="D1078" s="48"/>
      <c r="E1078" s="48"/>
      <c r="F1078" s="106">
        <f ca="1">Проект!$F$1988</f>
        <v>0</v>
      </c>
      <c r="G1078" s="106">
        <f ca="1">Проект!$G$1988</f>
        <v>0</v>
      </c>
      <c r="H1078" s="106">
        <f ca="1">Проект!$H$1988</f>
        <v>0</v>
      </c>
      <c r="I1078" s="106">
        <f ca="1">Проект!$I$1988</f>
        <v>0</v>
      </c>
      <c r="J1078" s="106">
        <f ca="1">Проект!$J$1988</f>
        <v>0</v>
      </c>
      <c r="K1078" s="106">
        <f ca="1">Проект!$K$1988</f>
        <v>0</v>
      </c>
      <c r="L1078" s="106">
        <f ca="1">Проект!$L$1988</f>
        <v>0</v>
      </c>
      <c r="M1078" s="106">
        <f ca="1">Проект!$M$1988</f>
        <v>0</v>
      </c>
      <c r="N1078" s="106" t="e">
        <f>Проект!#REF!</f>
        <v>#REF!</v>
      </c>
      <c r="O1078" s="106" t="e">
        <f>Проект!#REF!</f>
        <v>#REF!</v>
      </c>
      <c r="P1078" s="106" t="e">
        <f>Проект!#REF!</f>
        <v>#REF!</v>
      </c>
      <c r="Q1078" s="106">
        <f ca="1">Проект!$Q$1988</f>
        <v>0</v>
      </c>
      <c r="R1078" s="48"/>
      <c r="S1078" s="94">
        <f ca="1">Проект!$S$1988</f>
        <v>0</v>
      </c>
    </row>
    <row r="1079" spans="1:19" ht="11.25" customHeight="1" x14ac:dyDescent="0.2">
      <c r="A1079" s="48" t="str">
        <f ca="1">Проект!$A$1989</f>
        <v>Изменение чистого оборотного капитала</v>
      </c>
      <c r="B1079" s="48"/>
      <c r="C1079" s="73" t="str">
        <f ca="1">Проект!$C$1989</f>
        <v>руб.</v>
      </c>
      <c r="D1079" s="48"/>
      <c r="E1079" s="48"/>
      <c r="F1079" s="106">
        <f ca="1">Проект!$F$1989</f>
        <v>-648376</v>
      </c>
      <c r="G1079" s="106">
        <f ca="1">Проект!$G$1989</f>
        <v>415440</v>
      </c>
      <c r="H1079" s="106">
        <f ca="1">Проект!$H$1989</f>
        <v>-24435.877125000115</v>
      </c>
      <c r="I1079" s="106">
        <f ca="1">Проект!$I$1989</f>
        <v>-97743.508499999763</v>
      </c>
      <c r="J1079" s="106">
        <f ca="1">Проект!$J$1989</f>
        <v>-122179.385625</v>
      </c>
      <c r="K1079" s="106">
        <f ca="1">Проект!$K$1989</f>
        <v>-244358.77125000022</v>
      </c>
      <c r="L1079" s="106">
        <f ca="1">Проект!$L$1989</f>
        <v>-244358.77124999976</v>
      </c>
      <c r="M1079" s="106">
        <f ca="1">Проект!$M$1989</f>
        <v>-244358.77125000011</v>
      </c>
      <c r="N1079" s="106" t="e">
        <f>Проект!#REF!</f>
        <v>#REF!</v>
      </c>
      <c r="O1079" s="106" t="e">
        <f>Проект!#REF!</f>
        <v>#REF!</v>
      </c>
      <c r="P1079" s="106" t="e">
        <f>Проект!#REF!</f>
        <v>#REF!</v>
      </c>
      <c r="Q1079" s="106">
        <f ca="1">Проект!$Q$1989</f>
        <v>-244358.77124999976</v>
      </c>
      <c r="R1079" s="48"/>
      <c r="S1079" s="94">
        <f ca="1">Проект!$S$1989</f>
        <v>-2676523.7124999999</v>
      </c>
    </row>
    <row r="1080" spans="1:19" ht="11.25" customHeight="1" x14ac:dyDescent="0.2">
      <c r="A1080" s="48" t="str">
        <f ca="1">Проект!$A$1990</f>
        <v>Инвестиции</v>
      </c>
      <c r="B1080" s="48"/>
      <c r="C1080" s="73" t="str">
        <f ca="1">Проект!$C$1990</f>
        <v>руб.</v>
      </c>
      <c r="D1080" s="48"/>
      <c r="E1080" s="48"/>
      <c r="F1080" s="106">
        <f>Проект!$F$1990</f>
        <v>0</v>
      </c>
      <c r="G1080" s="106">
        <f>Проект!$G$1990</f>
        <v>0</v>
      </c>
      <c r="H1080" s="106">
        <f>Проект!$H$1990</f>
        <v>0</v>
      </c>
      <c r="I1080" s="106">
        <f>Проект!$I$1990</f>
        <v>0</v>
      </c>
      <c r="J1080" s="106">
        <f>Проект!$J$1990</f>
        <v>0</v>
      </c>
      <c r="K1080" s="106">
        <f>Проект!$K$1990</f>
        <v>0</v>
      </c>
      <c r="L1080" s="106">
        <f>Проект!$L$1990</f>
        <v>0</v>
      </c>
      <c r="M1080" s="106">
        <f>Проект!$M$1990</f>
        <v>0</v>
      </c>
      <c r="N1080" s="106" t="e">
        <f>Проект!#REF!</f>
        <v>#REF!</v>
      </c>
      <c r="O1080" s="106" t="e">
        <f>Проект!#REF!</f>
        <v>#REF!</v>
      </c>
      <c r="P1080" s="106" t="e">
        <f>Проект!#REF!</f>
        <v>#REF!</v>
      </c>
      <c r="Q1080" s="106">
        <f>Проект!$Q$1990</f>
        <v>0</v>
      </c>
      <c r="R1080" s="48"/>
      <c r="S1080" s="94">
        <f>Проект!$S$1990</f>
        <v>0</v>
      </c>
    </row>
    <row r="1081" spans="1:19" ht="11.25" customHeight="1" x14ac:dyDescent="0.2">
      <c r="A1081" s="48" t="str">
        <f ca="1">Проект!$A$1991</f>
        <v>Изменение долгосрочной задолженности</v>
      </c>
      <c r="B1081" s="48"/>
      <c r="C1081" s="73" t="str">
        <f ca="1">Проект!$C$1991</f>
        <v>руб.</v>
      </c>
      <c r="D1081" s="48"/>
      <c r="E1081" s="48"/>
      <c r="F1081" s="106">
        <f>Проект!$F$1991</f>
        <v>2359067.6844783714</v>
      </c>
      <c r="G1081" s="106">
        <f>Проект!$G$1991</f>
        <v>2982103.1201237948</v>
      </c>
      <c r="H1081" s="106">
        <f>Проект!$H$1991</f>
        <v>2393268.0173260393</v>
      </c>
      <c r="I1081" s="106">
        <f>Проект!$I$1991</f>
        <v>1809034.9566888495</v>
      </c>
      <c r="J1081" s="106">
        <f>Проект!$J$1991</f>
        <v>1144435.2062421832</v>
      </c>
      <c r="K1081" s="106">
        <f>Проект!$K$1991</f>
        <v>-23659.363592692334</v>
      </c>
      <c r="L1081" s="106">
        <f>Проект!$L$1991</f>
        <v>-1202620.5457013601</v>
      </c>
      <c r="M1081" s="106">
        <f>Проект!$M$1991</f>
        <v>-2406104.568837841</v>
      </c>
      <c r="N1081" s="106" t="e">
        <f>Проект!#REF!</f>
        <v>#REF!</v>
      </c>
      <c r="O1081" s="106" t="e">
        <f>Проект!#REF!</f>
        <v>#REF!</v>
      </c>
      <c r="P1081" s="106" t="e">
        <f>Проект!#REF!</f>
        <v>#REF!</v>
      </c>
      <c r="Q1081" s="106">
        <f>Проект!$Q$1991</f>
        <v>0</v>
      </c>
      <c r="R1081" s="48"/>
      <c r="S1081" s="94">
        <f>Проект!$S$1991</f>
        <v>-837638.89734407701</v>
      </c>
    </row>
    <row r="1082" spans="1:19" ht="11.25" customHeight="1" x14ac:dyDescent="0.2">
      <c r="A1082" s="48"/>
      <c r="B1082" s="48"/>
      <c r="C1082" s="48"/>
      <c r="D1082" s="48"/>
      <c r="E1082" s="48"/>
      <c r="F1082" s="48"/>
      <c r="G1082" s="48"/>
      <c r="H1082" s="48"/>
      <c r="I1082" s="48"/>
      <c r="J1082" s="48"/>
      <c r="K1082" s="48"/>
      <c r="L1082" s="48"/>
      <c r="M1082" s="48"/>
      <c r="N1082" s="48"/>
      <c r="O1082" s="48"/>
      <c r="P1082" s="48"/>
      <c r="Q1082" s="48"/>
      <c r="R1082" s="48"/>
      <c r="S1082" s="41"/>
    </row>
    <row r="1083" spans="1:19" ht="11.25" customHeight="1" x14ac:dyDescent="0.2">
      <c r="A1083" s="48" t="str">
        <f ca="1">Проект!$A$1993</f>
        <v>Дисконтированный денежный поток</v>
      </c>
      <c r="B1083" s="48"/>
      <c r="C1083" s="73" t="str">
        <f ca="1">Проект!$C$1993</f>
        <v>руб.</v>
      </c>
      <c r="D1083" s="48"/>
      <c r="E1083" s="48"/>
      <c r="F1083" s="106">
        <f ca="1">Проект!$F$1993</f>
        <v>0</v>
      </c>
      <c r="G1083" s="106">
        <f ca="1">Проект!$G$1993</f>
        <v>-81078.017074788979</v>
      </c>
      <c r="H1083" s="106">
        <f ca="1">Проект!$H$1993</f>
        <v>-141534.66092414942</v>
      </c>
      <c r="I1083" s="106">
        <f ca="1">Проект!$I$1993</f>
        <v>-170936.66247931699</v>
      </c>
      <c r="J1083" s="106">
        <f ca="1">Проект!$J$1993</f>
        <v>-190441.43054961591</v>
      </c>
      <c r="K1083" s="106">
        <f ca="1">Проект!$K$1993</f>
        <v>20066.71901643636</v>
      </c>
      <c r="L1083" s="106">
        <f ca="1">Проект!$L$1993</f>
        <v>123062.49386214942</v>
      </c>
      <c r="M1083" s="106">
        <f ca="1">Проект!$M$1993</f>
        <v>222388.76122666345</v>
      </c>
      <c r="N1083" s="106" t="e">
        <f>Проект!#REF!</f>
        <v>#REF!</v>
      </c>
      <c r="O1083" s="106" t="e">
        <f>Проект!#REF!</f>
        <v>#REF!</v>
      </c>
      <c r="P1083" s="106" t="e">
        <f>Проект!#REF!</f>
        <v>#REF!</v>
      </c>
      <c r="Q1083" s="106">
        <f ca="1">Проект!$Q$1993</f>
        <v>8512802.5360661224</v>
      </c>
      <c r="R1083" s="106"/>
      <c r="S1083" s="94">
        <f ca="1">Проект!$S$1993</f>
        <v>19718075.257211901</v>
      </c>
    </row>
    <row r="1084" spans="1:19" ht="11.25" customHeight="1" x14ac:dyDescent="0.2">
      <c r="A1084" s="48"/>
      <c r="B1084" s="48"/>
      <c r="C1084" s="48"/>
      <c r="D1084" s="48"/>
      <c r="E1084" s="48"/>
      <c r="F1084" s="48"/>
      <c r="G1084" s="48"/>
      <c r="H1084" s="48"/>
      <c r="I1084" s="48"/>
      <c r="J1084" s="48"/>
      <c r="K1084" s="48"/>
      <c r="L1084" s="48"/>
      <c r="M1084" s="48"/>
      <c r="N1084" s="48"/>
      <c r="O1084" s="48"/>
      <c r="P1084" s="48"/>
      <c r="Q1084" s="48"/>
      <c r="R1084" s="48"/>
      <c r="S1084" s="41"/>
    </row>
    <row r="1085" spans="1:19" ht="11.25" customHeight="1" x14ac:dyDescent="0.25">
      <c r="A1085" s="130" t="str">
        <f ca="1">Проект!$A$1995</f>
        <v>Продленная стоимость проекта</v>
      </c>
      <c r="B1085" s="312">
        <f ca="1">Проект!$B$1995</f>
        <v>564450258.03649509</v>
      </c>
      <c r="C1085" s="73" t="str">
        <f ca="1">Проект!$C$1995</f>
        <v>руб.</v>
      </c>
      <c r="D1085" s="48"/>
      <c r="E1085" s="48"/>
      <c r="F1085" s="130"/>
      <c r="G1085" s="130"/>
      <c r="H1085" s="130"/>
      <c r="I1085" s="130"/>
      <c r="J1085" s="130"/>
      <c r="K1085" s="130"/>
      <c r="L1085" s="130"/>
      <c r="M1085" s="130"/>
      <c r="N1085" s="130"/>
      <c r="O1085" s="130"/>
      <c r="P1085" s="130"/>
      <c r="Q1085" s="130"/>
      <c r="R1085" s="130"/>
      <c r="S1085" s="382"/>
    </row>
    <row r="1086" spans="1:19" ht="10.5" hidden="1" x14ac:dyDescent="0.25">
      <c r="A1086" s="52" t="str">
        <f ca="1">Проект!$A$1996</f>
        <v>Посленалоговая операционная прибыль (NOPLAT)</v>
      </c>
      <c r="B1086" s="48"/>
      <c r="C1086" s="73" t="str">
        <f ca="1">Проект!$C$1996</f>
        <v>руб.</v>
      </c>
      <c r="D1086" s="48"/>
      <c r="E1086" s="48"/>
      <c r="F1086" s="84">
        <f ca="1">Проект!$F$1996</f>
        <v>-2966160</v>
      </c>
      <c r="G1086" s="84">
        <f ca="1">Проект!$G$1996</f>
        <v>-2555760</v>
      </c>
      <c r="H1086" s="84">
        <f ca="1">Проект!$H$1996</f>
        <v>-2419853.3087499999</v>
      </c>
      <c r="I1086" s="84">
        <f ca="1">Проект!$I$1996</f>
        <v>-1876226.54375</v>
      </c>
      <c r="J1086" s="84">
        <f ca="1">Проект!$J$1996</f>
        <v>-1196693.0874999999</v>
      </c>
      <c r="K1086" s="84">
        <f ca="1">Проект!$K$1996</f>
        <v>162373.82499999995</v>
      </c>
      <c r="L1086" s="84">
        <f ca="1">Проект!$L$1996</f>
        <v>1243906.7228934481</v>
      </c>
      <c r="M1086" s="84">
        <f ca="1">Проект!$M$1996</f>
        <v>2537868.9318445218</v>
      </c>
      <c r="N1086" s="84" t="e">
        <f>Проект!#REF!</f>
        <v>#REF!</v>
      </c>
      <c r="O1086" s="84" t="e">
        <f>Проект!#REF!</f>
        <v>#REF!</v>
      </c>
      <c r="P1086" s="84" t="e">
        <f>Проект!#REF!</f>
        <v>#REF!</v>
      </c>
      <c r="Q1086" s="84">
        <f ca="1">Проект!$Q$1996</f>
        <v>10219389.125</v>
      </c>
      <c r="R1086" s="130"/>
      <c r="S1086" s="382"/>
    </row>
    <row r="1087" spans="1:19" hidden="1" x14ac:dyDescent="0.2">
      <c r="A1087" s="52" t="str">
        <f ca="1">Проект!$A$1997</f>
        <v>Дисконтированная продленная стоимость</v>
      </c>
      <c r="B1087" s="87">
        <f ca="1">Проект!$B$1997</f>
        <v>455108216.38872993</v>
      </c>
      <c r="C1087" s="73" t="str">
        <f ca="1">Проект!$C$1997</f>
        <v>руб.</v>
      </c>
      <c r="D1087" s="48"/>
      <c r="E1087" s="48"/>
      <c r="F1087" s="48"/>
      <c r="G1087" s="48"/>
      <c r="H1087" s="48"/>
      <c r="I1087" s="48"/>
      <c r="J1087" s="48"/>
      <c r="K1087" s="48"/>
      <c r="L1087" s="48"/>
      <c r="M1087" s="48"/>
      <c r="N1087" s="48"/>
      <c r="O1087" s="48"/>
      <c r="P1087" s="48"/>
      <c r="Q1087" s="48"/>
      <c r="R1087" s="48"/>
      <c r="S1087" s="41"/>
    </row>
    <row r="1088" spans="1:19" ht="11.25" customHeight="1" x14ac:dyDescent="0.2">
      <c r="A1088" s="48"/>
      <c r="B1088" s="48"/>
      <c r="C1088" s="48"/>
      <c r="D1088" s="48"/>
      <c r="E1088" s="48"/>
      <c r="F1088" s="48"/>
      <c r="G1088" s="48"/>
      <c r="H1088" s="48"/>
      <c r="I1088" s="48"/>
      <c r="J1088" s="48"/>
      <c r="K1088" s="48"/>
      <c r="L1088" s="48"/>
      <c r="M1088" s="48"/>
      <c r="N1088" s="48"/>
      <c r="O1088" s="48"/>
      <c r="P1088" s="48"/>
      <c r="Q1088" s="48"/>
      <c r="R1088" s="48"/>
      <c r="S1088" s="41"/>
    </row>
    <row r="1089" spans="1:19" ht="11.25" customHeight="1" x14ac:dyDescent="0.25">
      <c r="A1089" s="130" t="str">
        <f ca="1">Проект!$A$1999</f>
        <v>Итого стоимость бизнеса</v>
      </c>
      <c r="B1089" s="120">
        <f ca="1">Проект!$B$1999</f>
        <v>474826291.64594185</v>
      </c>
      <c r="C1089" s="48" t="str">
        <f ca="1">Проект!$C$1999</f>
        <v>руб.</v>
      </c>
      <c r="D1089" s="48"/>
      <c r="E1089" s="48"/>
      <c r="F1089" s="48"/>
      <c r="G1089" s="48"/>
      <c r="H1089" s="48"/>
      <c r="I1089" s="48"/>
      <c r="J1089" s="48"/>
      <c r="K1089" s="48"/>
      <c r="L1089" s="48"/>
      <c r="M1089" s="48"/>
      <c r="N1089" s="48"/>
      <c r="O1089" s="48"/>
      <c r="P1089" s="48"/>
      <c r="Q1089" s="48"/>
      <c r="R1089" s="48"/>
      <c r="S1089" s="41"/>
    </row>
    <row r="1092" spans="1:19" ht="16" customHeight="1" thickBot="1" x14ac:dyDescent="0.25">
      <c r="A1092" s="166" t="str">
        <f ca="1">Проект!$A$2053</f>
        <v xml:space="preserve">         ОСНОВНЫЕ ПОКАЗАТЕЛИ ПРОЕКТА</v>
      </c>
      <c r="B1092" s="166"/>
      <c r="C1092" s="166"/>
      <c r="D1092" s="166"/>
      <c r="E1092" s="166"/>
      <c r="F1092" s="178" t="str">
        <f>Проект!$F$2053</f>
        <v>4/ 2024</v>
      </c>
      <c r="G1092" s="178" t="str">
        <f>Проект!$G$2053</f>
        <v>5/ 2024</v>
      </c>
      <c r="H1092" s="178" t="str">
        <f>Проект!$H$2053</f>
        <v>6/ 2024</v>
      </c>
      <c r="I1092" s="178" t="str">
        <f>Проект!$I$2053</f>
        <v>7/ 2024</v>
      </c>
      <c r="J1092" s="178" t="str">
        <f>Проект!$J$2053</f>
        <v>8/ 2024</v>
      </c>
      <c r="K1092" s="178" t="str">
        <f>Проект!$K$2053</f>
        <v>9/ 2024</v>
      </c>
      <c r="L1092" s="178" t="str">
        <f>Проект!$L$2053</f>
        <v>10/ 2024</v>
      </c>
      <c r="M1092" s="178" t="str">
        <f>Проект!$M$2053</f>
        <v>11/ 2024</v>
      </c>
      <c r="N1092" s="178" t="e">
        <f>Проект!#REF!</f>
        <v>#REF!</v>
      </c>
      <c r="O1092" s="178" t="e">
        <f>Проект!#REF!</f>
        <v>#REF!</v>
      </c>
      <c r="P1092" s="178" t="e">
        <f>Проект!#REF!</f>
        <v>#REF!</v>
      </c>
      <c r="Q1092" s="178" t="str">
        <f>Проект!$Q$2053</f>
        <v>3/ 2025</v>
      </c>
      <c r="R1092" s="166"/>
      <c r="S1092" s="167" t="str">
        <f ca="1">Проект!$S$2053</f>
        <v>ИТОГО</v>
      </c>
    </row>
    <row r="1093" spans="1:19" ht="12" customHeight="1" thickTop="1" x14ac:dyDescent="0.2">
      <c r="A1093" s="48"/>
      <c r="B1093" s="48"/>
      <c r="C1093" s="48"/>
      <c r="D1093" s="48"/>
      <c r="E1093" s="48"/>
      <c r="F1093" s="48"/>
      <c r="G1093" s="48"/>
      <c r="H1093" s="48"/>
      <c r="I1093" s="48"/>
      <c r="J1093" s="48"/>
      <c r="K1093" s="48"/>
      <c r="L1093" s="48"/>
      <c r="M1093" s="48"/>
      <c r="N1093" s="48"/>
      <c r="O1093" s="48"/>
      <c r="P1093" s="48"/>
      <c r="Q1093" s="48"/>
      <c r="R1093" s="48"/>
      <c r="S1093" s="41"/>
    </row>
    <row r="1094" spans="1:19" ht="11.25" customHeight="1" x14ac:dyDescent="0.2">
      <c r="A1094" s="48" t="str">
        <f ca="1">Проект!$A$2055</f>
        <v>Выручка от реализации (без НДС)</v>
      </c>
      <c r="B1094" s="48"/>
      <c r="C1094" s="73" t="str">
        <f ca="1">Проект!$C$2055</f>
        <v>руб.</v>
      </c>
      <c r="D1094" s="48"/>
      <c r="E1094" s="48"/>
      <c r="F1094" s="106">
        <f>Проект!$F$2055</f>
        <v>0</v>
      </c>
      <c r="G1094" s="106">
        <f>Проект!$G$2055</f>
        <v>0</v>
      </c>
      <c r="H1094" s="106">
        <f>Проект!$H$2055</f>
        <v>135920</v>
      </c>
      <c r="I1094" s="106">
        <f>Проект!$I$2055</f>
        <v>679600</v>
      </c>
      <c r="J1094" s="106">
        <f>Проект!$J$2055</f>
        <v>1359200</v>
      </c>
      <c r="K1094" s="106">
        <f>Проект!$K$2055</f>
        <v>2718400</v>
      </c>
      <c r="L1094" s="106">
        <f>Проект!$L$2055</f>
        <v>4077600</v>
      </c>
      <c r="M1094" s="106">
        <f>Проект!$M$2055</f>
        <v>5436800</v>
      </c>
      <c r="N1094" s="106" t="e">
        <f>Проект!#REF!</f>
        <v>#REF!</v>
      </c>
      <c r="O1094" s="106" t="e">
        <f>Проект!#REF!</f>
        <v>#REF!</v>
      </c>
      <c r="P1094" s="106" t="e">
        <f>Проект!#REF!</f>
        <v>#REF!</v>
      </c>
      <c r="Q1094" s="106">
        <f>Проект!$Q$2055</f>
        <v>13592000</v>
      </c>
      <c r="R1094" s="48"/>
      <c r="S1094" s="94">
        <f>Проект!$S$2055</f>
        <v>57901920</v>
      </c>
    </row>
    <row r="1095" spans="1:19" ht="11.25" customHeight="1" x14ac:dyDescent="0.2">
      <c r="A1095" s="48" t="str">
        <f ca="1">Проект!$A$2056</f>
        <v>Затраты на производство (без НДС)</v>
      </c>
      <c r="B1095" s="48"/>
      <c r="C1095" s="73" t="str">
        <f ca="1">Проект!$C$2056</f>
        <v>руб.</v>
      </c>
      <c r="D1095" s="48"/>
      <c r="E1095" s="48"/>
      <c r="F1095" s="106">
        <f ca="1">Проект!$F$2056</f>
        <v>3007443.6844783714</v>
      </c>
      <c r="G1095" s="106">
        <f ca="1">Проект!$G$2056</f>
        <v>2649952.9535589092</v>
      </c>
      <c r="H1095" s="106">
        <f ca="1">Проект!$H$2056</f>
        <v>2693496.8292993959</v>
      </c>
      <c r="I1095" s="106">
        <f ca="1">Проект!$I$2056</f>
        <v>2727618.3376510656</v>
      </c>
      <c r="J1095" s="106">
        <f ca="1">Проект!$J$2056</f>
        <v>2750718.8539035721</v>
      </c>
      <c r="K1095" s="106">
        <f ca="1">Проект!$K$2056</f>
        <v>2753847.3534527626</v>
      </c>
      <c r="L1095" s="106">
        <f ca="1">Проект!$L$2056</f>
        <v>2736396.4520259122</v>
      </c>
      <c r="M1095" s="106">
        <f ca="1">Проект!$M$2056</f>
        <v>2694422.7095712498</v>
      </c>
      <c r="N1095" s="106" t="e">
        <f>Проект!#REF!</f>
        <v>#REF!</v>
      </c>
      <c r="O1095" s="106" t="e">
        <f>Проект!#REF!</f>
        <v>#REF!</v>
      </c>
      <c r="P1095" s="106" t="e">
        <f>Проект!#REF!</f>
        <v>#REF!</v>
      </c>
      <c r="Q1095" s="106">
        <f ca="1">Проект!$Q$2056</f>
        <v>2557090.875</v>
      </c>
      <c r="R1095" s="48"/>
      <c r="S1095" s="94">
        <f ca="1">Проект!$S$2056</f>
        <v>32303461.962796144</v>
      </c>
    </row>
    <row r="1096" spans="1:19" ht="11.25" customHeight="1" x14ac:dyDescent="0.2">
      <c r="A1096" s="48" t="str">
        <f ca="1">Проект!$A$2057</f>
        <v>Прибыль до налога, процентов и амортизации (EBITDA)</v>
      </c>
      <c r="B1096" s="48"/>
      <c r="C1096" s="73" t="str">
        <f ca="1">Проект!$C$2057</f>
        <v>руб.</v>
      </c>
      <c r="D1096" s="48"/>
      <c r="E1096" s="48"/>
      <c r="F1096" s="106">
        <f ca="1">Проект!$F$2057</f>
        <v>-2966160</v>
      </c>
      <c r="G1096" s="106">
        <f ca="1">Проект!$G$2057</f>
        <v>-2555759.9999999995</v>
      </c>
      <c r="H1096" s="106">
        <f ca="1">Проект!$H$2057</f>
        <v>-2419853.3087499999</v>
      </c>
      <c r="I1096" s="106">
        <f ca="1">Проект!$I$2057</f>
        <v>-1876226.543749999</v>
      </c>
      <c r="J1096" s="106">
        <f ca="1">Проект!$J$2057</f>
        <v>-1196693.0875000004</v>
      </c>
      <c r="K1096" s="106">
        <f ca="1">Проект!$K$2057</f>
        <v>162373.82500000065</v>
      </c>
      <c r="L1096" s="106">
        <f ca="1">Проект!$L$2057</f>
        <v>1521440.7375</v>
      </c>
      <c r="M1096" s="106">
        <f ca="1">Проект!$M$2057</f>
        <v>2880507.649999999</v>
      </c>
      <c r="N1096" s="106" t="e">
        <f>Проект!#REF!</f>
        <v>#REF!</v>
      </c>
      <c r="O1096" s="106" t="e">
        <f>Проект!#REF!</f>
        <v>#REF!</v>
      </c>
      <c r="P1096" s="106" t="e">
        <f>Проект!#REF!</f>
        <v>#REF!</v>
      </c>
      <c r="Q1096" s="106">
        <f ca="1">Проект!$Q$2057</f>
        <v>11034909.125</v>
      </c>
      <c r="R1096" s="48"/>
      <c r="S1096" s="94">
        <f ca="1">Проект!$S$2057</f>
        <v>26816730.472500004</v>
      </c>
    </row>
    <row r="1097" spans="1:19" ht="11.25" customHeight="1" x14ac:dyDescent="0.2">
      <c r="A1097" s="48" t="str">
        <f ca="1">Проект!$A$2058</f>
        <v>Прибыль до процентов и налога (EBIT)</v>
      </c>
      <c r="B1097" s="48"/>
      <c r="C1097" s="73" t="str">
        <f ca="1">Проект!$C$2058</f>
        <v>руб.</v>
      </c>
      <c r="D1097" s="48"/>
      <c r="E1097" s="48"/>
      <c r="F1097" s="106">
        <f ca="1">Проект!$F$2058</f>
        <v>-2966160</v>
      </c>
      <c r="G1097" s="106">
        <f ca="1">Проект!$G$2058</f>
        <v>-2555759.9999999995</v>
      </c>
      <c r="H1097" s="106">
        <f ca="1">Проект!$H$2058</f>
        <v>-2419853.3087499999</v>
      </c>
      <c r="I1097" s="106">
        <f ca="1">Проект!$I$2058</f>
        <v>-1876226.543749999</v>
      </c>
      <c r="J1097" s="106">
        <f ca="1">Проект!$J$2058</f>
        <v>-1196693.0875000004</v>
      </c>
      <c r="K1097" s="106">
        <f ca="1">Проект!$K$2058</f>
        <v>162373.82500000065</v>
      </c>
      <c r="L1097" s="106">
        <f ca="1">Проект!$L$2058</f>
        <v>1521440.7375</v>
      </c>
      <c r="M1097" s="106">
        <f ca="1">Проект!$M$2058</f>
        <v>2880507.649999999</v>
      </c>
      <c r="N1097" s="106" t="e">
        <f>Проект!#REF!</f>
        <v>#REF!</v>
      </c>
      <c r="O1097" s="106" t="e">
        <f>Проект!#REF!</f>
        <v>#REF!</v>
      </c>
      <c r="P1097" s="106" t="e">
        <f>Проект!#REF!</f>
        <v>#REF!</v>
      </c>
      <c r="Q1097" s="106">
        <f ca="1">Проект!$Q$2058</f>
        <v>11034909.125</v>
      </c>
      <c r="R1097" s="48"/>
      <c r="S1097" s="94">
        <f ca="1">Проект!$S$2058</f>
        <v>26816730.472500004</v>
      </c>
    </row>
    <row r="1098" spans="1:19" ht="11.25" customHeight="1" x14ac:dyDescent="0.2">
      <c r="A1098" s="48" t="str">
        <f ca="1">Проект!$A$2059</f>
        <v>Прибыль до налогообложения</v>
      </c>
      <c r="B1098" s="48"/>
      <c r="C1098" s="73" t="str">
        <f ca="1">Проект!$C$2059</f>
        <v>руб.</v>
      </c>
      <c r="D1098" s="48"/>
      <c r="E1098" s="48"/>
      <c r="F1098" s="106">
        <f ca="1">Проект!$F$2059</f>
        <v>-3007443.6844783714</v>
      </c>
      <c r="G1098" s="106">
        <f ca="1">Проект!$G$2059</f>
        <v>-2649952.9535589088</v>
      </c>
      <c r="H1098" s="106">
        <f ca="1">Проект!$H$2059</f>
        <v>-2557576.8292993959</v>
      </c>
      <c r="I1098" s="106">
        <f ca="1">Проект!$I$2059</f>
        <v>-2048018.3376510644</v>
      </c>
      <c r="J1098" s="106">
        <f ca="1">Проект!$J$2059</f>
        <v>-1391518.8539035725</v>
      </c>
      <c r="K1098" s="106">
        <f ca="1">Проект!$K$2059</f>
        <v>-35447.353452761949</v>
      </c>
      <c r="L1098" s="106">
        <f ca="1">Проект!$L$2059</f>
        <v>1341203.547974088</v>
      </c>
      <c r="M1098" s="106">
        <f ca="1">Проект!$M$2059</f>
        <v>2742377.2904287493</v>
      </c>
      <c r="N1098" s="106" t="e">
        <f>Проект!#REF!</f>
        <v>#REF!</v>
      </c>
      <c r="O1098" s="106" t="e">
        <f>Проект!#REF!</f>
        <v>#REF!</v>
      </c>
      <c r="P1098" s="106" t="e">
        <f>Проект!#REF!</f>
        <v>#REF!</v>
      </c>
      <c r="Q1098" s="106">
        <f ca="1">Проект!$Q$2059</f>
        <v>11034909.125</v>
      </c>
      <c r="R1098" s="48"/>
      <c r="S1098" s="94">
        <f ca="1">Проект!$S$2059</f>
        <v>25598458.03720386</v>
      </c>
    </row>
    <row r="1099" spans="1:19" ht="11.25" customHeight="1" x14ac:dyDescent="0.2">
      <c r="A1099" s="48" t="str">
        <f ca="1">Проект!$A$2060</f>
        <v>Чистая прибыль (убыток)</v>
      </c>
      <c r="B1099" s="48"/>
      <c r="C1099" s="73" t="str">
        <f ca="1">Проект!$C$2060</f>
        <v>руб.</v>
      </c>
      <c r="D1099" s="48"/>
      <c r="E1099" s="48"/>
      <c r="F1099" s="106">
        <f ca="1">Проект!$F$2060</f>
        <v>-3007443.6844783714</v>
      </c>
      <c r="G1099" s="106">
        <f ca="1">Проект!$G$2060</f>
        <v>-2649952.9535589088</v>
      </c>
      <c r="H1099" s="106">
        <f ca="1">Проект!$H$2060</f>
        <v>-2565732.0292993961</v>
      </c>
      <c r="I1099" s="106">
        <f ca="1">Проект!$I$2060</f>
        <v>-2088794.3376510644</v>
      </c>
      <c r="J1099" s="106">
        <f ca="1">Проект!$J$2060</f>
        <v>-1473070.8539035725</v>
      </c>
      <c r="K1099" s="106">
        <f ca="1">Проект!$K$2060</f>
        <v>-198551.35345276195</v>
      </c>
      <c r="L1099" s="106">
        <f ca="1">Проект!$L$2060</f>
        <v>1096547.547974088</v>
      </c>
      <c r="M1099" s="106">
        <f ca="1">Проект!$M$2060</f>
        <v>2416169.2904287493</v>
      </c>
      <c r="N1099" s="106" t="e">
        <f>Проект!#REF!</f>
        <v>#REF!</v>
      </c>
      <c r="O1099" s="106" t="e">
        <f>Проект!#REF!</f>
        <v>#REF!</v>
      </c>
      <c r="P1099" s="106" t="e">
        <f>Проект!#REF!</f>
        <v>#REF!</v>
      </c>
      <c r="Q1099" s="106">
        <f ca="1">Проект!$Q$2060</f>
        <v>10219389.125</v>
      </c>
      <c r="R1099" s="48"/>
      <c r="S1099" s="94">
        <f ca="1">Проект!$S$2060</f>
        <v>22124342.83720386</v>
      </c>
    </row>
    <row r="1100" spans="1:19" ht="11.25" customHeight="1" x14ac:dyDescent="0.2">
      <c r="A1100" s="48" t="str">
        <f ca="1">Проект!$A$2061</f>
        <v>Нераспределенная прибыль (за период)</v>
      </c>
      <c r="B1100" s="48"/>
      <c r="C1100" s="73" t="str">
        <f ca="1">Проект!$C$2061</f>
        <v>руб.</v>
      </c>
      <c r="D1100" s="48"/>
      <c r="E1100" s="48"/>
      <c r="F1100" s="106">
        <f ca="1">Проект!$F$2061</f>
        <v>-3007443.6844783714</v>
      </c>
      <c r="G1100" s="106">
        <f ca="1">Проект!$G$2061</f>
        <v>-2649952.9535589088</v>
      </c>
      <c r="H1100" s="106">
        <f ca="1">Проект!$H$2061</f>
        <v>-2565732.0292993961</v>
      </c>
      <c r="I1100" s="106">
        <f ca="1">Проект!$I$2061</f>
        <v>-2088794.3376510644</v>
      </c>
      <c r="J1100" s="106">
        <f ca="1">Проект!$J$2061</f>
        <v>-1473070.8539035725</v>
      </c>
      <c r="K1100" s="106">
        <f ca="1">Проект!$K$2061</f>
        <v>-198551.35345276195</v>
      </c>
      <c r="L1100" s="106">
        <f ca="1">Проект!$L$2061</f>
        <v>1096547.547974088</v>
      </c>
      <c r="M1100" s="106">
        <f ca="1">Проект!$M$2061</f>
        <v>2416169.2904287493</v>
      </c>
      <c r="N1100" s="106" t="e">
        <f>Проект!#REF!</f>
        <v>#REF!</v>
      </c>
      <c r="O1100" s="106" t="e">
        <f>Проект!#REF!</f>
        <v>#REF!</v>
      </c>
      <c r="P1100" s="106" t="e">
        <f>Проект!#REF!</f>
        <v>#REF!</v>
      </c>
      <c r="Q1100" s="106">
        <f ca="1">Проект!$Q$2061</f>
        <v>10219389.125</v>
      </c>
      <c r="R1100" s="48"/>
      <c r="S1100" s="94">
        <f ca="1">Проект!$S$2061</f>
        <v>22124342.83720386</v>
      </c>
    </row>
    <row r="1101" spans="1:19" ht="11.25" customHeight="1" x14ac:dyDescent="0.2">
      <c r="A1101" s="76"/>
      <c r="B1101" s="76"/>
      <c r="C1101" s="76"/>
      <c r="D1101" s="76"/>
      <c r="E1101" s="76"/>
      <c r="F1101" s="76"/>
      <c r="G1101" s="76"/>
      <c r="H1101" s="76"/>
      <c r="I1101" s="76"/>
      <c r="J1101" s="76"/>
      <c r="K1101" s="76"/>
      <c r="L1101" s="76"/>
      <c r="M1101" s="76"/>
      <c r="N1101" s="76"/>
      <c r="O1101" s="76"/>
      <c r="P1101" s="76"/>
      <c r="Q1101" s="76"/>
      <c r="R1101" s="76"/>
      <c r="S1101" s="359"/>
    </row>
    <row r="1102" spans="1:19" ht="11.25" customHeight="1" x14ac:dyDescent="0.2">
      <c r="A1102" s="45" t="str">
        <f ca="1">Проект!$A$2063</f>
        <v>Инвестции во внеоборотные активы</v>
      </c>
      <c r="B1102" s="45"/>
      <c r="C1102" s="100" t="str">
        <f ca="1">Проект!$C$2063</f>
        <v>руб.</v>
      </c>
      <c r="D1102" s="45"/>
      <c r="E1102" s="45"/>
      <c r="F1102" s="102">
        <f>Проект!$F$2063</f>
        <v>0</v>
      </c>
      <c r="G1102" s="102">
        <f>Проект!$G$2063</f>
        <v>0</v>
      </c>
      <c r="H1102" s="102">
        <f>Проект!$H$2063</f>
        <v>0</v>
      </c>
      <c r="I1102" s="102">
        <f>Проект!$I$2063</f>
        <v>0</v>
      </c>
      <c r="J1102" s="102">
        <f>Проект!$J$2063</f>
        <v>0</v>
      </c>
      <c r="K1102" s="102">
        <f>Проект!$K$2063</f>
        <v>0</v>
      </c>
      <c r="L1102" s="102">
        <f>Проект!$L$2063</f>
        <v>0</v>
      </c>
      <c r="M1102" s="102">
        <f>Проект!$M$2063</f>
        <v>0</v>
      </c>
      <c r="N1102" s="102" t="e">
        <f>Проект!#REF!</f>
        <v>#REF!</v>
      </c>
      <c r="O1102" s="102" t="e">
        <f>Проект!#REF!</f>
        <v>#REF!</v>
      </c>
      <c r="P1102" s="102" t="e">
        <f>Проект!#REF!</f>
        <v>#REF!</v>
      </c>
      <c r="Q1102" s="102">
        <f>Проект!$Q$2063</f>
        <v>0</v>
      </c>
      <c r="R1102" s="45"/>
      <c r="S1102" s="104">
        <f>Проект!$S$2063</f>
        <v>0</v>
      </c>
    </row>
    <row r="1103" spans="1:19" ht="11.25" customHeight="1" x14ac:dyDescent="0.2">
      <c r="A1103" s="45" t="str">
        <f ca="1">Проект!$A$2064</f>
        <v>Инвестиции в оборотный капитал</v>
      </c>
      <c r="B1103" s="45"/>
      <c r="C1103" s="100" t="str">
        <f ca="1">Проект!$C$2064</f>
        <v>руб.</v>
      </c>
      <c r="D1103" s="45"/>
      <c r="E1103" s="45"/>
      <c r="F1103" s="102">
        <f ca="1">Проект!$F$2064</f>
        <v>648376</v>
      </c>
      <c r="G1103" s="102">
        <f ca="1">Проект!$G$2064</f>
        <v>-415440</v>
      </c>
      <c r="H1103" s="102">
        <f ca="1">Проект!$H$2064</f>
        <v>24435.877125000115</v>
      </c>
      <c r="I1103" s="102">
        <f ca="1">Проект!$I$2064</f>
        <v>97743.508499999763</v>
      </c>
      <c r="J1103" s="102">
        <f ca="1">Проект!$J$2064</f>
        <v>122179.385625</v>
      </c>
      <c r="K1103" s="102">
        <f ca="1">Проект!$K$2064</f>
        <v>244358.77125000022</v>
      </c>
      <c r="L1103" s="102">
        <f ca="1">Проект!$L$2064</f>
        <v>244358.77124999976</v>
      </c>
      <c r="M1103" s="102">
        <f ca="1">Проект!$M$2064</f>
        <v>244358.77125000011</v>
      </c>
      <c r="N1103" s="102" t="e">
        <f>Проект!#REF!</f>
        <v>#REF!</v>
      </c>
      <c r="O1103" s="102" t="e">
        <f>Проект!#REF!</f>
        <v>#REF!</v>
      </c>
      <c r="P1103" s="102" t="e">
        <f>Проект!#REF!</f>
        <v>#REF!</v>
      </c>
      <c r="Q1103" s="102">
        <f ca="1">Проект!$Q$2064</f>
        <v>244358.77124999976</v>
      </c>
      <c r="R1103" s="45"/>
      <c r="S1103" s="104">
        <f ca="1">Проект!$S$2064</f>
        <v>2676523.7124999999</v>
      </c>
    </row>
    <row r="1104" spans="1:19" ht="11.25" customHeight="1" x14ac:dyDescent="0.2">
      <c r="A1104" s="76"/>
      <c r="B1104" s="76"/>
      <c r="C1104" s="76"/>
      <c r="D1104" s="76"/>
      <c r="E1104" s="76"/>
      <c r="F1104" s="76"/>
      <c r="G1104" s="76"/>
      <c r="H1104" s="76"/>
      <c r="I1104" s="76"/>
      <c r="J1104" s="76"/>
      <c r="K1104" s="76"/>
      <c r="L1104" s="76"/>
      <c r="M1104" s="76"/>
      <c r="N1104" s="76"/>
      <c r="O1104" s="76"/>
      <c r="P1104" s="76"/>
      <c r="Q1104" s="76"/>
      <c r="R1104" s="76"/>
      <c r="S1104" s="359"/>
    </row>
    <row r="1105" spans="1:19" ht="11.25" customHeight="1" x14ac:dyDescent="0.2">
      <c r="A1105" s="45" t="str">
        <f ca="1">Проект!$A$2066</f>
        <v>Собственные средства и целевое финансирование</v>
      </c>
      <c r="B1105" s="45"/>
      <c r="C1105" s="100" t="str">
        <f ca="1">Проект!$C$2066</f>
        <v>руб.</v>
      </c>
      <c r="D1105" s="45"/>
      <c r="E1105" s="45"/>
      <c r="F1105" s="102">
        <f>Проект!$F$2066</f>
        <v>0</v>
      </c>
      <c r="G1105" s="102">
        <f>Проект!$G$2066</f>
        <v>0</v>
      </c>
      <c r="H1105" s="102">
        <f>Проект!$H$2066</f>
        <v>0</v>
      </c>
      <c r="I1105" s="102">
        <f>Проект!$I$2066</f>
        <v>0</v>
      </c>
      <c r="J1105" s="102">
        <f>Проект!$J$2066</f>
        <v>0</v>
      </c>
      <c r="K1105" s="102">
        <f>Проект!$K$2066</f>
        <v>0</v>
      </c>
      <c r="L1105" s="102">
        <f>Проект!$L$2066</f>
        <v>0</v>
      </c>
      <c r="M1105" s="102">
        <f>Проект!$M$2066</f>
        <v>0</v>
      </c>
      <c r="N1105" s="102" t="e">
        <f>Проект!#REF!</f>
        <v>#REF!</v>
      </c>
      <c r="O1105" s="102" t="e">
        <f>Проект!#REF!</f>
        <v>#REF!</v>
      </c>
      <c r="P1105" s="102" t="e">
        <f>Проект!#REF!</f>
        <v>#REF!</v>
      </c>
      <c r="Q1105" s="102">
        <f>Проект!$Q$2066</f>
        <v>0</v>
      </c>
      <c r="R1105" s="45"/>
      <c r="S1105" s="104">
        <f>Проект!$S$2066</f>
        <v>0</v>
      </c>
    </row>
    <row r="1106" spans="1:19" ht="11.25" customHeight="1" x14ac:dyDescent="0.2">
      <c r="A1106" s="48"/>
      <c r="B1106" s="48"/>
      <c r="C1106" s="48"/>
      <c r="D1106" s="48"/>
      <c r="E1106" s="48"/>
      <c r="F1106" s="48"/>
      <c r="G1106" s="48"/>
      <c r="H1106" s="48"/>
      <c r="I1106" s="48"/>
      <c r="J1106" s="48"/>
      <c r="K1106" s="48"/>
      <c r="L1106" s="48"/>
      <c r="M1106" s="48"/>
      <c r="N1106" s="48"/>
      <c r="O1106" s="48"/>
      <c r="P1106" s="48"/>
      <c r="Q1106" s="48"/>
      <c r="R1106" s="48"/>
      <c r="S1106" s="41"/>
    </row>
    <row r="1107" spans="1:19" ht="11.25" customHeight="1" x14ac:dyDescent="0.2">
      <c r="A1107" s="48" t="str">
        <f ca="1">Проект!$A$2068</f>
        <v>Привлечение кредитов</v>
      </c>
      <c r="B1107" s="48"/>
      <c r="C1107" s="73" t="str">
        <f ca="1">Проект!$C$2068</f>
        <v>руб.</v>
      </c>
      <c r="D1107" s="48"/>
      <c r="E1107" s="48"/>
      <c r="F1107" s="106">
        <f>Проект!$F$2068</f>
        <v>2359067.6844783714</v>
      </c>
      <c r="G1107" s="106">
        <f>Проект!$G$2068</f>
        <v>2982103.1201237948</v>
      </c>
      <c r="H1107" s="106">
        <f>Проект!$H$2068</f>
        <v>2393268.0173260393</v>
      </c>
      <c r="I1107" s="106">
        <f>Проект!$I$2068</f>
        <v>1809034.9566888495</v>
      </c>
      <c r="J1107" s="106">
        <f>Проект!$J$2068</f>
        <v>1144435.2062421832</v>
      </c>
      <c r="K1107" s="106">
        <f>Проект!$K$2068</f>
        <v>0</v>
      </c>
      <c r="L1107" s="106">
        <f>Проект!$L$2068</f>
        <v>0</v>
      </c>
      <c r="M1107" s="106">
        <f>Проект!$M$2068</f>
        <v>0</v>
      </c>
      <c r="N1107" s="106" t="e">
        <f>Проект!#REF!</f>
        <v>#REF!</v>
      </c>
      <c r="O1107" s="106" t="e">
        <f>Проект!#REF!</f>
        <v>#REF!</v>
      </c>
      <c r="P1107" s="106" t="e">
        <f>Проект!#REF!</f>
        <v>#REF!</v>
      </c>
      <c r="Q1107" s="106">
        <f>Проект!$Q$2068</f>
        <v>0</v>
      </c>
      <c r="R1107" s="48"/>
      <c r="S1107" s="94">
        <f>Проект!$S$2068</f>
        <v>10687908.984859239</v>
      </c>
    </row>
    <row r="1108" spans="1:19" ht="11.25" customHeight="1" x14ac:dyDescent="0.2">
      <c r="A1108" s="48" t="str">
        <f ca="1">Проект!$A$2069</f>
        <v>Погашение кредитов</v>
      </c>
      <c r="B1108" s="48"/>
      <c r="C1108" s="73" t="str">
        <f ca="1">Проект!$C$2069</f>
        <v>руб.</v>
      </c>
      <c r="D1108" s="48"/>
      <c r="E1108" s="48"/>
      <c r="F1108" s="106">
        <f>Проект!$F$2069</f>
        <v>0</v>
      </c>
      <c r="G1108" s="106">
        <f>Проект!$G$2069</f>
        <v>0</v>
      </c>
      <c r="H1108" s="106">
        <f>Проект!$H$2069</f>
        <v>0</v>
      </c>
      <c r="I1108" s="106">
        <f>Проект!$I$2069</f>
        <v>0</v>
      </c>
      <c r="J1108" s="106">
        <f>Проект!$J$2069</f>
        <v>0</v>
      </c>
      <c r="K1108" s="106">
        <f>Проект!$K$2069</f>
        <v>-23659.363592692334</v>
      </c>
      <c r="L1108" s="106">
        <f>Проект!$L$2069</f>
        <v>-1202620.5457013601</v>
      </c>
      <c r="M1108" s="106">
        <f>Проект!$M$2069</f>
        <v>-2406104.568837841</v>
      </c>
      <c r="N1108" s="106" t="e">
        <f>Проект!#REF!</f>
        <v>#REF!</v>
      </c>
      <c r="O1108" s="106" t="e">
        <f>Проект!#REF!</f>
        <v>#REF!</v>
      </c>
      <c r="P1108" s="106" t="e">
        <f>Проект!#REF!</f>
        <v>#REF!</v>
      </c>
      <c r="Q1108" s="106">
        <f>Проект!$Q$2069</f>
        <v>0</v>
      </c>
      <c r="R1108" s="48"/>
      <c r="S1108" s="94">
        <f>Проект!$S$2069</f>
        <v>-11525547.882203316</v>
      </c>
    </row>
    <row r="1109" spans="1:19" ht="11.25" customHeight="1" x14ac:dyDescent="0.2">
      <c r="A1109" s="48" t="str">
        <f ca="1">Проект!$A$2070</f>
        <v>Выплата процентов по кредитам</v>
      </c>
      <c r="B1109" s="48"/>
      <c r="C1109" s="73" t="str">
        <f ca="1">Проект!$C$2070</f>
        <v>руб.</v>
      </c>
      <c r="D1109" s="48"/>
      <c r="E1109" s="48"/>
      <c r="F1109" s="106">
        <f>Проект!$F$2070</f>
        <v>0</v>
      </c>
      <c r="G1109" s="106">
        <f>Проект!$G$2070</f>
        <v>0</v>
      </c>
      <c r="H1109" s="106">
        <f>Проект!$H$2070</f>
        <v>0</v>
      </c>
      <c r="I1109" s="106">
        <f>Проект!$I$2070</f>
        <v>0</v>
      </c>
      <c r="J1109" s="106">
        <f>Проект!$J$2070</f>
        <v>0</v>
      </c>
      <c r="K1109" s="106">
        <f>Проект!$K$2070</f>
        <v>0</v>
      </c>
      <c r="L1109" s="106">
        <f>Проект!$L$2070</f>
        <v>-180237.18952591211</v>
      </c>
      <c r="M1109" s="106">
        <f>Проект!$M$2070</f>
        <v>-138130.35957124989</v>
      </c>
      <c r="N1109" s="106" t="e">
        <f>Проект!#REF!</f>
        <v>#REF!</v>
      </c>
      <c r="O1109" s="106" t="e">
        <f>Проект!#REF!</f>
        <v>#REF!</v>
      </c>
      <c r="P1109" s="106" t="e">
        <f>Проект!#REF!</f>
        <v>#REF!</v>
      </c>
      <c r="Q1109" s="106">
        <f>Проект!$Q$2070</f>
        <v>0</v>
      </c>
      <c r="R1109" s="48"/>
      <c r="S1109" s="94">
        <f>Проект!$S$2070</f>
        <v>-380633.53795206588</v>
      </c>
    </row>
    <row r="1110" spans="1:19" ht="11.25" customHeight="1" x14ac:dyDescent="0.2">
      <c r="A1110" s="76"/>
      <c r="B1110" s="76"/>
      <c r="C1110" s="76"/>
      <c r="D1110" s="76"/>
      <c r="E1110" s="76"/>
      <c r="F1110" s="76"/>
      <c r="G1110" s="76"/>
      <c r="H1110" s="76"/>
      <c r="I1110" s="76"/>
      <c r="J1110" s="76"/>
      <c r="K1110" s="76"/>
      <c r="L1110" s="76"/>
      <c r="M1110" s="76"/>
      <c r="N1110" s="76"/>
      <c r="O1110" s="76"/>
      <c r="P1110" s="76"/>
      <c r="Q1110" s="76"/>
      <c r="R1110" s="76"/>
      <c r="S1110" s="359"/>
    </row>
    <row r="1111" spans="1:19" ht="11.25" customHeight="1" x14ac:dyDescent="0.2">
      <c r="A1111" s="52" t="str">
        <f ca="1">Проект!$A$2072</f>
        <v>Суммарный денежный поток за период</v>
      </c>
      <c r="B1111" s="45"/>
      <c r="C1111" s="73" t="str">
        <f ca="1">Проект!$C$2072</f>
        <v>руб.</v>
      </c>
      <c r="D1111" s="45"/>
      <c r="E1111" s="45"/>
      <c r="F1111" s="102">
        <f ca="1">Проект!$F$2072</f>
        <v>41283.684478371404</v>
      </c>
      <c r="G1111" s="102">
        <f ca="1">Проект!$G$2072</f>
        <v>10903.120123794768</v>
      </c>
      <c r="H1111" s="102">
        <f ca="1">Проект!$H$2072</f>
        <v>-10304.61429896066</v>
      </c>
      <c r="I1111" s="102">
        <f ca="1">Проект!$I$2072</f>
        <v>-10224.078561150702</v>
      </c>
      <c r="J1111" s="102">
        <f ca="1">Проект!$J$2072</f>
        <v>-11630.495632816572</v>
      </c>
      <c r="K1111" s="102">
        <f ca="1">Проект!$K$2072</f>
        <v>219969.23265730808</v>
      </c>
      <c r="L1111" s="102">
        <f ca="1">Проект!$L$2072</f>
        <v>138285.77352272742</v>
      </c>
      <c r="M1111" s="102">
        <f ca="1">Проект!$M$2072</f>
        <v>254423.49284090986</v>
      </c>
      <c r="N1111" s="102" t="e">
        <f>Проект!#REF!</f>
        <v>#REF!</v>
      </c>
      <c r="O1111" s="102" t="e">
        <f>Проект!#REF!</f>
        <v>#REF!</v>
      </c>
      <c r="P1111" s="102" t="e">
        <f>Проект!#REF!</f>
        <v>#REF!</v>
      </c>
      <c r="Q1111" s="102">
        <f ca="1">Проект!$Q$2072</f>
        <v>10463747.89625</v>
      </c>
      <c r="R1111" s="45"/>
      <c r="S1111" s="104">
        <f ca="1">Проект!$S$2072</f>
        <v>24800866.549703859</v>
      </c>
    </row>
    <row r="1112" spans="1:19" ht="11.25" customHeight="1" x14ac:dyDescent="0.2">
      <c r="A1112" s="52" t="str">
        <f ca="1">Проект!$A$2073</f>
        <v>Денежные средства на начало периода</v>
      </c>
      <c r="B1112" s="45"/>
      <c r="C1112" s="73" t="str">
        <f ca="1">Проект!$C$2073</f>
        <v>руб.</v>
      </c>
      <c r="D1112" s="45"/>
      <c r="E1112" s="45"/>
      <c r="F1112" s="102">
        <f>Проект!$F$2073</f>
        <v>0</v>
      </c>
      <c r="G1112" s="102">
        <f ca="1">Проект!$G$2073</f>
        <v>41283.684478371404</v>
      </c>
      <c r="H1112" s="102">
        <f ca="1">Проект!$H$2073</f>
        <v>52186.804602166172</v>
      </c>
      <c r="I1112" s="102">
        <f ca="1">Проект!$I$2073</f>
        <v>41882.190303205512</v>
      </c>
      <c r="J1112" s="102">
        <f ca="1">Проект!$J$2073</f>
        <v>31658.111742054811</v>
      </c>
      <c r="K1112" s="102">
        <f ca="1">Проект!$K$2073</f>
        <v>20027.616109238239</v>
      </c>
      <c r="L1112" s="102">
        <f ca="1">Проект!$L$2073</f>
        <v>239996.84876654632</v>
      </c>
      <c r="M1112" s="102">
        <f ca="1">Проект!$M$2073</f>
        <v>378282.62228927377</v>
      </c>
      <c r="N1112" s="102" t="e">
        <f>Проект!#REF!</f>
        <v>#REF!</v>
      </c>
      <c r="O1112" s="102" t="e">
        <f>Проект!#REF!</f>
        <v>#REF!</v>
      </c>
      <c r="P1112" s="102" t="e">
        <f>Проект!#REF!</f>
        <v>#REF!</v>
      </c>
      <c r="Q1112" s="102">
        <f ca="1">Проект!$Q$2073</f>
        <v>14337118.653453857</v>
      </c>
      <c r="R1112" s="45"/>
      <c r="S1112" s="77"/>
    </row>
    <row r="1113" spans="1:19" ht="11.25" customHeight="1" x14ac:dyDescent="0.2">
      <c r="A1113" s="52" t="str">
        <f ca="1">Проект!$A$2074</f>
        <v>Денежные средства на конец периода</v>
      </c>
      <c r="B1113" s="45"/>
      <c r="C1113" s="73" t="str">
        <f ca="1">Проект!$C$2074</f>
        <v>руб.</v>
      </c>
      <c r="D1113" s="45"/>
      <c r="E1113" s="45"/>
      <c r="F1113" s="102">
        <f ca="1">Проект!$F$2074</f>
        <v>41283.684478371404</v>
      </c>
      <c r="G1113" s="102">
        <f ca="1">Проект!$G$2074</f>
        <v>52186.804602166172</v>
      </c>
      <c r="H1113" s="102">
        <f ca="1">Проект!$H$2074</f>
        <v>41882.190303205512</v>
      </c>
      <c r="I1113" s="102">
        <f ca="1">Проект!$I$2074</f>
        <v>31658.111742054811</v>
      </c>
      <c r="J1113" s="102">
        <f ca="1">Проект!$J$2074</f>
        <v>20027.616109238239</v>
      </c>
      <c r="K1113" s="102">
        <f ca="1">Проект!$K$2074</f>
        <v>239996.84876654632</v>
      </c>
      <c r="L1113" s="102">
        <f ca="1">Проект!$L$2074</f>
        <v>378282.62228927377</v>
      </c>
      <c r="M1113" s="102">
        <f ca="1">Проект!$M$2074</f>
        <v>632706.11513018364</v>
      </c>
      <c r="N1113" s="102" t="e">
        <f>Проект!#REF!</f>
        <v>#REF!</v>
      </c>
      <c r="O1113" s="102" t="e">
        <f>Проект!#REF!</f>
        <v>#REF!</v>
      </c>
      <c r="P1113" s="102" t="e">
        <f>Проект!#REF!</f>
        <v>#REF!</v>
      </c>
      <c r="Q1113" s="102">
        <f ca="1">Проект!$Q$2074</f>
        <v>24800866.549703859</v>
      </c>
      <c r="R1113" s="45"/>
      <c r="S1113" s="77"/>
    </row>
    <row r="1114" spans="1:19" ht="11.25" customHeight="1" x14ac:dyDescent="0.2">
      <c r="A1114" s="76"/>
      <c r="B1114" s="76"/>
      <c r="C1114" s="76"/>
      <c r="D1114" s="76"/>
      <c r="E1114" s="76"/>
      <c r="F1114" s="76"/>
      <c r="G1114" s="76"/>
      <c r="H1114" s="76"/>
      <c r="I1114" s="76"/>
      <c r="J1114" s="76"/>
      <c r="K1114" s="76"/>
      <c r="L1114" s="76"/>
      <c r="M1114" s="76"/>
      <c r="N1114" s="76"/>
      <c r="O1114" s="76"/>
      <c r="P1114" s="76"/>
      <c r="Q1114" s="76"/>
      <c r="R1114" s="76"/>
      <c r="S1114" s="359"/>
    </row>
    <row r="1115" spans="1:19" ht="11.25" customHeight="1" x14ac:dyDescent="0.25">
      <c r="A1115" s="125" t="str">
        <f ca="1">Проект!$A$2076</f>
        <v>Эффективность полных инвестиционных затрат</v>
      </c>
      <c r="B1115" s="45"/>
      <c r="C1115" s="45"/>
      <c r="D1115" s="45"/>
      <c r="E1115" s="45"/>
      <c r="F1115" s="45"/>
      <c r="G1115" s="45"/>
      <c r="H1115" s="45"/>
      <c r="I1115" s="45"/>
      <c r="J1115" s="45"/>
      <c r="K1115" s="45"/>
      <c r="L1115" s="45"/>
      <c r="M1115" s="45"/>
      <c r="N1115" s="45"/>
      <c r="O1115" s="45"/>
      <c r="P1115" s="45"/>
      <c r="Q1115" s="45"/>
      <c r="R1115" s="45"/>
      <c r="S1115" s="77"/>
    </row>
    <row r="1116" spans="1:19" ht="11.25" customHeight="1" x14ac:dyDescent="0.2">
      <c r="A1116" s="128" t="str">
        <f ca="1">Проект!$A$2077</f>
        <v>Чистая приведенная стоимость (NPV)</v>
      </c>
      <c r="B1116" s="400">
        <f ca="1">Проект!$B$2077</f>
        <v>17968169.040777203</v>
      </c>
      <c r="C1116" s="100" t="str">
        <f ca="1">Проект!$C$2077</f>
        <v>руб.</v>
      </c>
      <c r="D1116" s="45"/>
      <c r="E1116" s="45"/>
      <c r="F1116" s="45"/>
      <c r="G1116" s="45"/>
      <c r="H1116" s="45"/>
      <c r="I1116" s="45"/>
      <c r="J1116" s="45"/>
      <c r="K1116" s="45"/>
      <c r="L1116" s="45"/>
      <c r="M1116" s="45"/>
      <c r="N1116" s="45"/>
      <c r="O1116" s="45"/>
      <c r="P1116" s="45"/>
      <c r="Q1116" s="45"/>
      <c r="R1116" s="45"/>
      <c r="S1116" s="77"/>
    </row>
    <row r="1117" spans="1:19" ht="11.25" customHeight="1" x14ac:dyDescent="0.2">
      <c r="A1117" s="128" t="str">
        <f ca="1">Проект!$A$2078</f>
        <v>Дисконтированный срок окупаемости (PBP)</v>
      </c>
      <c r="B1117" s="401">
        <f ca="1">Проект!$B$2078</f>
        <v>0.77747051172837778</v>
      </c>
      <c r="C1117" s="100" t="str">
        <f ca="1">Проект!$C$2078</f>
        <v>года</v>
      </c>
      <c r="D1117" s="45"/>
      <c r="E1117" s="45"/>
      <c r="F1117" s="45"/>
      <c r="G1117" s="45"/>
      <c r="H1117" s="45"/>
      <c r="I1117" s="45"/>
      <c r="J1117" s="45"/>
      <c r="K1117" s="45"/>
      <c r="L1117" s="45"/>
      <c r="M1117" s="45"/>
      <c r="N1117" s="45"/>
      <c r="O1117" s="45"/>
      <c r="P1117" s="45"/>
      <c r="Q1117" s="45"/>
      <c r="R1117" s="45"/>
      <c r="S1117" s="77"/>
    </row>
    <row r="1118" spans="1:19" ht="11.25" customHeight="1" x14ac:dyDescent="0.2">
      <c r="A1118" s="52" t="str">
        <f ca="1">Проект!$A$2079</f>
        <v>Внутренняя норма рентабельности (IRR)</v>
      </c>
      <c r="B1118" s="44">
        <f ca="1">Проект!$B$2079</f>
        <v>5.1949015427970213</v>
      </c>
      <c r="C1118" s="330" t="str">
        <f ca="1">Проект!$C$2079</f>
        <v>(реальная - без учета инфляции)</v>
      </c>
      <c r="D1118" s="48"/>
      <c r="E1118" s="48"/>
      <c r="F1118" s="48"/>
      <c r="G1118" s="48"/>
      <c r="H1118" s="48"/>
      <c r="I1118" s="48"/>
      <c r="J1118" s="48"/>
      <c r="K1118" s="48"/>
      <c r="L1118" s="48"/>
      <c r="M1118" s="48"/>
      <c r="N1118" s="48"/>
      <c r="O1118" s="48"/>
      <c r="P1118" s="48"/>
      <c r="Q1118" s="48"/>
      <c r="R1118" s="48"/>
      <c r="S1118" s="41"/>
    </row>
    <row r="1119" spans="1:19" ht="11.25" customHeight="1" x14ac:dyDescent="0.2">
      <c r="A1119" s="52" t="str">
        <f ca="1">Проект!$A$2080</f>
        <v>Норма доходности дисконтированных затрат (PI)</v>
      </c>
      <c r="B1119" s="135">
        <f ca="1">Проект!$B$2080</f>
        <v>2.7352313879415515</v>
      </c>
      <c r="C1119" s="73" t="str">
        <f>Проект!$C$2080</f>
        <v>%</v>
      </c>
      <c r="D1119" s="48"/>
      <c r="E1119" s="48"/>
      <c r="F1119" s="48"/>
      <c r="G1119" s="48"/>
      <c r="H1119" s="48"/>
      <c r="I1119" s="48"/>
      <c r="J1119" s="48"/>
      <c r="K1119" s="48"/>
      <c r="L1119" s="48"/>
      <c r="M1119" s="48"/>
      <c r="N1119" s="48"/>
      <c r="O1119" s="48"/>
      <c r="P1119" s="48"/>
      <c r="Q1119" s="48"/>
      <c r="R1119" s="48"/>
      <c r="S1119" s="41"/>
    </row>
    <row r="1120" spans="1:19" ht="11.25" customHeight="1" x14ac:dyDescent="0.2">
      <c r="A1120" s="48"/>
      <c r="B1120" s="48"/>
      <c r="C1120" s="48"/>
      <c r="D1120" s="48"/>
      <c r="E1120" s="48"/>
      <c r="F1120" s="48"/>
      <c r="G1120" s="48"/>
      <c r="H1120" s="48"/>
      <c r="I1120" s="48"/>
      <c r="J1120" s="48"/>
      <c r="K1120" s="48"/>
      <c r="L1120" s="48"/>
      <c r="M1120" s="48"/>
      <c r="N1120" s="48"/>
      <c r="O1120" s="48"/>
      <c r="P1120" s="48"/>
      <c r="Q1120" s="48"/>
      <c r="R1120" s="48"/>
      <c r="S1120" s="41"/>
    </row>
    <row r="1121" spans="1:19" ht="11.25" customHeight="1" x14ac:dyDescent="0.25">
      <c r="A1121" s="130" t="str">
        <f ca="1">Проект!$A$2082</f>
        <v>Эффективность для собственного капитала</v>
      </c>
      <c r="B1121" s="48"/>
      <c r="C1121" s="48"/>
      <c r="D1121" s="48"/>
      <c r="E1121" s="48"/>
      <c r="F1121" s="48"/>
      <c r="G1121" s="48"/>
      <c r="H1121" s="48"/>
      <c r="I1121" s="48"/>
      <c r="J1121" s="48"/>
      <c r="K1121" s="48"/>
      <c r="L1121" s="48"/>
      <c r="M1121" s="48"/>
      <c r="N1121" s="48"/>
      <c r="O1121" s="48"/>
      <c r="P1121" s="48"/>
      <c r="Q1121" s="48"/>
      <c r="R1121" s="48"/>
      <c r="S1121" s="41"/>
    </row>
    <row r="1122" spans="1:19" ht="11.25" customHeight="1" x14ac:dyDescent="0.2">
      <c r="A1122" s="128" t="str">
        <f ca="1">Проект!$A$2083</f>
        <v>Чистая приведенная стоимость (NPV)</v>
      </c>
      <c r="B1122" s="25">
        <f ca="1">Проект!$B$2083</f>
        <v>18000512.66909967</v>
      </c>
      <c r="C1122" s="73" t="str">
        <f ca="1">Проект!$C$2083</f>
        <v>руб.</v>
      </c>
      <c r="D1122" s="48"/>
      <c r="E1122" s="48"/>
      <c r="F1122" s="48"/>
      <c r="G1122" s="48"/>
      <c r="H1122" s="48"/>
      <c r="I1122" s="48"/>
      <c r="J1122" s="48"/>
      <c r="K1122" s="48"/>
      <c r="L1122" s="48"/>
      <c r="M1122" s="48"/>
      <c r="N1122" s="48"/>
      <c r="O1122" s="48"/>
      <c r="P1122" s="48"/>
      <c r="Q1122" s="48"/>
      <c r="R1122" s="48"/>
      <c r="S1122" s="41"/>
    </row>
    <row r="1123" spans="1:19" ht="11.25" customHeight="1" x14ac:dyDescent="0.2">
      <c r="A1123" s="128" t="str">
        <f ca="1">Проект!$A$2084</f>
        <v>Дисконтированный срок окупаемости (PBP)</v>
      </c>
      <c r="B1123" s="390" t="str">
        <f ca="1">Проект!$B$2084</f>
        <v>Нет</v>
      </c>
      <c r="C1123" s="73" t="str">
        <f ca="1">Проект!$C$2084</f>
        <v>лет</v>
      </c>
      <c r="D1123" s="48"/>
      <c r="E1123" s="48"/>
      <c r="F1123" s="48"/>
      <c r="G1123" s="48"/>
      <c r="H1123" s="48"/>
      <c r="I1123" s="48"/>
      <c r="J1123" s="48"/>
      <c r="K1123" s="48"/>
      <c r="L1123" s="48"/>
      <c r="M1123" s="48"/>
      <c r="N1123" s="48"/>
      <c r="O1123" s="48"/>
      <c r="P1123" s="48"/>
      <c r="Q1123" s="48"/>
      <c r="R1123" s="48"/>
      <c r="S1123" s="41"/>
    </row>
    <row r="1124" spans="1:19" ht="11.25" customHeight="1" x14ac:dyDescent="0.2">
      <c r="A1124" s="52" t="str">
        <f ca="1">Проект!$A$2085</f>
        <v>Внутренняя норма рентабельности (IRR)</v>
      </c>
      <c r="B1124" s="44" t="str">
        <f ca="1">Проект!$B$2085</f>
        <v>Нет</v>
      </c>
      <c r="C1124" s="330" t="str">
        <f ca="1">Проект!$C$2085</f>
        <v>(реальная - без учета инфляции)</v>
      </c>
      <c r="D1124" s="48"/>
      <c r="E1124" s="48"/>
      <c r="F1124" s="48"/>
      <c r="G1124" s="48"/>
      <c r="H1124" s="48"/>
      <c r="I1124" s="48"/>
      <c r="J1124" s="48"/>
      <c r="K1124" s="48"/>
      <c r="L1124" s="48"/>
      <c r="M1124" s="48"/>
      <c r="N1124" s="48"/>
      <c r="O1124" s="48"/>
      <c r="P1124" s="48"/>
      <c r="Q1124" s="48"/>
      <c r="R1124" s="48"/>
      <c r="S1124" s="41"/>
    </row>
    <row r="1125" spans="1:19" ht="11.25" customHeight="1" x14ac:dyDescent="0.2">
      <c r="A1125" s="52" t="str">
        <f ca="1">Проект!$A$2086</f>
        <v>Норма доходности дисконтированных затрат (PI)</v>
      </c>
      <c r="B1125" s="135">
        <f ca="1">Проект!$B$2086</f>
        <v>592.05954905257136</v>
      </c>
      <c r="C1125" s="73" t="str">
        <f ca="1">Проект!$C$2086</f>
        <v>разы</v>
      </c>
      <c r="D1125" s="48"/>
      <c r="E1125" s="48"/>
      <c r="F1125" s="48"/>
      <c r="G1125" s="48"/>
      <c r="H1125" s="48"/>
      <c r="I1125" s="48"/>
      <c r="J1125" s="48"/>
      <c r="K1125" s="48"/>
      <c r="L1125" s="48"/>
      <c r="M1125" s="48"/>
      <c r="N1125" s="48"/>
      <c r="O1125" s="48"/>
      <c r="P1125" s="48"/>
      <c r="Q1125" s="48"/>
      <c r="R1125" s="48"/>
      <c r="S1125" s="41"/>
    </row>
    <row r="1126" spans="1:19" ht="11.25" customHeight="1" x14ac:dyDescent="0.2">
      <c r="A1126" s="48"/>
      <c r="B1126" s="48"/>
      <c r="C1126" s="48"/>
      <c r="D1126" s="48"/>
      <c r="E1126" s="48"/>
      <c r="F1126" s="48"/>
      <c r="G1126" s="48"/>
      <c r="H1126" s="48"/>
      <c r="I1126" s="48"/>
      <c r="J1126" s="48"/>
      <c r="K1126" s="48"/>
      <c r="L1126" s="48"/>
      <c r="M1126" s="48"/>
      <c r="N1126" s="48"/>
      <c r="O1126" s="48"/>
      <c r="P1126" s="48"/>
      <c r="Q1126" s="48"/>
      <c r="R1126" s="48"/>
      <c r="S1126" s="41"/>
    </row>
    <row r="1127" spans="1:19" ht="11.25" customHeight="1" x14ac:dyDescent="0.25">
      <c r="A1127" s="130" t="str">
        <f ca="1">Проект!$A$2088</f>
        <v>Эффективность для банка</v>
      </c>
      <c r="B1127" s="48"/>
      <c r="C1127" s="48"/>
      <c r="D1127" s="48"/>
      <c r="E1127" s="48"/>
      <c r="F1127" s="48"/>
      <c r="G1127" s="48"/>
      <c r="H1127" s="48"/>
      <c r="I1127" s="48"/>
      <c r="J1127" s="48"/>
      <c r="K1127" s="48"/>
      <c r="L1127" s="48"/>
      <c r="M1127" s="48"/>
      <c r="N1127" s="48"/>
      <c r="O1127" s="48"/>
      <c r="P1127" s="48"/>
      <c r="Q1127" s="48"/>
      <c r="R1127" s="48"/>
      <c r="S1127" s="41"/>
    </row>
    <row r="1128" spans="1:19" ht="11.25" customHeight="1" x14ac:dyDescent="0.2">
      <c r="A1128" s="128" t="str">
        <f ca="1">Проект!$A$2089</f>
        <v>Дисконтированный срок окупаемости (PBP)</v>
      </c>
      <c r="B1128" s="390">
        <f ca="1">Проект!$B$2089</f>
        <v>0.77747051172837778</v>
      </c>
      <c r="C1128" s="73" t="str">
        <f ca="1">Проект!$C$2089</f>
        <v>года</v>
      </c>
      <c r="D1128" s="48"/>
      <c r="E1128" s="48"/>
      <c r="F1128" s="48"/>
      <c r="G1128" s="48"/>
      <c r="H1128" s="48"/>
      <c r="I1128" s="48"/>
      <c r="J1128" s="48"/>
      <c r="K1128" s="48"/>
      <c r="L1128" s="48"/>
      <c r="M1128" s="48"/>
      <c r="N1128" s="48"/>
      <c r="O1128" s="48"/>
      <c r="P1128" s="48"/>
      <c r="Q1128" s="48"/>
      <c r="R1128" s="48"/>
      <c r="S1128" s="41"/>
    </row>
    <row r="1129" spans="1:19" ht="11.25" customHeight="1" x14ac:dyDescent="0.2">
      <c r="A1129" s="52" t="str">
        <f ca="1">Проект!$A$2090</f>
        <v>Внутренняя норма рентабельности (IRR)</v>
      </c>
      <c r="B1129" s="44">
        <f ca="1">Проект!$B$2090</f>
        <v>5.9241601325997308</v>
      </c>
      <c r="C1129" s="330" t="str">
        <f ca="1">Проект!$C$2090</f>
        <v>(реальная - без учета инфляции)</v>
      </c>
      <c r="D1129" s="48"/>
      <c r="E1129" s="48"/>
      <c r="F1129" s="48"/>
      <c r="G1129" s="48"/>
      <c r="H1129" s="48"/>
      <c r="I1129" s="48"/>
      <c r="J1129" s="48"/>
      <c r="K1129" s="48"/>
      <c r="L1129" s="48"/>
      <c r="M1129" s="48"/>
      <c r="N1129" s="48"/>
      <c r="O1129" s="48"/>
      <c r="P1129" s="48"/>
      <c r="Q1129" s="48"/>
      <c r="R1129" s="48"/>
      <c r="S1129" s="41"/>
    </row>
  </sheetData>
  <phoneticPr fontId="11" type="noConversion"/>
  <conditionalFormatting sqref="B535 B547">
    <cfRule type="cellIs" dxfId="12" priority="13" stopIfTrue="1" operator="notBetween">
      <formula>0</formula>
      <formula>1</formula>
    </cfRule>
  </conditionalFormatting>
  <conditionalFormatting sqref="F643:G666">
    <cfRule type="cellIs" dxfId="11" priority="12" stopIfTrue="1" operator="notEqual">
      <formula>0</formula>
    </cfRule>
  </conditionalFormatting>
  <conditionalFormatting sqref="F961:G961">
    <cfRule type="cellIs" dxfId="10" priority="11" stopIfTrue="1" operator="notEqual">
      <formula>0</formula>
    </cfRule>
  </conditionalFormatting>
  <conditionalFormatting sqref="H961">
    <cfRule type="cellIs" dxfId="9" priority="10" stopIfTrue="1" operator="notEqual">
      <formula>0</formula>
    </cfRule>
  </conditionalFormatting>
  <conditionalFormatting sqref="I961">
    <cfRule type="cellIs" dxfId="8" priority="9" stopIfTrue="1" operator="notEqual">
      <formula>0</formula>
    </cfRule>
  </conditionalFormatting>
  <conditionalFormatting sqref="J961">
    <cfRule type="cellIs" dxfId="7" priority="8" stopIfTrue="1" operator="notEqual">
      <formula>0</formula>
    </cfRule>
  </conditionalFormatting>
  <conditionalFormatting sqref="K961">
    <cfRule type="cellIs" dxfId="6" priority="7" stopIfTrue="1" operator="notEqual">
      <formula>0</formula>
    </cfRule>
  </conditionalFormatting>
  <conditionalFormatting sqref="L961">
    <cfRule type="cellIs" dxfId="5" priority="6" stopIfTrue="1" operator="notEqual">
      <formula>0</formula>
    </cfRule>
  </conditionalFormatting>
  <conditionalFormatting sqref="M961">
    <cfRule type="cellIs" dxfId="4" priority="5" stopIfTrue="1" operator="notEqual">
      <formula>0</formula>
    </cfRule>
  </conditionalFormatting>
  <conditionalFormatting sqref="N961">
    <cfRule type="cellIs" dxfId="3" priority="4" stopIfTrue="1" operator="notEqual">
      <formula>0</formula>
    </cfRule>
  </conditionalFormatting>
  <conditionalFormatting sqref="O961">
    <cfRule type="cellIs" dxfId="2" priority="3" stopIfTrue="1" operator="notEqual">
      <formula>0</formula>
    </cfRule>
  </conditionalFormatting>
  <conditionalFormatting sqref="P961">
    <cfRule type="cellIs" dxfId="1" priority="2" stopIfTrue="1" operator="notEqual">
      <formula>0</formula>
    </cfRule>
  </conditionalFormatting>
  <conditionalFormatting sqref="Q961">
    <cfRule type="cellIs" dxfId="0" priority="1" stopIfTrue="1" operator="notEqual">
      <formula>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E21"/>
  <sheetViews>
    <sheetView workbookViewId="0">
      <selection activeCell="B20" sqref="B20"/>
    </sheetView>
  </sheetViews>
  <sheetFormatPr defaultRowHeight="10" x14ac:dyDescent="0.2"/>
  <cols>
    <col min="1" max="1" width="44.77734375" customWidth="1"/>
    <col min="2" max="3" width="12.77734375" customWidth="1"/>
  </cols>
  <sheetData>
    <row r="1" spans="1:5" s="3" customFormat="1" ht="15.5" x14ac:dyDescent="0.35">
      <c r="A1" s="3" t="s">
        <v>301</v>
      </c>
    </row>
    <row r="2" spans="1:5" x14ac:dyDescent="0.2">
      <c r="A2" s="15" t="s">
        <v>302</v>
      </c>
    </row>
    <row r="4" spans="1:5" x14ac:dyDescent="0.2">
      <c r="A4" t="s">
        <v>2026</v>
      </c>
      <c r="B4" s="5" t="b">
        <v>0</v>
      </c>
    </row>
    <row r="5" spans="1:5" x14ac:dyDescent="0.2">
      <c r="A5" t="s">
        <v>2018</v>
      </c>
      <c r="B5" s="296" t="s">
        <v>555</v>
      </c>
      <c r="C5" s="5"/>
    </row>
    <row r="6" spans="1:5" x14ac:dyDescent="0.2">
      <c r="A6" t="s">
        <v>2021</v>
      </c>
      <c r="B6" s="6">
        <v>40199</v>
      </c>
      <c r="C6" s="5"/>
    </row>
    <row r="7" spans="1:5" x14ac:dyDescent="0.2">
      <c r="A7" t="s">
        <v>2022</v>
      </c>
      <c r="B7" s="5" t="b">
        <v>0</v>
      </c>
      <c r="C7" s="5"/>
    </row>
    <row r="8" spans="1:5" x14ac:dyDescent="0.2">
      <c r="A8" t="s">
        <v>2025</v>
      </c>
      <c r="B8" s="5" t="b">
        <v>0</v>
      </c>
      <c r="C8" s="6">
        <v>39736</v>
      </c>
    </row>
    <row r="9" spans="1:5" x14ac:dyDescent="0.2">
      <c r="A9" t="s">
        <v>2019</v>
      </c>
      <c r="B9" s="5" t="b">
        <v>0</v>
      </c>
      <c r="C9" s="5"/>
    </row>
    <row r="10" spans="1:5" x14ac:dyDescent="0.2">
      <c r="A10" t="s">
        <v>2023</v>
      </c>
      <c r="B10" s="5" t="b">
        <v>1</v>
      </c>
      <c r="C10" s="5"/>
    </row>
    <row r="11" spans="1:5" x14ac:dyDescent="0.2">
      <c r="A11" t="s">
        <v>2024</v>
      </c>
      <c r="B11" s="5" t="b">
        <v>0</v>
      </c>
      <c r="C11" s="5"/>
    </row>
    <row r="12" spans="1:5" x14ac:dyDescent="0.2">
      <c r="A12" t="s">
        <v>2020</v>
      </c>
      <c r="B12" s="5">
        <v>0</v>
      </c>
      <c r="C12" s="5"/>
    </row>
    <row r="13" spans="1:5" x14ac:dyDescent="0.2">
      <c r="B13" s="5"/>
      <c r="C13" s="5"/>
    </row>
    <row r="14" spans="1:5" x14ac:dyDescent="0.2">
      <c r="A14" t="s">
        <v>464</v>
      </c>
      <c r="B14" s="5">
        <v>122</v>
      </c>
      <c r="C14" s="5"/>
    </row>
    <row r="16" spans="1:5" s="4" customFormat="1" ht="16" customHeight="1" x14ac:dyDescent="0.2">
      <c r="A16" s="14" t="s">
        <v>296</v>
      </c>
      <c r="B16" s="14"/>
      <c r="C16" s="14"/>
      <c r="D16" s="14"/>
      <c r="E16" s="14"/>
    </row>
    <row r="17" spans="1:3" x14ac:dyDescent="0.2">
      <c r="A17" s="11" t="s">
        <v>295</v>
      </c>
      <c r="B17" s="12" t="str">
        <f>IF(B21=1,"Альт-Инвест ","ALT-invest ")&amp;IF(B18=1,IF(B21=1,"Сумм ","Summ "),"")&amp;IF(B19=1,IF(B21=1,"Строительство ","Estate "),"")&amp;IF(B20=1,IF(B21=1,"Демо ","Demo "),"")&amp;IF(B20=2,IF(B21=1,"Пробная ","Trial "),"")&amp;IF(B21=1,"(русская)","(english)")</f>
        <v>Альт-Инвест Сумм (русская)</v>
      </c>
    </row>
    <row r="18" spans="1:3" x14ac:dyDescent="0.2">
      <c r="A18" t="s">
        <v>2040</v>
      </c>
      <c r="B18" s="13">
        <v>1</v>
      </c>
      <c r="C18" s="1" t="s">
        <v>297</v>
      </c>
    </row>
    <row r="19" spans="1:3" x14ac:dyDescent="0.2">
      <c r="A19" t="s">
        <v>2039</v>
      </c>
      <c r="B19" s="13">
        <v>0</v>
      </c>
      <c r="C19" s="1" t="s">
        <v>297</v>
      </c>
    </row>
    <row r="20" spans="1:3" x14ac:dyDescent="0.2">
      <c r="A20" t="s">
        <v>300</v>
      </c>
      <c r="B20" s="13">
        <v>0</v>
      </c>
      <c r="C20" s="1" t="s">
        <v>298</v>
      </c>
    </row>
    <row r="21" spans="1:3" x14ac:dyDescent="0.2">
      <c r="A21" t="s">
        <v>294</v>
      </c>
      <c r="B21" s="13">
        <v>1</v>
      </c>
      <c r="C21" s="1" t="s">
        <v>299</v>
      </c>
    </row>
  </sheetData>
  <phoneticPr fontId="1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Distr">
                <anchor moveWithCells="1" sizeWithCells="1">
                  <from>
                    <xdr:col>0</xdr:col>
                    <xdr:colOff>19050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D1017"/>
  <sheetViews>
    <sheetView workbookViewId="0">
      <selection activeCell="A968" sqref="A968"/>
    </sheetView>
  </sheetViews>
  <sheetFormatPr defaultRowHeight="10" x14ac:dyDescent="0.2"/>
  <cols>
    <col min="1" max="4" width="50.77734375" customWidth="1"/>
  </cols>
  <sheetData>
    <row r="1" spans="1:4" x14ac:dyDescent="0.2">
      <c r="A1" s="9" t="s">
        <v>2031</v>
      </c>
      <c r="B1" s="7" t="s">
        <v>2032</v>
      </c>
      <c r="C1" s="7" t="s">
        <v>2033</v>
      </c>
      <c r="D1" s="7" t="s">
        <v>612</v>
      </c>
    </row>
    <row r="2" spans="1:4" ht="10.5" x14ac:dyDescent="0.25">
      <c r="A2" s="10">
        <v>1</v>
      </c>
      <c r="B2" s="8"/>
      <c r="C2" s="8"/>
      <c r="D2" s="8"/>
    </row>
    <row r="3" spans="1:4" x14ac:dyDescent="0.2">
      <c r="A3" t="str">
        <f t="shared" ref="A3:A73" ca="1" si="0">OFFSET(A3,0,LanguageID)</f>
        <v xml:space="preserve">АЛЬТ-Инвест™ </v>
      </c>
      <c r="B3" t="s">
        <v>2099</v>
      </c>
      <c r="C3" t="s">
        <v>2104</v>
      </c>
      <c r="D3" t="s">
        <v>2104</v>
      </c>
    </row>
    <row r="4" spans="1:4" x14ac:dyDescent="0.2">
      <c r="A4" t="str">
        <f t="shared" ca="1" si="0"/>
        <v xml:space="preserve">Сумм </v>
      </c>
      <c r="B4" t="s">
        <v>2100</v>
      </c>
      <c r="C4" t="s">
        <v>2105</v>
      </c>
      <c r="D4" t="s">
        <v>613</v>
      </c>
    </row>
    <row r="5" spans="1:4" x14ac:dyDescent="0.2">
      <c r="A5" t="str">
        <f t="shared" ca="1" si="0"/>
        <v xml:space="preserve">Строительство </v>
      </c>
      <c r="B5" t="s">
        <v>2101</v>
      </c>
      <c r="C5" t="s">
        <v>1716</v>
      </c>
      <c r="D5" t="s">
        <v>614</v>
      </c>
    </row>
    <row r="6" spans="1:4" x14ac:dyDescent="0.2">
      <c r="A6" t="str">
        <f t="shared" ca="1" si="0"/>
        <v xml:space="preserve">Демо </v>
      </c>
      <c r="B6" t="s">
        <v>2102</v>
      </c>
      <c r="C6" t="s">
        <v>2106</v>
      </c>
      <c r="D6" t="s">
        <v>615</v>
      </c>
    </row>
    <row r="7" spans="1:4" x14ac:dyDescent="0.2">
      <c r="A7" t="str">
        <f t="shared" ca="1" si="0"/>
        <v xml:space="preserve">Пробная версия </v>
      </c>
      <c r="B7" t="s">
        <v>2103</v>
      </c>
      <c r="C7" t="s">
        <v>2107</v>
      </c>
      <c r="D7" t="s">
        <v>616</v>
      </c>
    </row>
    <row r="8" spans="1:4" x14ac:dyDescent="0.2">
      <c r="A8" t="str">
        <f t="shared" ca="1" si="0"/>
        <v>О программе</v>
      </c>
      <c r="B8" t="s">
        <v>2027</v>
      </c>
      <c r="C8" t="s">
        <v>2034</v>
      </c>
      <c r="D8" t="s">
        <v>617</v>
      </c>
    </row>
    <row r="9" spans="1:4" x14ac:dyDescent="0.2">
      <c r="A9" t="str">
        <f t="shared" ca="1" si="0"/>
        <v>Проект</v>
      </c>
      <c r="B9" t="s">
        <v>2028</v>
      </c>
      <c r="C9" t="s">
        <v>2035</v>
      </c>
      <c r="D9" t="s">
        <v>618</v>
      </c>
    </row>
    <row r="10" spans="1:4" x14ac:dyDescent="0.2">
      <c r="A10" t="str">
        <f t="shared" ca="1" si="0"/>
        <v>Пр.</v>
      </c>
      <c r="B10" t="s">
        <v>2029</v>
      </c>
      <c r="C10" t="s">
        <v>2036</v>
      </c>
      <c r="D10" t="s">
        <v>2036</v>
      </c>
    </row>
    <row r="11" spans="1:4" x14ac:dyDescent="0.2">
      <c r="A11" t="str">
        <f t="shared" ca="1" si="0"/>
        <v>Портфель</v>
      </c>
      <c r="B11" t="s">
        <v>2030</v>
      </c>
      <c r="C11" t="s">
        <v>2037</v>
      </c>
      <c r="D11" t="s">
        <v>619</v>
      </c>
    </row>
    <row r="12" spans="1:4" x14ac:dyDescent="0.2">
      <c r="A12" t="str">
        <f t="shared" ca="1" si="0"/>
        <v>Отчет</v>
      </c>
      <c r="B12" t="s">
        <v>2017</v>
      </c>
      <c r="C12" t="s">
        <v>2038</v>
      </c>
      <c r="D12" t="s">
        <v>791</v>
      </c>
    </row>
    <row r="13" spans="1:4" x14ac:dyDescent="0.2">
      <c r="A13" t="str">
        <f t="shared" ca="1" si="0"/>
        <v>Описание проекта</v>
      </c>
      <c r="B13" t="s">
        <v>2013</v>
      </c>
      <c r="C13" t="s">
        <v>2493</v>
      </c>
      <c r="D13" t="s">
        <v>792</v>
      </c>
    </row>
    <row r="14" spans="1:4" x14ac:dyDescent="0.2">
      <c r="A14" t="str">
        <f t="shared" ca="1" si="0"/>
        <v xml:space="preserve">         ПАРАМЕТРЫ ПРОЕКТА</v>
      </c>
      <c r="B14" t="s">
        <v>646</v>
      </c>
      <c r="C14" t="s">
        <v>2494</v>
      </c>
      <c r="D14" t="s">
        <v>709</v>
      </c>
    </row>
    <row r="15" spans="1:4" x14ac:dyDescent="0.2">
      <c r="A15" t="str">
        <f t="shared" ca="1" si="0"/>
        <v>Название проекта:</v>
      </c>
      <c r="B15" t="s">
        <v>2108</v>
      </c>
      <c r="C15" t="s">
        <v>2495</v>
      </c>
      <c r="D15" t="s">
        <v>793</v>
      </c>
    </row>
    <row r="16" spans="1:4" x14ac:dyDescent="0.2">
      <c r="A16" t="str">
        <f t="shared" ca="1" si="0"/>
        <v>Проект 1</v>
      </c>
      <c r="B16" t="s">
        <v>2109</v>
      </c>
      <c r="C16" t="s">
        <v>2496</v>
      </c>
      <c r="D16" t="s">
        <v>794</v>
      </c>
    </row>
    <row r="17" spans="1:4" x14ac:dyDescent="0.2">
      <c r="A17" t="str">
        <f t="shared" ca="1" si="0"/>
        <v>Дата начала проекта</v>
      </c>
      <c r="B17" t="s">
        <v>2110</v>
      </c>
      <c r="C17" t="s">
        <v>2497</v>
      </c>
      <c r="D17" t="s">
        <v>795</v>
      </c>
    </row>
    <row r="18" spans="1:4" x14ac:dyDescent="0.2">
      <c r="A18" t="str">
        <f t="shared" ca="1" si="0"/>
        <v>Срок жизни проекта</v>
      </c>
      <c r="B18" t="s">
        <v>2111</v>
      </c>
      <c r="C18" t="s">
        <v>2498</v>
      </c>
      <c r="D18" t="s">
        <v>796</v>
      </c>
    </row>
    <row r="19" spans="1:4" x14ac:dyDescent="0.2">
      <c r="A19" t="str">
        <f t="shared" ca="1" si="0"/>
        <v>Шаг планирования</v>
      </c>
      <c r="B19" t="s">
        <v>2112</v>
      </c>
      <c r="C19" t="s">
        <v>2499</v>
      </c>
      <c r="D19" t="s">
        <v>797</v>
      </c>
    </row>
    <row r="20" spans="1:4" x14ac:dyDescent="0.2">
      <c r="A20" t="str">
        <f t="shared" ca="1" si="0"/>
        <v>Длительность шага планирования</v>
      </c>
      <c r="B20" t="s">
        <v>2113</v>
      </c>
      <c r="C20" t="s">
        <v>2500</v>
      </c>
      <c r="D20" t="s">
        <v>798</v>
      </c>
    </row>
    <row r="21" spans="1:4" x14ac:dyDescent="0.2">
      <c r="A21" t="str">
        <f t="shared" ca="1" si="0"/>
        <v>Основная валюта расчета</v>
      </c>
      <c r="B21" t="s">
        <v>2114</v>
      </c>
      <c r="C21" t="s">
        <v>2501</v>
      </c>
      <c r="D21" t="s">
        <v>799</v>
      </c>
    </row>
    <row r="22" spans="1:4" x14ac:dyDescent="0.2">
      <c r="A22" t="str">
        <f t="shared" ca="1" si="0"/>
        <v>Иностранная валюта</v>
      </c>
      <c r="B22" t="s">
        <v>2115</v>
      </c>
      <c r="C22" t="s">
        <v>2502</v>
      </c>
      <c r="D22" t="s">
        <v>800</v>
      </c>
    </row>
    <row r="23" spans="1:4" x14ac:dyDescent="0.2">
      <c r="A23" t="str">
        <f t="shared" ca="1" si="0"/>
        <v>Валюта для отображения результатов</v>
      </c>
      <c r="B23" t="s">
        <v>2116</v>
      </c>
      <c r="C23" t="s">
        <v>2503</v>
      </c>
      <c r="D23" t="s">
        <v>801</v>
      </c>
    </row>
    <row r="24" spans="1:4" x14ac:dyDescent="0.2">
      <c r="A24" t="str">
        <f t="shared" ca="1" si="0"/>
        <v>Метод расчетов</v>
      </c>
      <c r="B24" t="s">
        <v>2091</v>
      </c>
      <c r="C24" t="s">
        <v>2504</v>
      </c>
      <c r="D24" t="s">
        <v>802</v>
      </c>
    </row>
    <row r="25" spans="1:4" x14ac:dyDescent="0.2">
      <c r="A25" t="str">
        <f t="shared" ca="1" si="0"/>
        <v>Постоянные цены (без учета инфляции)</v>
      </c>
      <c r="B25" t="s">
        <v>2197</v>
      </c>
      <c r="C25" t="s">
        <v>2505</v>
      </c>
      <c r="D25" t="s">
        <v>803</v>
      </c>
    </row>
    <row r="26" spans="1:4" x14ac:dyDescent="0.2">
      <c r="A26" t="str">
        <f t="shared" ca="1" si="0"/>
        <v>Текущие цены (с учетом инфляции)</v>
      </c>
      <c r="B26" t="s">
        <v>2198</v>
      </c>
      <c r="C26" t="s">
        <v>2649</v>
      </c>
      <c r="D26" t="s">
        <v>804</v>
      </c>
    </row>
    <row r="27" spans="1:4" x14ac:dyDescent="0.2">
      <c r="A27" t="str">
        <f t="shared" ca="1" si="0"/>
        <v>Язык интерфейса и таблиц</v>
      </c>
      <c r="B27" t="s">
        <v>2120</v>
      </c>
      <c r="C27" t="s">
        <v>2650</v>
      </c>
      <c r="D27" t="s">
        <v>805</v>
      </c>
    </row>
    <row r="28" spans="1:4" x14ac:dyDescent="0.2">
      <c r="A28" t="str">
        <f t="shared" ca="1" si="0"/>
        <v>Защита</v>
      </c>
      <c r="B28" t="s">
        <v>2121</v>
      </c>
      <c r="C28" t="s">
        <v>2651</v>
      </c>
      <c r="D28" t="s">
        <v>806</v>
      </c>
    </row>
    <row r="29" spans="1:4" x14ac:dyDescent="0.2">
      <c r="A29" t="str">
        <f t="shared" ca="1" si="0"/>
        <v>Показывать реальные даты в названиях периодов?</v>
      </c>
      <c r="B29" t="s">
        <v>2122</v>
      </c>
      <c r="C29" t="s">
        <v>711</v>
      </c>
      <c r="D29" t="s">
        <v>807</v>
      </c>
    </row>
    <row r="30" spans="1:4" x14ac:dyDescent="0.2">
      <c r="A30" t="str">
        <f t="shared" ca="1" si="0"/>
        <v>мес.</v>
      </c>
      <c r="B30" t="s">
        <v>2129</v>
      </c>
      <c r="C30" t="s">
        <v>712</v>
      </c>
      <c r="D30" t="s">
        <v>808</v>
      </c>
    </row>
    <row r="31" spans="1:4" x14ac:dyDescent="0.2">
      <c r="A31" t="str">
        <f t="shared" ca="1" si="0"/>
        <v>кв.</v>
      </c>
      <c r="B31" t="s">
        <v>2130</v>
      </c>
      <c r="C31" t="s">
        <v>713</v>
      </c>
      <c r="D31" t="s">
        <v>809</v>
      </c>
    </row>
    <row r="32" spans="1:4" x14ac:dyDescent="0.2">
      <c r="A32" t="str">
        <f t="shared" ca="1" si="0"/>
        <v>пг.</v>
      </c>
      <c r="B32" t="s">
        <v>2131</v>
      </c>
      <c r="C32" t="s">
        <v>714</v>
      </c>
      <c r="D32" t="s">
        <v>810</v>
      </c>
    </row>
    <row r="33" spans="1:4" x14ac:dyDescent="0.2">
      <c r="A33" t="str">
        <f t="shared" ca="1" si="0"/>
        <v>лет</v>
      </c>
      <c r="B33" t="s">
        <v>2132</v>
      </c>
      <c r="C33" t="s">
        <v>715</v>
      </c>
      <c r="D33" t="s">
        <v>811</v>
      </c>
    </row>
    <row r="34" spans="1:4" x14ac:dyDescent="0.2">
      <c r="A34" t="str">
        <f t="shared" ca="1" si="0"/>
        <v>месяц</v>
      </c>
      <c r="B34" t="s">
        <v>2133</v>
      </c>
      <c r="C34" t="s">
        <v>716</v>
      </c>
      <c r="D34" t="s">
        <v>812</v>
      </c>
    </row>
    <row r="35" spans="1:4" x14ac:dyDescent="0.2">
      <c r="A35" t="str">
        <f t="shared" ca="1" si="0"/>
        <v>квартал</v>
      </c>
      <c r="B35" t="s">
        <v>2134</v>
      </c>
      <c r="C35" t="s">
        <v>717</v>
      </c>
      <c r="D35" t="s">
        <v>813</v>
      </c>
    </row>
    <row r="36" spans="1:4" x14ac:dyDescent="0.2">
      <c r="A36" t="str">
        <f t="shared" ca="1" si="0"/>
        <v>полугодие</v>
      </c>
      <c r="B36" t="s">
        <v>2135</v>
      </c>
      <c r="C36" t="s">
        <v>718</v>
      </c>
      <c r="D36" t="s">
        <v>814</v>
      </c>
    </row>
    <row r="37" spans="1:4" x14ac:dyDescent="0.2">
      <c r="A37" t="str">
        <f t="shared" ca="1" si="0"/>
        <v>год</v>
      </c>
      <c r="B37" t="s">
        <v>2117</v>
      </c>
      <c r="C37" t="s">
        <v>719</v>
      </c>
      <c r="D37" t="s">
        <v>815</v>
      </c>
    </row>
    <row r="38" spans="1:4" x14ac:dyDescent="0.2">
      <c r="A38" t="str">
        <f t="shared" ca="1" si="0"/>
        <v>дн.</v>
      </c>
      <c r="B38" t="s">
        <v>2136</v>
      </c>
      <c r="C38" t="s">
        <v>720</v>
      </c>
      <c r="D38" t="s">
        <v>720</v>
      </c>
    </row>
    <row r="39" spans="1:4" x14ac:dyDescent="0.2">
      <c r="A39" s="165" t="str">
        <f t="shared" ca="1" si="0"/>
        <v>руб.</v>
      </c>
      <c r="B39" t="s">
        <v>2137</v>
      </c>
      <c r="C39" t="s">
        <v>721</v>
      </c>
      <c r="D39" t="s">
        <v>721</v>
      </c>
    </row>
    <row r="40" spans="1:4" x14ac:dyDescent="0.2">
      <c r="A40" s="165" t="str">
        <f t="shared" ca="1" si="0"/>
        <v>$</v>
      </c>
      <c r="B40" t="s">
        <v>2119</v>
      </c>
      <c r="C40" t="s">
        <v>2119</v>
      </c>
      <c r="D40" t="s">
        <v>2119</v>
      </c>
    </row>
    <row r="41" spans="1:4" x14ac:dyDescent="0.2">
      <c r="A41" s="165" t="str">
        <f t="shared" ca="1" si="0"/>
        <v>EUR</v>
      </c>
      <c r="B41" t="s">
        <v>2138</v>
      </c>
      <c r="C41" t="s">
        <v>2138</v>
      </c>
      <c r="D41" t="s">
        <v>2138</v>
      </c>
    </row>
    <row r="42" spans="1:4" x14ac:dyDescent="0.2">
      <c r="A42" s="165" t="str">
        <f t="shared" ca="1" si="0"/>
        <v>GBP</v>
      </c>
      <c r="B42" t="s">
        <v>2139</v>
      </c>
      <c r="C42" t="s">
        <v>2139</v>
      </c>
      <c r="D42" t="s">
        <v>2139</v>
      </c>
    </row>
    <row r="43" spans="1:4" x14ac:dyDescent="0.2">
      <c r="A43" s="165" t="str">
        <f t="shared" ca="1" si="0"/>
        <v>гр.</v>
      </c>
      <c r="B43" t="s">
        <v>2140</v>
      </c>
      <c r="C43" t="s">
        <v>722</v>
      </c>
      <c r="D43" t="s">
        <v>722</v>
      </c>
    </row>
    <row r="44" spans="1:4" x14ac:dyDescent="0.2">
      <c r="A44" s="165" t="str">
        <f t="shared" ca="1" si="0"/>
        <v>лат</v>
      </c>
      <c r="B44" t="s">
        <v>886</v>
      </c>
      <c r="C44" t="s">
        <v>723</v>
      </c>
      <c r="D44" t="s">
        <v>723</v>
      </c>
    </row>
    <row r="45" spans="1:4" x14ac:dyDescent="0.2">
      <c r="A45" s="165" t="str">
        <f t="shared" ca="1" si="0"/>
        <v>лит</v>
      </c>
      <c r="B45" t="s">
        <v>887</v>
      </c>
      <c r="C45" t="s">
        <v>885</v>
      </c>
      <c r="D45" t="s">
        <v>885</v>
      </c>
    </row>
    <row r="46" spans="1:4" x14ac:dyDescent="0.2">
      <c r="A46" s="165" t="str">
        <f t="shared" ca="1" si="0"/>
        <v>тнг.</v>
      </c>
      <c r="B46" t="s">
        <v>2141</v>
      </c>
      <c r="C46" t="s">
        <v>724</v>
      </c>
      <c r="D46" t="s">
        <v>724</v>
      </c>
    </row>
    <row r="47" spans="1:4" x14ac:dyDescent="0.2">
      <c r="A47" s="165" t="str">
        <f t="shared" ca="1" si="0"/>
        <v>тыс. руб.</v>
      </c>
      <c r="B47" t="s">
        <v>2118</v>
      </c>
      <c r="C47" t="s">
        <v>725</v>
      </c>
      <c r="D47" t="s">
        <v>816</v>
      </c>
    </row>
    <row r="48" spans="1:4" x14ac:dyDescent="0.2">
      <c r="A48" s="165" t="str">
        <f t="shared" ca="1" si="0"/>
        <v>тыс. $</v>
      </c>
      <c r="B48" t="s">
        <v>2142</v>
      </c>
      <c r="C48" t="s">
        <v>726</v>
      </c>
      <c r="D48" t="s">
        <v>965</v>
      </c>
    </row>
    <row r="49" spans="1:4" x14ac:dyDescent="0.2">
      <c r="A49" s="165" t="str">
        <f t="shared" ca="1" si="0"/>
        <v>тыс. EUR</v>
      </c>
      <c r="B49" t="s">
        <v>2143</v>
      </c>
      <c r="C49" t="s">
        <v>727</v>
      </c>
      <c r="D49" t="s">
        <v>966</v>
      </c>
    </row>
    <row r="50" spans="1:4" x14ac:dyDescent="0.2">
      <c r="A50" s="165" t="str">
        <f t="shared" ca="1" si="0"/>
        <v>тыс. GBP</v>
      </c>
      <c r="B50" t="s">
        <v>2144</v>
      </c>
      <c r="C50" t="s">
        <v>728</v>
      </c>
      <c r="D50" t="s">
        <v>967</v>
      </c>
    </row>
    <row r="51" spans="1:4" x14ac:dyDescent="0.2">
      <c r="A51" s="165" t="str">
        <f t="shared" ca="1" si="0"/>
        <v>тыс. гр.</v>
      </c>
      <c r="B51" t="s">
        <v>2145</v>
      </c>
      <c r="C51" t="s">
        <v>729</v>
      </c>
      <c r="D51" t="s">
        <v>968</v>
      </c>
    </row>
    <row r="52" spans="1:4" x14ac:dyDescent="0.2">
      <c r="A52" s="165" t="str">
        <f t="shared" ca="1" si="0"/>
        <v>тыс. лат</v>
      </c>
      <c r="B52" t="s">
        <v>890</v>
      </c>
      <c r="C52" t="s">
        <v>730</v>
      </c>
      <c r="D52" t="s">
        <v>969</v>
      </c>
    </row>
    <row r="53" spans="1:4" x14ac:dyDescent="0.2">
      <c r="A53" s="165" t="str">
        <f t="shared" ca="1" si="0"/>
        <v>тыс. лит</v>
      </c>
      <c r="B53" t="s">
        <v>891</v>
      </c>
      <c r="C53" t="s">
        <v>888</v>
      </c>
      <c r="D53" t="s">
        <v>889</v>
      </c>
    </row>
    <row r="54" spans="1:4" x14ac:dyDescent="0.2">
      <c r="A54" s="165" t="str">
        <f t="shared" ca="1" si="0"/>
        <v>тыс. тнг</v>
      </c>
      <c r="B54" t="s">
        <v>2146</v>
      </c>
      <c r="C54" t="s">
        <v>731</v>
      </c>
      <c r="D54" t="s">
        <v>970</v>
      </c>
    </row>
    <row r="55" spans="1:4" x14ac:dyDescent="0.2">
      <c r="A55" s="165" t="str">
        <f t="shared" ca="1" si="0"/>
        <v>леи</v>
      </c>
      <c r="B55" t="s">
        <v>2147</v>
      </c>
      <c r="C55" t="s">
        <v>732</v>
      </c>
      <c r="D55" t="s">
        <v>971</v>
      </c>
    </row>
    <row r="56" spans="1:4" x14ac:dyDescent="0.2">
      <c r="A56" s="165" t="str">
        <f t="shared" ca="1" si="0"/>
        <v>тыс. леев</v>
      </c>
      <c r="B56" t="s">
        <v>2148</v>
      </c>
      <c r="C56" t="s">
        <v>733</v>
      </c>
      <c r="D56" t="s">
        <v>972</v>
      </c>
    </row>
    <row r="57" spans="1:4" x14ac:dyDescent="0.2">
      <c r="A57" t="str">
        <f t="shared" ca="1" si="0"/>
        <v>Русский</v>
      </c>
      <c r="B57" t="s">
        <v>2149</v>
      </c>
      <c r="C57" t="s">
        <v>2033</v>
      </c>
      <c r="D57" t="s">
        <v>612</v>
      </c>
    </row>
    <row r="58" spans="1:4" x14ac:dyDescent="0.2">
      <c r="A58" t="str">
        <f t="shared" ca="1" si="0"/>
        <v>Включена</v>
      </c>
      <c r="B58" t="s">
        <v>2150</v>
      </c>
      <c r="C58" t="s">
        <v>734</v>
      </c>
      <c r="D58" t="s">
        <v>973</v>
      </c>
    </row>
    <row r="59" spans="1:4" x14ac:dyDescent="0.2">
      <c r="A59" t="str">
        <f t="shared" ca="1" si="0"/>
        <v>Выключена</v>
      </c>
      <c r="B59" t="s">
        <v>2151</v>
      </c>
      <c r="C59" t="s">
        <v>735</v>
      </c>
      <c r="D59" t="s">
        <v>974</v>
      </c>
    </row>
    <row r="60" spans="1:4" x14ac:dyDescent="0.2">
      <c r="A60" t="str">
        <f t="shared" ca="1" si="0"/>
        <v>Да</v>
      </c>
      <c r="B60" t="s">
        <v>2152</v>
      </c>
      <c r="C60" t="s">
        <v>736</v>
      </c>
      <c r="D60" t="s">
        <v>975</v>
      </c>
    </row>
    <row r="61" spans="1:4" x14ac:dyDescent="0.2">
      <c r="A61" t="str">
        <f t="shared" ca="1" si="0"/>
        <v>Нет</v>
      </c>
      <c r="B61" t="s">
        <v>2153</v>
      </c>
      <c r="C61" t="s">
        <v>737</v>
      </c>
      <c r="D61" t="s">
        <v>976</v>
      </c>
    </row>
    <row r="62" spans="1:4" x14ac:dyDescent="0.2">
      <c r="A62" t="str">
        <f t="shared" ca="1" si="0"/>
        <v>Год начала проекта</v>
      </c>
      <c r="B62" t="s">
        <v>2123</v>
      </c>
      <c r="C62" t="s">
        <v>738</v>
      </c>
      <c r="D62" t="s">
        <v>977</v>
      </c>
    </row>
    <row r="63" spans="1:4" x14ac:dyDescent="0.2">
      <c r="A63" t="str">
        <f t="shared" ca="1" si="0"/>
        <v>Месяц начала проекта</v>
      </c>
      <c r="B63" t="s">
        <v>2124</v>
      </c>
      <c r="C63" t="s">
        <v>739</v>
      </c>
      <c r="D63" t="s">
        <v>978</v>
      </c>
    </row>
    <row r="64" spans="1:4" x14ac:dyDescent="0.2">
      <c r="A64" t="str">
        <f t="shared" ca="1" si="0"/>
        <v>Номера периодов</v>
      </c>
      <c r="B64" t="s">
        <v>2125</v>
      </c>
      <c r="C64" t="s">
        <v>740</v>
      </c>
      <c r="D64" t="s">
        <v>979</v>
      </c>
    </row>
    <row r="65" spans="1:4" x14ac:dyDescent="0.2">
      <c r="A65" t="str">
        <f t="shared" ca="1" si="0"/>
        <v>Наименования периодов без учета дат</v>
      </c>
      <c r="B65" t="s">
        <v>2126</v>
      </c>
      <c r="C65" t="s">
        <v>741</v>
      </c>
      <c r="D65" t="s">
        <v>980</v>
      </c>
    </row>
    <row r="66" spans="1:4" x14ac:dyDescent="0.2">
      <c r="A66" t="str">
        <f t="shared" ca="1" si="0"/>
        <v>Дата начала периода</v>
      </c>
      <c r="B66" t="s">
        <v>2127</v>
      </c>
      <c r="C66" t="s">
        <v>742</v>
      </c>
      <c r="D66" t="s">
        <v>981</v>
      </c>
    </row>
    <row r="67" spans="1:4" x14ac:dyDescent="0.2">
      <c r="A67" t="str">
        <f t="shared" ca="1" si="0"/>
        <v>Наименования периодов с учетом дат</v>
      </c>
      <c r="B67" t="s">
        <v>2128</v>
      </c>
      <c r="C67" t="s">
        <v>743</v>
      </c>
      <c r="D67" t="s">
        <v>982</v>
      </c>
    </row>
    <row r="68" spans="1:4" x14ac:dyDescent="0.2">
      <c r="A68" t="str">
        <f t="shared" ca="1" si="0"/>
        <v>мес.</v>
      </c>
      <c r="B68" t="s">
        <v>2129</v>
      </c>
      <c r="C68" t="s">
        <v>712</v>
      </c>
      <c r="D68" t="s">
        <v>808</v>
      </c>
    </row>
    <row r="69" spans="1:4" x14ac:dyDescent="0.2">
      <c r="A69" t="str">
        <f t="shared" ca="1" si="0"/>
        <v>кв.</v>
      </c>
      <c r="B69" t="s">
        <v>2130</v>
      </c>
      <c r="C69" t="s">
        <v>713</v>
      </c>
      <c r="D69" t="s">
        <v>809</v>
      </c>
    </row>
    <row r="70" spans="1:4" x14ac:dyDescent="0.2">
      <c r="A70" t="str">
        <f t="shared" ca="1" si="0"/>
        <v>пг.</v>
      </c>
      <c r="B70" t="s">
        <v>2131</v>
      </c>
      <c r="C70" t="s">
        <v>714</v>
      </c>
      <c r="D70" t="s">
        <v>810</v>
      </c>
    </row>
    <row r="71" spans="1:4" x14ac:dyDescent="0.2">
      <c r="A71" t="str">
        <f t="shared" ca="1" si="0"/>
        <v>год</v>
      </c>
      <c r="B71" t="s">
        <v>2117</v>
      </c>
      <c r="C71" t="s">
        <v>715</v>
      </c>
      <c r="D71" t="s">
        <v>811</v>
      </c>
    </row>
    <row r="72" spans="1:4" x14ac:dyDescent="0.2">
      <c r="A72" t="str">
        <f t="shared" ca="1" si="0"/>
        <v xml:space="preserve">         СТАРТОВОЕ СОСТОЯНИЕ ПРОЕКТА</v>
      </c>
      <c r="B72" t="s">
        <v>647</v>
      </c>
      <c r="C72" t="s">
        <v>744</v>
      </c>
      <c r="D72" t="s">
        <v>883</v>
      </c>
    </row>
    <row r="73" spans="1:4" x14ac:dyDescent="0.2">
      <c r="A73" t="str">
        <f t="shared" ca="1" si="0"/>
        <v>Валюта</v>
      </c>
      <c r="B73" s="23" t="s">
        <v>186</v>
      </c>
      <c r="C73" t="s">
        <v>745</v>
      </c>
      <c r="D73" t="s">
        <v>983</v>
      </c>
    </row>
    <row r="74" spans="1:4" x14ac:dyDescent="0.2">
      <c r="A74" t="str">
        <f t="shared" ref="A74:A375" ca="1" si="1">OFFSET(A74,0,LanguageID)</f>
        <v>Внеоборотные активы</v>
      </c>
      <c r="B74" s="23" t="s">
        <v>2155</v>
      </c>
      <c r="C74" t="s">
        <v>746</v>
      </c>
      <c r="D74" t="s">
        <v>984</v>
      </c>
    </row>
    <row r="75" spans="1:4" x14ac:dyDescent="0.2">
      <c r="A75" t="str">
        <f t="shared" ca="1" si="1"/>
        <v xml:space="preserve">   в том числе</v>
      </c>
      <c r="B75" s="23" t="s">
        <v>206</v>
      </c>
      <c r="C75" t="s">
        <v>747</v>
      </c>
      <c r="D75" t="s">
        <v>985</v>
      </c>
    </row>
    <row r="76" spans="1:4" x14ac:dyDescent="0.2">
      <c r="A76" t="str">
        <f t="shared" ca="1" si="1"/>
        <v xml:space="preserve">   - здания и сооружения</v>
      </c>
      <c r="B76" s="49" t="s">
        <v>208</v>
      </c>
      <c r="C76" t="s">
        <v>748</v>
      </c>
      <c r="D76" t="s">
        <v>986</v>
      </c>
    </row>
    <row r="77" spans="1:4" x14ac:dyDescent="0.2">
      <c r="A77" t="str">
        <f t="shared" ca="1" si="1"/>
        <v xml:space="preserve">   - земельные участки</v>
      </c>
      <c r="B77" s="23" t="s">
        <v>209</v>
      </c>
      <c r="C77" t="s">
        <v>586</v>
      </c>
      <c r="D77" t="s">
        <v>987</v>
      </c>
    </row>
    <row r="78" spans="1:4" x14ac:dyDescent="0.2">
      <c r="A78" t="str">
        <f t="shared" ca="1" si="1"/>
        <v xml:space="preserve">   - нематериальные активы</v>
      </c>
      <c r="B78" s="23" t="s">
        <v>210</v>
      </c>
      <c r="C78" t="s">
        <v>587</v>
      </c>
      <c r="D78" t="s">
        <v>988</v>
      </c>
    </row>
    <row r="79" spans="1:4" x14ac:dyDescent="0.2">
      <c r="A79" t="str">
        <f t="shared" ca="1" si="1"/>
        <v xml:space="preserve">   - оборудование и другие активы</v>
      </c>
      <c r="B79" s="23" t="s">
        <v>211</v>
      </c>
      <c r="C79" t="s">
        <v>588</v>
      </c>
      <c r="D79" t="s">
        <v>989</v>
      </c>
    </row>
    <row r="80" spans="1:4" x14ac:dyDescent="0.2">
      <c r="A80" t="str">
        <f t="shared" ca="1" si="1"/>
        <v>Незавершенные инвестиции</v>
      </c>
      <c r="B80" s="23" t="s">
        <v>2014</v>
      </c>
      <c r="C80" t="s">
        <v>589</v>
      </c>
      <c r="D80" t="s">
        <v>990</v>
      </c>
    </row>
    <row r="81" spans="1:4" x14ac:dyDescent="0.2">
      <c r="A81" t="str">
        <f t="shared" ca="1" si="1"/>
        <v>Финансовые вложения</v>
      </c>
      <c r="B81" s="23" t="s">
        <v>428</v>
      </c>
      <c r="C81" t="s">
        <v>590</v>
      </c>
      <c r="D81" t="s">
        <v>991</v>
      </c>
    </row>
    <row r="82" spans="1:4" x14ac:dyDescent="0.2">
      <c r="A82" t="str">
        <f t="shared" ca="1" si="1"/>
        <v>Запасы сырья и материалов</v>
      </c>
      <c r="B82" s="23" t="s">
        <v>2156</v>
      </c>
      <c r="C82" t="s">
        <v>591</v>
      </c>
      <c r="D82" t="s">
        <v>992</v>
      </c>
    </row>
    <row r="83" spans="1:4" x14ac:dyDescent="0.2">
      <c r="A83" t="str">
        <f t="shared" ca="1" si="1"/>
        <v>Незавершенное производство</v>
      </c>
      <c r="B83" s="23" t="s">
        <v>343</v>
      </c>
      <c r="C83" t="s">
        <v>592</v>
      </c>
      <c r="D83" t="s">
        <v>993</v>
      </c>
    </row>
    <row r="84" spans="1:4" x14ac:dyDescent="0.2">
      <c r="A84" t="str">
        <f t="shared" ca="1" si="1"/>
        <v>Запасы готовой продукции</v>
      </c>
      <c r="B84" s="23" t="s">
        <v>2157</v>
      </c>
      <c r="C84" t="s">
        <v>593</v>
      </c>
      <c r="D84" t="s">
        <v>994</v>
      </c>
    </row>
    <row r="85" spans="1:4" x14ac:dyDescent="0.2">
      <c r="A85" t="str">
        <f t="shared" ca="1" si="1"/>
        <v>Дебиторская задолженность покупателей</v>
      </c>
      <c r="B85" s="23" t="s">
        <v>2087</v>
      </c>
      <c r="C85" t="s">
        <v>594</v>
      </c>
      <c r="D85" t="s">
        <v>995</v>
      </c>
    </row>
    <row r="86" spans="1:4" x14ac:dyDescent="0.2">
      <c r="A86" t="str">
        <f t="shared" ca="1" si="1"/>
        <v>Авансы выданные</v>
      </c>
      <c r="B86" s="23" t="s">
        <v>442</v>
      </c>
      <c r="C86" t="s">
        <v>595</v>
      </c>
      <c r="D86" t="s">
        <v>996</v>
      </c>
    </row>
    <row r="87" spans="1:4" x14ac:dyDescent="0.2">
      <c r="A87" t="str">
        <f t="shared" ca="1" si="1"/>
        <v>Расходы будущих периодов</v>
      </c>
      <c r="B87" s="23" t="s">
        <v>184</v>
      </c>
      <c r="C87" t="s">
        <v>596</v>
      </c>
      <c r="D87" t="s">
        <v>997</v>
      </c>
    </row>
    <row r="88" spans="1:4" x14ac:dyDescent="0.2">
      <c r="A88" t="str">
        <f t="shared" ca="1" si="1"/>
        <v>НДС как актив</v>
      </c>
      <c r="B88" s="23" t="s">
        <v>2425</v>
      </c>
      <c r="C88" t="s">
        <v>597</v>
      </c>
      <c r="D88" t="s">
        <v>998</v>
      </c>
    </row>
    <row r="89" spans="1:4" x14ac:dyDescent="0.2">
      <c r="A89" t="str">
        <f t="shared" ca="1" si="1"/>
        <v>Прочие дебиторы</v>
      </c>
      <c r="B89" s="23" t="s">
        <v>2088</v>
      </c>
      <c r="C89" t="s">
        <v>598</v>
      </c>
      <c r="D89" t="s">
        <v>999</v>
      </c>
    </row>
    <row r="90" spans="1:4" x14ac:dyDescent="0.2">
      <c r="A90" t="str">
        <f t="shared" ca="1" si="1"/>
        <v>Денежные средства</v>
      </c>
      <c r="B90" s="23" t="s">
        <v>2092</v>
      </c>
      <c r="C90" t="s">
        <v>599</v>
      </c>
      <c r="D90" t="s">
        <v>1000</v>
      </c>
    </row>
    <row r="91" spans="1:4" x14ac:dyDescent="0.2">
      <c r="A91" t="str">
        <f t="shared" ca="1" si="1"/>
        <v>Итого активы</v>
      </c>
      <c r="B91" s="23" t="s">
        <v>2089</v>
      </c>
      <c r="C91" t="s">
        <v>600</v>
      </c>
      <c r="D91" t="s">
        <v>1001</v>
      </c>
    </row>
    <row r="92" spans="1:4" x14ac:dyDescent="0.2">
      <c r="A92" t="str">
        <f t="shared" ca="1" si="1"/>
        <v>Собственный капитал</v>
      </c>
      <c r="B92" s="23" t="s">
        <v>2083</v>
      </c>
      <c r="C92" t="s">
        <v>601</v>
      </c>
      <c r="D92" t="s">
        <v>1002</v>
      </c>
    </row>
    <row r="93" spans="1:4" x14ac:dyDescent="0.2">
      <c r="A93" t="str">
        <f t="shared" ca="1" si="1"/>
        <v>Нераспределенная прибыль (+) / убыток (-)</v>
      </c>
      <c r="B93" s="23" t="s">
        <v>427</v>
      </c>
      <c r="C93" t="s">
        <v>602</v>
      </c>
      <c r="D93" t="s">
        <v>1003</v>
      </c>
    </row>
    <row r="94" spans="1:4" x14ac:dyDescent="0.2">
      <c r="A94" t="str">
        <f t="shared" ca="1" si="1"/>
        <v>Целевое финансирование</v>
      </c>
      <c r="B94" s="23" t="s">
        <v>2016</v>
      </c>
      <c r="C94" t="s">
        <v>603</v>
      </c>
      <c r="D94" t="s">
        <v>1004</v>
      </c>
    </row>
    <row r="95" spans="1:4" x14ac:dyDescent="0.2">
      <c r="A95" t="str">
        <f t="shared" ca="1" si="1"/>
        <v>Кредиты</v>
      </c>
      <c r="B95" s="23" t="s">
        <v>2015</v>
      </c>
      <c r="C95" t="s">
        <v>604</v>
      </c>
      <c r="D95" t="s">
        <v>1005</v>
      </c>
    </row>
    <row r="96" spans="1:4" x14ac:dyDescent="0.2">
      <c r="A96" t="str">
        <f t="shared" ca="1" si="1"/>
        <v>Кредиторская задолженность перед поставщиками</v>
      </c>
      <c r="B96" s="23" t="s">
        <v>2084</v>
      </c>
      <c r="C96" t="s">
        <v>605</v>
      </c>
      <c r="D96" t="s">
        <v>1252</v>
      </c>
    </row>
    <row r="97" spans="1:4" x14ac:dyDescent="0.2">
      <c r="A97" t="str">
        <f t="shared" ca="1" si="1"/>
        <v>Кредиторская задолженность перед бюджетом</v>
      </c>
      <c r="B97" s="23" t="s">
        <v>2085</v>
      </c>
      <c r="C97" t="s">
        <v>606</v>
      </c>
      <c r="D97" t="s">
        <v>1253</v>
      </c>
    </row>
    <row r="98" spans="1:4" x14ac:dyDescent="0.2">
      <c r="A98" t="str">
        <f t="shared" ca="1" si="1"/>
        <v>Кредиторская задолженность перед персоналом</v>
      </c>
      <c r="B98" s="23" t="s">
        <v>571</v>
      </c>
      <c r="C98" t="s">
        <v>607</v>
      </c>
      <c r="D98" t="s">
        <v>892</v>
      </c>
    </row>
    <row r="99" spans="1:4" x14ac:dyDescent="0.2">
      <c r="A99" t="str">
        <f t="shared" ca="1" si="1"/>
        <v>Авансы полученные</v>
      </c>
      <c r="B99" s="23" t="s">
        <v>570</v>
      </c>
      <c r="C99" s="217" t="s">
        <v>608</v>
      </c>
      <c r="D99" t="s">
        <v>893</v>
      </c>
    </row>
    <row r="100" spans="1:4" x14ac:dyDescent="0.2">
      <c r="A100" t="str">
        <f t="shared" ca="1" si="1"/>
        <v>Прочие кредиторы</v>
      </c>
      <c r="B100" s="23" t="s">
        <v>2086</v>
      </c>
      <c r="C100" t="s">
        <v>609</v>
      </c>
      <c r="D100" t="s">
        <v>894</v>
      </c>
    </row>
    <row r="101" spans="1:4" x14ac:dyDescent="0.2">
      <c r="A101" t="str">
        <f t="shared" ca="1" si="1"/>
        <v>Итого пассивы</v>
      </c>
      <c r="B101" s="23" t="s">
        <v>2090</v>
      </c>
      <c r="C101" t="s">
        <v>610</v>
      </c>
      <c r="D101" t="s">
        <v>1229</v>
      </c>
    </row>
    <row r="102" spans="1:4" x14ac:dyDescent="0.2">
      <c r="A102" t="str">
        <f t="shared" ca="1" si="1"/>
        <v>Контроль сходимости баланса</v>
      </c>
      <c r="B102" s="24" t="s">
        <v>423</v>
      </c>
      <c r="C102" t="s">
        <v>611</v>
      </c>
      <c r="D102" t="s">
        <v>1230</v>
      </c>
    </row>
    <row r="103" spans="1:4" x14ac:dyDescent="0.2">
      <c r="A103" t="str">
        <f t="shared" ca="1" si="1"/>
        <v xml:space="preserve">         ИНФЛЯЦИЯ И МАКРОЭКОНОМИЧЕСКИЕ ПРОГНОЗЫ</v>
      </c>
      <c r="B103" s="24" t="s">
        <v>648</v>
      </c>
      <c r="C103" t="s">
        <v>99</v>
      </c>
      <c r="D103" t="s">
        <v>884</v>
      </c>
    </row>
    <row r="104" spans="1:4" x14ac:dyDescent="0.2">
      <c r="A104" t="str">
        <f t="shared" ca="1" si="1"/>
        <v>Предполагаемый темп годового роста цен</v>
      </c>
      <c r="B104" t="s">
        <v>2093</v>
      </c>
      <c r="C104" t="s">
        <v>1006</v>
      </c>
      <c r="D104" t="s">
        <v>1231</v>
      </c>
    </row>
    <row r="105" spans="1:4" x14ac:dyDescent="0.2">
      <c r="A105" t="str">
        <f t="shared" ca="1" si="1"/>
        <v>для основной валюты</v>
      </c>
      <c r="B105" t="s">
        <v>2094</v>
      </c>
      <c r="C105" t="s">
        <v>1007</v>
      </c>
      <c r="D105" t="s">
        <v>1232</v>
      </c>
    </row>
    <row r="106" spans="1:4" x14ac:dyDescent="0.2">
      <c r="A106" t="str">
        <f t="shared" ca="1" si="1"/>
        <v>То же, в пересчете на период, равный шагу проекта</v>
      </c>
      <c r="B106" t="s">
        <v>2095</v>
      </c>
      <c r="C106" t="s">
        <v>1008</v>
      </c>
      <c r="D106" t="s">
        <v>1233</v>
      </c>
    </row>
    <row r="107" spans="1:4" x14ac:dyDescent="0.2">
      <c r="A107" t="str">
        <f t="shared" ca="1" si="1"/>
        <v>Множитель прироста цен для основной валюты</v>
      </c>
      <c r="B107" t="s">
        <v>2096</v>
      </c>
      <c r="C107" t="s">
        <v>1009</v>
      </c>
      <c r="D107" t="s">
        <v>1234</v>
      </c>
    </row>
    <row r="108" spans="1:4" x14ac:dyDescent="0.2">
      <c r="A108" t="str">
        <f t="shared" ca="1" si="1"/>
        <v xml:space="preserve">  (отключен)</v>
      </c>
      <c r="B108" t="s">
        <v>178</v>
      </c>
      <c r="C108" t="s">
        <v>1010</v>
      </c>
      <c r="D108" t="s">
        <v>1235</v>
      </c>
    </row>
    <row r="109" spans="1:4" x14ac:dyDescent="0.2">
      <c r="A109" t="str">
        <f t="shared" ca="1" si="1"/>
        <v xml:space="preserve">  (включен)</v>
      </c>
      <c r="B109" t="s">
        <v>179</v>
      </c>
      <c r="C109" t="s">
        <v>1011</v>
      </c>
      <c r="D109" t="s">
        <v>1236</v>
      </c>
    </row>
    <row r="110" spans="1:4" x14ac:dyDescent="0.2">
      <c r="A110" t="str">
        <f t="shared" ca="1" si="1"/>
        <v>Данные для иностранной валюты</v>
      </c>
      <c r="B110" t="s">
        <v>2543</v>
      </c>
      <c r="C110" t="s">
        <v>1012</v>
      </c>
      <c r="D110" t="s">
        <v>909</v>
      </c>
    </row>
    <row r="111" spans="1:4" x14ac:dyDescent="0.2">
      <c r="A111" t="str">
        <f t="shared" ca="1" si="1"/>
        <v>Предполагаемый годовой темп прироста</v>
      </c>
      <c r="B111" t="s">
        <v>2097</v>
      </c>
      <c r="C111" t="s">
        <v>2648</v>
      </c>
      <c r="D111" t="s">
        <v>910</v>
      </c>
    </row>
    <row r="112" spans="1:4" x14ac:dyDescent="0.2">
      <c r="A112" t="str">
        <f t="shared" ca="1" si="1"/>
        <v>обменного курса иностранной валюты</v>
      </c>
      <c r="B112" t="s">
        <v>2098</v>
      </c>
      <c r="C112" t="s">
        <v>710</v>
      </c>
      <c r="D112" t="s">
        <v>911</v>
      </c>
    </row>
    <row r="113" spans="1:4" x14ac:dyDescent="0.2">
      <c r="A113" t="str">
        <f t="shared" ca="1" si="1"/>
        <v>Курс валюты</v>
      </c>
      <c r="B113" t="s">
        <v>168</v>
      </c>
      <c r="C113" t="s">
        <v>895</v>
      </c>
      <c r="D113" t="s">
        <v>912</v>
      </c>
    </row>
    <row r="114" spans="1:4" x14ac:dyDescent="0.2">
      <c r="A114" t="str">
        <f t="shared" ca="1" si="1"/>
        <v>Предполагаемый темп годового роста цен</v>
      </c>
      <c r="B114" t="s">
        <v>2093</v>
      </c>
      <c r="C114" t="s">
        <v>1006</v>
      </c>
      <c r="D114" t="s">
        <v>1231</v>
      </c>
    </row>
    <row r="115" spans="1:4" x14ac:dyDescent="0.2">
      <c r="A115" t="str">
        <f t="shared" ca="1" si="1"/>
        <v>для иностранной валюты</v>
      </c>
      <c r="B115" t="s">
        <v>169</v>
      </c>
      <c r="C115" t="s">
        <v>710</v>
      </c>
      <c r="D115" t="s">
        <v>911</v>
      </c>
    </row>
    <row r="116" spans="1:4" x14ac:dyDescent="0.2">
      <c r="A116" t="str">
        <f t="shared" ca="1" si="1"/>
        <v>То же, в пересчете на период, равный шагу проекта</v>
      </c>
      <c r="B116" t="s">
        <v>2095</v>
      </c>
      <c r="C116" t="s">
        <v>1008</v>
      </c>
      <c r="D116" t="s">
        <v>1233</v>
      </c>
    </row>
    <row r="117" spans="1:4" x14ac:dyDescent="0.2">
      <c r="A117" t="str">
        <f t="shared" ca="1" si="1"/>
        <v>Множитель прироста цен для иностранной валюты</v>
      </c>
      <c r="B117" t="s">
        <v>170</v>
      </c>
      <c r="C117" t="s">
        <v>896</v>
      </c>
      <c r="D117" t="s">
        <v>913</v>
      </c>
    </row>
    <row r="118" spans="1:4" x14ac:dyDescent="0.2">
      <c r="A118" t="str">
        <f t="shared" ca="1" si="1"/>
        <v>Ставка рефинансирования ЦБ</v>
      </c>
      <c r="B118" t="s">
        <v>171</v>
      </c>
      <c r="C118" t="s">
        <v>897</v>
      </c>
      <c r="D118" t="s">
        <v>914</v>
      </c>
    </row>
    <row r="119" spans="1:4" x14ac:dyDescent="0.2">
      <c r="A119" t="str">
        <f t="shared" ca="1" si="1"/>
        <v>Ставка процентов по кредитам, в пределах которой</v>
      </c>
      <c r="B119" t="s">
        <v>172</v>
      </c>
      <c r="D119" t="s">
        <v>915</v>
      </c>
    </row>
    <row r="120" spans="1:4" x14ac:dyDescent="0.2">
      <c r="A120" t="str">
        <f t="shared" ca="1" si="1"/>
        <v>уменьшается налогооблагаемая прибыль:</v>
      </c>
      <c r="B120" t="s">
        <v>173</v>
      </c>
      <c r="C120" t="s">
        <v>898</v>
      </c>
      <c r="D120" t="s">
        <v>916</v>
      </c>
    </row>
    <row r="121" spans="1:4" x14ac:dyDescent="0.2">
      <c r="A121" t="str">
        <f t="shared" ca="1" si="1"/>
        <v>основная валюта</v>
      </c>
      <c r="B121" t="s">
        <v>174</v>
      </c>
      <c r="C121" t="s">
        <v>899</v>
      </c>
      <c r="D121" t="s">
        <v>917</v>
      </c>
    </row>
    <row r="122" spans="1:4" x14ac:dyDescent="0.2">
      <c r="A122" t="str">
        <f t="shared" ca="1" si="1"/>
        <v>иностранная валюта</v>
      </c>
      <c r="B122" t="s">
        <v>175</v>
      </c>
      <c r="C122" t="s">
        <v>900</v>
      </c>
      <c r="D122" t="s">
        <v>918</v>
      </c>
    </row>
    <row r="123" spans="1:4" x14ac:dyDescent="0.2">
      <c r="A123" t="str">
        <f t="shared" ca="1" si="1"/>
        <v xml:space="preserve">         НАЛОГИ И ПЛАТЕЖИ В ФОНДЫ</v>
      </c>
      <c r="B123" s="24" t="s">
        <v>649</v>
      </c>
      <c r="C123" t="s">
        <v>901</v>
      </c>
      <c r="D123" t="s">
        <v>1013</v>
      </c>
    </row>
    <row r="124" spans="1:4" x14ac:dyDescent="0.2">
      <c r="A124" t="str">
        <f t="shared" ca="1" si="1"/>
        <v>Система налогообложения</v>
      </c>
      <c r="B124" s="19" t="s">
        <v>445</v>
      </c>
      <c r="C124" t="s">
        <v>902</v>
      </c>
      <c r="D124" t="s">
        <v>919</v>
      </c>
    </row>
    <row r="125" spans="1:4" x14ac:dyDescent="0.2">
      <c r="A125" t="str">
        <f t="shared" ca="1" si="1"/>
        <v>Налог на прибыль (общий налоговый режим)</v>
      </c>
      <c r="B125" s="45" t="s">
        <v>446</v>
      </c>
      <c r="C125" t="s">
        <v>903</v>
      </c>
      <c r="D125" t="s">
        <v>920</v>
      </c>
    </row>
    <row r="126" spans="1:4" x14ac:dyDescent="0.2">
      <c r="A126" t="str">
        <f t="shared" ca="1" si="1"/>
        <v>Единый налог на вмененный доход (специальный налоговый режим)</v>
      </c>
      <c r="B126" s="45" t="s">
        <v>447</v>
      </c>
      <c r="C126" t="s">
        <v>904</v>
      </c>
      <c r="D126" t="s">
        <v>921</v>
      </c>
    </row>
    <row r="127" spans="1:4" x14ac:dyDescent="0.2">
      <c r="A127" t="str">
        <f t="shared" ca="1" si="1"/>
        <v>Упрощенная система налогообложения (специальный налоговый режим)</v>
      </c>
      <c r="B127" s="45" t="s">
        <v>448</v>
      </c>
      <c r="C127" t="s">
        <v>905</v>
      </c>
      <c r="D127" t="s">
        <v>922</v>
      </c>
    </row>
    <row r="128" spans="1:4" x14ac:dyDescent="0.2">
      <c r="A128" t="str">
        <f t="shared" ca="1" si="1"/>
        <v>Акцизы и экспортные пошлины</v>
      </c>
      <c r="B128" t="s">
        <v>2283</v>
      </c>
      <c r="C128" s="217" t="s">
        <v>906</v>
      </c>
      <c r="D128" t="s">
        <v>923</v>
      </c>
    </row>
    <row r="129" spans="1:4" x14ac:dyDescent="0.2">
      <c r="A129" t="str">
        <f t="shared" ca="1" si="1"/>
        <v>Импортные пошлины</v>
      </c>
      <c r="B129" t="s">
        <v>2284</v>
      </c>
      <c r="C129" s="217" t="s">
        <v>907</v>
      </c>
      <c r="D129" t="s">
        <v>924</v>
      </c>
    </row>
    <row r="130" spans="1:4" x14ac:dyDescent="0.2">
      <c r="A130" t="str">
        <f t="shared" ca="1" si="1"/>
        <v xml:space="preserve"> НАЛОГ НА ДОБАВЛЕННУЮ СТОИМОСТЬ</v>
      </c>
      <c r="B130" t="s">
        <v>505</v>
      </c>
      <c r="C130" t="s">
        <v>908</v>
      </c>
      <c r="D130" t="s">
        <v>925</v>
      </c>
    </row>
    <row r="131" spans="1:4" x14ac:dyDescent="0.2">
      <c r="A131" t="str">
        <f t="shared" ca="1" si="1"/>
        <v xml:space="preserve">    ставка</v>
      </c>
      <c r="B131" t="s">
        <v>2285</v>
      </c>
      <c r="C131" t="s">
        <v>749</v>
      </c>
      <c r="D131" t="s">
        <v>926</v>
      </c>
    </row>
    <row r="132" spans="1:4" x14ac:dyDescent="0.2">
      <c r="A132" t="str">
        <f t="shared" ca="1" si="1"/>
        <v xml:space="preserve">    период уплаты</v>
      </c>
      <c r="B132" t="s">
        <v>2286</v>
      </c>
      <c r="C132" t="s">
        <v>750</v>
      </c>
      <c r="D132" t="s">
        <v>927</v>
      </c>
    </row>
    <row r="133" spans="1:4" x14ac:dyDescent="0.2">
      <c r="A133" t="str">
        <f t="shared" ca="1" si="1"/>
        <v xml:space="preserve">    способ зачета переплаченного НДС</v>
      </c>
      <c r="B133" t="s">
        <v>2287</v>
      </c>
      <c r="C133" t="s">
        <v>751</v>
      </c>
      <c r="D133" t="s">
        <v>928</v>
      </c>
    </row>
    <row r="134" spans="1:4" x14ac:dyDescent="0.2">
      <c r="A134" t="str">
        <f t="shared" ca="1" si="1"/>
        <v xml:space="preserve">    прямое возмещение налога через</v>
      </c>
      <c r="B134" t="s">
        <v>508</v>
      </c>
      <c r="C134" t="s">
        <v>752</v>
      </c>
      <c r="D134" t="s">
        <v>929</v>
      </c>
    </row>
    <row r="135" spans="1:4" x14ac:dyDescent="0.2">
      <c r="A135" t="str">
        <f t="shared" ca="1" si="1"/>
        <v>периодов</v>
      </c>
      <c r="B135" t="s">
        <v>509</v>
      </c>
      <c r="C135" t="s">
        <v>753</v>
      </c>
      <c r="D135" t="s">
        <v>930</v>
      </c>
    </row>
    <row r="136" spans="1:4" x14ac:dyDescent="0.2">
      <c r="A136" t="str">
        <f t="shared" ca="1" si="1"/>
        <v>НДС полученный</v>
      </c>
      <c r="B136" t="s">
        <v>2288</v>
      </c>
      <c r="C136" t="s">
        <v>754</v>
      </c>
      <c r="D136" t="s">
        <v>931</v>
      </c>
    </row>
    <row r="137" spans="1:4" x14ac:dyDescent="0.2">
      <c r="A137" t="str">
        <f t="shared" ca="1" si="1"/>
        <v xml:space="preserve">    от продажи товаров (работ, услуг)</v>
      </c>
      <c r="B137" t="s">
        <v>2289</v>
      </c>
      <c r="C137" t="s">
        <v>755</v>
      </c>
      <c r="D137" t="s">
        <v>932</v>
      </c>
    </row>
    <row r="138" spans="1:4" x14ac:dyDescent="0.2">
      <c r="A138" t="str">
        <f t="shared" ca="1" si="1"/>
        <v xml:space="preserve">    от продажи активов</v>
      </c>
      <c r="B138" t="s">
        <v>466</v>
      </c>
      <c r="C138" t="s">
        <v>756</v>
      </c>
      <c r="D138" t="s">
        <v>933</v>
      </c>
    </row>
    <row r="139" spans="1:4" x14ac:dyDescent="0.2">
      <c r="A139" t="str">
        <f t="shared" ca="1" si="1"/>
        <v xml:space="preserve">    от прочей деятельности</v>
      </c>
      <c r="B139" t="s">
        <v>467</v>
      </c>
      <c r="C139" t="s">
        <v>757</v>
      </c>
      <c r="D139" t="s">
        <v>934</v>
      </c>
    </row>
    <row r="140" spans="1:4" x14ac:dyDescent="0.2">
      <c r="A140" t="str">
        <f t="shared" ca="1" si="1"/>
        <v>НДС уплаченный</v>
      </c>
      <c r="B140" t="s">
        <v>468</v>
      </c>
      <c r="C140" t="s">
        <v>758</v>
      </c>
      <c r="D140" t="s">
        <v>935</v>
      </c>
    </row>
    <row r="141" spans="1:4" x14ac:dyDescent="0.2">
      <c r="A141" t="str">
        <f t="shared" ca="1" si="1"/>
        <v xml:space="preserve">    при оплате материалов и комплектующих</v>
      </c>
      <c r="B141" t="s">
        <v>469</v>
      </c>
      <c r="C141" t="s">
        <v>759</v>
      </c>
      <c r="D141" t="s">
        <v>936</v>
      </c>
    </row>
    <row r="142" spans="1:4" x14ac:dyDescent="0.2">
      <c r="A142" t="str">
        <f t="shared" ca="1" si="1"/>
        <v xml:space="preserve">    при оплате текущих затрат</v>
      </c>
      <c r="B142" t="s">
        <v>470</v>
      </c>
      <c r="C142" t="s">
        <v>760</v>
      </c>
      <c r="D142" t="s">
        <v>937</v>
      </c>
    </row>
    <row r="143" spans="1:4" x14ac:dyDescent="0.2">
      <c r="A143" t="str">
        <f t="shared" ca="1" si="1"/>
        <v xml:space="preserve">    при оплате прочих расходов</v>
      </c>
      <c r="B143" t="s">
        <v>667</v>
      </c>
      <c r="C143" t="s">
        <v>761</v>
      </c>
      <c r="D143" t="s">
        <v>938</v>
      </c>
    </row>
    <row r="144" spans="1:4" x14ac:dyDescent="0.2">
      <c r="A144" t="str">
        <f t="shared" ca="1" si="1"/>
        <v xml:space="preserve">    при оплате лизинга</v>
      </c>
      <c r="B144" t="s">
        <v>659</v>
      </c>
      <c r="C144" t="s">
        <v>763</v>
      </c>
      <c r="D144" t="s">
        <v>939</v>
      </c>
    </row>
    <row r="145" spans="1:4" x14ac:dyDescent="0.2">
      <c r="A145" t="str">
        <f t="shared" ca="1" si="1"/>
        <v xml:space="preserve">    при выкупе арендованных активов</v>
      </c>
      <c r="B145" t="s">
        <v>660</v>
      </c>
      <c r="C145" t="s">
        <v>764</v>
      </c>
      <c r="D145" t="s">
        <v>940</v>
      </c>
    </row>
    <row r="146" spans="1:4" x14ac:dyDescent="0.2">
      <c r="A146" t="str">
        <f t="shared" ca="1" si="1"/>
        <v xml:space="preserve">    при оплате инвестиционных вложений</v>
      </c>
      <c r="B146" t="s">
        <v>2423</v>
      </c>
      <c r="C146" t="s">
        <v>765</v>
      </c>
      <c r="D146" t="s">
        <v>941</v>
      </c>
    </row>
    <row r="147" spans="1:4" x14ac:dyDescent="0.2">
      <c r="A147" t="str">
        <f t="shared" ca="1" si="1"/>
        <v>Платежи НДС в бюджет (или возврат из бюджета)</v>
      </c>
      <c r="B147" t="s">
        <v>473</v>
      </c>
      <c r="C147" t="s">
        <v>766</v>
      </c>
      <c r="D147" t="s">
        <v>942</v>
      </c>
    </row>
    <row r="148" spans="1:4" x14ac:dyDescent="0.2">
      <c r="A148" t="str">
        <f t="shared" ca="1" si="1"/>
        <v xml:space="preserve">    зачтенный НДС на инвестиционные вложения</v>
      </c>
      <c r="B148" t="s">
        <v>2424</v>
      </c>
      <c r="C148" t="s">
        <v>767</v>
      </c>
      <c r="D148" t="s">
        <v>943</v>
      </c>
    </row>
    <row r="149" spans="1:4" x14ac:dyDescent="0.2">
      <c r="A149" t="str">
        <f t="shared" ca="1" si="1"/>
        <v xml:space="preserve">    выплаченный, но еще не зачтенный НДС</v>
      </c>
      <c r="B149" t="s">
        <v>474</v>
      </c>
      <c r="C149" t="s">
        <v>768</v>
      </c>
      <c r="D149" t="s">
        <v>944</v>
      </c>
    </row>
    <row r="150" spans="1:4" x14ac:dyDescent="0.2">
      <c r="A150" t="str">
        <f t="shared" ca="1" si="1"/>
        <v xml:space="preserve">    НДС к уплате в бюджет (или к возврату из бюджета)</v>
      </c>
      <c r="B150" t="s">
        <v>475</v>
      </c>
      <c r="C150" t="s">
        <v>769</v>
      </c>
      <c r="D150" t="s">
        <v>945</v>
      </c>
    </row>
    <row r="151" spans="1:4" x14ac:dyDescent="0.2">
      <c r="A151" t="str">
        <f t="shared" ca="1" si="1"/>
        <v xml:space="preserve">    прямое возмещение НДС из бюджета</v>
      </c>
      <c r="B151" t="s">
        <v>581</v>
      </c>
      <c r="C151" t="s">
        <v>770</v>
      </c>
      <c r="D151" t="s">
        <v>946</v>
      </c>
    </row>
    <row r="152" spans="1:4" x14ac:dyDescent="0.2">
      <c r="A152" t="str">
        <f t="shared" ca="1" si="1"/>
        <v xml:space="preserve">    отложенный возврат НДС из бюджета</v>
      </c>
      <c r="B152" t="s">
        <v>476</v>
      </c>
      <c r="C152" t="s">
        <v>771</v>
      </c>
      <c r="D152" t="s">
        <v>947</v>
      </c>
    </row>
    <row r="153" spans="1:4" x14ac:dyDescent="0.2">
      <c r="A153" t="str">
        <f t="shared" ca="1" si="1"/>
        <v>ПРОЧИЕ НАЛОГИ</v>
      </c>
      <c r="B153" t="s">
        <v>314</v>
      </c>
      <c r="C153" t="s">
        <v>315</v>
      </c>
      <c r="D153" t="s">
        <v>316</v>
      </c>
    </row>
    <row r="154" spans="1:4" x14ac:dyDescent="0.2">
      <c r="A154" t="str">
        <f t="shared" ca="1" si="1"/>
        <v>Начисления на заработную плату</v>
      </c>
      <c r="B154" t="s">
        <v>477</v>
      </c>
      <c r="C154" t="s">
        <v>772</v>
      </c>
      <c r="D154" t="s">
        <v>948</v>
      </c>
    </row>
    <row r="155" spans="1:4" x14ac:dyDescent="0.2">
      <c r="A155" t="str">
        <f t="shared" ca="1" si="1"/>
        <v xml:space="preserve">    Единый социальный налог (ЕСН)</v>
      </c>
      <c r="B155" t="s">
        <v>478</v>
      </c>
      <c r="C155" t="s">
        <v>773</v>
      </c>
      <c r="D155" t="s">
        <v>949</v>
      </c>
    </row>
    <row r="156" spans="1:4" x14ac:dyDescent="0.2">
      <c r="A156" t="str">
        <f t="shared" ca="1" si="1"/>
        <v xml:space="preserve">        ставка</v>
      </c>
      <c r="B156" t="s">
        <v>479</v>
      </c>
      <c r="C156" t="s">
        <v>774</v>
      </c>
      <c r="D156" t="s">
        <v>950</v>
      </c>
    </row>
    <row r="157" spans="1:4" x14ac:dyDescent="0.2">
      <c r="A157" t="str">
        <f t="shared" ca="1" si="1"/>
        <v xml:space="preserve">        период уплаты</v>
      </c>
      <c r="B157" t="s">
        <v>480</v>
      </c>
      <c r="C157" t="s">
        <v>775</v>
      </c>
      <c r="D157" t="s">
        <v>951</v>
      </c>
    </row>
    <row r="158" spans="1:4" x14ac:dyDescent="0.2">
      <c r="A158" t="str">
        <f t="shared" ca="1" si="1"/>
        <v xml:space="preserve">    Страхование</v>
      </c>
      <c r="B158" t="s">
        <v>481</v>
      </c>
      <c r="C158" t="s">
        <v>776</v>
      </c>
      <c r="D158" t="s">
        <v>952</v>
      </c>
    </row>
    <row r="159" spans="1:4" x14ac:dyDescent="0.2">
      <c r="A159" t="str">
        <f t="shared" ca="1" si="1"/>
        <v xml:space="preserve">        ставка</v>
      </c>
      <c r="B159" t="s">
        <v>479</v>
      </c>
      <c r="C159" t="s">
        <v>777</v>
      </c>
      <c r="D159" t="s">
        <v>953</v>
      </c>
    </row>
    <row r="160" spans="1:4" x14ac:dyDescent="0.2">
      <c r="A160" t="str">
        <f t="shared" ca="1" si="1"/>
        <v xml:space="preserve">        период уплаты</v>
      </c>
      <c r="B160" t="s">
        <v>480</v>
      </c>
      <c r="C160" t="s">
        <v>775</v>
      </c>
      <c r="D160" t="s">
        <v>951</v>
      </c>
    </row>
    <row r="161" spans="1:4" x14ac:dyDescent="0.2">
      <c r="A161" t="str">
        <f t="shared" ca="1" si="1"/>
        <v>Земельный налог</v>
      </c>
      <c r="B161" t="s">
        <v>482</v>
      </c>
      <c r="C161" t="s">
        <v>778</v>
      </c>
      <c r="D161" t="s">
        <v>954</v>
      </c>
    </row>
    <row r="162" spans="1:4" ht="12.5" x14ac:dyDescent="0.25">
      <c r="A162" t="str">
        <f t="shared" ca="1" si="1"/>
        <v xml:space="preserve">    ставка (на тыс. кв. м )</v>
      </c>
      <c r="B162" t="s">
        <v>483</v>
      </c>
      <c r="C162" t="s">
        <v>779</v>
      </c>
      <c r="D162" t="s">
        <v>955</v>
      </c>
    </row>
    <row r="163" spans="1:4" x14ac:dyDescent="0.2">
      <c r="A163" t="str">
        <f t="shared" ca="1" si="1"/>
        <v xml:space="preserve">    площадь к налогообложению</v>
      </c>
      <c r="B163" t="s">
        <v>484</v>
      </c>
      <c r="C163" t="s">
        <v>780</v>
      </c>
      <c r="D163" t="s">
        <v>956</v>
      </c>
    </row>
    <row r="164" spans="1:4" x14ac:dyDescent="0.2">
      <c r="A164" t="str">
        <f t="shared" ca="1" si="1"/>
        <v xml:space="preserve">    период уплаты</v>
      </c>
      <c r="B164" t="s">
        <v>2286</v>
      </c>
      <c r="C164" t="s">
        <v>750</v>
      </c>
      <c r="D164" t="s">
        <v>951</v>
      </c>
    </row>
    <row r="165" spans="1:4" x14ac:dyDescent="0.2">
      <c r="A165" t="str">
        <f t="shared" ca="1" si="1"/>
        <v>Другие налоги, относимые на текущие затраты</v>
      </c>
      <c r="B165" t="s">
        <v>485</v>
      </c>
      <c r="C165" t="s">
        <v>781</v>
      </c>
      <c r="D165" t="s">
        <v>957</v>
      </c>
    </row>
    <row r="166" spans="1:4" x14ac:dyDescent="0.2">
      <c r="A166" t="str">
        <f t="shared" ca="1" si="1"/>
        <v>Другие налоги с продаж</v>
      </c>
      <c r="B166" t="s">
        <v>486</v>
      </c>
      <c r="C166" t="s">
        <v>782</v>
      </c>
      <c r="D166" t="s">
        <v>958</v>
      </c>
    </row>
    <row r="167" spans="1:4" x14ac:dyDescent="0.2">
      <c r="A167" t="str">
        <f t="shared" ca="1" si="1"/>
        <v xml:space="preserve">    ставка</v>
      </c>
      <c r="B167" t="s">
        <v>2285</v>
      </c>
      <c r="C167" t="s">
        <v>783</v>
      </c>
      <c r="D167" t="s">
        <v>959</v>
      </c>
    </row>
    <row r="168" spans="1:4" x14ac:dyDescent="0.2">
      <c r="A168" t="str">
        <f t="shared" ca="1" si="1"/>
        <v xml:space="preserve">    период уплаты</v>
      </c>
      <c r="B168" t="s">
        <v>2286</v>
      </c>
      <c r="C168" t="s">
        <v>750</v>
      </c>
      <c r="D168" t="s">
        <v>951</v>
      </c>
    </row>
    <row r="169" spans="1:4" x14ac:dyDescent="0.2">
      <c r="A169" t="str">
        <f t="shared" ca="1" si="1"/>
        <v xml:space="preserve">    налогооблагаемая база</v>
      </c>
      <c r="B169" t="s">
        <v>487</v>
      </c>
      <c r="C169" t="s">
        <v>786</v>
      </c>
      <c r="D169" t="s">
        <v>960</v>
      </c>
    </row>
    <row r="170" spans="1:4" x14ac:dyDescent="0.2">
      <c r="A170" t="str">
        <f t="shared" ca="1" si="1"/>
        <v xml:space="preserve">    ставка</v>
      </c>
      <c r="B170" t="s">
        <v>2285</v>
      </c>
      <c r="C170" t="s">
        <v>783</v>
      </c>
      <c r="D170" t="s">
        <v>959</v>
      </c>
    </row>
    <row r="171" spans="1:4" x14ac:dyDescent="0.2">
      <c r="A171" t="str">
        <f t="shared" ca="1" si="1"/>
        <v xml:space="preserve">    период уплаты</v>
      </c>
      <c r="B171" t="s">
        <v>2286</v>
      </c>
      <c r="C171" t="s">
        <v>750</v>
      </c>
      <c r="D171" t="s">
        <v>951</v>
      </c>
    </row>
    <row r="172" spans="1:4" x14ac:dyDescent="0.2">
      <c r="A172" t="str">
        <f t="shared" ca="1" si="1"/>
        <v xml:space="preserve">   задолженность перед бюджетом</v>
      </c>
      <c r="B172" s="45" t="s">
        <v>576</v>
      </c>
      <c r="C172" s="45" t="s">
        <v>787</v>
      </c>
      <c r="D172" t="s">
        <v>961</v>
      </c>
    </row>
    <row r="173" spans="1:4" x14ac:dyDescent="0.2">
      <c r="A173" t="str">
        <f t="shared" ca="1" si="1"/>
        <v>НАЛОГИ, ОТНОСИМЫЕ НА ФИНАНСОВЫЕ РЕЗУЛЬТАТЫ</v>
      </c>
      <c r="B173" t="s">
        <v>506</v>
      </c>
      <c r="C173" t="s">
        <v>788</v>
      </c>
      <c r="D173" t="s">
        <v>962</v>
      </c>
    </row>
    <row r="174" spans="1:4" x14ac:dyDescent="0.2">
      <c r="A174" t="str">
        <f t="shared" ca="1" si="1"/>
        <v>Налог на имущество</v>
      </c>
      <c r="B174" t="s">
        <v>488</v>
      </c>
      <c r="C174" t="s">
        <v>789</v>
      </c>
      <c r="D174" t="s">
        <v>963</v>
      </c>
    </row>
    <row r="175" spans="1:4" x14ac:dyDescent="0.2">
      <c r="A175" t="str">
        <f t="shared" ca="1" si="1"/>
        <v xml:space="preserve">    средняя стоимость имущества за период</v>
      </c>
      <c r="B175" t="s">
        <v>489</v>
      </c>
      <c r="C175" t="s">
        <v>790</v>
      </c>
      <c r="D175" t="s">
        <v>964</v>
      </c>
    </row>
    <row r="176" spans="1:4" x14ac:dyDescent="0.2">
      <c r="A176" t="str">
        <f t="shared" ca="1" si="1"/>
        <v xml:space="preserve">    стоимость имущества, освобождаемого от налога</v>
      </c>
      <c r="B176" t="s">
        <v>490</v>
      </c>
      <c r="C176" t="s">
        <v>1271</v>
      </c>
      <c r="D176" t="s">
        <v>1261</v>
      </c>
    </row>
    <row r="177" spans="1:4" x14ac:dyDescent="0.2">
      <c r="A177" t="str">
        <f t="shared" ca="1" si="1"/>
        <v xml:space="preserve">    ставка</v>
      </c>
      <c r="B177" t="s">
        <v>2285</v>
      </c>
      <c r="C177" t="s">
        <v>749</v>
      </c>
      <c r="D177" t="s">
        <v>1262</v>
      </c>
    </row>
    <row r="178" spans="1:4" x14ac:dyDescent="0.2">
      <c r="A178" t="str">
        <f t="shared" ca="1" si="1"/>
        <v xml:space="preserve">    период уплаты</v>
      </c>
      <c r="B178" t="s">
        <v>2286</v>
      </c>
      <c r="C178" t="s">
        <v>750</v>
      </c>
      <c r="D178" t="s">
        <v>1263</v>
      </c>
    </row>
    <row r="179" spans="1:4" x14ac:dyDescent="0.2">
      <c r="A179" t="str">
        <f t="shared" ca="1" si="1"/>
        <v>Другие налоги, относимые на финансовые результаты</v>
      </c>
      <c r="B179" t="s">
        <v>491</v>
      </c>
      <c r="C179" t="s">
        <v>1272</v>
      </c>
      <c r="D179" t="s">
        <v>1264</v>
      </c>
    </row>
    <row r="180" spans="1:4" x14ac:dyDescent="0.2">
      <c r="A180" t="str">
        <f t="shared" ca="1" si="1"/>
        <v xml:space="preserve">    налогооблагаемая база</v>
      </c>
      <c r="B180" t="s">
        <v>487</v>
      </c>
      <c r="C180" t="s">
        <v>786</v>
      </c>
      <c r="D180" t="s">
        <v>1265</v>
      </c>
    </row>
    <row r="181" spans="1:4" x14ac:dyDescent="0.2">
      <c r="A181" t="str">
        <f t="shared" ca="1" si="1"/>
        <v xml:space="preserve">    ставка</v>
      </c>
      <c r="B181" t="s">
        <v>2285</v>
      </c>
      <c r="C181" t="s">
        <v>749</v>
      </c>
      <c r="D181" t="s">
        <v>1262</v>
      </c>
    </row>
    <row r="182" spans="1:4" x14ac:dyDescent="0.2">
      <c r="A182" t="str">
        <f t="shared" ca="1" si="1"/>
        <v xml:space="preserve">    период уплаты</v>
      </c>
      <c r="B182" t="s">
        <v>2286</v>
      </c>
      <c r="C182" t="s">
        <v>750</v>
      </c>
      <c r="D182" t="s">
        <v>1263</v>
      </c>
    </row>
    <row r="183" spans="1:4" x14ac:dyDescent="0.2">
      <c r="A183" t="str">
        <f t="shared" ca="1" si="1"/>
        <v>НАЛОГ НА ПРИБЫЛЬ</v>
      </c>
      <c r="B183" t="s">
        <v>507</v>
      </c>
      <c r="C183" t="s">
        <v>1273</v>
      </c>
      <c r="D183" t="s">
        <v>920</v>
      </c>
    </row>
    <row r="184" spans="1:4" x14ac:dyDescent="0.2">
      <c r="A184" t="str">
        <f t="shared" ca="1" si="1"/>
        <v xml:space="preserve">    ставка</v>
      </c>
      <c r="B184" t="s">
        <v>2285</v>
      </c>
      <c r="C184" t="s">
        <v>749</v>
      </c>
      <c r="D184" t="s">
        <v>1262</v>
      </c>
    </row>
    <row r="185" spans="1:4" x14ac:dyDescent="0.2">
      <c r="A185" t="str">
        <f t="shared" ca="1" si="1"/>
        <v xml:space="preserve">    период уплаты</v>
      </c>
      <c r="B185" t="s">
        <v>2286</v>
      </c>
      <c r="C185" t="s">
        <v>750</v>
      </c>
      <c r="D185" t="s">
        <v>1263</v>
      </c>
    </row>
    <row r="186" spans="1:4" x14ac:dyDescent="0.2">
      <c r="A186" t="str">
        <f t="shared" ca="1" si="1"/>
        <v>Начисленный налог на прибыль</v>
      </c>
      <c r="B186" t="s">
        <v>492</v>
      </c>
      <c r="C186" t="s">
        <v>1274</v>
      </c>
      <c r="D186" t="s">
        <v>1266</v>
      </c>
    </row>
    <row r="187" spans="1:4" x14ac:dyDescent="0.2">
      <c r="A187" t="str">
        <f t="shared" ca="1" si="1"/>
        <v xml:space="preserve">         то же, в итоговой валюте</v>
      </c>
      <c r="B187" t="s">
        <v>2434</v>
      </c>
      <c r="C187" t="s">
        <v>1275</v>
      </c>
      <c r="D187" t="s">
        <v>1267</v>
      </c>
    </row>
    <row r="188" spans="1:4" x14ac:dyDescent="0.2">
      <c r="A188" t="str">
        <f t="shared" ca="1" si="1"/>
        <v xml:space="preserve">    прибыль до налогообложения</v>
      </c>
      <c r="B188" t="s">
        <v>493</v>
      </c>
      <c r="C188" t="s">
        <v>1276</v>
      </c>
      <c r="D188" t="s">
        <v>1268</v>
      </c>
    </row>
    <row r="189" spans="1:4" x14ac:dyDescent="0.2">
      <c r="A189" t="str">
        <f t="shared" ca="1" si="1"/>
        <v xml:space="preserve">    проценты по кредиту, выплачиваемые из прибыли</v>
      </c>
      <c r="B189" t="s">
        <v>494</v>
      </c>
      <c r="C189" t="s">
        <v>1277</v>
      </c>
      <c r="D189" t="s">
        <v>1269</v>
      </c>
    </row>
    <row r="190" spans="1:4" x14ac:dyDescent="0.2">
      <c r="A190" t="str">
        <f t="shared" ca="1" si="1"/>
        <v xml:space="preserve">    льготы по налогу на прибыль</v>
      </c>
      <c r="B190" t="s">
        <v>495</v>
      </c>
      <c r="C190" t="s">
        <v>1278</v>
      </c>
      <c r="D190" t="s">
        <v>1270</v>
      </c>
    </row>
    <row r="191" spans="1:4" x14ac:dyDescent="0.2">
      <c r="A191" t="str">
        <f t="shared" ca="1" si="1"/>
        <v xml:space="preserve">    накопленная прибыль/убытки текущего года</v>
      </c>
      <c r="B191" t="s">
        <v>496</v>
      </c>
      <c r="C191" t="s">
        <v>1279</v>
      </c>
      <c r="D191" t="s">
        <v>1301</v>
      </c>
    </row>
    <row r="192" spans="1:4" x14ac:dyDescent="0.2">
      <c r="A192" t="str">
        <f t="shared" ca="1" si="1"/>
        <v xml:space="preserve">    убытки предыдущих периодов</v>
      </c>
      <c r="B192" t="s">
        <v>2582</v>
      </c>
      <c r="C192" t="s">
        <v>2583</v>
      </c>
      <c r="D192" t="s">
        <v>1302</v>
      </c>
    </row>
    <row r="193" spans="1:4" x14ac:dyDescent="0.2">
      <c r="A193" t="str">
        <f t="shared" ca="1" si="1"/>
        <v xml:space="preserve">    списано убытков предыдущих лет</v>
      </c>
      <c r="B193" t="s">
        <v>497</v>
      </c>
      <c r="C193" t="s">
        <v>1280</v>
      </c>
      <c r="D193" t="s">
        <v>1303</v>
      </c>
    </row>
    <row r="194" spans="1:4" x14ac:dyDescent="0.2">
      <c r="A194" t="str">
        <f t="shared" ca="1" si="1"/>
        <v xml:space="preserve">    прибыль, на которую начисляется налог</v>
      </c>
      <c r="B194" t="s">
        <v>498</v>
      </c>
      <c r="C194" t="s">
        <v>1281</v>
      </c>
      <c r="D194" t="s">
        <v>1304</v>
      </c>
    </row>
    <row r="195" spans="1:4" x14ac:dyDescent="0.2">
      <c r="A195" t="str">
        <f t="shared" ca="1" si="1"/>
        <v>СПЕЦИАЛЬНЫЕ РЕЖИМЫ НАЛОГООБЛОЖЕНИЯ</v>
      </c>
      <c r="B195" s="24" t="s">
        <v>456</v>
      </c>
      <c r="C195" t="s">
        <v>1282</v>
      </c>
      <c r="D195" t="s">
        <v>1305</v>
      </c>
    </row>
    <row r="196" spans="1:4" x14ac:dyDescent="0.2">
      <c r="A196" t="str">
        <f t="shared" ca="1" si="1"/>
        <v>ЕДИНЫЙ НАЛОГ НА ВМЕНЕННЫЙ ДОХОД</v>
      </c>
      <c r="B196" t="s">
        <v>449</v>
      </c>
      <c r="C196" t="s">
        <v>1283</v>
      </c>
      <c r="D196" t="s">
        <v>1306</v>
      </c>
    </row>
    <row r="197" spans="1:4" x14ac:dyDescent="0.2">
      <c r="A197" t="str">
        <f t="shared" ca="1" si="1"/>
        <v>разы</v>
      </c>
      <c r="B197" t="s">
        <v>2364</v>
      </c>
      <c r="C197" t="s">
        <v>1284</v>
      </c>
      <c r="D197" t="s">
        <v>1307</v>
      </c>
    </row>
    <row r="198" spans="1:4" x14ac:dyDescent="0.2">
      <c r="A198" t="str">
        <f t="shared" ca="1" si="1"/>
        <v>Начисленный налог на вмененный доход</v>
      </c>
      <c r="B198" s="128" t="s">
        <v>459</v>
      </c>
      <c r="C198" t="s">
        <v>1285</v>
      </c>
      <c r="D198" t="s">
        <v>1308</v>
      </c>
    </row>
    <row r="199" spans="1:4" x14ac:dyDescent="0.2">
      <c r="A199" t="str">
        <f t="shared" ca="1" si="1"/>
        <v>Физический показатель доходности</v>
      </c>
      <c r="B199" s="19" t="s">
        <v>450</v>
      </c>
      <c r="C199" t="s">
        <v>1286</v>
      </c>
      <c r="D199" t="s">
        <v>1309</v>
      </c>
    </row>
    <row r="200" spans="1:4" x14ac:dyDescent="0.2">
      <c r="A200" t="str">
        <f t="shared" ca="1" si="1"/>
        <v>Базовая доходность</v>
      </c>
      <c r="B200" s="19" t="s">
        <v>451</v>
      </c>
      <c r="C200" t="s">
        <v>1287</v>
      </c>
      <c r="D200" t="s">
        <v>1310</v>
      </c>
    </row>
    <row r="201" spans="1:4" x14ac:dyDescent="0.2">
      <c r="A201" t="str">
        <f t="shared" ca="1" si="1"/>
        <v>Коэффициент-дефлятор К1</v>
      </c>
      <c r="B201" s="19" t="s">
        <v>452</v>
      </c>
      <c r="C201" t="s">
        <v>1288</v>
      </c>
      <c r="D201" t="s">
        <v>1311</v>
      </c>
    </row>
    <row r="202" spans="1:4" x14ac:dyDescent="0.2">
      <c r="A202" t="str">
        <f t="shared" ca="1" si="1"/>
        <v>Корректирующий коэффициент К2</v>
      </c>
      <c r="B202" s="45" t="s">
        <v>453</v>
      </c>
      <c r="C202" t="s">
        <v>1289</v>
      </c>
      <c r="D202" t="s">
        <v>1312</v>
      </c>
    </row>
    <row r="203" spans="1:4" x14ac:dyDescent="0.2">
      <c r="A203" t="str">
        <f t="shared" ca="1" si="1"/>
        <v>Величина вмененного дохода</v>
      </c>
      <c r="B203" s="45" t="s">
        <v>454</v>
      </c>
      <c r="C203" t="s">
        <v>1290</v>
      </c>
      <c r="D203" t="s">
        <v>1313</v>
      </c>
    </row>
    <row r="204" spans="1:4" x14ac:dyDescent="0.2">
      <c r="A204" t="str">
        <f t="shared" ca="1" si="1"/>
        <v>Взносы на обязательное пенсионное страхование</v>
      </c>
      <c r="B204" s="45" t="s">
        <v>455</v>
      </c>
      <c r="C204" t="s">
        <v>1020</v>
      </c>
      <c r="D204" t="s">
        <v>1314</v>
      </c>
    </row>
    <row r="205" spans="1:4" x14ac:dyDescent="0.2">
      <c r="A205" t="str">
        <f t="shared" ca="1" si="1"/>
        <v xml:space="preserve">    ставка</v>
      </c>
      <c r="B205" s="45" t="s">
        <v>2285</v>
      </c>
      <c r="C205" s="45" t="s">
        <v>1021</v>
      </c>
      <c r="D205" t="s">
        <v>1315</v>
      </c>
    </row>
    <row r="206" spans="1:4" x14ac:dyDescent="0.2">
      <c r="A206" t="str">
        <f t="shared" ca="1" si="1"/>
        <v xml:space="preserve">    налогооблагаемая база</v>
      </c>
      <c r="B206" s="45" t="str">
        <f>Language!B180</f>
        <v xml:space="preserve">    налогооблагаемая база</v>
      </c>
      <c r="C206" s="45" t="s">
        <v>1022</v>
      </c>
      <c r="D206" t="s">
        <v>1316</v>
      </c>
    </row>
    <row r="207" spans="1:4" x14ac:dyDescent="0.2">
      <c r="A207" t="str">
        <f t="shared" ca="1" si="1"/>
        <v xml:space="preserve">    облагаемая база</v>
      </c>
      <c r="B207" s="45" t="s">
        <v>457</v>
      </c>
      <c r="C207" s="45" t="s">
        <v>1022</v>
      </c>
      <c r="D207" t="s">
        <v>1317</v>
      </c>
    </row>
    <row r="208" spans="1:4" x14ac:dyDescent="0.2">
      <c r="A208" t="str">
        <f t="shared" ca="1" si="1"/>
        <v xml:space="preserve">    величина платежа</v>
      </c>
      <c r="B208" s="45" t="s">
        <v>458</v>
      </c>
      <c r="C208" s="45" t="s">
        <v>1023</v>
      </c>
      <c r="D208" t="s">
        <v>1318</v>
      </c>
    </row>
    <row r="209" spans="1:4" x14ac:dyDescent="0.2">
      <c r="A209" t="str">
        <f t="shared" ca="1" si="1"/>
        <v>УПРОЩЕННАЯ СИСТЕМА НАЛОГООБЛОЖЕНИЯ</v>
      </c>
      <c r="B209" s="45" t="s">
        <v>460</v>
      </c>
      <c r="C209" s="45" t="s">
        <v>1024</v>
      </c>
      <c r="D209" t="s">
        <v>1319</v>
      </c>
    </row>
    <row r="210" spans="1:4" x14ac:dyDescent="0.2">
      <c r="A210" t="str">
        <f t="shared" ca="1" si="1"/>
        <v>Доходы</v>
      </c>
      <c r="B210" s="45" t="s">
        <v>462</v>
      </c>
      <c r="C210" s="45" t="s">
        <v>1025</v>
      </c>
      <c r="D210" t="s">
        <v>1320</v>
      </c>
    </row>
    <row r="211" spans="1:4" x14ac:dyDescent="0.2">
      <c r="A211" t="str">
        <f t="shared" ca="1" si="1"/>
        <v>Доходы, уменьшенные на величину расходов</v>
      </c>
      <c r="B211" s="45" t="s">
        <v>463</v>
      </c>
      <c r="C211" s="45" t="s">
        <v>1026</v>
      </c>
      <c r="D211" t="s">
        <v>1321</v>
      </c>
    </row>
    <row r="212" spans="1:4" x14ac:dyDescent="0.2">
      <c r="A212" t="str">
        <f t="shared" ca="1" si="1"/>
        <v>Объект налогообложения</v>
      </c>
      <c r="B212" t="s">
        <v>461</v>
      </c>
      <c r="C212" s="45" t="s">
        <v>1027</v>
      </c>
      <c r="D212" t="s">
        <v>1322</v>
      </c>
    </row>
    <row r="213" spans="1:4" x14ac:dyDescent="0.2">
      <c r="A213" t="str">
        <f t="shared" ca="1" si="1"/>
        <v>Начисленный налог</v>
      </c>
      <c r="B213" s="23" t="s">
        <v>575</v>
      </c>
      <c r="C213" t="s">
        <v>1028</v>
      </c>
      <c r="D213" t="s">
        <v>1323</v>
      </c>
    </row>
    <row r="214" spans="1:4" x14ac:dyDescent="0.2">
      <c r="A214" t="str">
        <f t="shared" ca="1" si="1"/>
        <v>Облагаемая база до списания убытков</v>
      </c>
      <c r="B214" t="s">
        <v>836</v>
      </c>
      <c r="C214" t="s">
        <v>2010</v>
      </c>
      <c r="D214" t="s">
        <v>1324</v>
      </c>
    </row>
    <row r="215" spans="1:4" x14ac:dyDescent="0.2">
      <c r="A215" t="str">
        <f t="shared" ca="1" si="1"/>
        <v>База, на которую начисляется налог</v>
      </c>
      <c r="B215" s="45" t="s">
        <v>657</v>
      </c>
      <c r="C215" t="s">
        <v>1029</v>
      </c>
      <c r="D215" t="s">
        <v>1325</v>
      </c>
    </row>
    <row r="216" spans="1:4" x14ac:dyDescent="0.2">
      <c r="A216" t="str">
        <f t="shared" ca="1" si="1"/>
        <v>Минимальный налог</v>
      </c>
      <c r="B216" s="45" t="s">
        <v>658</v>
      </c>
      <c r="C216" t="s">
        <v>1030</v>
      </c>
      <c r="D216" t="s">
        <v>1058</v>
      </c>
    </row>
    <row r="217" spans="1:4" x14ac:dyDescent="0.2">
      <c r="A217" t="str">
        <f t="shared" ca="1" si="1"/>
        <v>Суммарные налоговые выплаты</v>
      </c>
      <c r="B217" t="s">
        <v>499</v>
      </c>
      <c r="C217" t="s">
        <v>1031</v>
      </c>
      <c r="D217" t="s">
        <v>1059</v>
      </c>
    </row>
    <row r="218" spans="1:4" x14ac:dyDescent="0.2">
      <c r="A218" t="str">
        <f t="shared" ca="1" si="1"/>
        <v>дней</v>
      </c>
      <c r="B218" t="s">
        <v>500</v>
      </c>
      <c r="C218" t="s">
        <v>1032</v>
      </c>
      <c r="D218" t="s">
        <v>1060</v>
      </c>
    </row>
    <row r="219" spans="1:4" x14ac:dyDescent="0.2">
      <c r="A219" t="str">
        <f t="shared" ca="1" si="1"/>
        <v>возвращается из бюджета</v>
      </c>
      <c r="B219" t="s">
        <v>501</v>
      </c>
      <c r="C219" t="s">
        <v>1033</v>
      </c>
      <c r="D219" t="s">
        <v>1061</v>
      </c>
    </row>
    <row r="220" spans="1:4" x14ac:dyDescent="0.2">
      <c r="A220" t="str">
        <f t="shared" ca="1" si="1"/>
        <v>зачитывается при будущих расчетах</v>
      </c>
      <c r="B220" t="s">
        <v>502</v>
      </c>
      <c r="C220" t="s">
        <v>1034</v>
      </c>
      <c r="D220" t="s">
        <v>1062</v>
      </c>
    </row>
    <row r="221" spans="1:4" x14ac:dyDescent="0.2">
      <c r="A221" t="str">
        <f t="shared" ca="1" si="1"/>
        <v>сразу после постановки на баланс</v>
      </c>
      <c r="B221" t="s">
        <v>503</v>
      </c>
      <c r="C221" t="s">
        <v>1035</v>
      </c>
      <c r="D221" t="s">
        <v>1063</v>
      </c>
    </row>
    <row r="222" spans="1:4" x14ac:dyDescent="0.2">
      <c r="A222" t="str">
        <f t="shared" ca="1" si="1"/>
        <v>Период уплаты</v>
      </c>
      <c r="B222" t="s">
        <v>504</v>
      </c>
      <c r="C222" t="s">
        <v>1036</v>
      </c>
      <c r="D222" t="s">
        <v>1064</v>
      </c>
    </row>
    <row r="223" spans="1:4" ht="12.5" x14ac:dyDescent="0.25">
      <c r="A223" t="str">
        <f t="shared" ca="1" si="1"/>
        <v>тыс. кв. м</v>
      </c>
      <c r="B223" t="s">
        <v>510</v>
      </c>
      <c r="C223" t="s">
        <v>1037</v>
      </c>
      <c r="D223" t="s">
        <v>1065</v>
      </c>
    </row>
    <row r="224" spans="1:4" x14ac:dyDescent="0.2">
      <c r="A224" t="str">
        <f t="shared" ca="1" si="1"/>
        <v>Наименование налога</v>
      </c>
      <c r="B224" t="s">
        <v>511</v>
      </c>
      <c r="C224" t="s">
        <v>1038</v>
      </c>
      <c r="D224" t="s">
        <v>1046</v>
      </c>
    </row>
    <row r="225" spans="1:4" x14ac:dyDescent="0.2">
      <c r="A225" t="str">
        <f t="shared" ca="1" si="1"/>
        <v xml:space="preserve">         СТРОИТЕЛЬСТВО: ХАРАКТЕРИСТИКИ ОБЪЕКТА</v>
      </c>
      <c r="B225" s="24" t="s">
        <v>319</v>
      </c>
      <c r="C225" s="24" t="s">
        <v>1039</v>
      </c>
      <c r="D225" t="s">
        <v>1014</v>
      </c>
    </row>
    <row r="226" spans="1:4" x14ac:dyDescent="0.2">
      <c r="A226" t="str">
        <f t="shared" ca="1" si="1"/>
        <v>Внимание! Общая площадь не может быть меньше полезной площади!</v>
      </c>
      <c r="B226" s="128" t="s">
        <v>539</v>
      </c>
      <c r="C226" s="128" t="s">
        <v>1041</v>
      </c>
      <c r="D226" t="s">
        <v>1047</v>
      </c>
    </row>
    <row r="227" spans="1:4" x14ac:dyDescent="0.2">
      <c r="A227" t="str">
        <f t="shared" ca="1" si="1"/>
        <v>период</v>
      </c>
      <c r="B227" s="100" t="s">
        <v>552</v>
      </c>
      <c r="C227" s="71" t="s">
        <v>1042</v>
      </c>
      <c r="D227" t="s">
        <v>1048</v>
      </c>
    </row>
    <row r="228" spans="1:4" ht="12.5" x14ac:dyDescent="0.25">
      <c r="A228" t="str">
        <f t="shared" ca="1" si="1"/>
        <v>кв. м</v>
      </c>
      <c r="B228" s="26" t="s">
        <v>2330</v>
      </c>
      <c r="C228" s="71" t="s">
        <v>1043</v>
      </c>
      <c r="D228" t="s">
        <v>1049</v>
      </c>
    </row>
    <row r="229" spans="1:4" x14ac:dyDescent="0.2">
      <c r="A229" t="str">
        <f t="shared" ca="1" si="1"/>
        <v>Площадь</v>
      </c>
      <c r="B229" s="26" t="s">
        <v>2329</v>
      </c>
      <c r="C229" s="71" t="s">
        <v>1044</v>
      </c>
      <c r="D229" t="s">
        <v>1050</v>
      </c>
    </row>
    <row r="230" spans="1:4" x14ac:dyDescent="0.2">
      <c r="A230" t="str">
        <f t="shared" ca="1" si="1"/>
        <v>Очередь строительства №1</v>
      </c>
      <c r="B230" s="128" t="s">
        <v>532</v>
      </c>
      <c r="C230" s="71" t="s">
        <v>1045</v>
      </c>
      <c r="D230" t="s">
        <v>1051</v>
      </c>
    </row>
    <row r="231" spans="1:4" x14ac:dyDescent="0.2">
      <c r="A231" t="str">
        <f t="shared" ca="1" si="1"/>
        <v>Начало строительства очереди</v>
      </c>
      <c r="B231" s="128" t="s">
        <v>2325</v>
      </c>
      <c r="C231" s="71" t="s">
        <v>1019</v>
      </c>
      <c r="D231" t="s">
        <v>1052</v>
      </c>
    </row>
    <row r="232" spans="1:4" x14ac:dyDescent="0.2">
      <c r="A232" t="str">
        <f t="shared" ca="1" si="1"/>
        <v>Конец строительства очереди</v>
      </c>
      <c r="B232" s="128" t="s">
        <v>533</v>
      </c>
      <c r="C232" s="71" t="s">
        <v>856</v>
      </c>
      <c r="D232" t="s">
        <v>1053</v>
      </c>
    </row>
    <row r="233" spans="1:4" x14ac:dyDescent="0.2">
      <c r="A233" t="str">
        <f t="shared" ca="1" si="1"/>
        <v>Категории площадей:</v>
      </c>
      <c r="B233" s="128" t="s">
        <v>534</v>
      </c>
      <c r="C233" s="71" t="s">
        <v>857</v>
      </c>
      <c r="D233" t="s">
        <v>1054</v>
      </c>
    </row>
    <row r="234" spans="1:4" x14ac:dyDescent="0.2">
      <c r="A234" t="str">
        <f t="shared" ca="1" si="1"/>
        <v>Жилые площади</v>
      </c>
      <c r="B234" s="128" t="s">
        <v>2233</v>
      </c>
      <c r="C234" s="128" t="s">
        <v>2234</v>
      </c>
      <c r="D234" t="s">
        <v>1055</v>
      </c>
    </row>
    <row r="235" spans="1:4" x14ac:dyDescent="0.2">
      <c r="A235" t="str">
        <f t="shared" ca="1" si="1"/>
        <v>Полезная площадь очереди</v>
      </c>
      <c r="B235" s="128" t="s">
        <v>535</v>
      </c>
      <c r="C235" s="71" t="s">
        <v>858</v>
      </c>
      <c r="D235" t="s">
        <v>1056</v>
      </c>
    </row>
    <row r="236" spans="1:4" x14ac:dyDescent="0.2">
      <c r="A236" t="str">
        <f t="shared" ca="1" si="1"/>
        <v>Общая площадь очереди</v>
      </c>
      <c r="B236" s="128" t="s">
        <v>536</v>
      </c>
      <c r="C236" s="71" t="s">
        <v>859</v>
      </c>
      <c r="D236" t="s">
        <v>1057</v>
      </c>
    </row>
    <row r="237" spans="1:4" x14ac:dyDescent="0.2">
      <c r="A237" t="str">
        <f t="shared" ca="1" si="1"/>
        <v>Итого: полезная площадь</v>
      </c>
      <c r="B237" s="128" t="s">
        <v>537</v>
      </c>
      <c r="C237" s="71" t="s">
        <v>860</v>
      </c>
      <c r="D237" t="s">
        <v>877</v>
      </c>
    </row>
    <row r="238" spans="1:4" x14ac:dyDescent="0.2">
      <c r="A238" t="str">
        <f t="shared" ca="1" si="1"/>
        <v>Итого: общая площадь</v>
      </c>
      <c r="B238" s="128" t="s">
        <v>538</v>
      </c>
      <c r="C238" s="71" t="s">
        <v>861</v>
      </c>
      <c r="D238" t="s">
        <v>878</v>
      </c>
    </row>
    <row r="239" spans="1:4" x14ac:dyDescent="0.2">
      <c r="A239" t="str">
        <f t="shared" ca="1" si="1"/>
        <v xml:space="preserve">         СТРОИТЕЛЬСТВО: ИСПОЛЬЗОВАНИЕ ОБЪЕКТА</v>
      </c>
      <c r="B239" s="24" t="s">
        <v>650</v>
      </c>
      <c r="C239" s="24" t="s">
        <v>862</v>
      </c>
      <c r="D239" t="s">
        <v>1015</v>
      </c>
    </row>
    <row r="240" spans="1:4" x14ac:dyDescent="0.2">
      <c r="A240" t="str">
        <f t="shared" ca="1" si="1"/>
        <v>ПРИВЛЕЧЕНИЕ ДОЛЬЩИКОВ/СОИНВЕСТОРОВ</v>
      </c>
      <c r="B240" s="24" t="s">
        <v>2533</v>
      </c>
      <c r="C240" s="71" t="s">
        <v>863</v>
      </c>
      <c r="D240" t="s">
        <v>879</v>
      </c>
    </row>
    <row r="241" spans="1:4" x14ac:dyDescent="0.2">
      <c r="A241" t="str">
        <f t="shared" ca="1" si="1"/>
        <v>ПРОДАЖА ГОТОВЫХ ПЛОЩАДЕЙ (ПОКУПАТЕЛИ)</v>
      </c>
      <c r="B241" s="24" t="s">
        <v>2534</v>
      </c>
      <c r="C241" s="71" t="s">
        <v>864</v>
      </c>
      <c r="D241" t="s">
        <v>880</v>
      </c>
    </row>
    <row r="242" spans="1:4" x14ac:dyDescent="0.2">
      <c r="A242" t="str">
        <f t="shared" ca="1" si="1"/>
        <v>СОБСТВЕННОЕ ИСПОЛЬЗОВАНИЕ ОБЪЕКТА</v>
      </c>
      <c r="B242" s="24" t="s">
        <v>2535</v>
      </c>
      <c r="C242" s="71" t="s">
        <v>865</v>
      </c>
      <c r="D242" t="s">
        <v>881</v>
      </c>
    </row>
    <row r="243" spans="1:4" x14ac:dyDescent="0.2">
      <c r="A243" t="str">
        <f t="shared" ca="1" si="1"/>
        <v>ИТОГО ПО ОБЪЕКТУ</v>
      </c>
      <c r="B243" s="128" t="s">
        <v>2548</v>
      </c>
      <c r="C243" s="71" t="s">
        <v>866</v>
      </c>
      <c r="D243" t="s">
        <v>882</v>
      </c>
    </row>
    <row r="244" spans="1:4" x14ac:dyDescent="0.2">
      <c r="A244" t="str">
        <f t="shared" ca="1" si="1"/>
        <v xml:space="preserve">         СТРОИТЕЛЬСТВО: ЗАТРАТЫ НА ОБЪЕКТ</v>
      </c>
      <c r="B244" s="24" t="s">
        <v>651</v>
      </c>
      <c r="C244" t="s">
        <v>867</v>
      </c>
      <c r="D244" t="s">
        <v>1016</v>
      </c>
    </row>
    <row r="245" spans="1:4" x14ac:dyDescent="0.2">
      <c r="A245" t="str">
        <f t="shared" ca="1" si="1"/>
        <v>Внимание! Конец стадии не может быть позднее конца строительства очереди!</v>
      </c>
      <c r="B245" s="128" t="s">
        <v>663</v>
      </c>
      <c r="C245" s="71" t="s">
        <v>868</v>
      </c>
      <c r="D245" t="s">
        <v>1218</v>
      </c>
    </row>
    <row r="246" spans="1:4" x14ac:dyDescent="0.2">
      <c r="A246" t="str">
        <f t="shared" ca="1" si="1"/>
        <v>Стадия строительства №1</v>
      </c>
      <c r="B246" s="45" t="s">
        <v>2331</v>
      </c>
      <c r="C246" s="71" t="s">
        <v>869</v>
      </c>
      <c r="D246" t="s">
        <v>1219</v>
      </c>
    </row>
    <row r="247" spans="1:4" x14ac:dyDescent="0.2">
      <c r="A247" t="str">
        <f t="shared" ca="1" si="1"/>
        <v>начало работ</v>
      </c>
      <c r="B247" s="45" t="s">
        <v>320</v>
      </c>
      <c r="C247" t="s">
        <v>870</v>
      </c>
      <c r="D247" t="s">
        <v>1220</v>
      </c>
    </row>
    <row r="248" spans="1:4" x14ac:dyDescent="0.2">
      <c r="A248" t="str">
        <f t="shared" ca="1" si="1"/>
        <v>конец работ</v>
      </c>
      <c r="B248" s="45" t="s">
        <v>321</v>
      </c>
      <c r="C248" t="s">
        <v>849</v>
      </c>
      <c r="D248" t="s">
        <v>1221</v>
      </c>
    </row>
    <row r="249" spans="1:4" x14ac:dyDescent="0.2">
      <c r="A249" t="str">
        <f t="shared" ca="1" si="1"/>
        <v>Площадь, к которой относятся работы</v>
      </c>
      <c r="B249" s="45" t="s">
        <v>1040</v>
      </c>
      <c r="C249" t="s">
        <v>850</v>
      </c>
      <c r="D249" t="s">
        <v>1222</v>
      </c>
    </row>
    <row r="250" spans="1:4" x14ac:dyDescent="0.2">
      <c r="A250" t="str">
        <f t="shared" ca="1" si="1"/>
        <v>Стоимость одного кв. м (с НДС)</v>
      </c>
      <c r="B250" s="45" t="s">
        <v>2332</v>
      </c>
      <c r="C250" t="s">
        <v>851</v>
      </c>
      <c r="D250" t="s">
        <v>307</v>
      </c>
    </row>
    <row r="251" spans="1:4" x14ac:dyDescent="0.2">
      <c r="A251" t="str">
        <f t="shared" ca="1" si="1"/>
        <v>Объем выполненных работ</v>
      </c>
      <c r="B251" s="24" t="s">
        <v>523</v>
      </c>
      <c r="C251" t="s">
        <v>852</v>
      </c>
      <c r="D251" t="s">
        <v>1223</v>
      </c>
    </row>
    <row r="252" spans="1:4" x14ac:dyDescent="0.2">
      <c r="A252" t="str">
        <f t="shared" ca="1" si="1"/>
        <v>Оплата работ</v>
      </c>
      <c r="B252" s="24" t="s">
        <v>524</v>
      </c>
      <c r="C252" t="s">
        <v>853</v>
      </c>
      <c r="D252" t="s">
        <v>1224</v>
      </c>
    </row>
    <row r="253" spans="1:4" x14ac:dyDescent="0.2">
      <c r="A253" t="str">
        <f t="shared" ca="1" si="1"/>
        <v>Итого: объем выполненных работ</v>
      </c>
      <c r="B253" s="128" t="s">
        <v>525</v>
      </c>
      <c r="C253" t="s">
        <v>854</v>
      </c>
      <c r="D253" t="s">
        <v>1225</v>
      </c>
    </row>
    <row r="254" spans="1:4" x14ac:dyDescent="0.2">
      <c r="A254" t="str">
        <f t="shared" ca="1" si="1"/>
        <v>Итого: оплата работ</v>
      </c>
      <c r="B254" s="24" t="s">
        <v>527</v>
      </c>
      <c r="C254" t="s">
        <v>855</v>
      </c>
      <c r="D254" t="s">
        <v>1226</v>
      </c>
    </row>
    <row r="255" spans="1:4" x14ac:dyDescent="0.2">
      <c r="A255" t="str">
        <f t="shared" ca="1" si="1"/>
        <v>Авансы подрядчикам (с НДС)</v>
      </c>
      <c r="B255" s="24" t="s">
        <v>528</v>
      </c>
      <c r="C255" t="s">
        <v>687</v>
      </c>
      <c r="D255" t="s">
        <v>1227</v>
      </c>
    </row>
    <row r="256" spans="1:4" x14ac:dyDescent="0.2">
      <c r="A256" t="str">
        <f t="shared" ca="1" si="1"/>
        <v xml:space="preserve">    в том числе НДС</v>
      </c>
      <c r="B256" s="24" t="s">
        <v>2349</v>
      </c>
      <c r="C256" s="24" t="s">
        <v>688</v>
      </c>
      <c r="D256" t="s">
        <v>1091</v>
      </c>
    </row>
    <row r="257" spans="1:4" x14ac:dyDescent="0.2">
      <c r="A257" t="str">
        <f t="shared" ca="1" si="1"/>
        <v>Кредиторская задолженность подрядчикам (с НДС)</v>
      </c>
      <c r="B257" s="24" t="s">
        <v>529</v>
      </c>
      <c r="C257" t="s">
        <v>689</v>
      </c>
      <c r="D257" t="s">
        <v>1092</v>
      </c>
    </row>
    <row r="258" spans="1:4" x14ac:dyDescent="0.2">
      <c r="A258" t="str">
        <f t="shared" ca="1" si="1"/>
        <v>Ранее осуществленные инвестиции</v>
      </c>
      <c r="B258" s="128" t="s">
        <v>2309</v>
      </c>
      <c r="C258" t="s">
        <v>690</v>
      </c>
      <c r="D258" t="s">
        <v>1093</v>
      </c>
    </row>
    <row r="259" spans="1:4" x14ac:dyDescent="0.2">
      <c r="A259" t="str">
        <f t="shared" ca="1" si="1"/>
        <v>НДС к ранее осуществленным инвестициям</v>
      </c>
      <c r="B259" s="24" t="s">
        <v>530</v>
      </c>
      <c r="C259" t="s">
        <v>1228</v>
      </c>
      <c r="D259" t="s">
        <v>1094</v>
      </c>
    </row>
    <row r="260" spans="1:4" x14ac:dyDescent="0.2">
      <c r="A260" t="str">
        <f t="shared" ca="1" si="1"/>
        <v>Рыночная стоимость недостроенного объекта</v>
      </c>
      <c r="B260" s="24" t="s">
        <v>531</v>
      </c>
      <c r="C260" t="s">
        <v>1069</v>
      </c>
      <c r="D260" t="s">
        <v>1095</v>
      </c>
    </row>
    <row r="261" spans="1:4" x14ac:dyDescent="0.2">
      <c r="A261" t="str">
        <f t="shared" ca="1" si="1"/>
        <v xml:space="preserve">         СТРОИТЕЛЬСТВО: ПРИВЛЕЧЕНИЕ ДОЛЬЩИКОВ / СОИНВЕСТОРОВ</v>
      </c>
      <c r="B261" s="24" t="s">
        <v>652</v>
      </c>
      <c r="C261" s="24" t="s">
        <v>1070</v>
      </c>
      <c r="D261" t="s">
        <v>837</v>
      </c>
    </row>
    <row r="262" spans="1:4" x14ac:dyDescent="0.2">
      <c r="A262" t="str">
        <f t="shared" ca="1" si="1"/>
        <v>График привлечения дольщиков / соинвесторов</v>
      </c>
      <c r="B262" s="19" t="s">
        <v>540</v>
      </c>
      <c r="C262" t="s">
        <v>1071</v>
      </c>
      <c r="D262" t="s">
        <v>1096</v>
      </c>
    </row>
    <row r="263" spans="1:4" x14ac:dyDescent="0.2">
      <c r="A263" t="str">
        <f t="shared" ca="1" si="1"/>
        <v>График оплаты площадей</v>
      </c>
      <c r="B263" s="19" t="s">
        <v>541</v>
      </c>
      <c r="C263" s="71" t="s">
        <v>1072</v>
      </c>
      <c r="D263" t="s">
        <v>1097</v>
      </c>
    </row>
    <row r="264" spans="1:4" x14ac:dyDescent="0.2">
      <c r="A264" t="str">
        <f t="shared" ca="1" si="1"/>
        <v>Стоимость 1 кв. м (без НДС)</v>
      </c>
      <c r="B264" s="19" t="s">
        <v>542</v>
      </c>
      <c r="C264" t="s">
        <v>1073</v>
      </c>
      <c r="D264" t="s">
        <v>1098</v>
      </c>
    </row>
    <row r="265" spans="1:4" x14ac:dyDescent="0.2">
      <c r="A265" t="str">
        <f t="shared" ca="1" si="1"/>
        <v xml:space="preserve">    в том числе вознаграждение заказчику</v>
      </c>
      <c r="B265" s="24" t="s">
        <v>543</v>
      </c>
      <c r="C265" t="s">
        <v>1239</v>
      </c>
      <c r="D265" t="s">
        <v>1099</v>
      </c>
    </row>
    <row r="266" spans="1:4" x14ac:dyDescent="0.2">
      <c r="A266" t="str">
        <f t="shared" ca="1" si="1"/>
        <v>Поступление финансирования</v>
      </c>
      <c r="B266" s="24" t="s">
        <v>544</v>
      </c>
      <c r="C266" t="s">
        <v>1240</v>
      </c>
      <c r="D266" t="s">
        <v>1100</v>
      </c>
    </row>
    <row r="267" spans="1:4" x14ac:dyDescent="0.2">
      <c r="A267" t="str">
        <f t="shared" ca="1" si="1"/>
        <v>Передача площадей</v>
      </c>
      <c r="B267" s="24" t="s">
        <v>2341</v>
      </c>
      <c r="C267" t="s">
        <v>1241</v>
      </c>
      <c r="D267" t="s">
        <v>1101</v>
      </c>
    </row>
    <row r="268" spans="1:4" x14ac:dyDescent="0.2">
      <c r="A268" t="str">
        <f t="shared" ca="1" si="1"/>
        <v xml:space="preserve">    передача площадей</v>
      </c>
      <c r="B268" s="24" t="s">
        <v>2342</v>
      </c>
      <c r="C268" s="24" t="s">
        <v>1242</v>
      </c>
      <c r="D268" t="s">
        <v>1102</v>
      </c>
    </row>
    <row r="269" spans="1:4" x14ac:dyDescent="0.2">
      <c r="A269" t="str">
        <f t="shared" ca="1" si="1"/>
        <v>Итого: Поступление финансирования</v>
      </c>
      <c r="B269" s="128" t="s">
        <v>2343</v>
      </c>
      <c r="C269" t="s">
        <v>1243</v>
      </c>
      <c r="D269" t="s">
        <v>1103</v>
      </c>
    </row>
    <row r="270" spans="1:4" x14ac:dyDescent="0.2">
      <c r="A270" t="str">
        <f t="shared" ca="1" si="1"/>
        <v>Итого: Передано площадей на сумму</v>
      </c>
      <c r="B270" s="24" t="s">
        <v>2344</v>
      </c>
      <c r="C270" t="s">
        <v>1244</v>
      </c>
      <c r="D270" t="s">
        <v>1104</v>
      </c>
    </row>
    <row r="271" spans="1:4" x14ac:dyDescent="0.2">
      <c r="A271" t="str">
        <f t="shared" ca="1" si="1"/>
        <v xml:space="preserve">    передано влощадей в кв. м</v>
      </c>
      <c r="B271" s="24" t="s">
        <v>2345</v>
      </c>
      <c r="C271" t="s">
        <v>1245</v>
      </c>
      <c r="D271" t="s">
        <v>1105</v>
      </c>
    </row>
    <row r="272" spans="1:4" x14ac:dyDescent="0.2">
      <c r="A272" t="str">
        <f t="shared" ca="1" si="1"/>
        <v xml:space="preserve">         СТРОИТЕЛЬСТВО: ПРОДАЖА ГОТОВЫХ ПЛОЩАДЕЙ</v>
      </c>
      <c r="B272" s="24" t="s">
        <v>653</v>
      </c>
      <c r="C272" s="24" t="s">
        <v>2011</v>
      </c>
      <c r="D272" t="s">
        <v>838</v>
      </c>
    </row>
    <row r="273" spans="1:4" x14ac:dyDescent="0.2">
      <c r="A273" t="str">
        <f t="shared" ca="1" si="1"/>
        <v>График привлечения покупателей</v>
      </c>
      <c r="B273" s="19" t="s">
        <v>2549</v>
      </c>
      <c r="C273" s="128" t="s">
        <v>1246</v>
      </c>
      <c r="D273" t="s">
        <v>1106</v>
      </c>
    </row>
    <row r="274" spans="1:4" x14ac:dyDescent="0.2">
      <c r="A274" t="str">
        <f t="shared" ca="1" si="1"/>
        <v>График оплаты площадей</v>
      </c>
      <c r="B274" s="19" t="s">
        <v>541</v>
      </c>
      <c r="C274" s="71" t="s">
        <v>1072</v>
      </c>
      <c r="D274" t="s">
        <v>1107</v>
      </c>
    </row>
    <row r="275" spans="1:4" x14ac:dyDescent="0.2">
      <c r="A275" t="str">
        <f t="shared" ca="1" si="1"/>
        <v>Цены за кв. м (с НДС)</v>
      </c>
      <c r="B275" s="19" t="s">
        <v>2346</v>
      </c>
      <c r="C275" t="s">
        <v>1247</v>
      </c>
      <c r="D275" t="s">
        <v>1108</v>
      </c>
    </row>
    <row r="276" spans="1:4" x14ac:dyDescent="0.2">
      <c r="A276" t="str">
        <f t="shared" ca="1" si="1"/>
        <v>Передача проданных площадей покупателям</v>
      </c>
      <c r="B276" s="19" t="s">
        <v>2550</v>
      </c>
      <c r="C276" t="s">
        <v>1248</v>
      </c>
      <c r="D276" t="s">
        <v>1109</v>
      </c>
    </row>
    <row r="277" spans="1:4" x14ac:dyDescent="0.2">
      <c r="A277" t="str">
        <f t="shared" ca="1" si="1"/>
        <v>К оплате от покупателей</v>
      </c>
      <c r="B277" s="45" t="s">
        <v>2335</v>
      </c>
      <c r="C277" t="s">
        <v>1249</v>
      </c>
      <c r="D277" t="s">
        <v>1110</v>
      </c>
    </row>
    <row r="278" spans="1:4" x14ac:dyDescent="0.2">
      <c r="A278" t="str">
        <f t="shared" ref="A278:A284" ca="1" si="2">OFFSET(A278,0,LanguageID)</f>
        <v>Поступления от продаж</v>
      </c>
      <c r="B278" s="19" t="s">
        <v>2390</v>
      </c>
      <c r="C278" t="s">
        <v>1250</v>
      </c>
      <c r="D278" t="s">
        <v>1111</v>
      </c>
    </row>
    <row r="279" spans="1:4" x14ac:dyDescent="0.2">
      <c r="A279" t="str">
        <f t="shared" ca="1" si="2"/>
        <v>Передано площадей на сумму</v>
      </c>
      <c r="B279" s="19" t="s">
        <v>2506</v>
      </c>
      <c r="C279" t="s">
        <v>1251</v>
      </c>
      <c r="D279" t="s">
        <v>1112</v>
      </c>
    </row>
    <row r="280" spans="1:4" x14ac:dyDescent="0.2">
      <c r="A280" t="str">
        <f t="shared" ca="1" si="2"/>
        <v>Доля площадей, не облагаемых НДС</v>
      </c>
      <c r="B280" s="19" t="s">
        <v>2507</v>
      </c>
      <c r="C280" t="s">
        <v>1154</v>
      </c>
      <c r="D280" t="s">
        <v>1113</v>
      </c>
    </row>
    <row r="281" spans="1:4" x14ac:dyDescent="0.2">
      <c r="A281" t="str">
        <f t="shared" ca="1" si="2"/>
        <v>Итого - поступления от продаж</v>
      </c>
      <c r="B281" s="24" t="s">
        <v>2532</v>
      </c>
      <c r="C281" t="s">
        <v>1155</v>
      </c>
      <c r="D281" t="s">
        <v>1114</v>
      </c>
    </row>
    <row r="282" spans="1:4" x14ac:dyDescent="0.2">
      <c r="A282" t="str">
        <f t="shared" ca="1" si="2"/>
        <v>Итого - стоимость переданных площадей</v>
      </c>
      <c r="B282" s="24" t="s">
        <v>2536</v>
      </c>
      <c r="C282" t="s">
        <v>1244</v>
      </c>
      <c r="D282" t="s">
        <v>1115</v>
      </c>
    </row>
    <row r="283" spans="1:4" x14ac:dyDescent="0.2">
      <c r="A283" t="str">
        <f t="shared" ca="1" si="2"/>
        <v>Передача проданных площадей покупателям</v>
      </c>
      <c r="B283" s="19" t="s">
        <v>2550</v>
      </c>
      <c r="C283" t="s">
        <v>1156</v>
      </c>
      <c r="D283" t="s">
        <v>1116</v>
      </c>
    </row>
    <row r="284" spans="1:4" x14ac:dyDescent="0.2">
      <c r="A284" t="str">
        <f t="shared" ca="1" si="2"/>
        <v>Доля площадей, не облагаемых НДС</v>
      </c>
      <c r="B284" s="19" t="s">
        <v>2507</v>
      </c>
      <c r="C284" t="s">
        <v>1154</v>
      </c>
      <c r="D284" t="s">
        <v>1113</v>
      </c>
    </row>
    <row r="285" spans="1:4" x14ac:dyDescent="0.2">
      <c r="A285" t="str">
        <f t="shared" ca="1" si="1"/>
        <v xml:space="preserve">         СТРОИТЕЛЬСТВО: СДАЧА ПЛОЩАДЕЙ В АРЕНДУ</v>
      </c>
      <c r="B285" s="24" t="s">
        <v>1376</v>
      </c>
      <c r="C285" s="24" t="s">
        <v>1157</v>
      </c>
      <c r="D285" t="s">
        <v>839</v>
      </c>
    </row>
    <row r="286" spans="1:4" x14ac:dyDescent="0.2">
      <c r="A286" t="str">
        <f t="shared" ca="1" si="1"/>
        <v>Ставка, за кв. м в год (с НДС)</v>
      </c>
      <c r="B286" s="19" t="s">
        <v>2537</v>
      </c>
      <c r="C286" t="s">
        <v>1158</v>
      </c>
      <c r="D286" t="s">
        <v>1117</v>
      </c>
    </row>
    <row r="287" spans="1:4" x14ac:dyDescent="0.2">
      <c r="A287" t="str">
        <f ca="1">OFFSET(A287,0,LanguageID)</f>
        <v>Доступные для сдачи площади</v>
      </c>
      <c r="B287" s="19" t="s">
        <v>2538</v>
      </c>
      <c r="C287" t="s">
        <v>1159</v>
      </c>
      <c r="D287" t="s">
        <v>1118</v>
      </c>
    </row>
    <row r="288" spans="1:4" x14ac:dyDescent="0.2">
      <c r="A288" t="str">
        <f ca="1">OFFSET(A288,0,LanguageID)</f>
        <v>Сдано в аренду</v>
      </c>
      <c r="B288" s="19" t="s">
        <v>2539</v>
      </c>
      <c r="C288" t="s">
        <v>1160</v>
      </c>
      <c r="D288" t="s">
        <v>1119</v>
      </c>
    </row>
    <row r="289" spans="1:4" x14ac:dyDescent="0.2">
      <c r="A289" t="str">
        <f ca="1">OFFSET(A289,0,LanguageID)</f>
        <v>Поступления от аренды</v>
      </c>
      <c r="B289" s="19" t="s">
        <v>2540</v>
      </c>
      <c r="C289" t="s">
        <v>1161</v>
      </c>
      <c r="D289" t="s">
        <v>1120</v>
      </c>
    </row>
    <row r="290" spans="1:4" x14ac:dyDescent="0.2">
      <c r="A290" t="str">
        <f ca="1">OFFSET(A290,0,LanguageID)</f>
        <v>Итого - поступления от аренды</v>
      </c>
      <c r="B290" s="128" t="s">
        <v>2551</v>
      </c>
      <c r="C290" t="s">
        <v>1162</v>
      </c>
      <c r="D290" t="s">
        <v>1121</v>
      </c>
    </row>
    <row r="291" spans="1:4" x14ac:dyDescent="0.2">
      <c r="A291" t="str">
        <f t="shared" ca="1" si="1"/>
        <v xml:space="preserve">         СТРОИТЕЛЬСТВО: БАЛАНС ПО ОБЪЕКТУ</v>
      </c>
      <c r="B291" s="24" t="s">
        <v>654</v>
      </c>
      <c r="C291" s="24" t="s">
        <v>1163</v>
      </c>
      <c r="D291" t="s">
        <v>840</v>
      </c>
    </row>
    <row r="292" spans="1:4" x14ac:dyDescent="0.2">
      <c r="A292" t="str">
        <f t="shared" ca="1" si="1"/>
        <v>Внимание! Сумма продаваемых долей не может превышать 100%</v>
      </c>
      <c r="B292" s="128" t="s">
        <v>2333</v>
      </c>
      <c r="C292" s="128" t="s">
        <v>1164</v>
      </c>
      <c r="D292" t="s">
        <v>1122</v>
      </c>
    </row>
    <row r="293" spans="1:4" x14ac:dyDescent="0.2">
      <c r="A293" t="str">
        <f t="shared" ref="A293:A351" ca="1" si="3">OFFSET(A293,0,LanguageID)</f>
        <v>лет</v>
      </c>
      <c r="B293" s="50" t="s">
        <v>2132</v>
      </c>
      <c r="C293" s="128" t="s">
        <v>1165</v>
      </c>
      <c r="D293" t="s">
        <v>815</v>
      </c>
    </row>
    <row r="294" spans="1:4" x14ac:dyDescent="0.2">
      <c r="A294" t="str">
        <f t="shared" ca="1" si="3"/>
        <v>Оплата строительства объекта</v>
      </c>
      <c r="B294" s="101" t="s">
        <v>2409</v>
      </c>
      <c r="C294" t="s">
        <v>1166</v>
      </c>
      <c r="D294" t="s">
        <v>1123</v>
      </c>
    </row>
    <row r="295" spans="1:4" x14ac:dyDescent="0.2">
      <c r="A295" t="str">
        <f t="shared" ca="1" si="3"/>
        <v xml:space="preserve">    оплата без НДС</v>
      </c>
      <c r="B295" s="101" t="s">
        <v>2410</v>
      </c>
      <c r="C295" s="101" t="s">
        <v>1167</v>
      </c>
      <c r="D295" t="s">
        <v>1124</v>
      </c>
    </row>
    <row r="296" spans="1:4" x14ac:dyDescent="0.2">
      <c r="A296" t="str">
        <f t="shared" ca="1" si="3"/>
        <v xml:space="preserve">    НДС</v>
      </c>
      <c r="B296" s="101" t="s">
        <v>392</v>
      </c>
      <c r="C296" s="101" t="s">
        <v>1168</v>
      </c>
      <c r="D296" t="s">
        <v>1125</v>
      </c>
    </row>
    <row r="297" spans="1:4" x14ac:dyDescent="0.2">
      <c r="A297" t="str">
        <f t="shared" ca="1" si="3"/>
        <v xml:space="preserve">   НДС к зачету</v>
      </c>
      <c r="B297" s="101" t="s">
        <v>2339</v>
      </c>
      <c r="C297" s="101" t="s">
        <v>1169</v>
      </c>
      <c r="D297" t="s">
        <v>1126</v>
      </c>
    </row>
    <row r="298" spans="1:4" x14ac:dyDescent="0.2">
      <c r="A298" t="str">
        <f t="shared" ca="1" si="3"/>
        <v>Выполненный объем работ</v>
      </c>
      <c r="B298" s="101" t="s">
        <v>2411</v>
      </c>
      <c r="C298" t="s">
        <v>1170</v>
      </c>
      <c r="D298" t="s">
        <v>1127</v>
      </c>
    </row>
    <row r="299" spans="1:4" x14ac:dyDescent="0.2">
      <c r="A299" t="str">
        <f t="shared" ca="1" si="3"/>
        <v xml:space="preserve">    работы без НДС</v>
      </c>
      <c r="B299" s="101" t="s">
        <v>2412</v>
      </c>
      <c r="C299" t="s">
        <v>1167</v>
      </c>
      <c r="D299" t="s">
        <v>1128</v>
      </c>
    </row>
    <row r="300" spans="1:4" x14ac:dyDescent="0.2">
      <c r="A300" t="str">
        <f t="shared" ca="1" si="3"/>
        <v xml:space="preserve">    зачет НДС</v>
      </c>
      <c r="B300" s="101" t="s">
        <v>202</v>
      </c>
      <c r="C300" t="s">
        <v>1171</v>
      </c>
      <c r="D300" t="s">
        <v>1129</v>
      </c>
    </row>
    <row r="301" spans="1:4" x14ac:dyDescent="0.2">
      <c r="A301" t="str">
        <f t="shared" ca="1" si="3"/>
        <v>Авансы подрядчикам (без НДС)</v>
      </c>
      <c r="B301" s="101" t="s">
        <v>2413</v>
      </c>
      <c r="C301" t="s">
        <v>1172</v>
      </c>
      <c r="D301" t="s">
        <v>1130</v>
      </c>
    </row>
    <row r="302" spans="1:4" x14ac:dyDescent="0.2">
      <c r="A302" t="str">
        <f t="shared" ca="1" si="3"/>
        <v>Кредиторская задолженность подрядчикам (без НДС)</v>
      </c>
      <c r="B302" s="101" t="s">
        <v>2414</v>
      </c>
      <c r="C302" t="s">
        <v>1173</v>
      </c>
      <c r="D302" t="s">
        <v>1131</v>
      </c>
    </row>
    <row r="303" spans="1:4" x14ac:dyDescent="0.2">
      <c r="A303" t="str">
        <f t="shared" ca="1" si="3"/>
        <v>Стоимость завершенного объекта</v>
      </c>
      <c r="B303" s="101" t="s">
        <v>2415</v>
      </c>
      <c r="C303" t="s">
        <v>1174</v>
      </c>
      <c r="D303" t="s">
        <v>1132</v>
      </c>
    </row>
    <row r="304" spans="1:4" x14ac:dyDescent="0.2">
      <c r="A304" t="str">
        <f t="shared" ca="1" si="3"/>
        <v xml:space="preserve">    стоимость без НДС</v>
      </c>
      <c r="B304" s="101" t="s">
        <v>2416</v>
      </c>
      <c r="C304" t="s">
        <v>1167</v>
      </c>
      <c r="D304" t="s">
        <v>1133</v>
      </c>
    </row>
    <row r="305" spans="1:4" x14ac:dyDescent="0.2">
      <c r="A305" t="str">
        <f t="shared" ca="1" si="3"/>
        <v>Доля площадей к передаче дольщикам / соинвесторам</v>
      </c>
      <c r="B305" s="101" t="s">
        <v>2417</v>
      </c>
      <c r="C305" t="s">
        <v>1175</v>
      </c>
      <c r="D305" t="s">
        <v>1134</v>
      </c>
    </row>
    <row r="306" spans="1:4" x14ac:dyDescent="0.2">
      <c r="A306" t="str">
        <f t="shared" ca="1" si="3"/>
        <v>Доля площадей к продаже</v>
      </c>
      <c r="B306" s="101" t="s">
        <v>2418</v>
      </c>
      <c r="C306" t="s">
        <v>1176</v>
      </c>
      <c r="D306" t="s">
        <v>1135</v>
      </c>
    </row>
    <row r="307" spans="1:4" x14ac:dyDescent="0.2">
      <c r="A307" t="str">
        <f t="shared" ca="1" si="3"/>
        <v>Учет доли объекта для собственного использования</v>
      </c>
      <c r="B307" s="101" t="s">
        <v>2419</v>
      </c>
      <c r="C307" t="s">
        <v>1291</v>
      </c>
      <c r="D307" t="s">
        <v>1254</v>
      </c>
    </row>
    <row r="308" spans="1:4" x14ac:dyDescent="0.2">
      <c r="A308" t="str">
        <f t="shared" ca="1" si="3"/>
        <v>Незавершенные инвестиции</v>
      </c>
      <c r="B308" s="101" t="s">
        <v>2014</v>
      </c>
      <c r="C308" t="s">
        <v>1292</v>
      </c>
      <c r="D308" t="s">
        <v>1255</v>
      </c>
    </row>
    <row r="309" spans="1:4" x14ac:dyDescent="0.2">
      <c r="A309" t="str">
        <f t="shared" ca="1" si="3"/>
        <v>Срок амортизации</v>
      </c>
      <c r="B309" s="101" t="s">
        <v>2421</v>
      </c>
      <c r="C309" t="s">
        <v>1293</v>
      </c>
      <c r="D309" t="s">
        <v>1256</v>
      </c>
    </row>
    <row r="310" spans="1:4" x14ac:dyDescent="0.2">
      <c r="A310" t="str">
        <f t="shared" ca="1" si="3"/>
        <v xml:space="preserve">    балансовая стоимость</v>
      </c>
      <c r="B310" s="101" t="s">
        <v>2351</v>
      </c>
      <c r="C310" t="s">
        <v>1294</v>
      </c>
      <c r="D310" t="s">
        <v>1257</v>
      </c>
    </row>
    <row r="311" spans="1:4" x14ac:dyDescent="0.2">
      <c r="A311" t="str">
        <f t="shared" ca="1" si="3"/>
        <v xml:space="preserve">    амортизация за текущий период</v>
      </c>
      <c r="B311" s="101" t="s">
        <v>2461</v>
      </c>
      <c r="C311" t="s">
        <v>1295</v>
      </c>
      <c r="D311" t="s">
        <v>1258</v>
      </c>
    </row>
    <row r="312" spans="1:4" x14ac:dyDescent="0.2">
      <c r="A312" t="str">
        <f t="shared" ca="1" si="3"/>
        <v xml:space="preserve">    накопленная амортизация</v>
      </c>
      <c r="B312" s="101" t="s">
        <v>198</v>
      </c>
      <c r="C312" t="s">
        <v>1296</v>
      </c>
      <c r="D312" t="s">
        <v>1259</v>
      </c>
    </row>
    <row r="313" spans="1:4" x14ac:dyDescent="0.2">
      <c r="A313" t="str">
        <f t="shared" ca="1" si="3"/>
        <v xml:space="preserve">    остаточная стоимость</v>
      </c>
      <c r="B313" s="101" t="s">
        <v>199</v>
      </c>
      <c r="C313" t="s">
        <v>1297</v>
      </c>
      <c r="D313" t="s">
        <v>1260</v>
      </c>
    </row>
    <row r="314" spans="1:4" x14ac:dyDescent="0.2">
      <c r="A314" t="str">
        <f t="shared" ca="1" si="3"/>
        <v>Зачет НДС</v>
      </c>
      <c r="B314" s="101" t="s">
        <v>2462</v>
      </c>
      <c r="C314" t="s">
        <v>1298</v>
      </c>
      <c r="D314" t="s">
        <v>1150</v>
      </c>
    </row>
    <row r="315" spans="1:4" x14ac:dyDescent="0.2">
      <c r="A315" t="str">
        <f t="shared" ca="1" si="3"/>
        <v>Продажа объекта после собственной эксплуатации (без НДС)</v>
      </c>
      <c r="B315" s="101" t="s">
        <v>664</v>
      </c>
      <c r="C315" t="s">
        <v>1299</v>
      </c>
      <c r="D315" t="s">
        <v>1151</v>
      </c>
    </row>
    <row r="316" spans="1:4" x14ac:dyDescent="0.2">
      <c r="A316" t="str">
        <f t="shared" ca="1" si="3"/>
        <v xml:space="preserve">    продаваемая доля объекта</v>
      </c>
      <c r="B316" s="101" t="s">
        <v>2552</v>
      </c>
      <c r="C316" s="128" t="s">
        <v>1300</v>
      </c>
      <c r="D316" t="s">
        <v>1152</v>
      </c>
    </row>
    <row r="317" spans="1:4" x14ac:dyDescent="0.2">
      <c r="A317" t="str">
        <f t="shared" ca="1" si="3"/>
        <v xml:space="preserve">    прибыль / убыток от продажи объекта</v>
      </c>
      <c r="B317" s="16" t="s">
        <v>2463</v>
      </c>
      <c r="C317" t="s">
        <v>1208</v>
      </c>
      <c r="D317" t="s">
        <v>1153</v>
      </c>
    </row>
    <row r="318" spans="1:4" x14ac:dyDescent="0.2">
      <c r="A318" t="str">
        <f t="shared" ca="1" si="3"/>
        <v xml:space="preserve">    НДС к выручке от продажи объекта</v>
      </c>
      <c r="B318" s="16" t="s">
        <v>2464</v>
      </c>
      <c r="C318" t="s">
        <v>1209</v>
      </c>
      <c r="D318" t="s">
        <v>1184</v>
      </c>
    </row>
    <row r="319" spans="1:4" x14ac:dyDescent="0.2">
      <c r="A319" t="str">
        <f t="shared" ca="1" si="3"/>
        <v>Авансы подрядчикам</v>
      </c>
      <c r="B319" s="16" t="s">
        <v>2465</v>
      </c>
      <c r="C319" t="s">
        <v>1210</v>
      </c>
      <c r="D319" t="s">
        <v>1185</v>
      </c>
    </row>
    <row r="320" spans="1:4" x14ac:dyDescent="0.2">
      <c r="A320" t="str">
        <f t="shared" ca="1" si="3"/>
        <v>Кредиторская задолженность подрядчикам</v>
      </c>
      <c r="B320" s="16" t="s">
        <v>2466</v>
      </c>
      <c r="C320" t="s">
        <v>1210</v>
      </c>
      <c r="D320" t="s">
        <v>1186</v>
      </c>
    </row>
    <row r="321" spans="1:4" x14ac:dyDescent="0.2">
      <c r="A321" t="str">
        <f t="shared" ca="1" si="3"/>
        <v>Учет доли к передаче дольщикам / соинвесторам</v>
      </c>
      <c r="B321" s="46" t="s">
        <v>2467</v>
      </c>
      <c r="C321" t="s">
        <v>1326</v>
      </c>
      <c r="D321" t="s">
        <v>1187</v>
      </c>
    </row>
    <row r="322" spans="1:4" x14ac:dyDescent="0.2">
      <c r="A322" t="str">
        <f t="shared" ca="1" si="3"/>
        <v>Незавершенные инвестиции</v>
      </c>
      <c r="B322" s="46" t="s">
        <v>2014</v>
      </c>
      <c r="C322" t="s">
        <v>1292</v>
      </c>
      <c r="D322" t="s">
        <v>1255</v>
      </c>
    </row>
    <row r="323" spans="1:4" x14ac:dyDescent="0.2">
      <c r="A323" t="str">
        <f t="shared" ca="1" si="3"/>
        <v>Здания и сооружения на балансе</v>
      </c>
      <c r="B323" s="46" t="s">
        <v>2420</v>
      </c>
      <c r="C323" t="s">
        <v>1327</v>
      </c>
      <c r="D323" t="s">
        <v>1188</v>
      </c>
    </row>
    <row r="324" spans="1:4" x14ac:dyDescent="0.2">
      <c r="A324" t="str">
        <f t="shared" ca="1" si="3"/>
        <v>Выплаченный, но не зачтенный НДС</v>
      </c>
      <c r="B324" s="46" t="s">
        <v>585</v>
      </c>
      <c r="C324" t="s">
        <v>1328</v>
      </c>
      <c r="D324" t="s">
        <v>1189</v>
      </c>
    </row>
    <row r="325" spans="1:4" x14ac:dyDescent="0.2">
      <c r="A325" t="str">
        <f t="shared" ca="1" si="3"/>
        <v>Списание стоимости переданных площадей:</v>
      </c>
      <c r="B325" s="46" t="s">
        <v>2468</v>
      </c>
      <c r="C325" t="s">
        <v>1329</v>
      </c>
      <c r="D325" t="s">
        <v>1190</v>
      </c>
    </row>
    <row r="326" spans="1:4" x14ac:dyDescent="0.2">
      <c r="A326" t="str">
        <f t="shared" ca="1" si="3"/>
        <v xml:space="preserve">    доля объекта, переданная в текущем периоде</v>
      </c>
      <c r="B326" s="46" t="s">
        <v>2469</v>
      </c>
      <c r="C326" t="s">
        <v>1330</v>
      </c>
      <c r="D326" t="s">
        <v>1191</v>
      </c>
    </row>
    <row r="327" spans="1:4" x14ac:dyDescent="0.2">
      <c r="A327" t="str">
        <f t="shared" ca="1" si="3"/>
        <v xml:space="preserve">    балансовая стоимость</v>
      </c>
      <c r="B327" s="46" t="s">
        <v>2351</v>
      </c>
      <c r="C327" t="s">
        <v>1331</v>
      </c>
      <c r="D327" t="s">
        <v>1192</v>
      </c>
    </row>
    <row r="328" spans="1:4" x14ac:dyDescent="0.2">
      <c r="A328" t="str">
        <f t="shared" ca="1" si="3"/>
        <v xml:space="preserve">    прибыль/убыток от реализации активов</v>
      </c>
      <c r="B328" s="46" t="s">
        <v>2352</v>
      </c>
      <c r="C328" t="s">
        <v>1208</v>
      </c>
      <c r="D328" t="s">
        <v>1153</v>
      </c>
    </row>
    <row r="329" spans="1:4" x14ac:dyDescent="0.2">
      <c r="A329" t="str">
        <f t="shared" ca="1" si="3"/>
        <v>Стоимость оставшейся доли объекта на начало периода:</v>
      </c>
      <c r="B329" s="46" t="s">
        <v>2334</v>
      </c>
      <c r="C329" t="s">
        <v>2435</v>
      </c>
      <c r="D329" t="s">
        <v>1193</v>
      </c>
    </row>
    <row r="330" spans="1:4" x14ac:dyDescent="0.2">
      <c r="A330" t="str">
        <f t="shared" ca="1" si="3"/>
        <v xml:space="preserve">    непроданная доля объекта</v>
      </c>
      <c r="B330" s="46" t="s">
        <v>2470</v>
      </c>
      <c r="C330" t="s">
        <v>1332</v>
      </c>
      <c r="D330" t="s">
        <v>1194</v>
      </c>
    </row>
    <row r="331" spans="1:4" x14ac:dyDescent="0.2">
      <c r="A331" t="str">
        <f t="shared" ca="1" si="3"/>
        <v xml:space="preserve">    балансовая стоимость</v>
      </c>
      <c r="B331" s="46" t="s">
        <v>2351</v>
      </c>
      <c r="C331" t="s">
        <v>1331</v>
      </c>
      <c r="D331" t="s">
        <v>1192</v>
      </c>
    </row>
    <row r="332" spans="1:4" x14ac:dyDescent="0.2">
      <c r="A332" t="str">
        <f t="shared" ca="1" si="3"/>
        <v>Авансы подрядчикам</v>
      </c>
      <c r="B332" s="46" t="s">
        <v>2465</v>
      </c>
      <c r="C332" t="s">
        <v>1210</v>
      </c>
      <c r="D332" t="s">
        <v>1185</v>
      </c>
    </row>
    <row r="333" spans="1:4" x14ac:dyDescent="0.2">
      <c r="A333" t="str">
        <f t="shared" ca="1" si="3"/>
        <v>Кредиторская задолженность подрядчикам</v>
      </c>
      <c r="B333" s="46" t="s">
        <v>2466</v>
      </c>
      <c r="C333" t="s">
        <v>1617</v>
      </c>
      <c r="D333" t="s">
        <v>1186</v>
      </c>
    </row>
    <row r="334" spans="1:4" x14ac:dyDescent="0.2">
      <c r="A334" t="str">
        <f t="shared" ca="1" si="3"/>
        <v>Доходы от продажи площадей</v>
      </c>
      <c r="B334" s="16" t="s">
        <v>2471</v>
      </c>
      <c r="C334" t="s">
        <v>1618</v>
      </c>
      <c r="D334" t="s">
        <v>1110</v>
      </c>
    </row>
    <row r="335" spans="1:4" x14ac:dyDescent="0.2">
      <c r="A335" t="str">
        <f t="shared" ca="1" si="3"/>
        <v>Поступления от продажи площадей</v>
      </c>
      <c r="B335" s="16" t="s">
        <v>2472</v>
      </c>
      <c r="C335" t="s">
        <v>1619</v>
      </c>
      <c r="D335" t="s">
        <v>1195</v>
      </c>
    </row>
    <row r="336" spans="1:4" x14ac:dyDescent="0.2">
      <c r="A336" t="str">
        <f t="shared" ca="1" si="3"/>
        <v xml:space="preserve">    доходы без НДС</v>
      </c>
      <c r="B336" s="16" t="s">
        <v>2473</v>
      </c>
      <c r="C336" t="s">
        <v>1620</v>
      </c>
      <c r="D336" t="s">
        <v>1196</v>
      </c>
    </row>
    <row r="337" spans="1:4" x14ac:dyDescent="0.2">
      <c r="A337" t="str">
        <f t="shared" ca="1" si="3"/>
        <v>Передача проданных площадей</v>
      </c>
      <c r="B337" s="16" t="s">
        <v>2474</v>
      </c>
      <c r="C337" t="s">
        <v>1621</v>
      </c>
      <c r="D337" t="s">
        <v>1197</v>
      </c>
    </row>
    <row r="338" spans="1:4" x14ac:dyDescent="0.2">
      <c r="A338" t="str">
        <f t="shared" ca="1" si="3"/>
        <v xml:space="preserve">    передача без НДС</v>
      </c>
      <c r="B338" s="16" t="s">
        <v>2475</v>
      </c>
      <c r="C338" t="s">
        <v>1622</v>
      </c>
      <c r="D338" t="s">
        <v>1198</v>
      </c>
    </row>
    <row r="339" spans="1:4" x14ac:dyDescent="0.2">
      <c r="A339" t="str">
        <f t="shared" ca="1" si="3"/>
        <v>Себестоимость проданных площадей</v>
      </c>
      <c r="B339" s="16" t="s">
        <v>2476</v>
      </c>
      <c r="C339" t="s">
        <v>1336</v>
      </c>
      <c r="D339" t="s">
        <v>1199</v>
      </c>
    </row>
    <row r="340" spans="1:4" x14ac:dyDescent="0.2">
      <c r="A340" t="str">
        <f t="shared" ca="1" si="3"/>
        <v>Полученные авансы</v>
      </c>
      <c r="B340" s="16" t="s">
        <v>2477</v>
      </c>
      <c r="C340" t="s">
        <v>608</v>
      </c>
      <c r="D340" t="s">
        <v>893</v>
      </c>
    </row>
    <row r="341" spans="1:4" x14ac:dyDescent="0.2">
      <c r="A341" t="str">
        <f t="shared" ca="1" si="3"/>
        <v xml:space="preserve">   НДС с авансов</v>
      </c>
      <c r="B341" s="16" t="s">
        <v>2478</v>
      </c>
      <c r="C341" t="s">
        <v>1337</v>
      </c>
      <c r="D341" t="s">
        <v>1200</v>
      </c>
    </row>
    <row r="342" spans="1:4" x14ac:dyDescent="0.2">
      <c r="A342" t="str">
        <f t="shared" ca="1" si="3"/>
        <v xml:space="preserve">   НДС в бюджет</v>
      </c>
      <c r="B342" s="16" t="s">
        <v>2340</v>
      </c>
      <c r="C342" t="s">
        <v>1338</v>
      </c>
      <c r="D342" t="s">
        <v>1201</v>
      </c>
    </row>
    <row r="343" spans="1:4" x14ac:dyDescent="0.2">
      <c r="A343" t="str">
        <f t="shared" ca="1" si="3"/>
        <v>Дебиторская задолженность</v>
      </c>
      <c r="B343" s="16" t="s">
        <v>2240</v>
      </c>
      <c r="C343" t="s">
        <v>1339</v>
      </c>
      <c r="D343" t="s">
        <v>995</v>
      </c>
    </row>
    <row r="344" spans="1:4" x14ac:dyDescent="0.2">
      <c r="A344" t="str">
        <f t="shared" ca="1" si="3"/>
        <v>Доходы от аренды</v>
      </c>
      <c r="B344" s="16" t="s">
        <v>2479</v>
      </c>
      <c r="C344" t="s">
        <v>1161</v>
      </c>
      <c r="D344" t="s">
        <v>1120</v>
      </c>
    </row>
    <row r="345" spans="1:4" x14ac:dyDescent="0.2">
      <c r="A345" t="str">
        <f t="shared" ca="1" si="3"/>
        <v xml:space="preserve">    доходы без НДС</v>
      </c>
      <c r="B345" s="16" t="s">
        <v>2473</v>
      </c>
      <c r="C345" t="s">
        <v>1340</v>
      </c>
      <c r="D345" t="s">
        <v>1196</v>
      </c>
    </row>
    <row r="346" spans="1:4" x14ac:dyDescent="0.2">
      <c r="A346" t="str">
        <f t="shared" ca="1" si="3"/>
        <v>Учет объекта в текущих активах</v>
      </c>
      <c r="B346" s="16" t="s">
        <v>2480</v>
      </c>
      <c r="C346" t="s">
        <v>1341</v>
      </c>
      <c r="D346" t="s">
        <v>1202</v>
      </c>
    </row>
    <row r="347" spans="1:4" x14ac:dyDescent="0.2">
      <c r="A347" t="str">
        <f t="shared" ca="1" si="3"/>
        <v>Незавершенное производство</v>
      </c>
      <c r="B347" s="16" t="s">
        <v>343</v>
      </c>
      <c r="C347" t="s">
        <v>592</v>
      </c>
      <c r="D347" t="s">
        <v>1203</v>
      </c>
    </row>
    <row r="348" spans="1:4" x14ac:dyDescent="0.2">
      <c r="A348" t="str">
        <f t="shared" ca="1" si="3"/>
        <v>Запасы готовой продукции</v>
      </c>
      <c r="B348" s="16" t="s">
        <v>2157</v>
      </c>
      <c r="C348" t="s">
        <v>593</v>
      </c>
      <c r="D348" t="s">
        <v>994</v>
      </c>
    </row>
    <row r="349" spans="1:4" x14ac:dyDescent="0.2">
      <c r="A349" t="str">
        <f t="shared" ca="1" si="3"/>
        <v>НДС к ранее осуществленным инвестициям, включаемый в затраты</v>
      </c>
      <c r="B349" s="16" t="s">
        <v>471</v>
      </c>
      <c r="C349" t="s">
        <v>472</v>
      </c>
      <c r="D349" t="s">
        <v>1204</v>
      </c>
    </row>
    <row r="350" spans="1:4" x14ac:dyDescent="0.2">
      <c r="A350" t="str">
        <f t="shared" ca="1" si="3"/>
        <v>Авансы подрядчикам</v>
      </c>
      <c r="B350" s="16" t="s">
        <v>2465</v>
      </c>
      <c r="C350" t="s">
        <v>1210</v>
      </c>
      <c r="D350" t="s">
        <v>1185</v>
      </c>
    </row>
    <row r="351" spans="1:4" x14ac:dyDescent="0.2">
      <c r="A351" t="str">
        <f t="shared" ca="1" si="3"/>
        <v>Кредиторская задолженность подрядчикам</v>
      </c>
      <c r="B351" s="16" t="s">
        <v>2466</v>
      </c>
      <c r="C351" t="s">
        <v>1617</v>
      </c>
      <c r="D351" t="s">
        <v>1186</v>
      </c>
    </row>
    <row r="352" spans="1:4" x14ac:dyDescent="0.2">
      <c r="A352" t="str">
        <f t="shared" ca="1" si="1"/>
        <v xml:space="preserve">         СУЩЕСТВУЮЩИЕ АКТИВЫ ПРОЕКТА</v>
      </c>
      <c r="B352" s="24" t="s">
        <v>655</v>
      </c>
      <c r="C352" s="24" t="s">
        <v>1342</v>
      </c>
      <c r="D352" t="s">
        <v>841</v>
      </c>
    </row>
    <row r="353" spans="1:4" x14ac:dyDescent="0.2">
      <c r="A353" t="str">
        <f t="shared" ca="1" si="1"/>
        <v>Существующие активы</v>
      </c>
      <c r="B353" s="46" t="s">
        <v>1333</v>
      </c>
      <c r="C353" s="128" t="s">
        <v>1334</v>
      </c>
      <c r="D353" t="s">
        <v>1335</v>
      </c>
    </row>
    <row r="354" spans="1:4" x14ac:dyDescent="0.2">
      <c r="A354" t="str">
        <f t="shared" ref="A354:A369" ca="1" si="4">OFFSET(A354,0,LanguageID)</f>
        <v xml:space="preserve">  Амортизация</v>
      </c>
      <c r="B354" s="23" t="s">
        <v>1954</v>
      </c>
      <c r="C354" s="23" t="s">
        <v>1955</v>
      </c>
      <c r="D354" t="s">
        <v>1956</v>
      </c>
    </row>
    <row r="355" spans="1:4" x14ac:dyDescent="0.2">
      <c r="A355" t="str">
        <f t="shared" ca="1" si="4"/>
        <v>Существующие внеоборотные активы</v>
      </c>
      <c r="B355" s="24" t="s">
        <v>207</v>
      </c>
      <c r="C355" s="23" t="s">
        <v>1343</v>
      </c>
      <c r="D355" t="s">
        <v>1205</v>
      </c>
    </row>
    <row r="356" spans="1:4" x14ac:dyDescent="0.2">
      <c r="A356" t="str">
        <f t="shared" ca="1" si="4"/>
        <v>Здания и сооружения</v>
      </c>
      <c r="B356" s="24" t="s">
        <v>180</v>
      </c>
      <c r="C356" t="s">
        <v>1344</v>
      </c>
      <c r="D356" t="s">
        <v>1206</v>
      </c>
    </row>
    <row r="357" spans="1:4" x14ac:dyDescent="0.2">
      <c r="A357" t="str">
        <f t="shared" ca="1" si="4"/>
        <v xml:space="preserve">    первоначальная стоимость</v>
      </c>
      <c r="B357" s="24" t="s">
        <v>580</v>
      </c>
      <c r="C357" s="24" t="s">
        <v>1345</v>
      </c>
      <c r="D357" t="s">
        <v>1207</v>
      </c>
    </row>
    <row r="358" spans="1:4" x14ac:dyDescent="0.2">
      <c r="A358" t="str">
        <f t="shared" ca="1" si="4"/>
        <v xml:space="preserve">    амортизация (линейная),       для срока использования:</v>
      </c>
      <c r="B358" s="24" t="s">
        <v>2259</v>
      </c>
      <c r="C358" t="s">
        <v>1346</v>
      </c>
      <c r="D358" t="s">
        <v>1481</v>
      </c>
    </row>
    <row r="359" spans="1:4" x14ac:dyDescent="0.2">
      <c r="A359" t="str">
        <f t="shared" ca="1" si="4"/>
        <v xml:space="preserve">    накопленная амортизация</v>
      </c>
      <c r="B359" s="128" t="s">
        <v>198</v>
      </c>
      <c r="C359" t="s">
        <v>1296</v>
      </c>
      <c r="D359" t="s">
        <v>1259</v>
      </c>
    </row>
    <row r="360" spans="1:4" x14ac:dyDescent="0.2">
      <c r="A360" t="str">
        <f t="shared" ca="1" si="4"/>
        <v xml:space="preserve">    остаточная стоимость</v>
      </c>
      <c r="B360" s="128" t="s">
        <v>199</v>
      </c>
      <c r="C360" t="s">
        <v>1297</v>
      </c>
      <c r="D360" t="s">
        <v>1260</v>
      </c>
    </row>
    <row r="361" spans="1:4" x14ac:dyDescent="0.2">
      <c r="A361" t="str">
        <f t="shared" ca="1" si="4"/>
        <v xml:space="preserve">    реализация актива (без НДС)</v>
      </c>
      <c r="B361" s="24" t="s">
        <v>203</v>
      </c>
      <c r="C361" t="s">
        <v>1347</v>
      </c>
      <c r="D361" t="s">
        <v>1482</v>
      </c>
    </row>
    <row r="362" spans="1:4" x14ac:dyDescent="0.2">
      <c r="A362" t="str">
        <f t="shared" ca="1" si="4"/>
        <v xml:space="preserve">    прибыль/убыток от реализации актива</v>
      </c>
      <c r="B362" s="24" t="s">
        <v>204</v>
      </c>
      <c r="C362" t="s">
        <v>1348</v>
      </c>
      <c r="D362" t="s">
        <v>1483</v>
      </c>
    </row>
    <row r="363" spans="1:4" x14ac:dyDescent="0.2">
      <c r="A363" t="str">
        <f t="shared" ca="1" si="4"/>
        <v xml:space="preserve">    НДС к выручке от реализации актива</v>
      </c>
      <c r="B363" s="24" t="s">
        <v>205</v>
      </c>
      <c r="C363" t="s">
        <v>1349</v>
      </c>
      <c r="D363" t="s">
        <v>1484</v>
      </c>
    </row>
    <row r="364" spans="1:4" x14ac:dyDescent="0.2">
      <c r="A364" t="str">
        <f t="shared" ca="1" si="4"/>
        <v>Земельные участки</v>
      </c>
      <c r="B364" s="24" t="s">
        <v>181</v>
      </c>
      <c r="C364" t="s">
        <v>1350</v>
      </c>
      <c r="D364" t="s">
        <v>1485</v>
      </c>
    </row>
    <row r="365" spans="1:4" x14ac:dyDescent="0.2">
      <c r="A365" t="str">
        <f t="shared" ca="1" si="4"/>
        <v>Нематериальные активы</v>
      </c>
      <c r="B365" s="24" t="s">
        <v>182</v>
      </c>
      <c r="C365" t="s">
        <v>1351</v>
      </c>
      <c r="D365" t="s">
        <v>1486</v>
      </c>
    </row>
    <row r="366" spans="1:4" x14ac:dyDescent="0.2">
      <c r="A366" t="str">
        <f t="shared" ca="1" si="4"/>
        <v>Оборудование и другие активы</v>
      </c>
      <c r="B366" s="24" t="s">
        <v>183</v>
      </c>
      <c r="C366" t="s">
        <v>1066</v>
      </c>
      <c r="D366" t="s">
        <v>1623</v>
      </c>
    </row>
    <row r="367" spans="1:4" x14ac:dyDescent="0.2">
      <c r="A367" t="str">
        <f t="shared" ca="1" si="4"/>
        <v>Существующие расходы будущих периодов</v>
      </c>
      <c r="B367" s="24" t="s">
        <v>579</v>
      </c>
      <c r="C367" t="s">
        <v>1067</v>
      </c>
      <c r="D367" t="s">
        <v>1624</v>
      </c>
    </row>
    <row r="368" spans="1:4" x14ac:dyDescent="0.2">
      <c r="A368" t="str">
        <f t="shared" ca="1" si="4"/>
        <v>Существующие финансовые вложения</v>
      </c>
      <c r="B368" s="24" t="s">
        <v>429</v>
      </c>
      <c r="C368" t="s">
        <v>1068</v>
      </c>
      <c r="D368" t="s">
        <v>1625</v>
      </c>
    </row>
    <row r="369" spans="1:4" x14ac:dyDescent="0.2">
      <c r="A369" t="str">
        <f t="shared" ca="1" si="4"/>
        <v xml:space="preserve">    доходность финансовых вложений</v>
      </c>
      <c r="B369" s="24" t="s">
        <v>2261</v>
      </c>
      <c r="C369" t="s">
        <v>1368</v>
      </c>
      <c r="D369" t="s">
        <v>1957</v>
      </c>
    </row>
    <row r="370" spans="1:4" x14ac:dyDescent="0.2">
      <c r="A370" t="str">
        <f t="shared" ca="1" si="1"/>
        <v xml:space="preserve">         ИНВЕСТИЦИИ ПРОЕКТА</v>
      </c>
      <c r="B370" s="24" t="s">
        <v>656</v>
      </c>
      <c r="C370" s="24" t="s">
        <v>1074</v>
      </c>
      <c r="D370" t="s">
        <v>842</v>
      </c>
    </row>
    <row r="371" spans="1:4" x14ac:dyDescent="0.2">
      <c r="A371" t="str">
        <f t="shared" ca="1" si="1"/>
        <v>ИТОГО</v>
      </c>
      <c r="B371" t="s">
        <v>187</v>
      </c>
      <c r="C371" s="128" t="s">
        <v>866</v>
      </c>
      <c r="D371" t="s">
        <v>1626</v>
      </c>
    </row>
    <row r="372" spans="1:4" x14ac:dyDescent="0.2">
      <c r="A372" t="str">
        <f t="shared" ca="1" si="1"/>
        <v>по мере оплаты актива</v>
      </c>
      <c r="B372" t="s">
        <v>546</v>
      </c>
      <c r="C372" s="128" t="s">
        <v>1075</v>
      </c>
      <c r="D372" t="s">
        <v>1627</v>
      </c>
    </row>
    <row r="373" spans="1:4" x14ac:dyDescent="0.2">
      <c r="A373" t="str">
        <f t="shared" ca="1" si="1"/>
        <v>после постановки актива на баланс</v>
      </c>
      <c r="B373" t="s">
        <v>547</v>
      </c>
      <c r="C373" t="s">
        <v>1076</v>
      </c>
      <c r="D373" t="s">
        <v>1628</v>
      </c>
    </row>
    <row r="374" spans="1:4" x14ac:dyDescent="0.2">
      <c r="A374" t="str">
        <f t="shared" ca="1" si="1"/>
        <v>да</v>
      </c>
      <c r="B374" t="s">
        <v>554</v>
      </c>
      <c r="C374" t="s">
        <v>1077</v>
      </c>
      <c r="D374" t="s">
        <v>1629</v>
      </c>
    </row>
    <row r="375" spans="1:4" x14ac:dyDescent="0.2">
      <c r="A375" t="str">
        <f t="shared" ca="1" si="1"/>
        <v>нет</v>
      </c>
      <c r="B375" t="s">
        <v>553</v>
      </c>
      <c r="C375" t="s">
        <v>1078</v>
      </c>
      <c r="D375" t="s">
        <v>1630</v>
      </c>
    </row>
    <row r="376" spans="1:4" x14ac:dyDescent="0.2">
      <c r="A376" t="str">
        <f t="shared" ref="A376:A428" ca="1" si="5">OFFSET(A376,0,LanguageID)</f>
        <v>периода</v>
      </c>
      <c r="B376" s="225" t="s">
        <v>430</v>
      </c>
      <c r="C376" t="s">
        <v>1042</v>
      </c>
      <c r="D376" t="s">
        <v>1631</v>
      </c>
    </row>
    <row r="377" spans="1:4" x14ac:dyDescent="0.2">
      <c r="A377" t="str">
        <f t="shared" ca="1" si="5"/>
        <v>период</v>
      </c>
      <c r="B377" s="225" t="s">
        <v>552</v>
      </c>
      <c r="C377" t="s">
        <v>1042</v>
      </c>
      <c r="D377" t="s">
        <v>1632</v>
      </c>
    </row>
    <row r="378" spans="1:4" x14ac:dyDescent="0.2">
      <c r="A378" t="str">
        <f t="shared" ca="1" si="5"/>
        <v>Земельные участки</v>
      </c>
      <c r="B378" s="52" t="s">
        <v>181</v>
      </c>
      <c r="C378" t="s">
        <v>1350</v>
      </c>
      <c r="D378" t="s">
        <v>1485</v>
      </c>
    </row>
    <row r="379" spans="1:4" x14ac:dyDescent="0.2">
      <c r="A379" t="str">
        <f t="shared" ca="1" si="5"/>
        <v>Наименование</v>
      </c>
      <c r="B379" s="52" t="s">
        <v>185</v>
      </c>
      <c r="C379" t="s">
        <v>1079</v>
      </c>
      <c r="D379" t="s">
        <v>1633</v>
      </c>
    </row>
    <row r="380" spans="1:4" x14ac:dyDescent="0.2">
      <c r="A380" t="str">
        <f t="shared" ca="1" si="5"/>
        <v xml:space="preserve">    величина платежей</v>
      </c>
      <c r="B380" s="52" t="s">
        <v>548</v>
      </c>
      <c r="C380" t="s">
        <v>1080</v>
      </c>
      <c r="D380" t="s">
        <v>1634</v>
      </c>
    </row>
    <row r="381" spans="1:4" x14ac:dyDescent="0.2">
      <c r="A381" t="str">
        <f t="shared" ca="1" si="5"/>
        <v xml:space="preserve">    величина платежей (с НДС)</v>
      </c>
      <c r="B381" s="52" t="s">
        <v>2607</v>
      </c>
      <c r="C381" t="s">
        <v>1081</v>
      </c>
      <c r="D381" t="s">
        <v>1635</v>
      </c>
    </row>
    <row r="382" spans="1:4" x14ac:dyDescent="0.2">
      <c r="A382" t="str">
        <f t="shared" ca="1" si="5"/>
        <v xml:space="preserve">    величина платежей (без НДС)</v>
      </c>
      <c r="B382" s="52" t="s">
        <v>1525</v>
      </c>
      <c r="C382" t="s">
        <v>1431</v>
      </c>
      <c r="D382" t="s">
        <v>1524</v>
      </c>
    </row>
    <row r="383" spans="1:4" x14ac:dyDescent="0.2">
      <c r="A383" t="str">
        <f t="shared" ca="1" si="5"/>
        <v xml:space="preserve">    ранее осуществленные инвестиции (без НДС)</v>
      </c>
      <c r="B383" t="s">
        <v>190</v>
      </c>
      <c r="C383" t="s">
        <v>1082</v>
      </c>
      <c r="D383" t="s">
        <v>1636</v>
      </c>
    </row>
    <row r="384" spans="1:4" x14ac:dyDescent="0.2">
      <c r="A384" t="str">
        <f t="shared" ca="1" si="5"/>
        <v xml:space="preserve">    поставить на баланс с</v>
      </c>
      <c r="B384" s="52" t="s">
        <v>192</v>
      </c>
      <c r="C384" t="s">
        <v>1083</v>
      </c>
      <c r="D384" t="s">
        <v>1637</v>
      </c>
    </row>
    <row r="385" spans="1:4" x14ac:dyDescent="0.2">
      <c r="A385" t="str">
        <f t="shared" ca="1" si="5"/>
        <v xml:space="preserve">    сумма платежей без НДС</v>
      </c>
      <c r="B385" s="52" t="s">
        <v>189</v>
      </c>
      <c r="C385" t="s">
        <v>1084</v>
      </c>
      <c r="D385" t="s">
        <v>1638</v>
      </c>
    </row>
    <row r="386" spans="1:4" x14ac:dyDescent="0.2">
      <c r="A386" t="str">
        <f t="shared" ca="1" si="5"/>
        <v xml:space="preserve">    общая стоимость актива (без НДС)</v>
      </c>
      <c r="B386" s="52" t="s">
        <v>191</v>
      </c>
      <c r="C386" t="s">
        <v>1085</v>
      </c>
      <c r="D386" t="s">
        <v>1639</v>
      </c>
    </row>
    <row r="387" spans="1:4" x14ac:dyDescent="0.2">
      <c r="A387" t="str">
        <f t="shared" ca="1" si="5"/>
        <v xml:space="preserve">    полная сумма вложений в актив (без НДС)</v>
      </c>
      <c r="B387" s="52" t="s">
        <v>193</v>
      </c>
      <c r="C387" t="s">
        <v>1086</v>
      </c>
      <c r="D387" t="s">
        <v>1640</v>
      </c>
    </row>
    <row r="388" spans="1:4" x14ac:dyDescent="0.2">
      <c r="A388" t="str">
        <f t="shared" ca="1" si="5"/>
        <v xml:space="preserve">    полная балансовая стоимость</v>
      </c>
      <c r="B388" s="52" t="s">
        <v>194</v>
      </c>
      <c r="C388" t="s">
        <v>1294</v>
      </c>
      <c r="D388" t="s">
        <v>1257</v>
      </c>
    </row>
    <row r="389" spans="1:4" x14ac:dyDescent="0.2">
      <c r="A389" t="str">
        <f t="shared" ca="1" si="5"/>
        <v xml:space="preserve">    незавершенные инвестиции</v>
      </c>
      <c r="B389" s="52" t="s">
        <v>195</v>
      </c>
      <c r="C389" t="s">
        <v>1087</v>
      </c>
      <c r="D389" t="s">
        <v>1641</v>
      </c>
    </row>
    <row r="390" spans="1:4" x14ac:dyDescent="0.2">
      <c r="A390" t="str">
        <f t="shared" ca="1" si="5"/>
        <v xml:space="preserve">    кредиторская задолженность</v>
      </c>
      <c r="B390" s="52" t="s">
        <v>196</v>
      </c>
      <c r="C390" t="s">
        <v>1088</v>
      </c>
      <c r="D390" t="s">
        <v>1642</v>
      </c>
    </row>
    <row r="391" spans="1:4" x14ac:dyDescent="0.2">
      <c r="A391" t="str">
        <f t="shared" ca="1" si="5"/>
        <v xml:space="preserve">    остаточная стоимость</v>
      </c>
      <c r="B391" s="52" t="s">
        <v>199</v>
      </c>
      <c r="C391" t="s">
        <v>1297</v>
      </c>
      <c r="D391" t="s">
        <v>1260</v>
      </c>
    </row>
    <row r="392" spans="1:4" x14ac:dyDescent="0.2">
      <c r="A392" t="str">
        <f t="shared" ca="1" si="5"/>
        <v>Здания и сооружения</v>
      </c>
      <c r="B392" s="23" t="s">
        <v>180</v>
      </c>
      <c r="C392" t="s">
        <v>1344</v>
      </c>
      <c r="D392" t="s">
        <v>1643</v>
      </c>
    </row>
    <row r="393" spans="1:4" x14ac:dyDescent="0.2">
      <c r="A393" t="str">
        <f t="shared" ca="1" si="5"/>
        <v xml:space="preserve">    амортизация (линейная),       для срока использования:</v>
      </c>
      <c r="B393" t="s">
        <v>2259</v>
      </c>
      <c r="C393" t="s">
        <v>1346</v>
      </c>
      <c r="D393" t="s">
        <v>1481</v>
      </c>
    </row>
    <row r="394" spans="1:4" x14ac:dyDescent="0.2">
      <c r="A394" t="str">
        <f t="shared" ca="1" si="5"/>
        <v xml:space="preserve">    амортизация (ускоренная),    для срока использования:</v>
      </c>
      <c r="B394" t="s">
        <v>197</v>
      </c>
      <c r="C394" t="s">
        <v>1089</v>
      </c>
      <c r="D394" t="s">
        <v>1644</v>
      </c>
    </row>
    <row r="395" spans="1:4" x14ac:dyDescent="0.2">
      <c r="A395" t="str">
        <f t="shared" ca="1" si="5"/>
        <v xml:space="preserve">    выплаченный НДС</v>
      </c>
      <c r="B395" t="s">
        <v>200</v>
      </c>
      <c r="C395" t="s">
        <v>1338</v>
      </c>
      <c r="D395" t="s">
        <v>1201</v>
      </c>
    </row>
    <row r="396" spans="1:4" x14ac:dyDescent="0.2">
      <c r="A396" t="str">
        <f t="shared" ca="1" si="5"/>
        <v xml:space="preserve">    вариант зачета НДС</v>
      </c>
      <c r="B396" t="s">
        <v>545</v>
      </c>
      <c r="C396" t="s">
        <v>751</v>
      </c>
      <c r="D396" t="s">
        <v>1645</v>
      </c>
    </row>
    <row r="397" spans="1:4" x14ac:dyDescent="0.2">
      <c r="A397" t="str">
        <f t="shared" ca="1" si="5"/>
        <v xml:space="preserve">    накопленная амортизация</v>
      </c>
      <c r="B397" t="s">
        <v>198</v>
      </c>
      <c r="C397" t="s">
        <v>1296</v>
      </c>
      <c r="D397" t="s">
        <v>1259</v>
      </c>
    </row>
    <row r="398" spans="1:4" x14ac:dyDescent="0.2">
      <c r="A398" t="str">
        <f t="shared" ca="1" si="5"/>
        <v xml:space="preserve">    НДС к ранее осуществленным инвестициям</v>
      </c>
      <c r="B398" t="s">
        <v>201</v>
      </c>
      <c r="C398" t="s">
        <v>1090</v>
      </c>
      <c r="D398" t="s">
        <v>1646</v>
      </c>
    </row>
    <row r="399" spans="1:4" x14ac:dyDescent="0.2">
      <c r="A399" t="str">
        <f t="shared" ca="1" si="5"/>
        <v xml:space="preserve">    зачет НДС</v>
      </c>
      <c r="B399" t="s">
        <v>202</v>
      </c>
      <c r="C399" t="s">
        <v>1171</v>
      </c>
      <c r="D399" t="s">
        <v>1129</v>
      </c>
    </row>
    <row r="400" spans="1:4" x14ac:dyDescent="0.2">
      <c r="A400" t="str">
        <f t="shared" ca="1" si="5"/>
        <v xml:space="preserve">    НДС к выручке от реализации актива</v>
      </c>
      <c r="B400" t="s">
        <v>205</v>
      </c>
      <c r="C400" t="s">
        <v>1209</v>
      </c>
      <c r="D400" t="s">
        <v>1647</v>
      </c>
    </row>
    <row r="401" spans="1:4" x14ac:dyDescent="0.2">
      <c r="A401" t="str">
        <f t="shared" ca="1" si="5"/>
        <v>Оборудование и другие активы</v>
      </c>
      <c r="B401" s="23" t="s">
        <v>183</v>
      </c>
      <c r="C401" t="s">
        <v>1066</v>
      </c>
      <c r="D401" t="s">
        <v>1623</v>
      </c>
    </row>
    <row r="402" spans="1:4" x14ac:dyDescent="0.2">
      <c r="A402" t="str">
        <f t="shared" ca="1" si="5"/>
        <v xml:space="preserve">    импорт?</v>
      </c>
      <c r="B402" s="74" t="s">
        <v>550</v>
      </c>
      <c r="C402" t="s">
        <v>1364</v>
      </c>
      <c r="D402" t="s">
        <v>1648</v>
      </c>
    </row>
    <row r="403" spans="1:4" x14ac:dyDescent="0.2">
      <c r="A403" t="str">
        <f t="shared" ca="1" si="5"/>
        <v xml:space="preserve">    пересечение границы при импорте</v>
      </c>
      <c r="B403" s="101" t="s">
        <v>551</v>
      </c>
      <c r="C403" t="s">
        <v>1365</v>
      </c>
      <c r="D403" t="s">
        <v>1649</v>
      </c>
    </row>
    <row r="404" spans="1:4" x14ac:dyDescent="0.2">
      <c r="A404" t="str">
        <f t="shared" ca="1" si="5"/>
        <v xml:space="preserve">    импортная пошлина</v>
      </c>
      <c r="B404" s="74" t="s">
        <v>2260</v>
      </c>
      <c r="C404" t="s">
        <v>1366</v>
      </c>
      <c r="D404" t="s">
        <v>1650</v>
      </c>
    </row>
    <row r="405" spans="1:4" x14ac:dyDescent="0.2">
      <c r="A405" t="str">
        <f t="shared" ca="1" si="5"/>
        <v>Нематериальные активы</v>
      </c>
      <c r="B405" s="52" t="s">
        <v>182</v>
      </c>
      <c r="C405" t="s">
        <v>1351</v>
      </c>
      <c r="D405" t="s">
        <v>1486</v>
      </c>
    </row>
    <row r="406" spans="1:4" x14ac:dyDescent="0.2">
      <c r="A406" t="str">
        <f t="shared" ca="1" si="5"/>
        <v>Финансовые вложения</v>
      </c>
      <c r="B406" s="23" t="s">
        <v>428</v>
      </c>
      <c r="C406" t="s">
        <v>1367</v>
      </c>
      <c r="D406" s="128" t="s">
        <v>1017</v>
      </c>
    </row>
    <row r="407" spans="1:4" x14ac:dyDescent="0.2">
      <c r="A407" t="str">
        <f t="shared" ca="1" si="5"/>
        <v xml:space="preserve">    доходность финансовых вложений</v>
      </c>
      <c r="B407" s="23" t="s">
        <v>2261</v>
      </c>
      <c r="C407" t="s">
        <v>1368</v>
      </c>
      <c r="D407" t="s">
        <v>1651</v>
      </c>
    </row>
    <row r="408" spans="1:4" x14ac:dyDescent="0.2">
      <c r="A408" t="str">
        <f t="shared" ca="1" si="5"/>
        <v xml:space="preserve">    авансы выданные</v>
      </c>
      <c r="B408" s="48" t="s">
        <v>2262</v>
      </c>
      <c r="C408" t="s">
        <v>1369</v>
      </c>
      <c r="D408" t="s">
        <v>1652</v>
      </c>
    </row>
    <row r="409" spans="1:4" x14ac:dyDescent="0.2">
      <c r="A409" t="str">
        <f t="shared" ca="1" si="5"/>
        <v>Расходы будущих периодов</v>
      </c>
      <c r="B409" s="23" t="s">
        <v>184</v>
      </c>
      <c r="C409" t="s">
        <v>596</v>
      </c>
      <c r="D409" t="s">
        <v>1624</v>
      </c>
    </row>
    <row r="410" spans="1:4" x14ac:dyDescent="0.2">
      <c r="A410" t="str">
        <f t="shared" ca="1" si="5"/>
        <v>Проценты по кредитам на инвестиционной фазе</v>
      </c>
      <c r="B410" s="23" t="s">
        <v>2347</v>
      </c>
      <c r="C410" t="s">
        <v>1370</v>
      </c>
      <c r="D410" t="s">
        <v>1653</v>
      </c>
    </row>
    <row r="411" spans="1:4" x14ac:dyDescent="0.2">
      <c r="A411" t="str">
        <f t="shared" ca="1" si="5"/>
        <v xml:space="preserve">    инвестиционная фаза заканчивается с начала</v>
      </c>
      <c r="B411" s="23" t="s">
        <v>666</v>
      </c>
      <c r="C411" t="s">
        <v>1371</v>
      </c>
      <c r="D411" t="s">
        <v>1654</v>
      </c>
    </row>
    <row r="412" spans="1:4" x14ac:dyDescent="0.2">
      <c r="A412" t="str">
        <f t="shared" ca="1" si="5"/>
        <v xml:space="preserve">    инвестиционная фаза начинается с начала</v>
      </c>
      <c r="B412" s="23" t="s">
        <v>2427</v>
      </c>
      <c r="C412" t="s">
        <v>2290</v>
      </c>
      <c r="D412" s="302" t="s">
        <v>2638</v>
      </c>
    </row>
    <row r="413" spans="1:4" x14ac:dyDescent="0.2">
      <c r="A413" t="str">
        <f t="shared" ca="1" si="5"/>
        <v>Общая величина ранее осуществленных инвестиций</v>
      </c>
      <c r="B413" s="23" t="s">
        <v>2348</v>
      </c>
      <c r="C413" t="s">
        <v>1372</v>
      </c>
      <c r="D413" t="s">
        <v>1655</v>
      </c>
    </row>
    <row r="414" spans="1:4" x14ac:dyDescent="0.2">
      <c r="A414" t="str">
        <f t="shared" ca="1" si="5"/>
        <v>Незавершенные инвестиции в стартовом балансе</v>
      </c>
      <c r="B414" s="23" t="s">
        <v>313</v>
      </c>
      <c r="C414" t="s">
        <v>1373</v>
      </c>
      <c r="D414" t="s">
        <v>1352</v>
      </c>
    </row>
    <row r="415" spans="1:4" x14ac:dyDescent="0.2">
      <c r="A415" t="str">
        <f t="shared" ca="1" si="5"/>
        <v xml:space="preserve">     НДС к ранее осуществленным инвестициям</v>
      </c>
      <c r="B415" s="19" t="s">
        <v>584</v>
      </c>
      <c r="C415" t="s">
        <v>1090</v>
      </c>
      <c r="D415" t="s">
        <v>1353</v>
      </c>
    </row>
    <row r="416" spans="1:4" x14ac:dyDescent="0.2">
      <c r="A416" t="str">
        <f t="shared" ca="1" si="5"/>
        <v xml:space="preserve">     НДС к существующим активам</v>
      </c>
      <c r="B416" s="19" t="s">
        <v>2481</v>
      </c>
      <c r="C416" t="s">
        <v>2482</v>
      </c>
      <c r="D416" t="s">
        <v>2483</v>
      </c>
    </row>
    <row r="417" spans="1:4" x14ac:dyDescent="0.2">
      <c r="A417" t="str">
        <f t="shared" ca="1" si="5"/>
        <v>Незавершенные инвестиции по данным текущей таблицы</v>
      </c>
      <c r="B417" s="23" t="s">
        <v>1487</v>
      </c>
      <c r="C417" t="s">
        <v>1374</v>
      </c>
      <c r="D417" t="s">
        <v>1354</v>
      </c>
    </row>
    <row r="418" spans="1:4" x14ac:dyDescent="0.2">
      <c r="A418" t="str">
        <f t="shared" ca="1" si="5"/>
        <v>Учитывать при оценке эффективности в сумме</v>
      </c>
      <c r="B418" t="s">
        <v>2263</v>
      </c>
      <c r="C418" t="s">
        <v>1375</v>
      </c>
      <c r="D418" t="s">
        <v>1355</v>
      </c>
    </row>
    <row r="419" spans="1:4" x14ac:dyDescent="0.2">
      <c r="A419" t="str">
        <f t="shared" ca="1" si="5"/>
        <v xml:space="preserve"> = Итого: Земельные участки</v>
      </c>
      <c r="B419" s="52" t="s">
        <v>2353</v>
      </c>
      <c r="C419" s="52" t="s">
        <v>1378</v>
      </c>
      <c r="D419" t="s">
        <v>1356</v>
      </c>
    </row>
    <row r="420" spans="1:4" x14ac:dyDescent="0.2">
      <c r="A420" t="str">
        <f t="shared" ca="1" si="5"/>
        <v xml:space="preserve"> = Итого: Здания и сооружения</v>
      </c>
      <c r="B420" s="23" t="s">
        <v>2350</v>
      </c>
      <c r="C420" s="52" t="s">
        <v>2012</v>
      </c>
      <c r="D420" t="s">
        <v>1357</v>
      </c>
    </row>
    <row r="421" spans="1:4" x14ac:dyDescent="0.2">
      <c r="A421" t="str">
        <f t="shared" ca="1" si="5"/>
        <v xml:space="preserve">    авансовая оплата</v>
      </c>
      <c r="B421" s="48" t="s">
        <v>357</v>
      </c>
      <c r="C421" s="48" t="s">
        <v>1379</v>
      </c>
      <c r="D421" t="s">
        <v>1358</v>
      </c>
    </row>
    <row r="422" spans="1:4" x14ac:dyDescent="0.2">
      <c r="A422" t="str">
        <f t="shared" ca="1" si="5"/>
        <v xml:space="preserve">    амортизация</v>
      </c>
      <c r="B422" s="48" t="s">
        <v>2231</v>
      </c>
      <c r="C422" s="48" t="s">
        <v>1380</v>
      </c>
      <c r="D422" t="s">
        <v>1359</v>
      </c>
    </row>
    <row r="423" spans="1:4" x14ac:dyDescent="0.2">
      <c r="A423" t="str">
        <f t="shared" ca="1" si="5"/>
        <v xml:space="preserve">    прибыль/убыток от строительной деятельности</v>
      </c>
      <c r="B423" s="48" t="s">
        <v>2606</v>
      </c>
      <c r="C423" t="s">
        <v>1381</v>
      </c>
      <c r="D423" t="s">
        <v>1360</v>
      </c>
    </row>
    <row r="424" spans="1:4" x14ac:dyDescent="0.2">
      <c r="A424" t="str">
        <f t="shared" ca="1" si="5"/>
        <v xml:space="preserve"> = Итого: Оборудование и другие активы</v>
      </c>
      <c r="B424" s="23" t="s">
        <v>2356</v>
      </c>
      <c r="C424" s="52" t="s">
        <v>1382</v>
      </c>
      <c r="D424" t="s">
        <v>1361</v>
      </c>
    </row>
    <row r="425" spans="1:4" x14ac:dyDescent="0.2">
      <c r="A425" t="str">
        <f t="shared" ca="1" si="5"/>
        <v xml:space="preserve"> = Итого: Нематериальные активы</v>
      </c>
      <c r="B425" s="52" t="s">
        <v>2354</v>
      </c>
      <c r="C425" s="52" t="s">
        <v>1383</v>
      </c>
      <c r="D425" t="s">
        <v>1362</v>
      </c>
    </row>
    <row r="426" spans="1:4" x14ac:dyDescent="0.2">
      <c r="A426" t="str">
        <f t="shared" ca="1" si="5"/>
        <v xml:space="preserve"> = Итого: Финансовые вложения</v>
      </c>
      <c r="B426" s="23" t="s">
        <v>2355</v>
      </c>
      <c r="C426" s="52" t="s">
        <v>1384</v>
      </c>
      <c r="D426" t="s">
        <v>1363</v>
      </c>
    </row>
    <row r="427" spans="1:4" x14ac:dyDescent="0.2">
      <c r="A427" t="str">
        <f t="shared" ca="1" si="5"/>
        <v xml:space="preserve"> = Итого: Расходы будущих периодов</v>
      </c>
      <c r="B427" s="23" t="s">
        <v>2357</v>
      </c>
      <c r="C427" s="52" t="s">
        <v>1385</v>
      </c>
      <c r="D427" t="s">
        <v>1662</v>
      </c>
    </row>
    <row r="428" spans="1:4" x14ac:dyDescent="0.2">
      <c r="A428" t="str">
        <f t="shared" ca="1" si="5"/>
        <v xml:space="preserve"> = Итого: ВСЕ АКТИВЫ</v>
      </c>
      <c r="B428" s="23" t="s">
        <v>2358</v>
      </c>
      <c r="C428" s="52" t="s">
        <v>1386</v>
      </c>
      <c r="D428" t="s">
        <v>1663</v>
      </c>
    </row>
    <row r="429" spans="1:4" x14ac:dyDescent="0.2">
      <c r="A429" t="str">
        <f t="shared" ref="A429:A455" ca="1" si="6">OFFSET(A429,0,LanguageID)</f>
        <v xml:space="preserve">         ЛИЗИНГ</v>
      </c>
      <c r="B429" t="s">
        <v>2403</v>
      </c>
      <c r="C429" t="s">
        <v>1387</v>
      </c>
      <c r="D429" t="s">
        <v>843</v>
      </c>
    </row>
    <row r="430" spans="1:4" x14ac:dyDescent="0.2">
      <c r="A430" t="str">
        <f t="shared" ca="1" si="6"/>
        <v>Наименование</v>
      </c>
      <c r="B430" t="s">
        <v>185</v>
      </c>
      <c r="C430" t="s">
        <v>1079</v>
      </c>
      <c r="D430" t="s">
        <v>1633</v>
      </c>
    </row>
    <row r="431" spans="1:4" x14ac:dyDescent="0.2">
      <c r="A431" t="str">
        <f t="shared" ca="1" si="6"/>
        <v xml:space="preserve">    тип лизинга</v>
      </c>
      <c r="B431" t="s">
        <v>212</v>
      </c>
      <c r="C431" t="s">
        <v>1388</v>
      </c>
      <c r="D431" t="s">
        <v>1664</v>
      </c>
    </row>
    <row r="432" spans="1:4" x14ac:dyDescent="0.2">
      <c r="A432" t="str">
        <f t="shared" ca="1" si="6"/>
        <v xml:space="preserve">    № периода ввода в действие оборудования</v>
      </c>
      <c r="B432" t="s">
        <v>213</v>
      </c>
      <c r="C432" t="s">
        <v>1389</v>
      </c>
      <c r="D432" t="s">
        <v>1665</v>
      </c>
    </row>
    <row r="433" spans="1:4" x14ac:dyDescent="0.2">
      <c r="A433" t="str">
        <f t="shared" ca="1" si="6"/>
        <v xml:space="preserve">    срок лизинга</v>
      </c>
      <c r="B433" t="s">
        <v>214</v>
      </c>
      <c r="C433" t="s">
        <v>1390</v>
      </c>
      <c r="D433" t="s">
        <v>1666</v>
      </c>
    </row>
    <row r="434" spans="1:4" x14ac:dyDescent="0.2">
      <c r="A434" t="str">
        <f t="shared" ca="1" si="6"/>
        <v>Стоимость объекта (с НДС)</v>
      </c>
      <c r="B434" t="s">
        <v>215</v>
      </c>
      <c r="C434" t="s">
        <v>1391</v>
      </c>
      <c r="D434" t="s">
        <v>1667</v>
      </c>
    </row>
    <row r="435" spans="1:4" x14ac:dyDescent="0.2">
      <c r="A435" t="str">
        <f t="shared" ca="1" si="6"/>
        <v xml:space="preserve">    амортизационные отчисления</v>
      </c>
      <c r="B435" t="s">
        <v>216</v>
      </c>
      <c r="C435" t="s">
        <v>1380</v>
      </c>
      <c r="D435" t="s">
        <v>1359</v>
      </c>
    </row>
    <row r="436" spans="1:4" x14ac:dyDescent="0.2">
      <c r="A436" t="str">
        <f t="shared" ca="1" si="6"/>
        <v xml:space="preserve">    остаточная стоимость (без НДС)</v>
      </c>
      <c r="B436" t="s">
        <v>217</v>
      </c>
      <c r="C436" t="s">
        <v>1392</v>
      </c>
      <c r="D436" t="s">
        <v>1668</v>
      </c>
    </row>
    <row r="437" spans="1:4" x14ac:dyDescent="0.2">
      <c r="A437" t="str">
        <f t="shared" ca="1" si="6"/>
        <v xml:space="preserve">    вознаграждение лизингодателю</v>
      </c>
      <c r="B437" t="s">
        <v>322</v>
      </c>
      <c r="C437" t="s">
        <v>1393</v>
      </c>
      <c r="D437" t="s">
        <v>1669</v>
      </c>
    </row>
    <row r="438" spans="1:4" x14ac:dyDescent="0.2">
      <c r="A438" t="str">
        <f t="shared" ca="1" si="6"/>
        <v xml:space="preserve">    расчетная величина лизинговых платежей (без НДС)</v>
      </c>
      <c r="B438" t="s">
        <v>2172</v>
      </c>
      <c r="C438" t="s">
        <v>1394</v>
      </c>
      <c r="D438" t="s">
        <v>1670</v>
      </c>
    </row>
    <row r="439" spans="1:4" x14ac:dyDescent="0.2">
      <c r="A439" t="str">
        <f t="shared" ca="1" si="6"/>
        <v xml:space="preserve">    расчетная величина лизинговых платежей (c НДС)</v>
      </c>
      <c r="B439" t="s">
        <v>465</v>
      </c>
      <c r="C439" t="s">
        <v>1395</v>
      </c>
      <c r="D439" t="s">
        <v>1671</v>
      </c>
    </row>
    <row r="440" spans="1:4" x14ac:dyDescent="0.2">
      <c r="A440" t="str">
        <f t="shared" ca="1" si="6"/>
        <v>Авансовый платеж (с НДС)</v>
      </c>
      <c r="B440" t="s">
        <v>2199</v>
      </c>
      <c r="C440" t="s">
        <v>1396</v>
      </c>
      <c r="D440" t="s">
        <v>1672</v>
      </c>
    </row>
    <row r="441" spans="1:4" x14ac:dyDescent="0.2">
      <c r="A441" t="str">
        <f t="shared" ca="1" si="6"/>
        <v>График лизинговых платежей (с НДС)</v>
      </c>
      <c r="B441" s="52" t="s">
        <v>2009</v>
      </c>
      <c r="C441" s="205" t="s">
        <v>1779</v>
      </c>
      <c r="D441" s="205" t="s">
        <v>1779</v>
      </c>
    </row>
    <row r="442" spans="1:4" x14ac:dyDescent="0.2">
      <c r="A442" t="str">
        <f t="shared" ca="1" si="6"/>
        <v>Зачет лизинговых платежей в себестоимости (с НДС)</v>
      </c>
      <c r="B442" s="52" t="s">
        <v>97</v>
      </c>
      <c r="C442" s="205" t="s">
        <v>1780</v>
      </c>
      <c r="D442" s="205" t="s">
        <v>1780</v>
      </c>
    </row>
    <row r="443" spans="1:4" x14ac:dyDescent="0.2">
      <c r="A443" t="str">
        <f t="shared" ca="1" si="6"/>
        <v>зачет лизинговых платежей (без НДС)</v>
      </c>
      <c r="B443" s="52" t="s">
        <v>98</v>
      </c>
      <c r="C443" s="205" t="s">
        <v>1781</v>
      </c>
      <c r="D443" s="205" t="s">
        <v>1781</v>
      </c>
    </row>
    <row r="444" spans="1:4" x14ac:dyDescent="0.2">
      <c r="A444" t="str">
        <f t="shared" ca="1" si="6"/>
        <v xml:space="preserve">   лизинговые платежи для  расчета графика платежей</v>
      </c>
      <c r="B444" s="52" t="s">
        <v>255</v>
      </c>
      <c r="C444" s="205" t="s">
        <v>1782</v>
      </c>
      <c r="D444" s="205" t="s">
        <v>1782</v>
      </c>
    </row>
    <row r="445" spans="1:4" x14ac:dyDescent="0.2">
      <c r="A445" t="str">
        <f t="shared" ca="1" si="6"/>
        <v>Реальная величина лизинговых платежей (с НДС)</v>
      </c>
      <c r="B445" t="s">
        <v>2173</v>
      </c>
      <c r="C445" t="s">
        <v>1397</v>
      </c>
      <c r="D445" t="s">
        <v>1673</v>
      </c>
    </row>
    <row r="446" spans="1:4" x14ac:dyDescent="0.2">
      <c r="A446" t="str">
        <f t="shared" ca="1" si="6"/>
        <v xml:space="preserve">    НДС к платежам</v>
      </c>
      <c r="B446" t="s">
        <v>324</v>
      </c>
      <c r="C446" t="s">
        <v>1168</v>
      </c>
      <c r="D446" t="s">
        <v>1125</v>
      </c>
    </row>
    <row r="447" spans="1:4" x14ac:dyDescent="0.2">
      <c r="A447" t="str">
        <f t="shared" ca="1" si="6"/>
        <v xml:space="preserve">    авансы, уплаченные лизингодателю</v>
      </c>
      <c r="B447" t="s">
        <v>325</v>
      </c>
      <c r="C447" t="s">
        <v>1398</v>
      </c>
      <c r="D447" t="s">
        <v>1674</v>
      </c>
    </row>
    <row r="448" spans="1:4" x14ac:dyDescent="0.2">
      <c r="A448" t="str">
        <f t="shared" ca="1" si="6"/>
        <v xml:space="preserve">    арендованные основные средства (ост. стоимость)</v>
      </c>
      <c r="B448" t="s">
        <v>326</v>
      </c>
      <c r="C448" t="s">
        <v>1399</v>
      </c>
      <c r="D448" t="s">
        <v>1675</v>
      </c>
    </row>
    <row r="449" spans="1:4" x14ac:dyDescent="0.2">
      <c r="A449" t="str">
        <f t="shared" ca="1" si="6"/>
        <v xml:space="preserve">    налогооблагаемое имущество</v>
      </c>
      <c r="B449" t="s">
        <v>327</v>
      </c>
      <c r="C449" t="s">
        <v>1400</v>
      </c>
      <c r="D449" t="s">
        <v>1676</v>
      </c>
    </row>
    <row r="450" spans="1:4" x14ac:dyDescent="0.2">
      <c r="A450" t="str">
        <f t="shared" ca="1" si="6"/>
        <v>Выкуп основных средств по остаточной стоимости</v>
      </c>
      <c r="B450" t="s">
        <v>328</v>
      </c>
      <c r="C450" t="s">
        <v>1401</v>
      </c>
      <c r="D450" t="s">
        <v>1677</v>
      </c>
    </row>
    <row r="451" spans="1:4" x14ac:dyDescent="0.2">
      <c r="A451" t="str">
        <f t="shared" ca="1" si="6"/>
        <v xml:space="preserve">    балансовая стоимость после выкупа</v>
      </c>
      <c r="B451" t="s">
        <v>329</v>
      </c>
      <c r="C451" t="s">
        <v>1402</v>
      </c>
      <c r="D451" t="s">
        <v>1678</v>
      </c>
    </row>
    <row r="452" spans="1:4" x14ac:dyDescent="0.2">
      <c r="A452" t="str">
        <f t="shared" ca="1" si="6"/>
        <v xml:space="preserve">    остаточная стоимость после выкупа</v>
      </c>
      <c r="B452" t="s">
        <v>330</v>
      </c>
      <c r="C452" t="s">
        <v>1403</v>
      </c>
      <c r="D452" t="s">
        <v>1679</v>
      </c>
    </row>
    <row r="453" spans="1:4" x14ac:dyDescent="0.2">
      <c r="A453" t="str">
        <f t="shared" ca="1" si="6"/>
        <v xml:space="preserve">    амортизация средств у лизингополучателя после выкупа</v>
      </c>
      <c r="B453" t="s">
        <v>331</v>
      </c>
      <c r="C453" t="s">
        <v>1404</v>
      </c>
      <c r="D453" t="s">
        <v>1680</v>
      </c>
    </row>
    <row r="454" spans="1:4" x14ac:dyDescent="0.2">
      <c r="A454" t="str">
        <f t="shared" ca="1" si="6"/>
        <v xml:space="preserve">    НДС уплаченный при выкупе </v>
      </c>
      <c r="B454" t="s">
        <v>332</v>
      </c>
      <c r="C454" t="s">
        <v>1405</v>
      </c>
      <c r="D454" t="s">
        <v>1681</v>
      </c>
    </row>
    <row r="455" spans="1:4" x14ac:dyDescent="0.2">
      <c r="A455" t="str">
        <f t="shared" ca="1" si="6"/>
        <v xml:space="preserve"> = Итого лизинговые платежи, начисленные, без НДС</v>
      </c>
      <c r="B455" t="s">
        <v>333</v>
      </c>
      <c r="C455" t="s">
        <v>1406</v>
      </c>
      <c r="D455" t="s">
        <v>1682</v>
      </c>
    </row>
    <row r="456" spans="1:4" x14ac:dyDescent="0.2">
      <c r="A456" t="str">
        <f t="shared" ref="A456:A504" ca="1" si="7">OFFSET(A456,0,LanguageID)</f>
        <v xml:space="preserve"> = Итого лизинговые платежи, начисленные, с НДС</v>
      </c>
      <c r="B456" t="s">
        <v>339</v>
      </c>
      <c r="C456" t="s">
        <v>1407</v>
      </c>
      <c r="D456" t="s">
        <v>1683</v>
      </c>
    </row>
    <row r="457" spans="1:4" x14ac:dyDescent="0.2">
      <c r="A457" t="str">
        <f t="shared" ca="1" si="7"/>
        <v xml:space="preserve"> = Итого лизинговые платежи, уплаченные, с НДС</v>
      </c>
      <c r="B457" t="s">
        <v>334</v>
      </c>
      <c r="C457" t="s">
        <v>1408</v>
      </c>
      <c r="D457" t="s">
        <v>1684</v>
      </c>
    </row>
    <row r="458" spans="1:4" x14ac:dyDescent="0.2">
      <c r="A458" t="str">
        <f t="shared" ca="1" si="7"/>
        <v xml:space="preserve"> = Итого выкуп основных средств, с НДС</v>
      </c>
      <c r="B458" t="s">
        <v>335</v>
      </c>
      <c r="C458" t="s">
        <v>1689</v>
      </c>
      <c r="D458" t="s">
        <v>1685</v>
      </c>
    </row>
    <row r="459" spans="1:4" x14ac:dyDescent="0.2">
      <c r="A459" t="str">
        <f t="shared" ca="1" si="7"/>
        <v xml:space="preserve">    НДС к лизинговым платежам</v>
      </c>
      <c r="B459" t="s">
        <v>661</v>
      </c>
      <c r="C459" t="s">
        <v>1690</v>
      </c>
      <c r="D459" t="s">
        <v>1686</v>
      </c>
    </row>
    <row r="460" spans="1:4" x14ac:dyDescent="0.2">
      <c r="A460" t="str">
        <f t="shared" ca="1" si="7"/>
        <v xml:space="preserve">    НДС к выкупу</v>
      </c>
      <c r="B460" t="s">
        <v>662</v>
      </c>
      <c r="C460" t="s">
        <v>1691</v>
      </c>
      <c r="D460" t="s">
        <v>1681</v>
      </c>
    </row>
    <row r="461" spans="1:4" x14ac:dyDescent="0.2">
      <c r="A461" t="str">
        <f t="shared" ca="1" si="7"/>
        <v xml:space="preserve">    авансы, уплаченные лизингодателю</v>
      </c>
      <c r="B461" t="s">
        <v>325</v>
      </c>
      <c r="C461" t="s">
        <v>1398</v>
      </c>
      <c r="D461" t="s">
        <v>1674</v>
      </c>
    </row>
    <row r="462" spans="1:4" x14ac:dyDescent="0.2">
      <c r="A462" t="str">
        <f t="shared" ca="1" si="7"/>
        <v xml:space="preserve">    арендованные основные средства </v>
      </c>
      <c r="B462" t="s">
        <v>336</v>
      </c>
      <c r="C462" t="s">
        <v>1399</v>
      </c>
      <c r="D462" t="s">
        <v>1675</v>
      </c>
    </row>
    <row r="463" spans="1:4" x14ac:dyDescent="0.2">
      <c r="A463" t="str">
        <f t="shared" ca="1" si="7"/>
        <v xml:space="preserve">    налогооблагаемое имущество</v>
      </c>
      <c r="B463" t="s">
        <v>327</v>
      </c>
      <c r="C463" t="s">
        <v>1400</v>
      </c>
      <c r="D463" t="s">
        <v>1676</v>
      </c>
    </row>
    <row r="464" spans="1:4" x14ac:dyDescent="0.2">
      <c r="A464" t="str">
        <f t="shared" ca="1" si="7"/>
        <v xml:space="preserve">    балансовая стоимость после выкупа</v>
      </c>
      <c r="B464" t="s">
        <v>329</v>
      </c>
      <c r="C464" t="s">
        <v>1402</v>
      </c>
      <c r="D464" t="s">
        <v>1678</v>
      </c>
    </row>
    <row r="465" spans="1:4" x14ac:dyDescent="0.2">
      <c r="A465" t="str">
        <f t="shared" ca="1" si="7"/>
        <v xml:space="preserve">    остаточная стоимость после выкупа</v>
      </c>
      <c r="B465" t="s">
        <v>330</v>
      </c>
      <c r="C465" t="s">
        <v>1403</v>
      </c>
      <c r="D465" t="s">
        <v>1679</v>
      </c>
    </row>
    <row r="466" spans="1:4" x14ac:dyDescent="0.2">
      <c r="A466" t="str">
        <f t="shared" ca="1" si="7"/>
        <v xml:space="preserve">    амортизация средств у лизингополучателя после выкупа</v>
      </c>
      <c r="B466" t="s">
        <v>331</v>
      </c>
      <c r="C466" t="s">
        <v>1404</v>
      </c>
      <c r="D466" t="s">
        <v>1680</v>
      </c>
    </row>
    <row r="467" spans="1:4" x14ac:dyDescent="0.2">
      <c r="A467" t="str">
        <f t="shared" ca="1" si="7"/>
        <v>с выкупом (учет на балансе лизингодателя)</v>
      </c>
      <c r="B467" t="s">
        <v>337</v>
      </c>
      <c r="C467" t="s">
        <v>1692</v>
      </c>
      <c r="D467" t="s">
        <v>1687</v>
      </c>
    </row>
    <row r="468" spans="1:4" x14ac:dyDescent="0.2">
      <c r="A468" t="str">
        <f t="shared" ca="1" si="7"/>
        <v>с выкупом (учет на балансе лизингополучателя)</v>
      </c>
      <c r="B468" t="s">
        <v>338</v>
      </c>
      <c r="C468" t="s">
        <v>1693</v>
      </c>
      <c r="D468" t="s">
        <v>1688</v>
      </c>
    </row>
    <row r="469" spans="1:4" x14ac:dyDescent="0.2">
      <c r="A469" t="str">
        <f t="shared" ca="1" si="7"/>
        <v>без выкупа (учет на балансе лизингодателя)</v>
      </c>
      <c r="B469" t="s">
        <v>2195</v>
      </c>
      <c r="C469" t="s">
        <v>1694</v>
      </c>
      <c r="D469" t="s">
        <v>1556</v>
      </c>
    </row>
    <row r="470" spans="1:4" x14ac:dyDescent="0.2">
      <c r="A470" t="str">
        <f t="shared" ca="1" si="7"/>
        <v>без выкупа (учет на балансе лизингополучателя)</v>
      </c>
      <c r="B470" t="s">
        <v>2196</v>
      </c>
      <c r="C470" t="s">
        <v>1695</v>
      </c>
      <c r="D470" t="s">
        <v>1557</v>
      </c>
    </row>
    <row r="471" spans="1:4" x14ac:dyDescent="0.2">
      <c r="A471" t="str">
        <f t="shared" ca="1" si="7"/>
        <v xml:space="preserve">         ОБОРОТНЫЙ КАПИТАЛ</v>
      </c>
      <c r="B471" t="s">
        <v>2576</v>
      </c>
      <c r="C471" t="s">
        <v>1696</v>
      </c>
      <c r="D471" t="s">
        <v>844</v>
      </c>
    </row>
    <row r="472" spans="1:4" x14ac:dyDescent="0.2">
      <c r="A472" t="str">
        <f t="shared" ca="1" si="7"/>
        <v>ЗАПАСЫ</v>
      </c>
      <c r="B472" t="s">
        <v>340</v>
      </c>
      <c r="C472" t="s">
        <v>1697</v>
      </c>
      <c r="D472" t="s">
        <v>1558</v>
      </c>
    </row>
    <row r="473" spans="1:4" x14ac:dyDescent="0.2">
      <c r="A473" t="str">
        <f t="shared" ca="1" si="7"/>
        <v>Запасы сырья и материалов</v>
      </c>
      <c r="B473" t="s">
        <v>2156</v>
      </c>
      <c r="C473" t="s">
        <v>591</v>
      </c>
      <c r="D473" t="s">
        <v>992</v>
      </c>
    </row>
    <row r="474" spans="1:4" x14ac:dyDescent="0.2">
      <c r="A474" t="str">
        <f t="shared" ca="1" si="7"/>
        <v xml:space="preserve">    среднее время хранения</v>
      </c>
      <c r="B474" t="s">
        <v>342</v>
      </c>
      <c r="C474" t="s">
        <v>1698</v>
      </c>
      <c r="D474" t="s">
        <v>1559</v>
      </c>
    </row>
    <row r="475" spans="1:4" x14ac:dyDescent="0.2">
      <c r="A475" t="str">
        <f t="shared" ca="1" si="7"/>
        <v>Незавершенное производство</v>
      </c>
      <c r="B475" t="s">
        <v>343</v>
      </c>
      <c r="C475" t="s">
        <v>592</v>
      </c>
      <c r="D475" t="s">
        <v>993</v>
      </c>
    </row>
    <row r="476" spans="1:4" x14ac:dyDescent="0.2">
      <c r="A476" t="str">
        <f t="shared" ca="1" si="7"/>
        <v xml:space="preserve">    длительность производственного цикла</v>
      </c>
      <c r="B476" t="s">
        <v>344</v>
      </c>
      <c r="C476" t="s">
        <v>1699</v>
      </c>
      <c r="D476" t="s">
        <v>1560</v>
      </c>
    </row>
    <row r="477" spans="1:4" x14ac:dyDescent="0.2">
      <c r="A477" t="str">
        <f t="shared" ca="1" si="7"/>
        <v>Запасы готовой продукции</v>
      </c>
      <c r="B477" t="s">
        <v>2157</v>
      </c>
      <c r="C477" t="s">
        <v>593</v>
      </c>
      <c r="D477" t="s">
        <v>994</v>
      </c>
    </row>
    <row r="478" spans="1:4" x14ac:dyDescent="0.2">
      <c r="A478" t="str">
        <f t="shared" ca="1" si="7"/>
        <v xml:space="preserve">    периодичность отгрузки</v>
      </c>
      <c r="B478" t="s">
        <v>345</v>
      </c>
      <c r="C478" t="s">
        <v>1700</v>
      </c>
      <c r="D478" t="s">
        <v>1561</v>
      </c>
    </row>
    <row r="479" spans="1:4" x14ac:dyDescent="0.2">
      <c r="A479" t="str">
        <f t="shared" ca="1" si="7"/>
        <v xml:space="preserve">    минимальные остатки на складе, на</v>
      </c>
      <c r="B479" t="s">
        <v>341</v>
      </c>
      <c r="C479" t="s">
        <v>1701</v>
      </c>
      <c r="D479" t="s">
        <v>1562</v>
      </c>
    </row>
    <row r="480" spans="1:4" x14ac:dyDescent="0.2">
      <c r="A480" t="str">
        <f t="shared" ca="1" si="7"/>
        <v xml:space="preserve">    среднее время хранения</v>
      </c>
      <c r="B480" t="s">
        <v>342</v>
      </c>
      <c r="C480" t="s">
        <v>1698</v>
      </c>
      <c r="D480" t="s">
        <v>1563</v>
      </c>
    </row>
    <row r="481" spans="1:4" x14ac:dyDescent="0.2">
      <c r="A481" t="str">
        <f t="shared" ca="1" si="7"/>
        <v>РАСЧЕТЫ С ПОКУПАТЕЛЯМИ</v>
      </c>
      <c r="B481" t="s">
        <v>346</v>
      </c>
      <c r="C481" t="s">
        <v>1702</v>
      </c>
      <c r="D481" t="s">
        <v>1564</v>
      </c>
    </row>
    <row r="482" spans="1:4" x14ac:dyDescent="0.2">
      <c r="A482" t="str">
        <f t="shared" ca="1" si="7"/>
        <v>Поступления денег от продаж:</v>
      </c>
      <c r="B482" t="s">
        <v>347</v>
      </c>
      <c r="C482" t="s">
        <v>1703</v>
      </c>
      <c r="D482" t="s">
        <v>1565</v>
      </c>
    </row>
    <row r="483" spans="1:4" x14ac:dyDescent="0.2">
      <c r="A483" t="str">
        <f t="shared" ca="1" si="7"/>
        <v xml:space="preserve">    немедленная оплата</v>
      </c>
      <c r="B483" t="s">
        <v>348</v>
      </c>
      <c r="C483" t="s">
        <v>1704</v>
      </c>
      <c r="D483" t="s">
        <v>1566</v>
      </c>
    </row>
    <row r="484" spans="1:4" x14ac:dyDescent="0.2">
      <c r="A484" t="str">
        <f t="shared" ca="1" si="7"/>
        <v xml:space="preserve">    продажи с предоплатой</v>
      </c>
      <c r="B484" t="s">
        <v>349</v>
      </c>
      <c r="C484" t="s">
        <v>1705</v>
      </c>
      <c r="D484" t="s">
        <v>1439</v>
      </c>
    </row>
    <row r="485" spans="1:4" x14ac:dyDescent="0.2">
      <c r="A485" t="str">
        <f t="shared" ca="1" si="7"/>
        <v xml:space="preserve">    продажи в кредит</v>
      </c>
      <c r="B485" t="s">
        <v>350</v>
      </c>
      <c r="C485" t="s">
        <v>1706</v>
      </c>
      <c r="D485" t="s">
        <v>1440</v>
      </c>
    </row>
    <row r="486" spans="1:4" x14ac:dyDescent="0.2">
      <c r="A486" t="str">
        <f t="shared" ca="1" si="7"/>
        <v>Сумма счетов к получению</v>
      </c>
      <c r="B486" t="s">
        <v>351</v>
      </c>
      <c r="C486" t="s">
        <v>1339</v>
      </c>
      <c r="D486" t="s">
        <v>995</v>
      </c>
    </row>
    <row r="487" spans="1:4" x14ac:dyDescent="0.2">
      <c r="A487" t="str">
        <f t="shared" ca="1" si="7"/>
        <v xml:space="preserve">    на основе циклов оборачиваемости</v>
      </c>
      <c r="B487" t="s">
        <v>352</v>
      </c>
      <c r="C487" t="s">
        <v>1707</v>
      </c>
      <c r="D487" t="s">
        <v>1441</v>
      </c>
    </row>
    <row r="488" spans="1:4" x14ac:dyDescent="0.2">
      <c r="A488" t="str">
        <f t="shared" ca="1" si="7"/>
        <v xml:space="preserve">    в соответствии с графиком оплаты продукции</v>
      </c>
      <c r="B488" t="s">
        <v>353</v>
      </c>
      <c r="C488" t="s">
        <v>1708</v>
      </c>
      <c r="D488" t="s">
        <v>1442</v>
      </c>
    </row>
    <row r="489" spans="1:4" x14ac:dyDescent="0.2">
      <c r="A489" t="str">
        <f t="shared" ca="1" si="7"/>
        <v>Сумма полученных авансов</v>
      </c>
      <c r="B489" t="s">
        <v>354</v>
      </c>
      <c r="C489" t="s">
        <v>608</v>
      </c>
      <c r="D489" t="s">
        <v>1443</v>
      </c>
    </row>
    <row r="490" spans="1:4" x14ac:dyDescent="0.2">
      <c r="A490" t="str">
        <f t="shared" ca="1" si="7"/>
        <v xml:space="preserve">    на основе циклов оборачиваемости (c НДС на аванс)</v>
      </c>
      <c r="B490" t="s">
        <v>22</v>
      </c>
      <c r="C490" t="s">
        <v>1707</v>
      </c>
      <c r="D490" t="s">
        <v>1441</v>
      </c>
    </row>
    <row r="491" spans="1:4" x14ac:dyDescent="0.2">
      <c r="A491" t="str">
        <f t="shared" ca="1" si="7"/>
        <v xml:space="preserve">    в соответствии с графиком оплаты продукции</v>
      </c>
      <c r="B491" t="s">
        <v>353</v>
      </c>
      <c r="C491" t="s">
        <v>1708</v>
      </c>
      <c r="D491" t="s">
        <v>1442</v>
      </c>
    </row>
    <row r="492" spans="1:4" x14ac:dyDescent="0.2">
      <c r="A492" t="str">
        <f t="shared" ca="1" si="7"/>
        <v>РАСЧЕТЫ С ПОСТАВЩИКАМИ</v>
      </c>
      <c r="B492" t="s">
        <v>355</v>
      </c>
      <c r="C492" t="s">
        <v>1709</v>
      </c>
      <c r="D492" t="s">
        <v>1444</v>
      </c>
    </row>
    <row r="493" spans="1:4" x14ac:dyDescent="0.2">
      <c r="A493" t="str">
        <f t="shared" ca="1" si="7"/>
        <v>Оплата материалов и комплектующих:</v>
      </c>
      <c r="B493" t="s">
        <v>356</v>
      </c>
      <c r="C493" t="s">
        <v>1710</v>
      </c>
      <c r="D493" t="s">
        <v>1445</v>
      </c>
    </row>
    <row r="494" spans="1:4" x14ac:dyDescent="0.2">
      <c r="A494" t="str">
        <f t="shared" ca="1" si="7"/>
        <v xml:space="preserve">    немедленная оплата</v>
      </c>
      <c r="B494" t="s">
        <v>348</v>
      </c>
      <c r="C494" t="s">
        <v>1711</v>
      </c>
      <c r="D494" t="s">
        <v>1446</v>
      </c>
    </row>
    <row r="495" spans="1:4" x14ac:dyDescent="0.2">
      <c r="A495" t="str">
        <f t="shared" ca="1" si="7"/>
        <v xml:space="preserve">    авансовая оплата</v>
      </c>
      <c r="B495" t="s">
        <v>357</v>
      </c>
      <c r="C495" t="s">
        <v>1369</v>
      </c>
      <c r="D495" t="s">
        <v>1447</v>
      </c>
    </row>
    <row r="496" spans="1:4" x14ac:dyDescent="0.2">
      <c r="A496" t="str">
        <f t="shared" ca="1" si="7"/>
        <v xml:space="preserve">    оплата в кредит</v>
      </c>
      <c r="B496" t="s">
        <v>358</v>
      </c>
      <c r="C496" t="s">
        <v>1712</v>
      </c>
      <c r="D496" t="s">
        <v>1448</v>
      </c>
    </row>
    <row r="497" spans="1:4" x14ac:dyDescent="0.2">
      <c r="A497" t="str">
        <f t="shared" ca="1" si="7"/>
        <v>Сумма счетов к оплате</v>
      </c>
      <c r="B497" t="s">
        <v>359</v>
      </c>
      <c r="C497" t="s">
        <v>1713</v>
      </c>
      <c r="D497" t="s">
        <v>1449</v>
      </c>
    </row>
    <row r="498" spans="1:4" x14ac:dyDescent="0.2">
      <c r="A498" t="str">
        <f t="shared" ca="1" si="7"/>
        <v xml:space="preserve">    на основе циклов оборачиваемости</v>
      </c>
      <c r="B498" t="s">
        <v>352</v>
      </c>
      <c r="C498" t="s">
        <v>1707</v>
      </c>
      <c r="D498" t="s">
        <v>1441</v>
      </c>
    </row>
    <row r="499" spans="1:4" x14ac:dyDescent="0.2">
      <c r="A499" t="str">
        <f t="shared" ca="1" si="7"/>
        <v xml:space="preserve">    в соответствии с графиком оплаты затрат</v>
      </c>
      <c r="B499" t="s">
        <v>2652</v>
      </c>
      <c r="C499" t="s">
        <v>1708</v>
      </c>
      <c r="D499" t="s">
        <v>1450</v>
      </c>
    </row>
    <row r="500" spans="1:4" x14ac:dyDescent="0.2">
      <c r="A500" t="str">
        <f t="shared" ca="1" si="7"/>
        <v>Сумма уплаченных авансов</v>
      </c>
      <c r="B500" t="s">
        <v>361</v>
      </c>
      <c r="C500" t="s">
        <v>1714</v>
      </c>
      <c r="D500" t="s">
        <v>1451</v>
      </c>
    </row>
    <row r="501" spans="1:4" x14ac:dyDescent="0.2">
      <c r="A501" t="str">
        <f t="shared" ca="1" si="7"/>
        <v xml:space="preserve">    на основе циклов оборачиваемости</v>
      </c>
      <c r="B501" t="s">
        <v>352</v>
      </c>
      <c r="C501" t="s">
        <v>1707</v>
      </c>
      <c r="D501" t="s">
        <v>1441</v>
      </c>
    </row>
    <row r="502" spans="1:4" x14ac:dyDescent="0.2">
      <c r="A502" t="str">
        <f t="shared" ca="1" si="7"/>
        <v xml:space="preserve">    в соответствии с графиком оплаты материалов</v>
      </c>
      <c r="B502" t="s">
        <v>360</v>
      </c>
      <c r="C502" t="s">
        <v>1708</v>
      </c>
      <c r="D502" t="s">
        <v>1450</v>
      </c>
    </row>
    <row r="503" spans="1:4" x14ac:dyDescent="0.2">
      <c r="A503" t="str">
        <f t="shared" ca="1" si="7"/>
        <v>РАСЧЕТЫ С БЮДЖЕТОМ</v>
      </c>
      <c r="B503" t="s">
        <v>362</v>
      </c>
      <c r="C503" t="s">
        <v>1715</v>
      </c>
      <c r="D503" t="s">
        <v>1452</v>
      </c>
    </row>
    <row r="504" spans="1:4" x14ac:dyDescent="0.2">
      <c r="A504" t="str">
        <f t="shared" ca="1" si="7"/>
        <v>По НДС</v>
      </c>
      <c r="B504" t="s">
        <v>363</v>
      </c>
      <c r="C504" t="s">
        <v>1436</v>
      </c>
      <c r="D504" t="s">
        <v>1453</v>
      </c>
    </row>
    <row r="505" spans="1:4" x14ac:dyDescent="0.2">
      <c r="A505" t="str">
        <f t="shared" ref="A505:A534" ca="1" si="8">OFFSET(A505,0,LanguageID)</f>
        <v>По акцизам и экспортным пошлинам</v>
      </c>
      <c r="B505" t="s">
        <v>364</v>
      </c>
      <c r="C505" t="s">
        <v>906</v>
      </c>
      <c r="D505" t="s">
        <v>1454</v>
      </c>
    </row>
    <row r="506" spans="1:4" x14ac:dyDescent="0.2">
      <c r="A506" t="str">
        <f t="shared" ca="1" si="8"/>
        <v>По импортным пошлинам</v>
      </c>
      <c r="B506" t="s">
        <v>365</v>
      </c>
      <c r="C506" t="s">
        <v>907</v>
      </c>
      <c r="D506" t="s">
        <v>1455</v>
      </c>
    </row>
    <row r="507" spans="1:4" x14ac:dyDescent="0.2">
      <c r="A507" t="str">
        <f t="shared" ca="1" si="8"/>
        <v>По налогу на прибыль</v>
      </c>
      <c r="B507" t="s">
        <v>366</v>
      </c>
      <c r="C507" t="s">
        <v>1437</v>
      </c>
      <c r="D507" t="s">
        <v>920</v>
      </c>
    </row>
    <row r="508" spans="1:4" x14ac:dyDescent="0.2">
      <c r="A508" t="str">
        <f t="shared" ca="1" si="8"/>
        <v>По прочим налогам и платежам</v>
      </c>
      <c r="B508" t="s">
        <v>367</v>
      </c>
      <c r="C508" t="s">
        <v>1438</v>
      </c>
      <c r="D508" t="s">
        <v>1456</v>
      </c>
    </row>
    <row r="509" spans="1:4" x14ac:dyDescent="0.2">
      <c r="A509" t="str">
        <f t="shared" ca="1" si="8"/>
        <v>РАСЧЕТЫ С ПЕРСОНАЛОМ</v>
      </c>
      <c r="B509" t="s">
        <v>368</v>
      </c>
      <c r="C509" t="s">
        <v>1139</v>
      </c>
      <c r="D509" t="s">
        <v>1457</v>
      </c>
    </row>
    <row r="510" spans="1:4" x14ac:dyDescent="0.2">
      <c r="A510" t="str">
        <f t="shared" ca="1" si="8"/>
        <v>Текущая задолженность по заработной плате</v>
      </c>
      <c r="B510" t="s">
        <v>369</v>
      </c>
      <c r="C510" t="s">
        <v>1140</v>
      </c>
      <c r="D510" t="s">
        <v>1458</v>
      </c>
    </row>
    <row r="511" spans="1:4" x14ac:dyDescent="0.2">
      <c r="A511" t="str">
        <f t="shared" ca="1" si="8"/>
        <v xml:space="preserve">    частота выплаты заработной платы</v>
      </c>
      <c r="B511" t="s">
        <v>370</v>
      </c>
      <c r="C511" t="s">
        <v>1141</v>
      </c>
      <c r="D511" t="s">
        <v>1459</v>
      </c>
    </row>
    <row r="512" spans="1:4" x14ac:dyDescent="0.2">
      <c r="A512" t="str">
        <f t="shared" ca="1" si="8"/>
        <v>РЕЗЕРВ ДЕНЕЖНЫХ СРЕДСТВ</v>
      </c>
      <c r="B512" t="s">
        <v>371</v>
      </c>
      <c r="C512" t="s">
        <v>1142</v>
      </c>
      <c r="D512" t="s">
        <v>1460</v>
      </c>
    </row>
    <row r="513" spans="1:4" x14ac:dyDescent="0.2">
      <c r="A513" t="str">
        <f t="shared" ca="1" si="8"/>
        <v>Резерв средств на обеспечение текущих расчетов</v>
      </c>
      <c r="B513" t="s">
        <v>372</v>
      </c>
      <c r="C513" t="s">
        <v>1143</v>
      </c>
      <c r="D513" t="s">
        <v>1211</v>
      </c>
    </row>
    <row r="514" spans="1:4" x14ac:dyDescent="0.2">
      <c r="A514" t="str">
        <f t="shared" ca="1" si="8"/>
        <v xml:space="preserve">    создавать?</v>
      </c>
      <c r="B514" t="s">
        <v>373</v>
      </c>
      <c r="C514" t="s">
        <v>1144</v>
      </c>
      <c r="D514" t="s">
        <v>1212</v>
      </c>
    </row>
    <row r="515" spans="1:4" x14ac:dyDescent="0.2">
      <c r="A515" t="str">
        <f t="shared" ca="1" si="8"/>
        <v xml:space="preserve">    покрытие потребности</v>
      </c>
      <c r="B515" t="s">
        <v>374</v>
      </c>
      <c r="C515" t="s">
        <v>1145</v>
      </c>
      <c r="D515" t="s">
        <v>1213</v>
      </c>
    </row>
    <row r="516" spans="1:4" x14ac:dyDescent="0.2">
      <c r="A516" t="str">
        <f t="shared" ca="1" si="8"/>
        <v>Итого текущих активов</v>
      </c>
      <c r="B516" t="s">
        <v>375</v>
      </c>
      <c r="C516" t="s">
        <v>1146</v>
      </c>
      <c r="D516" t="s">
        <v>1214</v>
      </c>
    </row>
    <row r="517" spans="1:4" x14ac:dyDescent="0.2">
      <c r="A517" t="str">
        <f t="shared" ca="1" si="8"/>
        <v>Итого текущих обязательств</v>
      </c>
      <c r="B517" t="s">
        <v>376</v>
      </c>
      <c r="C517" t="s">
        <v>1147</v>
      </c>
      <c r="D517" t="s">
        <v>1215</v>
      </c>
    </row>
    <row r="518" spans="1:4" x14ac:dyDescent="0.2">
      <c r="A518" t="str">
        <f t="shared" ca="1" si="8"/>
        <v>Оборотный капитал компании</v>
      </c>
      <c r="B518" t="s">
        <v>377</v>
      </c>
      <c r="C518" t="s">
        <v>1148</v>
      </c>
      <c r="D518" t="s">
        <v>1216</v>
      </c>
    </row>
    <row r="519" spans="1:4" x14ac:dyDescent="0.2">
      <c r="A519" t="str">
        <f t="shared" ca="1" si="8"/>
        <v>Изменение чистого оборотного капитала</v>
      </c>
      <c r="B519" t="s">
        <v>568</v>
      </c>
      <c r="C519" t="s">
        <v>1149</v>
      </c>
      <c r="D519" t="s">
        <v>1217</v>
      </c>
    </row>
    <row r="520" spans="1:4" x14ac:dyDescent="0.2">
      <c r="A520" t="str">
        <f t="shared" ca="1" si="8"/>
        <v>Прирост, учтенный в операционных денежных потоках</v>
      </c>
      <c r="B520" t="s">
        <v>378</v>
      </c>
      <c r="C520" t="s">
        <v>1409</v>
      </c>
      <c r="D520" t="s">
        <v>1616</v>
      </c>
    </row>
    <row r="521" spans="1:4" x14ac:dyDescent="0.2">
      <c r="A521" t="str">
        <f t="shared" ca="1" si="8"/>
        <v>Инвестиции в чистый оборотный капитал</v>
      </c>
      <c r="B521" t="s">
        <v>379</v>
      </c>
      <c r="C521" t="s">
        <v>1410</v>
      </c>
      <c r="D521" t="s">
        <v>1467</v>
      </c>
    </row>
    <row r="522" spans="1:4" x14ac:dyDescent="0.2">
      <c r="A522" t="str">
        <f t="shared" ca="1" si="8"/>
        <v>доля</v>
      </c>
      <c r="B522" t="s">
        <v>380</v>
      </c>
      <c r="C522" t="s">
        <v>1411</v>
      </c>
      <c r="D522" t="s">
        <v>1468</v>
      </c>
    </row>
    <row r="523" spans="1:4" x14ac:dyDescent="0.2">
      <c r="A523" t="str">
        <f t="shared" ca="1" si="8"/>
        <v>срок, дн.</v>
      </c>
      <c r="B523" t="s">
        <v>381</v>
      </c>
      <c r="C523" t="s">
        <v>1412</v>
      </c>
      <c r="D523" t="s">
        <v>1469</v>
      </c>
    </row>
    <row r="524" spans="1:4" x14ac:dyDescent="0.2">
      <c r="A524" t="str">
        <f t="shared" ca="1" si="8"/>
        <v>Создавать резерв</v>
      </c>
      <c r="B524" t="s">
        <v>383</v>
      </c>
      <c r="C524" t="s">
        <v>1413</v>
      </c>
      <c r="D524" t="s">
        <v>1470</v>
      </c>
    </row>
    <row r="525" spans="1:4" x14ac:dyDescent="0.2">
      <c r="A525" t="str">
        <f t="shared" ca="1" si="8"/>
        <v>Не создавать резерв</v>
      </c>
      <c r="B525" t="s">
        <v>444</v>
      </c>
      <c r="C525" t="s">
        <v>1414</v>
      </c>
      <c r="D525" t="s">
        <v>1471</v>
      </c>
    </row>
    <row r="526" spans="1:4" x14ac:dyDescent="0.2">
      <c r="A526" t="str">
        <f t="shared" ca="1" si="8"/>
        <v xml:space="preserve">         ПЛАН РЕАЛИЗАЦИИ</v>
      </c>
      <c r="B526" t="s">
        <v>2404</v>
      </c>
      <c r="C526" t="s">
        <v>1415</v>
      </c>
      <c r="D526" t="s">
        <v>845</v>
      </c>
    </row>
    <row r="527" spans="1:4" x14ac:dyDescent="0.2">
      <c r="A527" t="str">
        <f t="shared" ca="1" si="8"/>
        <v>Наименование продукта</v>
      </c>
      <c r="B527" t="s">
        <v>385</v>
      </c>
      <c r="C527" t="s">
        <v>1416</v>
      </c>
      <c r="D527" t="s">
        <v>1472</v>
      </c>
    </row>
    <row r="528" spans="1:4" x14ac:dyDescent="0.2">
      <c r="A528" t="str">
        <f t="shared" ca="1" si="8"/>
        <v>Номинальный объем</v>
      </c>
      <c r="B528" t="s">
        <v>386</v>
      </c>
      <c r="C528" t="s">
        <v>1417</v>
      </c>
      <c r="D528" t="s">
        <v>1473</v>
      </c>
    </row>
    <row r="529" spans="1:4" x14ac:dyDescent="0.2">
      <c r="A529" t="str">
        <f t="shared" ca="1" si="8"/>
        <v>ед.</v>
      </c>
      <c r="B529" t="s">
        <v>387</v>
      </c>
      <c r="C529" t="s">
        <v>1418</v>
      </c>
      <c r="D529" t="s">
        <v>1474</v>
      </c>
    </row>
    <row r="530" spans="1:4" x14ac:dyDescent="0.2">
      <c r="A530" t="str">
        <f t="shared" ca="1" si="8"/>
        <v>Средний коэффициент загрузки производства</v>
      </c>
      <c r="B530" t="s">
        <v>388</v>
      </c>
      <c r="C530" t="s">
        <v>1419</v>
      </c>
      <c r="D530" t="s">
        <v>1475</v>
      </c>
    </row>
    <row r="531" spans="1:4" x14ac:dyDescent="0.2">
      <c r="A531" t="str">
        <f t="shared" ca="1" si="8"/>
        <v xml:space="preserve">         ОБЪЕМЫ РЕАЛИЗАЦИИ (в единицах)</v>
      </c>
      <c r="B531" t="s">
        <v>2566</v>
      </c>
      <c r="C531" t="s">
        <v>1420</v>
      </c>
      <c r="D531" t="s">
        <v>847</v>
      </c>
    </row>
    <row r="532" spans="1:4" x14ac:dyDescent="0.2">
      <c r="A532" t="str">
        <f t="shared" ca="1" si="8"/>
        <v xml:space="preserve">         ЦЕНА РЕАЛИЗАЦИИ (за единицу, с НДС)</v>
      </c>
      <c r="B532" t="s">
        <v>2567</v>
      </c>
      <c r="C532" t="s">
        <v>1421</v>
      </c>
      <c r="D532" t="s">
        <v>848</v>
      </c>
    </row>
    <row r="533" spans="1:4" x14ac:dyDescent="0.2">
      <c r="A533" t="str">
        <f t="shared" ca="1" si="8"/>
        <v xml:space="preserve">    цена без НДС и акцизов</v>
      </c>
      <c r="B533" t="s">
        <v>389</v>
      </c>
      <c r="C533" t="s">
        <v>1422</v>
      </c>
      <c r="D533" t="s">
        <v>1476</v>
      </c>
    </row>
    <row r="534" spans="1:4" x14ac:dyDescent="0.2">
      <c r="A534" t="str">
        <f t="shared" ca="1" si="8"/>
        <v xml:space="preserve">    акцизы</v>
      </c>
      <c r="B534" t="s">
        <v>390</v>
      </c>
      <c r="C534" t="s">
        <v>1423</v>
      </c>
      <c r="D534" t="s">
        <v>1477</v>
      </c>
    </row>
    <row r="535" spans="1:4" x14ac:dyDescent="0.2">
      <c r="A535" t="str">
        <f t="shared" ref="A535:A614" ca="1" si="9">OFFSET(A535,0,LanguageID)</f>
        <v xml:space="preserve">    налог с продаж</v>
      </c>
      <c r="B535" t="s">
        <v>391</v>
      </c>
      <c r="C535" t="s">
        <v>1424</v>
      </c>
      <c r="D535" t="s">
        <v>1478</v>
      </c>
    </row>
    <row r="536" spans="1:4" x14ac:dyDescent="0.2">
      <c r="A536" t="str">
        <f t="shared" ca="1" si="9"/>
        <v xml:space="preserve">    НДС</v>
      </c>
      <c r="B536" t="s">
        <v>392</v>
      </c>
      <c r="C536" t="s">
        <v>1168</v>
      </c>
      <c r="D536" t="s">
        <v>1125</v>
      </c>
    </row>
    <row r="537" spans="1:4" x14ac:dyDescent="0.2">
      <c r="A537" t="str">
        <f t="shared" ca="1" si="9"/>
        <v>Адвалорные</v>
      </c>
      <c r="B537" t="s">
        <v>393</v>
      </c>
      <c r="C537" t="s">
        <v>1425</v>
      </c>
      <c r="D537" t="s">
        <v>1479</v>
      </c>
    </row>
    <row r="538" spans="1:4" x14ac:dyDescent="0.2">
      <c r="A538" t="str">
        <f t="shared" ca="1" si="9"/>
        <v>Твердые</v>
      </c>
      <c r="B538" t="s">
        <v>394</v>
      </c>
      <c r="C538" t="s">
        <v>1426</v>
      </c>
      <c r="D538" t="s">
        <v>1480</v>
      </c>
    </row>
    <row r="539" spans="1:4" x14ac:dyDescent="0.2">
      <c r="A539" t="str">
        <f t="shared" ca="1" si="9"/>
        <v xml:space="preserve">         ДОХОДЫ ОТ ПРОДАЖ</v>
      </c>
      <c r="B539" t="s">
        <v>2568</v>
      </c>
      <c r="C539" t="s">
        <v>1427</v>
      </c>
      <c r="D539" t="s">
        <v>846</v>
      </c>
    </row>
    <row r="540" spans="1:4" x14ac:dyDescent="0.2">
      <c r="A540" t="str">
        <f t="shared" ca="1" si="9"/>
        <v xml:space="preserve">    к оплате от покупателей (без НДС)</v>
      </c>
      <c r="B540" t="s">
        <v>395</v>
      </c>
      <c r="C540" t="s">
        <v>1428</v>
      </c>
      <c r="D540" t="s">
        <v>1490</v>
      </c>
    </row>
    <row r="541" spans="1:4" x14ac:dyDescent="0.2">
      <c r="A541" t="str">
        <f t="shared" ca="1" si="9"/>
        <v xml:space="preserve">    в т.ч. акцизов, налогов и пошлин</v>
      </c>
      <c r="B541" t="s">
        <v>396</v>
      </c>
      <c r="C541" t="s">
        <v>1429</v>
      </c>
      <c r="D541" t="s">
        <v>1491</v>
      </c>
    </row>
    <row r="542" spans="1:4" x14ac:dyDescent="0.2">
      <c r="A542" t="str">
        <f t="shared" ca="1" si="9"/>
        <v xml:space="preserve">    НДС на поставленную продукцию</v>
      </c>
      <c r="B542" t="s">
        <v>397</v>
      </c>
      <c r="C542" t="s">
        <v>1430</v>
      </c>
      <c r="D542" t="s">
        <v>1492</v>
      </c>
    </row>
    <row r="543" spans="1:4" x14ac:dyDescent="0.2">
      <c r="A543" t="str">
        <f t="shared" ca="1" si="9"/>
        <v xml:space="preserve">    график оплаты (без НДС)</v>
      </c>
      <c r="B543" t="s">
        <v>398</v>
      </c>
      <c r="C543" t="s">
        <v>1431</v>
      </c>
      <c r="D543" t="s">
        <v>1493</v>
      </c>
    </row>
    <row r="544" spans="1:4" x14ac:dyDescent="0.2">
      <c r="A544" t="str">
        <f t="shared" ca="1" si="9"/>
        <v xml:space="preserve">    полученный НДС</v>
      </c>
      <c r="B544" t="s">
        <v>399</v>
      </c>
      <c r="C544" t="s">
        <v>1432</v>
      </c>
      <c r="D544" t="s">
        <v>1494</v>
      </c>
    </row>
    <row r="545" spans="1:4" x14ac:dyDescent="0.2">
      <c r="A545" t="str">
        <f t="shared" ca="1" si="9"/>
        <v xml:space="preserve">    дебиторская задолженность</v>
      </c>
      <c r="B545" t="s">
        <v>400</v>
      </c>
      <c r="C545" t="s">
        <v>1433</v>
      </c>
      <c r="D545" t="s">
        <v>1495</v>
      </c>
    </row>
    <row r="546" spans="1:4" x14ac:dyDescent="0.2">
      <c r="A546" t="str">
        <f t="shared" ca="1" si="9"/>
        <v xml:space="preserve">    полученные авансы</v>
      </c>
      <c r="B546" t="s">
        <v>401</v>
      </c>
      <c r="C546" t="s">
        <v>1434</v>
      </c>
      <c r="D546" t="s">
        <v>1496</v>
      </c>
    </row>
    <row r="547" spans="1:4" x14ac:dyDescent="0.2">
      <c r="A547" t="str">
        <f t="shared" ca="1" si="9"/>
        <v xml:space="preserve"> = Итого</v>
      </c>
      <c r="B547" t="s">
        <v>402</v>
      </c>
      <c r="C547" t="s">
        <v>1435</v>
      </c>
      <c r="D547" t="s">
        <v>1497</v>
      </c>
    </row>
    <row r="548" spans="1:4" x14ac:dyDescent="0.2">
      <c r="A548" t="str">
        <f t="shared" ca="1" si="9"/>
        <v xml:space="preserve">         ОБЪЕМЫ ПРОИЗВОДСТВА (в единицах)</v>
      </c>
      <c r="B548" t="s">
        <v>2569</v>
      </c>
      <c r="C548" t="s">
        <v>1177</v>
      </c>
      <c r="D548" t="s">
        <v>676</v>
      </c>
    </row>
    <row r="549" spans="1:4" x14ac:dyDescent="0.2">
      <c r="A549" t="str">
        <f t="shared" ca="1" si="9"/>
        <v xml:space="preserve">    план производства</v>
      </c>
      <c r="B549" t="s">
        <v>2426</v>
      </c>
      <c r="C549" t="s">
        <v>1178</v>
      </c>
      <c r="D549" t="s">
        <v>1498</v>
      </c>
    </row>
    <row r="550" spans="1:4" x14ac:dyDescent="0.2">
      <c r="A550" t="str">
        <f t="shared" ca="1" si="9"/>
        <v xml:space="preserve">    план реализации</v>
      </c>
      <c r="B550" s="52" t="s">
        <v>2291</v>
      </c>
      <c r="C550" t="s">
        <v>1179</v>
      </c>
      <c r="D550" t="s">
        <v>1499</v>
      </c>
    </row>
    <row r="551" spans="1:4" x14ac:dyDescent="0.2">
      <c r="A551" t="str">
        <f t="shared" ca="1" si="9"/>
        <v xml:space="preserve">    склад готовой продукции</v>
      </c>
      <c r="B551" s="52" t="s">
        <v>2292</v>
      </c>
      <c r="C551" t="s">
        <v>1180</v>
      </c>
      <c r="D551" t="s">
        <v>1500</v>
      </c>
    </row>
    <row r="552" spans="1:4" x14ac:dyDescent="0.2">
      <c r="A552" t="str">
        <f t="shared" ca="1" si="9"/>
        <v xml:space="preserve">    незавершенное производство</v>
      </c>
      <c r="B552" s="52" t="s">
        <v>629</v>
      </c>
      <c r="C552" t="s">
        <v>1181</v>
      </c>
      <c r="D552" t="s">
        <v>1501</v>
      </c>
    </row>
    <row r="553" spans="1:4" x14ac:dyDescent="0.2">
      <c r="A553" t="str">
        <f t="shared" ca="1" si="9"/>
        <v>Мало!</v>
      </c>
      <c r="B553" s="52" t="s">
        <v>23</v>
      </c>
      <c r="C553" t="s">
        <v>24</v>
      </c>
      <c r="D553" t="s">
        <v>1502</v>
      </c>
    </row>
    <row r="554" spans="1:4" x14ac:dyDescent="0.2">
      <c r="A554" t="str">
        <f t="shared" ca="1" si="9"/>
        <v xml:space="preserve">         РАСХОД СЫРЬЯ И МАТЕРИАЛОВ (в единицах)</v>
      </c>
      <c r="B554" t="s">
        <v>2570</v>
      </c>
      <c r="C554" t="s">
        <v>1182</v>
      </c>
      <c r="D554" t="s">
        <v>677</v>
      </c>
    </row>
    <row r="555" spans="1:4" x14ac:dyDescent="0.2">
      <c r="A555" t="str">
        <f t="shared" ca="1" si="9"/>
        <v>Наименование материала</v>
      </c>
      <c r="B555" t="s">
        <v>2296</v>
      </c>
      <c r="C555" t="s">
        <v>2297</v>
      </c>
      <c r="D555" t="s">
        <v>1503</v>
      </c>
    </row>
    <row r="556" spans="1:4" x14ac:dyDescent="0.2">
      <c r="A556" t="str">
        <f t="shared" ca="1" si="9"/>
        <v>Плановый расход на единицу продукции</v>
      </c>
      <c r="B556" t="s">
        <v>2293</v>
      </c>
      <c r="C556" t="s">
        <v>1183</v>
      </c>
      <c r="D556" t="s">
        <v>1504</v>
      </c>
    </row>
    <row r="557" spans="1:4" x14ac:dyDescent="0.2">
      <c r="A557" t="str">
        <f t="shared" ca="1" si="9"/>
        <v xml:space="preserve">         ЦЕНА СЫРЬЯ И МАТЕРИАЛОВ (за единицу, с НДС)</v>
      </c>
      <c r="B557" t="s">
        <v>2571</v>
      </c>
      <c r="C557" t="s">
        <v>20</v>
      </c>
      <c r="D557" t="s">
        <v>21</v>
      </c>
    </row>
    <row r="558" spans="1:4" x14ac:dyDescent="0.2">
      <c r="A558" t="str">
        <f t="shared" ca="1" si="9"/>
        <v xml:space="preserve">    цена без НДС</v>
      </c>
      <c r="B558" t="s">
        <v>403</v>
      </c>
      <c r="C558" t="s">
        <v>1507</v>
      </c>
      <c r="D558" t="s">
        <v>1505</v>
      </c>
    </row>
    <row r="559" spans="1:4" x14ac:dyDescent="0.2">
      <c r="A559" t="str">
        <f t="shared" ca="1" si="9"/>
        <v xml:space="preserve">    в том числе импортная пошлина</v>
      </c>
      <c r="B559" t="s">
        <v>404</v>
      </c>
      <c r="C559" t="s">
        <v>1508</v>
      </c>
      <c r="D559" t="s">
        <v>1506</v>
      </c>
    </row>
    <row r="560" spans="1:4" x14ac:dyDescent="0.2">
      <c r="A560" t="str">
        <f t="shared" ca="1" si="9"/>
        <v xml:space="preserve">    НДС</v>
      </c>
      <c r="B560" t="s">
        <v>392</v>
      </c>
      <c r="C560" t="s">
        <v>1168</v>
      </c>
      <c r="D560" t="s">
        <v>1125</v>
      </c>
    </row>
    <row r="561" spans="1:4" x14ac:dyDescent="0.2">
      <c r="A561" t="str">
        <f t="shared" ca="1" si="9"/>
        <v xml:space="preserve">         ЗАТРАТЫ НА СЫРЬЕ И МАТЕРИАЛЫ</v>
      </c>
      <c r="B561" t="s">
        <v>2572</v>
      </c>
      <c r="C561" t="s">
        <v>1509</v>
      </c>
      <c r="D561" t="s">
        <v>678</v>
      </c>
    </row>
    <row r="562" spans="1:4" x14ac:dyDescent="0.2">
      <c r="A562" t="str">
        <f t="shared" ca="1" si="9"/>
        <v xml:space="preserve">    среднее время хранения</v>
      </c>
      <c r="B562" t="s">
        <v>342</v>
      </c>
      <c r="C562" t="s">
        <v>1698</v>
      </c>
      <c r="D562" t="s">
        <v>1559</v>
      </c>
    </row>
    <row r="563" spans="1:4" x14ac:dyDescent="0.2">
      <c r="A563" t="str">
        <f t="shared" ca="1" si="9"/>
        <v xml:space="preserve">    затраты на сырье и материалы без НДС</v>
      </c>
      <c r="B563" t="s">
        <v>405</v>
      </c>
      <c r="C563" t="s">
        <v>1167</v>
      </c>
      <c r="D563" t="s">
        <v>1505</v>
      </c>
    </row>
    <row r="564" spans="1:4" x14ac:dyDescent="0.2">
      <c r="A564" t="str">
        <f t="shared" ca="1" si="9"/>
        <v xml:space="preserve">    в том числе импортная пошлина</v>
      </c>
      <c r="B564" t="s">
        <v>404</v>
      </c>
      <c r="C564" t="s">
        <v>1508</v>
      </c>
      <c r="D564" t="s">
        <v>1506</v>
      </c>
    </row>
    <row r="565" spans="1:4" x14ac:dyDescent="0.2">
      <c r="A565" t="str">
        <f t="shared" ca="1" si="9"/>
        <v xml:space="preserve">    закуплено сырья и материалов на сумму (без НДС)</v>
      </c>
      <c r="B565" t="s">
        <v>406</v>
      </c>
      <c r="C565" t="s">
        <v>1510</v>
      </c>
      <c r="D565" t="s">
        <v>1824</v>
      </c>
    </row>
    <row r="566" spans="1:4" x14ac:dyDescent="0.2">
      <c r="A566" t="str">
        <f t="shared" ca="1" si="9"/>
        <v xml:space="preserve">    зачет НДС</v>
      </c>
      <c r="B566" t="s">
        <v>202</v>
      </c>
      <c r="C566" t="s">
        <v>1171</v>
      </c>
      <c r="D566" t="s">
        <v>1129</v>
      </c>
    </row>
    <row r="567" spans="1:4" x14ac:dyDescent="0.2">
      <c r="A567" t="str">
        <f t="shared" ca="1" si="9"/>
        <v xml:space="preserve">    запасы на основе периодов оборота</v>
      </c>
      <c r="B567" t="s">
        <v>582</v>
      </c>
      <c r="C567" t="s">
        <v>1511</v>
      </c>
      <c r="D567" t="s">
        <v>1825</v>
      </c>
    </row>
    <row r="568" spans="1:4" x14ac:dyDescent="0.2">
      <c r="A568" t="str">
        <f t="shared" ca="1" si="9"/>
        <v xml:space="preserve">    запасы на основе графика оплаты</v>
      </c>
      <c r="B568" t="s">
        <v>583</v>
      </c>
      <c r="C568" t="s">
        <v>1512</v>
      </c>
      <c r="D568" t="s">
        <v>1826</v>
      </c>
    </row>
    <row r="569" spans="1:4" x14ac:dyDescent="0.2">
      <c r="A569" t="str">
        <f t="shared" ca="1" si="9"/>
        <v xml:space="preserve">    оплачено сырья и материалов (без НДС)</v>
      </c>
      <c r="B569" t="s">
        <v>2200</v>
      </c>
      <c r="C569" t="s">
        <v>1513</v>
      </c>
      <c r="D569" t="s">
        <v>1827</v>
      </c>
    </row>
    <row r="570" spans="1:4" x14ac:dyDescent="0.2">
      <c r="A570" t="str">
        <f t="shared" ca="1" si="9"/>
        <v xml:space="preserve">    выплаченный НДС</v>
      </c>
      <c r="B570" t="s">
        <v>200</v>
      </c>
      <c r="C570" t="s">
        <v>1338</v>
      </c>
      <c r="D570" t="s">
        <v>1201</v>
      </c>
    </row>
    <row r="571" spans="1:4" x14ac:dyDescent="0.2">
      <c r="A571" t="str">
        <f t="shared" ca="1" si="9"/>
        <v xml:space="preserve">    кредиторская задолженность</v>
      </c>
      <c r="B571" t="s">
        <v>196</v>
      </c>
      <c r="C571" t="s">
        <v>1088</v>
      </c>
      <c r="D571" t="s">
        <v>1642</v>
      </c>
    </row>
    <row r="572" spans="1:4" x14ac:dyDescent="0.2">
      <c r="A572" t="str">
        <f t="shared" ca="1" si="9"/>
        <v xml:space="preserve">    выплаченные авансы</v>
      </c>
      <c r="B572" t="s">
        <v>2201</v>
      </c>
      <c r="C572" t="s">
        <v>1369</v>
      </c>
      <c r="D572" t="s">
        <v>1496</v>
      </c>
    </row>
    <row r="573" spans="1:4" x14ac:dyDescent="0.2">
      <c r="A573" t="str">
        <f t="shared" ca="1" si="9"/>
        <v xml:space="preserve">    списано затрат на реализованную продукцию</v>
      </c>
      <c r="B573" t="s">
        <v>2294</v>
      </c>
      <c r="C573" t="s">
        <v>1514</v>
      </c>
      <c r="D573" t="s">
        <v>1828</v>
      </c>
    </row>
    <row r="574" spans="1:4" x14ac:dyDescent="0.2">
      <c r="A574" t="str">
        <f t="shared" ca="1" si="9"/>
        <v xml:space="preserve">    остаток затрат на складе готовой продукции</v>
      </c>
      <c r="B574" t="s">
        <v>2295</v>
      </c>
      <c r="C574" t="s">
        <v>1515</v>
      </c>
      <c r="D574" t="s">
        <v>1829</v>
      </c>
    </row>
    <row r="575" spans="1:4" x14ac:dyDescent="0.2">
      <c r="A575" t="str">
        <f t="shared" ca="1" si="9"/>
        <v xml:space="preserve">    остаток затрат в незавершенном производстве</v>
      </c>
      <c r="B575" t="s">
        <v>2299</v>
      </c>
      <c r="C575" t="s">
        <v>1516</v>
      </c>
      <c r="D575" t="s">
        <v>1830</v>
      </c>
    </row>
    <row r="576" spans="1:4" x14ac:dyDescent="0.2">
      <c r="A576" t="str">
        <f t="shared" ca="1" si="9"/>
        <v xml:space="preserve">         ПРОЧИЕ ПЕРЕМЕННЫЕ ЗАТРАТЫ</v>
      </c>
      <c r="B576" t="s">
        <v>2573</v>
      </c>
      <c r="C576" t="s">
        <v>1517</v>
      </c>
      <c r="D576" t="s">
        <v>679</v>
      </c>
    </row>
    <row r="577" spans="1:4" x14ac:dyDescent="0.2">
      <c r="A577" t="str">
        <f t="shared" ca="1" si="9"/>
        <v>Наименование</v>
      </c>
      <c r="B577" t="s">
        <v>185</v>
      </c>
      <c r="C577" t="s">
        <v>2298</v>
      </c>
      <c r="D577" t="s">
        <v>1831</v>
      </c>
    </row>
    <row r="578" spans="1:4" x14ac:dyDescent="0.2">
      <c r="A578" t="str">
        <f t="shared" ca="1" si="9"/>
        <v xml:space="preserve">    затраты без НДС</v>
      </c>
      <c r="B578" t="s">
        <v>2280</v>
      </c>
      <c r="C578" t="s">
        <v>1518</v>
      </c>
      <c r="D578" t="s">
        <v>1832</v>
      </c>
    </row>
    <row r="579" spans="1:4" x14ac:dyDescent="0.2">
      <c r="A579" t="str">
        <f t="shared" ca="1" si="9"/>
        <v>Плановый расход на единицу продукции</v>
      </c>
      <c r="B579" s="52" t="s">
        <v>2293</v>
      </c>
      <c r="C579" t="s">
        <v>1183</v>
      </c>
      <c r="D579" t="s">
        <v>1833</v>
      </c>
    </row>
    <row r="580" spans="1:4" x14ac:dyDescent="0.2">
      <c r="A580" t="str">
        <f t="shared" ca="1" si="9"/>
        <v>Расход за период</v>
      </c>
      <c r="B580" s="52" t="s">
        <v>2544</v>
      </c>
      <c r="C580" t="s">
        <v>1519</v>
      </c>
      <c r="D580" t="s">
        <v>1834</v>
      </c>
    </row>
    <row r="581" spans="1:4" x14ac:dyDescent="0.2">
      <c r="A581" t="str">
        <f t="shared" ca="1" si="9"/>
        <v xml:space="preserve">    оплачено расходов (без НДС)</v>
      </c>
      <c r="B581" t="s">
        <v>2545</v>
      </c>
      <c r="C581" t="s">
        <v>1520</v>
      </c>
      <c r="D581" t="s">
        <v>1835</v>
      </c>
    </row>
    <row r="582" spans="1:4" x14ac:dyDescent="0.2">
      <c r="A582" t="str">
        <f t="shared" ca="1" si="9"/>
        <v xml:space="preserve">         ПЕРСОНАЛ И ЗАРАБОТНАЯ ПЛАТА</v>
      </c>
      <c r="B582" t="s">
        <v>2574</v>
      </c>
      <c r="C582" t="s">
        <v>1521</v>
      </c>
      <c r="D582" t="s">
        <v>680</v>
      </c>
    </row>
    <row r="583" spans="1:4" x14ac:dyDescent="0.2">
      <c r="A583" t="str">
        <f t="shared" ca="1" si="9"/>
        <v>Основной производственный персонал</v>
      </c>
      <c r="B583" t="s">
        <v>2202</v>
      </c>
      <c r="C583" t="s">
        <v>1522</v>
      </c>
      <c r="D583" t="s">
        <v>1836</v>
      </c>
    </row>
    <row r="584" spans="1:4" x14ac:dyDescent="0.2">
      <c r="A584" t="str">
        <f t="shared" ca="1" si="9"/>
        <v>Вспомогательный производственный персонал</v>
      </c>
      <c r="B584" t="s">
        <v>2203</v>
      </c>
      <c r="C584" t="s">
        <v>1523</v>
      </c>
      <c r="D584" t="s">
        <v>1837</v>
      </c>
    </row>
    <row r="585" spans="1:4" x14ac:dyDescent="0.2">
      <c r="A585" t="str">
        <f t="shared" ca="1" si="9"/>
        <v>Административный персонал</v>
      </c>
      <c r="B585" t="s">
        <v>2204</v>
      </c>
      <c r="C585" t="s">
        <v>1656</v>
      </c>
      <c r="D585" t="s">
        <v>1995</v>
      </c>
    </row>
    <row r="586" spans="1:4" x14ac:dyDescent="0.2">
      <c r="A586" t="str">
        <f t="shared" ca="1" si="9"/>
        <v>Коммерческий персонал</v>
      </c>
      <c r="B586" t="s">
        <v>2205</v>
      </c>
      <c r="C586" t="s">
        <v>1657</v>
      </c>
      <c r="D586" t="s">
        <v>1996</v>
      </c>
    </row>
    <row r="587" spans="1:4" x14ac:dyDescent="0.2">
      <c r="A587" t="str">
        <f t="shared" ca="1" si="9"/>
        <v>Общая численность персонала</v>
      </c>
      <c r="B587" t="s">
        <v>2206</v>
      </c>
      <c r="C587" t="s">
        <v>1658</v>
      </c>
      <c r="D587" t="s">
        <v>1997</v>
      </c>
    </row>
    <row r="588" spans="1:4" x14ac:dyDescent="0.2">
      <c r="A588" t="str">
        <f t="shared" ca="1" si="9"/>
        <v>Месячный оклад</v>
      </c>
      <c r="B588" t="s">
        <v>417</v>
      </c>
      <c r="C588" t="s">
        <v>1659</v>
      </c>
      <c r="D588" t="s">
        <v>1998</v>
      </c>
    </row>
    <row r="589" spans="1:4" x14ac:dyDescent="0.2">
      <c r="A589" t="str">
        <f t="shared" ca="1" si="9"/>
        <v>Количество</v>
      </c>
      <c r="B589" t="s">
        <v>418</v>
      </c>
      <c r="C589" t="s">
        <v>1660</v>
      </c>
      <c r="D589" t="s">
        <v>1999</v>
      </c>
    </row>
    <row r="590" spans="1:4" x14ac:dyDescent="0.2">
      <c r="A590" t="str">
        <f t="shared" ca="1" si="9"/>
        <v>Мес. оклад</v>
      </c>
      <c r="B590" t="s">
        <v>2207</v>
      </c>
      <c r="C590" t="s">
        <v>1659</v>
      </c>
      <c r="D590" t="s">
        <v>1998</v>
      </c>
    </row>
    <row r="591" spans="1:4" x14ac:dyDescent="0.2">
      <c r="A591" t="str">
        <f t="shared" ca="1" si="9"/>
        <v>чел.</v>
      </c>
      <c r="B591" t="s">
        <v>2208</v>
      </c>
      <c r="C591" t="s">
        <v>1661</v>
      </c>
      <c r="D591" t="s">
        <v>1526</v>
      </c>
    </row>
    <row r="592" spans="1:4" x14ac:dyDescent="0.2">
      <c r="A592" t="str">
        <f t="shared" ca="1" si="9"/>
        <v>Начисленный ЕСН и страхование</v>
      </c>
      <c r="B592" s="16" t="s">
        <v>419</v>
      </c>
      <c r="C592" s="16" t="s">
        <v>1528</v>
      </c>
      <c r="D592" t="s">
        <v>1527</v>
      </c>
    </row>
    <row r="593" spans="1:4" x14ac:dyDescent="0.2">
      <c r="A593" t="str">
        <f t="shared" ca="1" si="9"/>
        <v xml:space="preserve">    - на зарплату основного произв. персонала</v>
      </c>
      <c r="B593" s="16" t="s">
        <v>420</v>
      </c>
      <c r="C593" s="16" t="s">
        <v>1529</v>
      </c>
      <c r="D593" t="s">
        <v>1838</v>
      </c>
    </row>
    <row r="594" spans="1:4" x14ac:dyDescent="0.2">
      <c r="A594" t="str">
        <f t="shared" ca="1" si="9"/>
        <v xml:space="preserve">    - на зарплату вспомогательного произв. персонала</v>
      </c>
      <c r="B594" s="16" t="s">
        <v>421</v>
      </c>
      <c r="C594" s="16" t="s">
        <v>1530</v>
      </c>
      <c r="D594" t="s">
        <v>1839</v>
      </c>
    </row>
    <row r="595" spans="1:4" x14ac:dyDescent="0.2">
      <c r="A595" t="str">
        <f t="shared" ca="1" si="9"/>
        <v xml:space="preserve">    - на зарплату административного персонала</v>
      </c>
      <c r="B595" s="16" t="s">
        <v>317</v>
      </c>
      <c r="C595" s="16" t="s">
        <v>1531</v>
      </c>
      <c r="D595" t="s">
        <v>1840</v>
      </c>
    </row>
    <row r="596" spans="1:4" x14ac:dyDescent="0.2">
      <c r="A596" t="str">
        <f t="shared" ca="1" si="9"/>
        <v xml:space="preserve">    - на зарплату коммерческого персонала</v>
      </c>
      <c r="B596" s="16" t="s">
        <v>318</v>
      </c>
      <c r="C596" s="16" t="s">
        <v>1532</v>
      </c>
      <c r="D596" t="s">
        <v>1841</v>
      </c>
    </row>
    <row r="597" spans="1:4" x14ac:dyDescent="0.2">
      <c r="A597" t="str">
        <f t="shared" ca="1" si="9"/>
        <v>Расходы на зарплату с учетом ЕСН и страхования</v>
      </c>
      <c r="B597" s="16" t="s">
        <v>2213</v>
      </c>
      <c r="C597" s="16" t="s">
        <v>1533</v>
      </c>
      <c r="D597" t="s">
        <v>79</v>
      </c>
    </row>
    <row r="598" spans="1:4" x14ac:dyDescent="0.2">
      <c r="A598" t="str">
        <f t="shared" ca="1" si="9"/>
        <v xml:space="preserve">         ТЕКУЩИЕ ЗАТРАТЫ</v>
      </c>
      <c r="B598" s="16" t="s">
        <v>2575</v>
      </c>
      <c r="C598" t="s">
        <v>1534</v>
      </c>
      <c r="D598" t="s">
        <v>681</v>
      </c>
    </row>
    <row r="599" spans="1:4" x14ac:dyDescent="0.2">
      <c r="A599" t="str">
        <f t="shared" ca="1" si="9"/>
        <v>Прочие переменные затраты</v>
      </c>
      <c r="B599" s="16" t="s">
        <v>2281</v>
      </c>
      <c r="C599" s="16" t="s">
        <v>1535</v>
      </c>
      <c r="D599" t="s">
        <v>80</v>
      </c>
    </row>
    <row r="600" spans="1:4" x14ac:dyDescent="0.2">
      <c r="A600" t="str">
        <f t="shared" ca="1" si="9"/>
        <v>Прямые производственные расходы</v>
      </c>
      <c r="B600" t="s">
        <v>2214</v>
      </c>
      <c r="C600" t="s">
        <v>1536</v>
      </c>
      <c r="D600" t="s">
        <v>81</v>
      </c>
    </row>
    <row r="601" spans="1:4" x14ac:dyDescent="0.2">
      <c r="A601" t="str">
        <f t="shared" ca="1" si="9"/>
        <v>Общие производственные расходы</v>
      </c>
      <c r="B601" t="s">
        <v>2212</v>
      </c>
      <c r="C601" t="s">
        <v>1537</v>
      </c>
      <c r="D601" t="s">
        <v>82</v>
      </c>
    </row>
    <row r="602" spans="1:4" x14ac:dyDescent="0.2">
      <c r="A602" t="str">
        <f t="shared" ca="1" si="9"/>
        <v>Административные расходы</v>
      </c>
      <c r="B602" t="s">
        <v>431</v>
      </c>
      <c r="C602" t="s">
        <v>1538</v>
      </c>
      <c r="D602" t="s">
        <v>83</v>
      </c>
    </row>
    <row r="603" spans="1:4" x14ac:dyDescent="0.2">
      <c r="A603" t="str">
        <f t="shared" ca="1" si="9"/>
        <v>Коммерческие расходы</v>
      </c>
      <c r="B603" t="s">
        <v>432</v>
      </c>
      <c r="C603" t="s">
        <v>1539</v>
      </c>
      <c r="D603" t="s">
        <v>84</v>
      </c>
    </row>
    <row r="604" spans="1:4" x14ac:dyDescent="0.2">
      <c r="A604" t="str">
        <f t="shared" ca="1" si="9"/>
        <v>Коммерческие расходы как % от продаж</v>
      </c>
      <c r="B604" t="s">
        <v>433</v>
      </c>
      <c r="C604" t="s">
        <v>1540</v>
      </c>
      <c r="D604" t="s">
        <v>85</v>
      </c>
    </row>
    <row r="605" spans="1:4" x14ac:dyDescent="0.2">
      <c r="A605" t="str">
        <f t="shared" ca="1" si="9"/>
        <v xml:space="preserve">    Производственные расходы</v>
      </c>
      <c r="B605" t="s">
        <v>434</v>
      </c>
      <c r="C605" t="s">
        <v>1541</v>
      </c>
      <c r="D605" t="s">
        <v>86</v>
      </c>
    </row>
    <row r="606" spans="1:4" x14ac:dyDescent="0.2">
      <c r="A606" t="str">
        <f t="shared" ca="1" si="9"/>
        <v xml:space="preserve">        сумма без НДС</v>
      </c>
      <c r="B606" t="s">
        <v>435</v>
      </c>
      <c r="C606" t="s">
        <v>1542</v>
      </c>
      <c r="D606" t="s">
        <v>87</v>
      </c>
    </row>
    <row r="607" spans="1:4" x14ac:dyDescent="0.2">
      <c r="A607" t="str">
        <f t="shared" ca="1" si="9"/>
        <v xml:space="preserve">        НДС</v>
      </c>
      <c r="B607" t="s">
        <v>436</v>
      </c>
      <c r="C607" t="s">
        <v>1543</v>
      </c>
      <c r="D607" t="s">
        <v>88</v>
      </c>
    </row>
    <row r="608" spans="1:4" x14ac:dyDescent="0.2">
      <c r="A608" t="str">
        <f t="shared" ca="1" si="9"/>
        <v xml:space="preserve">    Административные расходы</v>
      </c>
      <c r="B608" t="s">
        <v>437</v>
      </c>
      <c r="C608" t="s">
        <v>1544</v>
      </c>
      <c r="D608" t="s">
        <v>89</v>
      </c>
    </row>
    <row r="609" spans="1:4" x14ac:dyDescent="0.2">
      <c r="A609" t="str">
        <f t="shared" ca="1" si="9"/>
        <v xml:space="preserve">    Коммерческие расходы</v>
      </c>
      <c r="B609" t="s">
        <v>438</v>
      </c>
      <c r="C609" t="s">
        <v>1545</v>
      </c>
      <c r="D609" t="s">
        <v>90</v>
      </c>
    </row>
    <row r="610" spans="1:4" x14ac:dyDescent="0.2">
      <c r="A610" t="str">
        <f t="shared" ca="1" si="9"/>
        <v>Расходы на материалы и комплектующие</v>
      </c>
      <c r="B610" t="s">
        <v>439</v>
      </c>
      <c r="C610" t="s">
        <v>1546</v>
      </c>
      <c r="D610" t="s">
        <v>91</v>
      </c>
    </row>
    <row r="611" spans="1:4" x14ac:dyDescent="0.2">
      <c r="A611" t="str">
        <f t="shared" ca="1" si="9"/>
        <v>Зарплата основного производственного персонала</v>
      </c>
      <c r="B611" s="16" t="s">
        <v>440</v>
      </c>
      <c r="C611" t="s">
        <v>1547</v>
      </c>
      <c r="D611" t="s">
        <v>92</v>
      </c>
    </row>
    <row r="612" spans="1:4" x14ac:dyDescent="0.2">
      <c r="A612" t="str">
        <f t="shared" ca="1" si="9"/>
        <v>ЕСН на зарплату основного произв. персонала</v>
      </c>
      <c r="B612" s="16" t="s">
        <v>441</v>
      </c>
      <c r="C612" t="s">
        <v>1548</v>
      </c>
      <c r="D612" t="s">
        <v>93</v>
      </c>
    </row>
    <row r="613" spans="1:4" x14ac:dyDescent="0.2">
      <c r="A613" t="str">
        <f t="shared" ca="1" si="9"/>
        <v>Зарплата вспомогательного произв. персонала</v>
      </c>
      <c r="B613" s="16" t="s">
        <v>2215</v>
      </c>
      <c r="C613" t="s">
        <v>1549</v>
      </c>
      <c r="D613" t="s">
        <v>94</v>
      </c>
    </row>
    <row r="614" spans="1:4" x14ac:dyDescent="0.2">
      <c r="A614" t="str">
        <f t="shared" ca="1" si="9"/>
        <v>ЕСН на зарплату вспомогательного произв. персонала</v>
      </c>
      <c r="B614" s="16" t="s">
        <v>2216</v>
      </c>
      <c r="C614" t="s">
        <v>1550</v>
      </c>
      <c r="D614" t="s">
        <v>95</v>
      </c>
    </row>
    <row r="615" spans="1:4" x14ac:dyDescent="0.2">
      <c r="A615" t="str">
        <f t="shared" ref="A615:A685" ca="1" si="10">OFFSET(A615,0,LanguageID)</f>
        <v>Зарплата коммерческого персонала</v>
      </c>
      <c r="B615" s="16" t="s">
        <v>2217</v>
      </c>
      <c r="C615" t="s">
        <v>1551</v>
      </c>
      <c r="D615" t="s">
        <v>96</v>
      </c>
    </row>
    <row r="616" spans="1:4" x14ac:dyDescent="0.2">
      <c r="A616" t="str">
        <f t="shared" ca="1" si="10"/>
        <v>ЕСН на зарплату коммерческого персонала</v>
      </c>
      <c r="B616" s="16" t="s">
        <v>2218</v>
      </c>
      <c r="C616" t="s">
        <v>1552</v>
      </c>
      <c r="D616" t="s">
        <v>1866</v>
      </c>
    </row>
    <row r="617" spans="1:4" x14ac:dyDescent="0.2">
      <c r="A617" t="str">
        <f t="shared" ca="1" si="10"/>
        <v>Зарплата административного персонала</v>
      </c>
      <c r="B617" s="16" t="s">
        <v>2219</v>
      </c>
      <c r="C617" t="s">
        <v>1553</v>
      </c>
      <c r="D617" t="s">
        <v>1867</v>
      </c>
    </row>
    <row r="618" spans="1:4" x14ac:dyDescent="0.2">
      <c r="A618" t="str">
        <f t="shared" ca="1" si="10"/>
        <v>ЕСН на зарплату административного персонала</v>
      </c>
      <c r="B618" s="16" t="s">
        <v>2220</v>
      </c>
      <c r="C618" t="s">
        <v>1554</v>
      </c>
      <c r="D618" t="s">
        <v>1868</v>
      </c>
    </row>
    <row r="619" spans="1:4" x14ac:dyDescent="0.2">
      <c r="A619" t="str">
        <f t="shared" ca="1" si="10"/>
        <v>в том числе НДС</v>
      </c>
      <c r="B619" s="16" t="s">
        <v>2221</v>
      </c>
      <c r="C619" t="s">
        <v>1555</v>
      </c>
      <c r="D619" t="s">
        <v>1869</v>
      </c>
    </row>
    <row r="620" spans="1:4" x14ac:dyDescent="0.2">
      <c r="A620" t="str">
        <f t="shared" ca="1" si="10"/>
        <v>Амортизация</v>
      </c>
      <c r="B620" s="16" t="s">
        <v>2222</v>
      </c>
      <c r="C620" t="s">
        <v>1842</v>
      </c>
      <c r="D620" t="s">
        <v>1870</v>
      </c>
    </row>
    <row r="621" spans="1:4" x14ac:dyDescent="0.2">
      <c r="A621" t="str">
        <f t="shared" ca="1" si="10"/>
        <v>Земельный и другие налоги, относимые на текущие затраты</v>
      </c>
      <c r="B621" s="16" t="s">
        <v>2223</v>
      </c>
      <c r="C621" t="s">
        <v>1843</v>
      </c>
      <c r="D621" t="s">
        <v>1585</v>
      </c>
    </row>
    <row r="622" spans="1:4" x14ac:dyDescent="0.2">
      <c r="A622" t="str">
        <f t="shared" ca="1" si="10"/>
        <v xml:space="preserve"> = Итого: затраты в отчете о прибылях и убытках</v>
      </c>
      <c r="B622" t="s">
        <v>2225</v>
      </c>
      <c r="C622" t="s">
        <v>1844</v>
      </c>
      <c r="D622" t="s">
        <v>1586</v>
      </c>
    </row>
    <row r="623" spans="1:4" x14ac:dyDescent="0.2">
      <c r="A623" t="str">
        <f t="shared" ca="1" si="10"/>
        <v xml:space="preserve">    материалы и комплектующие</v>
      </c>
      <c r="B623" t="s">
        <v>2226</v>
      </c>
      <c r="C623" t="s">
        <v>1845</v>
      </c>
      <c r="D623" t="s">
        <v>1587</v>
      </c>
    </row>
    <row r="624" spans="1:4" x14ac:dyDescent="0.2">
      <c r="A624" t="str">
        <f t="shared" ca="1" si="10"/>
        <v xml:space="preserve">    прочие переменные затраты</v>
      </c>
      <c r="B624" t="s">
        <v>2282</v>
      </c>
      <c r="C624" t="s">
        <v>1846</v>
      </c>
      <c r="D624" t="s">
        <v>1588</v>
      </c>
    </row>
    <row r="625" spans="1:4" x14ac:dyDescent="0.2">
      <c r="A625" t="str">
        <f t="shared" ca="1" si="10"/>
        <v xml:space="preserve">    оплата труда</v>
      </c>
      <c r="B625" t="s">
        <v>2227</v>
      </c>
      <c r="C625" t="s">
        <v>1847</v>
      </c>
      <c r="D625" t="s">
        <v>1589</v>
      </c>
    </row>
    <row r="626" spans="1:4" x14ac:dyDescent="0.2">
      <c r="A626" t="str">
        <f t="shared" ca="1" si="10"/>
        <v xml:space="preserve">    налоги, относимые на текущие затраты</v>
      </c>
      <c r="B626" t="s">
        <v>2228</v>
      </c>
      <c r="C626" t="s">
        <v>1848</v>
      </c>
      <c r="D626" t="s">
        <v>1888</v>
      </c>
    </row>
    <row r="627" spans="1:4" x14ac:dyDescent="0.2">
      <c r="A627" t="str">
        <f t="shared" ca="1" si="10"/>
        <v xml:space="preserve">    производственные расходы</v>
      </c>
      <c r="B627" t="s">
        <v>2229</v>
      </c>
      <c r="C627" t="s">
        <v>1849</v>
      </c>
      <c r="D627" t="s">
        <v>86</v>
      </c>
    </row>
    <row r="628" spans="1:4" x14ac:dyDescent="0.2">
      <c r="A628" t="str">
        <f t="shared" ca="1" si="10"/>
        <v xml:space="preserve">    начисленные лизинговые платежи</v>
      </c>
      <c r="B628" t="s">
        <v>2230</v>
      </c>
      <c r="C628" t="s">
        <v>1850</v>
      </c>
      <c r="D628" t="s">
        <v>1889</v>
      </c>
    </row>
    <row r="629" spans="1:4" x14ac:dyDescent="0.2">
      <c r="A629" t="str">
        <f t="shared" ca="1" si="10"/>
        <v xml:space="preserve">    амортизация</v>
      </c>
      <c r="B629" t="s">
        <v>2231</v>
      </c>
      <c r="C629" t="s">
        <v>1380</v>
      </c>
      <c r="D629" t="s">
        <v>1890</v>
      </c>
    </row>
    <row r="630" spans="1:4" x14ac:dyDescent="0.2">
      <c r="A630" t="str">
        <f t="shared" ca="1" si="10"/>
        <v xml:space="preserve">    коммерческие расходы</v>
      </c>
      <c r="B630" t="s">
        <v>2232</v>
      </c>
      <c r="C630" t="s">
        <v>1851</v>
      </c>
      <c r="D630" t="s">
        <v>1891</v>
      </c>
    </row>
    <row r="631" spans="1:4" x14ac:dyDescent="0.2">
      <c r="A631" t="str">
        <f t="shared" ca="1" si="10"/>
        <v xml:space="preserve">    административные расходы</v>
      </c>
      <c r="B631" t="s">
        <v>2235</v>
      </c>
      <c r="C631" t="s">
        <v>1852</v>
      </c>
      <c r="D631" t="s">
        <v>90</v>
      </c>
    </row>
    <row r="632" spans="1:4" x14ac:dyDescent="0.2">
      <c r="A632" t="str">
        <f t="shared" ca="1" si="10"/>
        <v xml:space="preserve"> = Итого: оплата текущих расходов</v>
      </c>
      <c r="B632" t="s">
        <v>2236</v>
      </c>
      <c r="C632" t="s">
        <v>1853</v>
      </c>
      <c r="D632" t="s">
        <v>1892</v>
      </c>
    </row>
    <row r="633" spans="1:4" x14ac:dyDescent="0.2">
      <c r="A633" t="str">
        <f t="shared" ca="1" si="10"/>
        <v xml:space="preserve">    Производственные расходы</v>
      </c>
      <c r="B633" t="s">
        <v>434</v>
      </c>
      <c r="C633" t="s">
        <v>1541</v>
      </c>
      <c r="D633" t="s">
        <v>86</v>
      </c>
    </row>
    <row r="634" spans="1:4" x14ac:dyDescent="0.2">
      <c r="A634" t="str">
        <f t="shared" ca="1" si="10"/>
        <v xml:space="preserve">        сумма без НДС</v>
      </c>
      <c r="B634" t="s">
        <v>435</v>
      </c>
      <c r="C634" t="s">
        <v>1542</v>
      </c>
      <c r="D634" t="s">
        <v>1893</v>
      </c>
    </row>
    <row r="635" spans="1:4" x14ac:dyDescent="0.2">
      <c r="A635" t="str">
        <f t="shared" ca="1" si="10"/>
        <v xml:space="preserve">        НДС</v>
      </c>
      <c r="B635" t="s">
        <v>436</v>
      </c>
      <c r="C635" t="s">
        <v>1543</v>
      </c>
      <c r="D635" t="s">
        <v>1894</v>
      </c>
    </row>
    <row r="636" spans="1:4" x14ac:dyDescent="0.2">
      <c r="A636" t="str">
        <f t="shared" ca="1" si="10"/>
        <v xml:space="preserve">    Административные расходы</v>
      </c>
      <c r="B636" t="s">
        <v>437</v>
      </c>
      <c r="C636" t="s">
        <v>1544</v>
      </c>
      <c r="D636" t="s">
        <v>1895</v>
      </c>
    </row>
    <row r="637" spans="1:4" x14ac:dyDescent="0.2">
      <c r="A637" t="str">
        <f t="shared" ca="1" si="10"/>
        <v xml:space="preserve">    Коммерческие расходы</v>
      </c>
      <c r="B637" t="s">
        <v>438</v>
      </c>
      <c r="C637" t="s">
        <v>1545</v>
      </c>
      <c r="D637" t="s">
        <v>1896</v>
      </c>
    </row>
    <row r="638" spans="1:4" x14ac:dyDescent="0.2">
      <c r="A638" t="str">
        <f t="shared" ca="1" si="10"/>
        <v xml:space="preserve">    Материалы и комплектующие</v>
      </c>
      <c r="B638" t="s">
        <v>2237</v>
      </c>
      <c r="C638" t="s">
        <v>1854</v>
      </c>
      <c r="D638" t="s">
        <v>1897</v>
      </c>
    </row>
    <row r="639" spans="1:4" x14ac:dyDescent="0.2">
      <c r="A639" t="str">
        <f t="shared" ca="1" si="10"/>
        <v xml:space="preserve">    Оплата труда (вкл. ЕСН и страхование)</v>
      </c>
      <c r="B639" t="s">
        <v>323</v>
      </c>
      <c r="C639" t="s">
        <v>1855</v>
      </c>
      <c r="D639" t="s">
        <v>1898</v>
      </c>
    </row>
    <row r="640" spans="1:4" x14ac:dyDescent="0.2">
      <c r="A640" t="str">
        <f t="shared" ca="1" si="10"/>
        <v xml:space="preserve">         СОБСТВЕННЫЙ КАПИТАЛ</v>
      </c>
      <c r="B640" s="16" t="s">
        <v>2577</v>
      </c>
      <c r="C640" s="16" t="s">
        <v>1856</v>
      </c>
      <c r="D640" t="s">
        <v>682</v>
      </c>
    </row>
    <row r="641" spans="1:4" x14ac:dyDescent="0.2">
      <c r="A641" t="str">
        <f t="shared" ca="1" si="10"/>
        <v>Средства собственников</v>
      </c>
      <c r="B641" t="s">
        <v>512</v>
      </c>
      <c r="C641" t="s">
        <v>1857</v>
      </c>
      <c r="D641" t="s">
        <v>1899</v>
      </c>
    </row>
    <row r="642" spans="1:4" x14ac:dyDescent="0.2">
      <c r="A642" t="str">
        <f t="shared" ca="1" si="10"/>
        <v>Собственник 1</v>
      </c>
      <c r="B642" t="s">
        <v>513</v>
      </c>
      <c r="C642" t="s">
        <v>1858</v>
      </c>
      <c r="D642" t="s">
        <v>1900</v>
      </c>
    </row>
    <row r="643" spans="1:4" x14ac:dyDescent="0.2">
      <c r="A643" t="str">
        <f t="shared" ca="1" si="10"/>
        <v>Собственник 2</v>
      </c>
      <c r="B643" t="s">
        <v>514</v>
      </c>
      <c r="C643" t="s">
        <v>1859</v>
      </c>
      <c r="D643" t="s">
        <v>1901</v>
      </c>
    </row>
    <row r="644" spans="1:4" x14ac:dyDescent="0.2">
      <c r="A644" t="str">
        <f t="shared" ca="1" si="10"/>
        <v>Собственник 3</v>
      </c>
      <c r="B644" t="s">
        <v>515</v>
      </c>
      <c r="C644" t="s">
        <v>1860</v>
      </c>
      <c r="D644" t="s">
        <v>1902</v>
      </c>
    </row>
    <row r="645" spans="1:4" x14ac:dyDescent="0.2">
      <c r="A645" t="str">
        <f t="shared" ca="1" si="10"/>
        <v>Собственник 4</v>
      </c>
      <c r="B645" t="s">
        <v>516</v>
      </c>
      <c r="C645" t="s">
        <v>1861</v>
      </c>
      <c r="D645" t="s">
        <v>1903</v>
      </c>
    </row>
    <row r="646" spans="1:4" x14ac:dyDescent="0.2">
      <c r="A646" t="str">
        <f t="shared" ca="1" si="10"/>
        <v>Собственник 5</v>
      </c>
      <c r="B646" t="s">
        <v>517</v>
      </c>
      <c r="C646" t="s">
        <v>1862</v>
      </c>
      <c r="D646" t="s">
        <v>1904</v>
      </c>
    </row>
    <row r="647" spans="1:4" x14ac:dyDescent="0.2">
      <c r="A647" t="str">
        <f t="shared" ca="1" si="10"/>
        <v>Средства от текущей деятельности</v>
      </c>
      <c r="B647" t="s">
        <v>2377</v>
      </c>
      <c r="C647" t="s">
        <v>1863</v>
      </c>
      <c r="D647" t="s">
        <v>1905</v>
      </c>
    </row>
    <row r="648" spans="1:4" x14ac:dyDescent="0.2">
      <c r="A648" t="str">
        <f t="shared" ca="1" si="10"/>
        <v xml:space="preserve">    то же, в основной валюте</v>
      </c>
      <c r="B648" t="s">
        <v>623</v>
      </c>
      <c r="C648" t="s">
        <v>1864</v>
      </c>
      <c r="D648" t="s">
        <v>1906</v>
      </c>
    </row>
    <row r="649" spans="1:4" x14ac:dyDescent="0.2">
      <c r="A649" t="str">
        <f t="shared" ca="1" si="10"/>
        <v>Целевое финансирование</v>
      </c>
      <c r="B649" t="s">
        <v>2016</v>
      </c>
      <c r="C649" t="s">
        <v>603</v>
      </c>
      <c r="D649" t="s">
        <v>1004</v>
      </c>
    </row>
    <row r="650" spans="1:4" x14ac:dyDescent="0.2">
      <c r="A650" t="str">
        <f t="shared" ca="1" si="10"/>
        <v>Средства от инвесторов строительства</v>
      </c>
      <c r="B650" t="s">
        <v>518</v>
      </c>
      <c r="C650" t="s">
        <v>1581</v>
      </c>
      <c r="D650" t="s">
        <v>1907</v>
      </c>
    </row>
    <row r="651" spans="1:4" x14ac:dyDescent="0.2">
      <c r="A651" t="str">
        <f t="shared" ca="1" si="10"/>
        <v>Справка: Остаток средств на счете (текущий проект)</v>
      </c>
      <c r="B651" t="s">
        <v>519</v>
      </c>
      <c r="C651" s="218" t="s">
        <v>1582</v>
      </c>
      <c r="D651" t="s">
        <v>1908</v>
      </c>
    </row>
    <row r="652" spans="1:4" x14ac:dyDescent="0.2">
      <c r="A652" t="str">
        <f t="shared" ca="1" si="10"/>
        <v>Справка: Остаток средств на счете (без учета операционной деятельности)</v>
      </c>
      <c r="B652" t="s">
        <v>1136</v>
      </c>
      <c r="C652" t="s">
        <v>1137</v>
      </c>
      <c r="D652" t="s">
        <v>1138</v>
      </c>
    </row>
    <row r="653" spans="1:4" x14ac:dyDescent="0.2">
      <c r="A653" t="str">
        <f t="shared" ca="1" si="10"/>
        <v>Справка: Остаток средств на счете (портфель проектов)</v>
      </c>
      <c r="B653" t="s">
        <v>520</v>
      </c>
      <c r="C653" s="218" t="s">
        <v>1583</v>
      </c>
      <c r="D653" t="s">
        <v>1909</v>
      </c>
    </row>
    <row r="654" spans="1:4" x14ac:dyDescent="0.2">
      <c r="A654" t="str">
        <f t="shared" ca="1" si="10"/>
        <v xml:space="preserve">         КРЕДИТЫ</v>
      </c>
      <c r="B654" s="16" t="s">
        <v>2578</v>
      </c>
      <c r="C654" s="16" t="s">
        <v>1584</v>
      </c>
      <c r="D654" t="s">
        <v>683</v>
      </c>
    </row>
    <row r="655" spans="1:4" x14ac:dyDescent="0.2">
      <c r="A655" t="str">
        <f t="shared" ca="1" si="10"/>
        <v>Тип кредита</v>
      </c>
      <c r="B655" t="s">
        <v>521</v>
      </c>
      <c r="C655" t="s">
        <v>1731</v>
      </c>
      <c r="D655" t="s">
        <v>1910</v>
      </c>
    </row>
    <row r="656" spans="1:4" x14ac:dyDescent="0.2">
      <c r="A656" t="str">
        <f t="shared" ca="1" si="10"/>
        <v>Валюта кредита</v>
      </c>
      <c r="B656" t="s">
        <v>522</v>
      </c>
      <c r="C656" t="s">
        <v>1732</v>
      </c>
      <c r="D656" t="s">
        <v>1612</v>
      </c>
    </row>
    <row r="657" spans="1:4" x14ac:dyDescent="0.2">
      <c r="A657" t="str">
        <f t="shared" ca="1" si="10"/>
        <v>Годовая процентная ставка</v>
      </c>
      <c r="B657" t="s">
        <v>407</v>
      </c>
      <c r="C657" t="s">
        <v>1733</v>
      </c>
      <c r="D657" t="s">
        <v>1613</v>
      </c>
    </row>
    <row r="658" spans="1:4" x14ac:dyDescent="0.2">
      <c r="A658" t="str">
        <f t="shared" ca="1" si="10"/>
        <v>Отсрочка выплаты процентов</v>
      </c>
      <c r="B658" t="s">
        <v>408</v>
      </c>
      <c r="C658" t="s">
        <v>1734</v>
      </c>
      <c r="D658" t="s">
        <v>1614</v>
      </c>
    </row>
    <row r="659" spans="1:4" x14ac:dyDescent="0.2">
      <c r="A659" t="str">
        <f t="shared" ca="1" si="10"/>
        <v>Поступление денег от кредита</v>
      </c>
      <c r="B659" t="s">
        <v>409</v>
      </c>
      <c r="C659" t="s">
        <v>1735</v>
      </c>
      <c r="D659" t="s">
        <v>1615</v>
      </c>
    </row>
    <row r="660" spans="1:4" x14ac:dyDescent="0.2">
      <c r="A660" t="str">
        <f t="shared" ca="1" si="10"/>
        <v>Погашение основного долга</v>
      </c>
      <c r="B660" t="s">
        <v>410</v>
      </c>
      <c r="C660" t="s">
        <v>1736</v>
      </c>
      <c r="D660" t="s">
        <v>0</v>
      </c>
    </row>
    <row r="661" spans="1:4" x14ac:dyDescent="0.2">
      <c r="A661" t="str">
        <f t="shared" ca="1" si="10"/>
        <v>Начисленные проценты</v>
      </c>
      <c r="B661" t="s">
        <v>2511</v>
      </c>
      <c r="C661" t="s">
        <v>1737</v>
      </c>
      <c r="D661" t="s">
        <v>1</v>
      </c>
    </row>
    <row r="662" spans="1:4" x14ac:dyDescent="0.2">
      <c r="A662" t="str">
        <f t="shared" ca="1" si="10"/>
        <v>Выплаченные проценты</v>
      </c>
      <c r="B662" t="s">
        <v>411</v>
      </c>
      <c r="C662" t="s">
        <v>1738</v>
      </c>
      <c r="D662" t="s">
        <v>2</v>
      </c>
    </row>
    <row r="663" spans="1:4" x14ac:dyDescent="0.2">
      <c r="A663" t="str">
        <f t="shared" ca="1" si="10"/>
        <v>Задолженность на начало текущего периода</v>
      </c>
      <c r="B663" t="s">
        <v>2519</v>
      </c>
      <c r="C663" t="s">
        <v>1739</v>
      </c>
      <c r="D663" t="s">
        <v>3</v>
      </c>
    </row>
    <row r="664" spans="1:4" x14ac:dyDescent="0.2">
      <c r="A664" t="str">
        <f t="shared" ca="1" si="10"/>
        <v>Задолженность на конец текущего периода</v>
      </c>
      <c r="B664" t="s">
        <v>412</v>
      </c>
      <c r="C664" t="s">
        <v>1590</v>
      </c>
      <c r="D664" t="s">
        <v>4</v>
      </c>
    </row>
    <row r="665" spans="1:4" x14ac:dyDescent="0.2">
      <c r="A665" t="str">
        <f t="shared" ca="1" si="10"/>
        <v xml:space="preserve">    в том числе по процентам</v>
      </c>
      <c r="B665" t="s">
        <v>2518</v>
      </c>
      <c r="C665" t="s">
        <v>1591</v>
      </c>
      <c r="D665" t="s">
        <v>5</v>
      </c>
    </row>
    <row r="666" spans="1:4" x14ac:dyDescent="0.2">
      <c r="A666" t="str">
        <f t="shared" ca="1" si="10"/>
        <v xml:space="preserve">    интервал, в котором впервые взят кредит</v>
      </c>
      <c r="B666" t="s">
        <v>2622</v>
      </c>
      <c r="C666" t="s">
        <v>1592</v>
      </c>
      <c r="D666" t="s">
        <v>6</v>
      </c>
    </row>
    <row r="667" spans="1:4" x14ac:dyDescent="0.2">
      <c r="A667" t="str">
        <f t="shared" ca="1" si="10"/>
        <v xml:space="preserve">    проценты, выплачиваемые из прибыли</v>
      </c>
      <c r="B667" t="s">
        <v>413</v>
      </c>
      <c r="C667" t="s">
        <v>1277</v>
      </c>
      <c r="D667" t="s">
        <v>1269</v>
      </c>
    </row>
    <row r="668" spans="1:4" x14ac:dyDescent="0.2">
      <c r="A668" t="str">
        <f t="shared" ca="1" si="10"/>
        <v xml:space="preserve">    проценты начисленные</v>
      </c>
      <c r="B668" t="s">
        <v>2510</v>
      </c>
      <c r="C668" t="s">
        <v>1593</v>
      </c>
      <c r="D668" t="s">
        <v>7</v>
      </c>
    </row>
    <row r="669" spans="1:4" x14ac:dyDescent="0.2">
      <c r="A669" t="str">
        <f t="shared" ca="1" si="10"/>
        <v xml:space="preserve"> = Итого: Поступления от кредитов</v>
      </c>
      <c r="B669" t="s">
        <v>414</v>
      </c>
      <c r="C669" t="s">
        <v>1594</v>
      </c>
      <c r="D669" t="s">
        <v>8</v>
      </c>
    </row>
    <row r="670" spans="1:4" x14ac:dyDescent="0.2">
      <c r="A670" t="str">
        <f t="shared" ca="1" si="10"/>
        <v xml:space="preserve"> = Итого: Погашение кредитов</v>
      </c>
      <c r="B670" t="s">
        <v>415</v>
      </c>
      <c r="C670" t="s">
        <v>1595</v>
      </c>
      <c r="D670" t="s">
        <v>9</v>
      </c>
    </row>
    <row r="671" spans="1:4" x14ac:dyDescent="0.2">
      <c r="A671" t="str">
        <f t="shared" ca="1" si="10"/>
        <v xml:space="preserve"> = Итого: Начисление процентов</v>
      </c>
      <c r="B671" t="s">
        <v>2361</v>
      </c>
      <c r="C671" t="s">
        <v>1596</v>
      </c>
      <c r="D671" t="s">
        <v>10</v>
      </c>
    </row>
    <row r="672" spans="1:4" x14ac:dyDescent="0.2">
      <c r="A672" t="str">
        <f t="shared" ca="1" si="10"/>
        <v xml:space="preserve"> = Итого: Выплата процентов</v>
      </c>
      <c r="B672" t="s">
        <v>416</v>
      </c>
      <c r="C672" t="s">
        <v>1597</v>
      </c>
      <c r="D672" t="s">
        <v>11</v>
      </c>
    </row>
    <row r="673" spans="1:4" x14ac:dyDescent="0.2">
      <c r="A673" t="str">
        <f t="shared" ca="1" si="10"/>
        <v xml:space="preserve">    проценты, выплачиваемые из прибыли</v>
      </c>
      <c r="B673" t="s">
        <v>413</v>
      </c>
      <c r="C673" t="s">
        <v>1277</v>
      </c>
      <c r="D673" t="s">
        <v>1269</v>
      </c>
    </row>
    <row r="674" spans="1:4" x14ac:dyDescent="0.2">
      <c r="A674" t="str">
        <f t="shared" ca="1" si="10"/>
        <v xml:space="preserve"> = Итого: Задолженность по кредитам</v>
      </c>
      <c r="B674" t="s">
        <v>2508</v>
      </c>
      <c r="C674" t="s">
        <v>1598</v>
      </c>
      <c r="D674" t="s">
        <v>12</v>
      </c>
    </row>
    <row r="675" spans="1:4" x14ac:dyDescent="0.2">
      <c r="A675" t="str">
        <f t="shared" ca="1" si="10"/>
        <v xml:space="preserve">    задолженность по кредитам на оборотный капитал</v>
      </c>
      <c r="B675" t="s">
        <v>2362</v>
      </c>
      <c r="C675" t="s">
        <v>1599</v>
      </c>
      <c r="D675" t="s">
        <v>13</v>
      </c>
    </row>
    <row r="676" spans="1:4" x14ac:dyDescent="0.2">
      <c r="A676" t="str">
        <f t="shared" ca="1" si="10"/>
        <v xml:space="preserve">    задолженность по инвестиционным кредитам</v>
      </c>
      <c r="B676" t="s">
        <v>2509</v>
      </c>
      <c r="C676" t="s">
        <v>1600</v>
      </c>
      <c r="D676" t="s">
        <v>14</v>
      </c>
    </row>
    <row r="677" spans="1:4" x14ac:dyDescent="0.2">
      <c r="A677" t="str">
        <f t="shared" ca="1" si="10"/>
        <v>Кредит на пополнение оборотных средств</v>
      </c>
      <c r="B677" t="s">
        <v>2515</v>
      </c>
      <c r="C677" t="s">
        <v>1601</v>
      </c>
      <c r="D677" t="s">
        <v>15</v>
      </c>
    </row>
    <row r="678" spans="1:4" x14ac:dyDescent="0.2">
      <c r="A678" t="str">
        <f t="shared" ca="1" si="10"/>
        <v>Инвестиционный кредит</v>
      </c>
      <c r="B678" t="s">
        <v>2516</v>
      </c>
      <c r="C678" t="s">
        <v>1602</v>
      </c>
      <c r="D678" t="s">
        <v>16</v>
      </c>
    </row>
    <row r="679" spans="1:4" x14ac:dyDescent="0.2">
      <c r="A679" t="str">
        <f t="shared" ca="1" si="10"/>
        <v>Инвестиционный кредит из федерального бюджета</v>
      </c>
      <c r="B679" t="s">
        <v>2513</v>
      </c>
      <c r="C679" t="s">
        <v>1603</v>
      </c>
      <c r="D679" t="s">
        <v>17</v>
      </c>
    </row>
    <row r="680" spans="1:4" x14ac:dyDescent="0.2">
      <c r="A680" t="str">
        <f t="shared" ca="1" si="10"/>
        <v>Инвестиционный кредит из регионального бюджета</v>
      </c>
      <c r="B680" t="s">
        <v>2514</v>
      </c>
      <c r="C680" t="s">
        <v>1604</v>
      </c>
      <c r="D680" t="s">
        <v>18</v>
      </c>
    </row>
    <row r="681" spans="1:4" x14ac:dyDescent="0.2">
      <c r="A681" t="str">
        <f t="shared" ca="1" si="10"/>
        <v>Общий коэффициент покрытия долга</v>
      </c>
      <c r="B681" t="s">
        <v>2363</v>
      </c>
      <c r="C681" t="s">
        <v>1605</v>
      </c>
      <c r="D681" t="s">
        <v>19</v>
      </c>
    </row>
    <row r="682" spans="1:4" x14ac:dyDescent="0.2">
      <c r="A682" t="str">
        <f t="shared" ca="1" si="10"/>
        <v>разы</v>
      </c>
      <c r="B682" t="s">
        <v>2364</v>
      </c>
      <c r="C682" t="s">
        <v>1284</v>
      </c>
      <c r="D682" t="s">
        <v>1307</v>
      </c>
    </row>
    <row r="683" spans="1:4" x14ac:dyDescent="0.2">
      <c r="A683" t="str">
        <f t="shared" ca="1" si="10"/>
        <v>Существующие кредиты</v>
      </c>
      <c r="B683" t="s">
        <v>2365</v>
      </c>
      <c r="C683" t="s">
        <v>1606</v>
      </c>
      <c r="D683" t="s">
        <v>1783</v>
      </c>
    </row>
    <row r="684" spans="1:4" x14ac:dyDescent="0.2">
      <c r="A684" t="str">
        <f t="shared" ca="1" si="10"/>
        <v>Новые кредиты</v>
      </c>
      <c r="B684" t="s">
        <v>2366</v>
      </c>
      <c r="C684" t="s">
        <v>1607</v>
      </c>
      <c r="D684" t="s">
        <v>1784</v>
      </c>
    </row>
    <row r="685" spans="1:4" x14ac:dyDescent="0.2">
      <c r="A685" t="str">
        <f t="shared" ca="1" si="10"/>
        <v xml:space="preserve">    проценты по новым инвестиционным кредитам</v>
      </c>
      <c r="B685" s="23" t="s">
        <v>2336</v>
      </c>
      <c r="C685" s="23" t="s">
        <v>1608</v>
      </c>
      <c r="D685" t="s">
        <v>1785</v>
      </c>
    </row>
    <row r="686" spans="1:4" x14ac:dyDescent="0.2">
      <c r="A686" t="str">
        <f ca="1">OFFSET(A686,0,LanguageID)</f>
        <v xml:space="preserve">         СВОДНЫЙ ОТЧЕТ ОБ ИНВЕСТИЦИЯХ В ПРОЕКТ</v>
      </c>
      <c r="B686" s="16" t="s">
        <v>2579</v>
      </c>
      <c r="C686" s="16" t="s">
        <v>1609</v>
      </c>
      <c r="D686" t="s">
        <v>684</v>
      </c>
    </row>
    <row r="687" spans="1:4" x14ac:dyDescent="0.2">
      <c r="A687" t="str">
        <f t="shared" ref="A687:A792" ca="1" si="11">OFFSET(A687,0,LanguageID)</f>
        <v>Потребность в инвестициях</v>
      </c>
      <c r="B687" s="23" t="s">
        <v>2372</v>
      </c>
      <c r="C687" t="s">
        <v>1610</v>
      </c>
      <c r="D687" s="52" t="s">
        <v>1018</v>
      </c>
    </row>
    <row r="688" spans="1:4" x14ac:dyDescent="0.2">
      <c r="A688" t="str">
        <f t="shared" ca="1" si="11"/>
        <v>Инвестиции в земельные участки</v>
      </c>
      <c r="B688" s="23" t="s">
        <v>2376</v>
      </c>
      <c r="C688" t="s">
        <v>1611</v>
      </c>
      <c r="D688" t="s">
        <v>1786</v>
      </c>
    </row>
    <row r="689" spans="1:4" x14ac:dyDescent="0.2">
      <c r="A689" t="str">
        <f t="shared" ca="1" si="11"/>
        <v>Инвестиции в нематериальные активы</v>
      </c>
      <c r="B689" s="23" t="s">
        <v>2373</v>
      </c>
      <c r="C689" t="s">
        <v>1567</v>
      </c>
      <c r="D689" t="s">
        <v>1787</v>
      </c>
    </row>
    <row r="690" spans="1:4" x14ac:dyDescent="0.2">
      <c r="A690" t="str">
        <f t="shared" ca="1" si="11"/>
        <v>Инвестиции в финансовые активы</v>
      </c>
      <c r="B690" s="23" t="s">
        <v>2422</v>
      </c>
      <c r="C690" t="s">
        <v>1568</v>
      </c>
      <c r="D690" t="s">
        <v>1788</v>
      </c>
    </row>
    <row r="691" spans="1:4" x14ac:dyDescent="0.2">
      <c r="A691" t="str">
        <f t="shared" ca="1" si="11"/>
        <v>Инвестиции в здания и сооружения</v>
      </c>
      <c r="B691" s="23" t="s">
        <v>2279</v>
      </c>
      <c r="C691" t="s">
        <v>1569</v>
      </c>
      <c r="D691" t="s">
        <v>1789</v>
      </c>
    </row>
    <row r="692" spans="1:4" x14ac:dyDescent="0.2">
      <c r="A692" t="str">
        <f t="shared" ca="1" si="11"/>
        <v>Инвестиции в оборудование и прочие активы</v>
      </c>
      <c r="B692" s="23" t="s">
        <v>2374</v>
      </c>
      <c r="C692" t="s">
        <v>1570</v>
      </c>
      <c r="D692" t="s">
        <v>1790</v>
      </c>
    </row>
    <row r="693" spans="1:4" x14ac:dyDescent="0.2">
      <c r="A693" t="str">
        <f t="shared" ca="1" si="11"/>
        <v>Инвестиции в финансовые активы</v>
      </c>
      <c r="B693" s="23" t="s">
        <v>2422</v>
      </c>
      <c r="C693" t="s">
        <v>1568</v>
      </c>
      <c r="D693" t="s">
        <v>1788</v>
      </c>
    </row>
    <row r="694" spans="1:4" x14ac:dyDescent="0.2">
      <c r="A694" t="str">
        <f t="shared" ca="1" si="11"/>
        <v>Оплата расходов будущих периодов</v>
      </c>
      <c r="B694" s="23" t="s">
        <v>1953</v>
      </c>
      <c r="C694" t="s">
        <v>1571</v>
      </c>
      <c r="D694" t="s">
        <v>1791</v>
      </c>
    </row>
    <row r="695" spans="1:4" x14ac:dyDescent="0.2">
      <c r="A695" t="str">
        <f t="shared" ca="1" si="11"/>
        <v>Прирост чистого оборотного капитала</v>
      </c>
      <c r="B695" s="23" t="s">
        <v>1911</v>
      </c>
      <c r="C695" t="s">
        <v>1410</v>
      </c>
      <c r="D695" t="s">
        <v>1467</v>
      </c>
    </row>
    <row r="696" spans="1:4" x14ac:dyDescent="0.2">
      <c r="A696" t="str">
        <f t="shared" ca="1" si="11"/>
        <v>Привлечение финансирования</v>
      </c>
      <c r="B696" s="23" t="s">
        <v>2546</v>
      </c>
      <c r="C696" t="s">
        <v>1572</v>
      </c>
      <c r="D696" t="s">
        <v>1792</v>
      </c>
    </row>
    <row r="697" spans="1:4" x14ac:dyDescent="0.2">
      <c r="A697" t="str">
        <f t="shared" ca="1" si="11"/>
        <v>Возврат финансирования</v>
      </c>
      <c r="B697" s="23" t="s">
        <v>2547</v>
      </c>
      <c r="C697" t="s">
        <v>1573</v>
      </c>
      <c r="D697" t="s">
        <v>1793</v>
      </c>
    </row>
    <row r="698" spans="1:4" x14ac:dyDescent="0.2">
      <c r="A698" t="str">
        <f t="shared" ca="1" si="11"/>
        <v>Дивиденды</v>
      </c>
      <c r="B698" s="23" t="s">
        <v>2378</v>
      </c>
      <c r="C698" t="s">
        <v>1574</v>
      </c>
      <c r="D698" t="s">
        <v>1794</v>
      </c>
    </row>
    <row r="699" spans="1:4" x14ac:dyDescent="0.2">
      <c r="A699" t="str">
        <f t="shared" ca="1" si="11"/>
        <v>Лизинговые платежи</v>
      </c>
      <c r="B699" s="23" t="s">
        <v>2379</v>
      </c>
      <c r="C699" t="s">
        <v>1575</v>
      </c>
      <c r="D699" t="s">
        <v>1795</v>
      </c>
    </row>
    <row r="700" spans="1:4" x14ac:dyDescent="0.2">
      <c r="A700" t="str">
        <f t="shared" ca="1" si="11"/>
        <v>Возврат кредитов</v>
      </c>
      <c r="B700" s="23" t="s">
        <v>2380</v>
      </c>
      <c r="C700" s="217" t="s">
        <v>1576</v>
      </c>
      <c r="D700" t="s">
        <v>0</v>
      </c>
    </row>
    <row r="701" spans="1:4" x14ac:dyDescent="0.2">
      <c r="A701" t="str">
        <f t="shared" ca="1" si="11"/>
        <v>Минимальный остаток средств на счете</v>
      </c>
      <c r="B701" s="23" t="s">
        <v>2381</v>
      </c>
      <c r="C701" t="s">
        <v>1577</v>
      </c>
      <c r="D701" t="s">
        <v>1796</v>
      </c>
    </row>
    <row r="702" spans="1:4" x14ac:dyDescent="0.2">
      <c r="A702" t="str">
        <f t="shared" ca="1" si="11"/>
        <v xml:space="preserve">         ОТЧЕТ О ПРИБЫЛЯХ И УБЫТКАХ</v>
      </c>
      <c r="B702" s="16" t="s">
        <v>686</v>
      </c>
      <c r="C702" s="16" t="s">
        <v>1578</v>
      </c>
      <c r="D702" t="s">
        <v>691</v>
      </c>
    </row>
    <row r="703" spans="1:4" x14ac:dyDescent="0.2">
      <c r="A703" t="str">
        <f t="shared" ca="1" si="11"/>
        <v>Выручка (нетто)</v>
      </c>
      <c r="B703" s="23" t="s">
        <v>2382</v>
      </c>
      <c r="C703" t="s">
        <v>1579</v>
      </c>
      <c r="D703" t="s">
        <v>1797</v>
      </c>
    </row>
    <row r="704" spans="1:4" x14ac:dyDescent="0.2">
      <c r="A704" t="str">
        <f t="shared" ca="1" si="11"/>
        <v>Себестоимость</v>
      </c>
      <c r="B704" s="23" t="s">
        <v>1926</v>
      </c>
      <c r="C704" t="s">
        <v>1927</v>
      </c>
      <c r="D704" s="48" t="s">
        <v>2639</v>
      </c>
    </row>
    <row r="705" spans="1:4" x14ac:dyDescent="0.2">
      <c r="A705" t="str">
        <f t="shared" ca="1" si="11"/>
        <v>в том числе</v>
      </c>
      <c r="B705" s="23" t="s">
        <v>2386</v>
      </c>
      <c r="C705" t="s">
        <v>1580</v>
      </c>
      <c r="D705" t="s">
        <v>1798</v>
      </c>
    </row>
    <row r="706" spans="1:4" x14ac:dyDescent="0.2">
      <c r="A706" t="str">
        <f t="shared" ca="1" si="11"/>
        <v xml:space="preserve">    Сырье и материалы</v>
      </c>
      <c r="B706" s="23" t="s">
        <v>1931</v>
      </c>
      <c r="C706" s="23" t="s">
        <v>1717</v>
      </c>
      <c r="D706" t="s">
        <v>1587</v>
      </c>
    </row>
    <row r="707" spans="1:4" x14ac:dyDescent="0.2">
      <c r="A707" t="str">
        <f t="shared" ca="1" si="11"/>
        <v xml:space="preserve">    Прочие переменные расходы</v>
      </c>
      <c r="B707" s="23" t="s">
        <v>1932</v>
      </c>
      <c r="C707" s="23" t="s">
        <v>1718</v>
      </c>
      <c r="D707" t="s">
        <v>1588</v>
      </c>
    </row>
    <row r="708" spans="1:4" x14ac:dyDescent="0.2">
      <c r="A708" t="str">
        <f t="shared" ca="1" si="11"/>
        <v xml:space="preserve">    Оплата производственного персонала</v>
      </c>
      <c r="B708" s="23" t="s">
        <v>1933</v>
      </c>
      <c r="C708" s="23" t="s">
        <v>1719</v>
      </c>
      <c r="D708" t="s">
        <v>59</v>
      </c>
    </row>
    <row r="709" spans="1:4" x14ac:dyDescent="0.2">
      <c r="A709" t="str">
        <f t="shared" ca="1" si="11"/>
        <v xml:space="preserve">    Лизинговые платежи</v>
      </c>
      <c r="B709" s="23" t="s">
        <v>1934</v>
      </c>
      <c r="C709" t="s">
        <v>1720</v>
      </c>
      <c r="D709" t="s">
        <v>1889</v>
      </c>
    </row>
    <row r="710" spans="1:4" x14ac:dyDescent="0.2">
      <c r="A710" t="str">
        <f t="shared" ca="1" si="11"/>
        <v xml:space="preserve">    Прочие производственные расходы</v>
      </c>
      <c r="B710" s="23" t="s">
        <v>1935</v>
      </c>
      <c r="C710" t="s">
        <v>1721</v>
      </c>
      <c r="D710" t="s">
        <v>60</v>
      </c>
    </row>
    <row r="711" spans="1:4" x14ac:dyDescent="0.2">
      <c r="A711" t="str">
        <f t="shared" ca="1" si="11"/>
        <v>Валовая прибыль</v>
      </c>
      <c r="B711" s="23" t="s">
        <v>2383</v>
      </c>
      <c r="C711" t="s">
        <v>1722</v>
      </c>
      <c r="D711" t="s">
        <v>61</v>
      </c>
    </row>
    <row r="712" spans="1:4" x14ac:dyDescent="0.2">
      <c r="A712" t="str">
        <f t="shared" ca="1" si="11"/>
        <v>Оплата административного и коммерческого персонала</v>
      </c>
      <c r="B712" s="23" t="s">
        <v>1929</v>
      </c>
      <c r="C712" s="23" t="s">
        <v>1723</v>
      </c>
      <c r="D712" t="s">
        <v>62</v>
      </c>
    </row>
    <row r="713" spans="1:4" x14ac:dyDescent="0.2">
      <c r="A713" t="str">
        <f t="shared" ca="1" si="11"/>
        <v>Административные расходы</v>
      </c>
      <c r="B713" s="23" t="s">
        <v>431</v>
      </c>
      <c r="C713" t="s">
        <v>1538</v>
      </c>
      <c r="D713" t="s">
        <v>83</v>
      </c>
    </row>
    <row r="714" spans="1:4" x14ac:dyDescent="0.2">
      <c r="A714" t="str">
        <f t="shared" ca="1" si="11"/>
        <v>Коммерческие расходы</v>
      </c>
      <c r="B714" s="23" t="s">
        <v>432</v>
      </c>
      <c r="C714" t="s">
        <v>1539</v>
      </c>
      <c r="D714" t="s">
        <v>84</v>
      </c>
    </row>
    <row r="715" spans="1:4" x14ac:dyDescent="0.2">
      <c r="A715" t="str">
        <f t="shared" ca="1" si="11"/>
        <v>Налоги, кроме налога на прибыль</v>
      </c>
      <c r="B715" s="23" t="s">
        <v>1939</v>
      </c>
      <c r="C715" t="s">
        <v>1940</v>
      </c>
      <c r="D715" s="48" t="s">
        <v>2640</v>
      </c>
    </row>
    <row r="716" spans="1:4" x14ac:dyDescent="0.2">
      <c r="A716" t="str">
        <f t="shared" ca="1" si="11"/>
        <v>Прибыль (убыток) от операционной деятельности</v>
      </c>
      <c r="B716" s="23" t="s">
        <v>1928</v>
      </c>
      <c r="C716" t="s">
        <v>1724</v>
      </c>
      <c r="D716" s="48" t="s">
        <v>2641</v>
      </c>
    </row>
    <row r="717" spans="1:4" x14ac:dyDescent="0.2">
      <c r="A717" t="str">
        <f t="shared" ca="1" si="11"/>
        <v>Налоги, относимые на финансовые результаты</v>
      </c>
      <c r="B717" s="23" t="s">
        <v>2389</v>
      </c>
      <c r="C717" t="s">
        <v>1725</v>
      </c>
      <c r="D717" t="s">
        <v>63</v>
      </c>
    </row>
    <row r="718" spans="1:4" x14ac:dyDescent="0.2">
      <c r="A718" t="str">
        <f t="shared" ca="1" si="11"/>
        <v>Прибыль / убыток от реализации внеоборотных активов</v>
      </c>
      <c r="B718" s="23" t="s">
        <v>2337</v>
      </c>
      <c r="C718" t="s">
        <v>1726</v>
      </c>
      <c r="D718" t="s">
        <v>64</v>
      </c>
    </row>
    <row r="719" spans="1:4" x14ac:dyDescent="0.2">
      <c r="A719" t="str">
        <f t="shared" ca="1" si="11"/>
        <v>Прибыль / убыток от строительной деятельности</v>
      </c>
      <c r="B719" s="23" t="s">
        <v>2605</v>
      </c>
      <c r="C719" t="s">
        <v>1727</v>
      </c>
      <c r="D719" t="s">
        <v>65</v>
      </c>
    </row>
    <row r="720" spans="1:4" x14ac:dyDescent="0.2">
      <c r="A720" t="str">
        <f t="shared" ca="1" si="11"/>
        <v>Курсовые разницы</v>
      </c>
      <c r="B720" s="23" t="s">
        <v>2300</v>
      </c>
      <c r="C720" t="s">
        <v>1728</v>
      </c>
      <c r="D720" t="s">
        <v>66</v>
      </c>
    </row>
    <row r="721" spans="1:4" x14ac:dyDescent="0.2">
      <c r="A721" t="str">
        <f t="shared" ca="1" si="11"/>
        <v>Прочие доходы</v>
      </c>
      <c r="B721" s="23" t="s">
        <v>2431</v>
      </c>
      <c r="C721" t="s">
        <v>1729</v>
      </c>
      <c r="D721" t="s">
        <v>67</v>
      </c>
    </row>
    <row r="722" spans="1:4" x14ac:dyDescent="0.2">
      <c r="A722" t="str">
        <f t="shared" ca="1" si="11"/>
        <v>Прочие расходы</v>
      </c>
      <c r="B722" s="23" t="s">
        <v>2432</v>
      </c>
      <c r="C722" t="s">
        <v>1730</v>
      </c>
      <c r="D722" t="s">
        <v>68</v>
      </c>
    </row>
    <row r="723" spans="1:4" x14ac:dyDescent="0.2">
      <c r="A723" t="str">
        <f t="shared" ca="1" si="11"/>
        <v>Прибыль до налога, процентов и амортизации (EBITDA)</v>
      </c>
      <c r="B723" s="23" t="s">
        <v>1937</v>
      </c>
      <c r="C723" t="s">
        <v>1461</v>
      </c>
      <c r="D723" t="s">
        <v>69</v>
      </c>
    </row>
    <row r="724" spans="1:4" x14ac:dyDescent="0.2">
      <c r="A724" t="str">
        <f t="shared" ca="1" si="11"/>
        <v xml:space="preserve">    Амортизация</v>
      </c>
      <c r="B724" s="23" t="s">
        <v>1936</v>
      </c>
      <c r="C724" t="s">
        <v>1842</v>
      </c>
      <c r="D724" t="s">
        <v>1870</v>
      </c>
    </row>
    <row r="725" spans="1:4" x14ac:dyDescent="0.2">
      <c r="A725" t="str">
        <f t="shared" ca="1" si="11"/>
        <v>Прибыль до процентов и налога (EBIT)</v>
      </c>
      <c r="B725" s="23" t="s">
        <v>1938</v>
      </c>
      <c r="C725" t="s">
        <v>1462</v>
      </c>
      <c r="D725" t="s">
        <v>70</v>
      </c>
    </row>
    <row r="726" spans="1:4" x14ac:dyDescent="0.2">
      <c r="A726" t="str">
        <f t="shared" ca="1" si="11"/>
        <v>Проценты</v>
      </c>
      <c r="B726" s="23" t="s">
        <v>2384</v>
      </c>
      <c r="C726" t="s">
        <v>1463</v>
      </c>
      <c r="D726" t="s">
        <v>71</v>
      </c>
    </row>
    <row r="727" spans="1:4" x14ac:dyDescent="0.2">
      <c r="A727" t="str">
        <f t="shared" ca="1" si="11"/>
        <v>Прибыль до налогообложения</v>
      </c>
      <c r="B727" s="23" t="s">
        <v>2492</v>
      </c>
      <c r="C727" t="s">
        <v>1464</v>
      </c>
      <c r="D727" t="s">
        <v>72</v>
      </c>
    </row>
    <row r="728" spans="1:4" x14ac:dyDescent="0.2">
      <c r="A728" t="str">
        <f t="shared" ca="1" si="11"/>
        <v>Налог на прибыль</v>
      </c>
      <c r="B728" s="23" t="s">
        <v>2385</v>
      </c>
      <c r="C728" t="s">
        <v>1437</v>
      </c>
      <c r="D728" t="s">
        <v>920</v>
      </c>
    </row>
    <row r="729" spans="1:4" x14ac:dyDescent="0.2">
      <c r="A729" t="str">
        <f t="shared" ca="1" si="11"/>
        <v>Чистая прибыль (убыток)</v>
      </c>
      <c r="B729" s="23" t="s">
        <v>2387</v>
      </c>
      <c r="C729" t="s">
        <v>1465</v>
      </c>
      <c r="D729" t="s">
        <v>73</v>
      </c>
    </row>
    <row r="730" spans="1:4" x14ac:dyDescent="0.2">
      <c r="A730" t="str">
        <f t="shared" ca="1" si="11"/>
        <v>График: Выручка</v>
      </c>
      <c r="B730" t="s">
        <v>1918</v>
      </c>
      <c r="C730" t="s">
        <v>1919</v>
      </c>
      <c r="D730" s="48" t="s">
        <v>2642</v>
      </c>
    </row>
    <row r="731" spans="1:4" x14ac:dyDescent="0.2">
      <c r="A731" t="str">
        <f t="shared" ca="1" si="11"/>
        <v>График: Чистая прибыль</v>
      </c>
      <c r="B731" t="s">
        <v>1920</v>
      </c>
      <c r="C731" t="s">
        <v>1921</v>
      </c>
      <c r="D731" t="s">
        <v>74</v>
      </c>
    </row>
    <row r="732" spans="1:4" x14ac:dyDescent="0.2">
      <c r="A732" t="str">
        <f t="shared" ca="1" si="11"/>
        <v xml:space="preserve">         ПРИЛОЖЕНИЕ К ОТЧЕТУ О ПРИБЫЛЯХ И УБЫТКАХ</v>
      </c>
      <c r="B732" s="16" t="s">
        <v>2430</v>
      </c>
      <c r="C732" s="16" t="s">
        <v>1466</v>
      </c>
      <c r="D732" t="s">
        <v>692</v>
      </c>
    </row>
    <row r="733" spans="1:4" x14ac:dyDescent="0.2">
      <c r="A733" t="str">
        <f t="shared" ca="1" si="11"/>
        <v>Прочие доходы (без НДС)</v>
      </c>
      <c r="B733" s="23" t="s">
        <v>2541</v>
      </c>
      <c r="C733" t="s">
        <v>1740</v>
      </c>
      <c r="D733" t="s">
        <v>75</v>
      </c>
    </row>
    <row r="734" spans="1:4" x14ac:dyDescent="0.2">
      <c r="A734" t="str">
        <f t="shared" ca="1" si="11"/>
        <v xml:space="preserve">   НДС</v>
      </c>
      <c r="B734" s="23" t="s">
        <v>526</v>
      </c>
      <c r="C734" s="23" t="s">
        <v>1741</v>
      </c>
      <c r="D734" t="s">
        <v>1125</v>
      </c>
    </row>
    <row r="735" spans="1:4" x14ac:dyDescent="0.2">
      <c r="A735" t="str">
        <f t="shared" ca="1" si="11"/>
        <v>Прочие расходы (без НДС)</v>
      </c>
      <c r="B735" s="23" t="s">
        <v>2542</v>
      </c>
      <c r="C735" t="s">
        <v>1742</v>
      </c>
      <c r="D735" t="s">
        <v>76</v>
      </c>
    </row>
    <row r="736" spans="1:4" x14ac:dyDescent="0.2">
      <c r="A736" t="str">
        <f t="shared" ca="1" si="11"/>
        <v>Курсовые разницы</v>
      </c>
      <c r="B736" s="23" t="s">
        <v>2300</v>
      </c>
      <c r="C736" t="s">
        <v>1728</v>
      </c>
      <c r="D736" t="s">
        <v>66</v>
      </c>
    </row>
    <row r="737" spans="1:4" x14ac:dyDescent="0.2">
      <c r="A737" t="str">
        <f t="shared" ca="1" si="11"/>
        <v>Дивиденды</v>
      </c>
      <c r="B737" s="23" t="s">
        <v>2378</v>
      </c>
      <c r="C737" t="s">
        <v>1574</v>
      </c>
      <c r="D737" t="s">
        <v>1794</v>
      </c>
    </row>
    <row r="738" spans="1:4" x14ac:dyDescent="0.2">
      <c r="A738" s="23" t="str">
        <f t="shared" ca="1" si="11"/>
        <v>Нераспределенная прибыль (за период)</v>
      </c>
      <c r="B738" s="23" t="s">
        <v>2608</v>
      </c>
      <c r="C738" s="217" t="s">
        <v>1743</v>
      </c>
      <c r="D738" t="s">
        <v>77</v>
      </c>
    </row>
    <row r="739" spans="1:4" x14ac:dyDescent="0.2">
      <c r="A739" s="23" t="str">
        <f t="shared" ca="1" si="11"/>
        <v>Нераспределенная прибыль (на начало периода, нарастающим итогом)</v>
      </c>
      <c r="B739" s="23" t="s">
        <v>2609</v>
      </c>
      <c r="C739" s="217" t="s">
        <v>1744</v>
      </c>
      <c r="D739" t="s">
        <v>78</v>
      </c>
    </row>
    <row r="740" spans="1:4" x14ac:dyDescent="0.2">
      <c r="A740" s="23" t="str">
        <f t="shared" ca="1" si="11"/>
        <v>Нераспределенная прибыль (на конец периода, нарастающим итогом)</v>
      </c>
      <c r="B740" s="23" t="s">
        <v>2610</v>
      </c>
      <c r="C740" s="217" t="s">
        <v>1745</v>
      </c>
      <c r="D740" t="s">
        <v>1985</v>
      </c>
    </row>
    <row r="741" spans="1:4" x14ac:dyDescent="0.2">
      <c r="A741" t="str">
        <f t="shared" ca="1" si="11"/>
        <v xml:space="preserve">         ОТЧЕТ О ДВИЖЕНИИ ДЕНЕЖНЫХ СРЕДСТВ</v>
      </c>
      <c r="B741" s="16" t="s">
        <v>2620</v>
      </c>
      <c r="C741" s="16" t="s">
        <v>1746</v>
      </c>
      <c r="D741" t="s">
        <v>693</v>
      </c>
    </row>
    <row r="742" spans="1:4" x14ac:dyDescent="0.2">
      <c r="A742" t="str">
        <f t="shared" ca="1" si="11"/>
        <v>Поступления от продаж</v>
      </c>
      <c r="B742" t="s">
        <v>2390</v>
      </c>
      <c r="C742" t="s">
        <v>1747</v>
      </c>
      <c r="D742" t="s">
        <v>1986</v>
      </c>
    </row>
    <row r="743" spans="1:4" x14ac:dyDescent="0.2">
      <c r="A743" t="str">
        <f t="shared" ca="1" si="11"/>
        <v>Затраты на материалы и комплектующие</v>
      </c>
      <c r="B743" t="s">
        <v>2391</v>
      </c>
      <c r="C743" t="s">
        <v>1748</v>
      </c>
      <c r="D743" t="s">
        <v>1987</v>
      </c>
    </row>
    <row r="744" spans="1:4" x14ac:dyDescent="0.2">
      <c r="A744" t="str">
        <f t="shared" ca="1" si="11"/>
        <v>Зарплата</v>
      </c>
      <c r="B744" t="s">
        <v>2392</v>
      </c>
      <c r="C744" t="s">
        <v>1749</v>
      </c>
      <c r="D744" t="s">
        <v>1988</v>
      </c>
    </row>
    <row r="745" spans="1:4" x14ac:dyDescent="0.2">
      <c r="A745" t="str">
        <f t="shared" ca="1" si="11"/>
        <v>Общие затраты</v>
      </c>
      <c r="B745" t="s">
        <v>2393</v>
      </c>
      <c r="C745" t="s">
        <v>1750</v>
      </c>
      <c r="D745" t="s">
        <v>1989</v>
      </c>
    </row>
    <row r="746" spans="1:4" x14ac:dyDescent="0.2">
      <c r="A746" t="str">
        <f t="shared" ca="1" si="11"/>
        <v>Налоги</v>
      </c>
      <c r="B746" t="s">
        <v>2394</v>
      </c>
      <c r="C746" t="s">
        <v>1751</v>
      </c>
      <c r="D746" t="s">
        <v>1990</v>
      </c>
    </row>
    <row r="747" spans="1:4" x14ac:dyDescent="0.2">
      <c r="A747" t="str">
        <f t="shared" ca="1" si="11"/>
        <v>Выплата процентов по кредитам</v>
      </c>
      <c r="B747" t="s">
        <v>2395</v>
      </c>
      <c r="C747" t="s">
        <v>1738</v>
      </c>
      <c r="D747" t="s">
        <v>2</v>
      </c>
    </row>
    <row r="748" spans="1:4" x14ac:dyDescent="0.2">
      <c r="A748" t="str">
        <f t="shared" ca="1" si="11"/>
        <v>Прочие поступления</v>
      </c>
      <c r="B748" t="s">
        <v>2396</v>
      </c>
      <c r="C748" t="s">
        <v>1752</v>
      </c>
      <c r="D748" t="s">
        <v>1991</v>
      </c>
    </row>
    <row r="749" spans="1:4" x14ac:dyDescent="0.2">
      <c r="A749" t="str">
        <f t="shared" ca="1" si="11"/>
        <v>Прочие затраты</v>
      </c>
      <c r="B749" t="s">
        <v>2397</v>
      </c>
      <c r="C749" t="s">
        <v>1753</v>
      </c>
      <c r="D749" t="s">
        <v>1992</v>
      </c>
    </row>
    <row r="750" spans="1:4" x14ac:dyDescent="0.2">
      <c r="A750" t="str">
        <f t="shared" ca="1" si="11"/>
        <v>Денежные потоки от операционной деятельности</v>
      </c>
      <c r="B750" t="s">
        <v>2398</v>
      </c>
      <c r="C750" t="s">
        <v>1754</v>
      </c>
      <c r="D750" t="s">
        <v>1993</v>
      </c>
    </row>
    <row r="751" spans="1:4" x14ac:dyDescent="0.2">
      <c r="A751" t="str">
        <f t="shared" ca="1" si="11"/>
        <v>Выручка от реализации активов</v>
      </c>
      <c r="B751" t="s">
        <v>2399</v>
      </c>
      <c r="C751" t="s">
        <v>1755</v>
      </c>
      <c r="D751" t="s">
        <v>1994</v>
      </c>
    </row>
    <row r="752" spans="1:4" x14ac:dyDescent="0.2">
      <c r="A752" t="str">
        <f t="shared" ca="1" si="11"/>
        <v>Денежные потоки от инвестиционной деятельности</v>
      </c>
      <c r="B752" t="s">
        <v>2400</v>
      </c>
      <c r="C752" t="s">
        <v>1756</v>
      </c>
      <c r="D752" t="s">
        <v>2000</v>
      </c>
    </row>
    <row r="753" spans="1:4" x14ac:dyDescent="0.2">
      <c r="A753" t="str">
        <f t="shared" ca="1" si="11"/>
        <v>Поступления собственного капитала</v>
      </c>
      <c r="B753" t="s">
        <v>2239</v>
      </c>
      <c r="C753" t="s">
        <v>1757</v>
      </c>
      <c r="D753" t="s">
        <v>2001</v>
      </c>
    </row>
    <row r="754" spans="1:4" x14ac:dyDescent="0.2">
      <c r="A754" t="str">
        <f t="shared" ca="1" si="11"/>
        <v>Целевое финансирование</v>
      </c>
      <c r="B754" t="s">
        <v>2016</v>
      </c>
      <c r="C754" t="s">
        <v>603</v>
      </c>
      <c r="D754" t="s">
        <v>1004</v>
      </c>
    </row>
    <row r="755" spans="1:4" x14ac:dyDescent="0.2">
      <c r="A755" t="str">
        <f t="shared" ca="1" si="11"/>
        <v>Поступления кредитов</v>
      </c>
      <c r="B755" t="s">
        <v>2401</v>
      </c>
      <c r="C755" s="217" t="s">
        <v>1758</v>
      </c>
      <c r="D755" t="s">
        <v>2002</v>
      </c>
    </row>
    <row r="756" spans="1:4" x14ac:dyDescent="0.2">
      <c r="A756" t="str">
        <f t="shared" ca="1" si="11"/>
        <v>Возврат кредитов</v>
      </c>
      <c r="B756" t="s">
        <v>2380</v>
      </c>
      <c r="C756" s="217" t="s">
        <v>1576</v>
      </c>
      <c r="D756" t="s">
        <v>1871</v>
      </c>
    </row>
    <row r="757" spans="1:4" x14ac:dyDescent="0.2">
      <c r="A757" t="str">
        <f t="shared" ca="1" si="11"/>
        <v>Лизинговые платежи</v>
      </c>
      <c r="B757" t="s">
        <v>2379</v>
      </c>
      <c r="C757" t="s">
        <v>1575</v>
      </c>
      <c r="D757" t="s">
        <v>1872</v>
      </c>
    </row>
    <row r="758" spans="1:4" x14ac:dyDescent="0.2">
      <c r="A758" t="str">
        <f t="shared" ca="1" si="11"/>
        <v>Выплата дивидендов</v>
      </c>
      <c r="B758" t="s">
        <v>2402</v>
      </c>
      <c r="C758" t="s">
        <v>1759</v>
      </c>
      <c r="D758" t="s">
        <v>1873</v>
      </c>
    </row>
    <row r="759" spans="1:4" x14ac:dyDescent="0.2">
      <c r="A759" t="str">
        <f t="shared" ca="1" si="11"/>
        <v>Денежные потоки от финансовой деятельности</v>
      </c>
      <c r="B759" t="s">
        <v>573</v>
      </c>
      <c r="C759" s="217" t="s">
        <v>1760</v>
      </c>
      <c r="D759" t="s">
        <v>1874</v>
      </c>
    </row>
    <row r="760" spans="1:4" x14ac:dyDescent="0.2">
      <c r="A760" t="str">
        <f t="shared" ca="1" si="11"/>
        <v>Суммарный денежный поток за период</v>
      </c>
      <c r="B760" t="s">
        <v>574</v>
      </c>
      <c r="C760" s="217" t="s">
        <v>1761</v>
      </c>
      <c r="D760" t="s">
        <v>1875</v>
      </c>
    </row>
    <row r="761" spans="1:4" x14ac:dyDescent="0.2">
      <c r="A761" t="str">
        <f t="shared" ca="1" si="11"/>
        <v>Денежные средства на начало периода</v>
      </c>
      <c r="B761" t="s">
        <v>2338</v>
      </c>
      <c r="C761" s="217" t="s">
        <v>1762</v>
      </c>
      <c r="D761" t="s">
        <v>1876</v>
      </c>
    </row>
    <row r="762" spans="1:4" x14ac:dyDescent="0.2">
      <c r="A762" t="str">
        <f t="shared" ca="1" si="11"/>
        <v>Денежные средства на конец периода</v>
      </c>
      <c r="B762" t="s">
        <v>2238</v>
      </c>
      <c r="C762" s="217" t="s">
        <v>1763</v>
      </c>
      <c r="D762" t="s">
        <v>1877</v>
      </c>
    </row>
    <row r="763" spans="1:4" x14ac:dyDescent="0.2">
      <c r="A763" t="str">
        <f t="shared" ca="1" si="11"/>
        <v>График: Движение денежных средств</v>
      </c>
      <c r="B763" t="s">
        <v>2520</v>
      </c>
      <c r="C763" s="217" t="s">
        <v>1764</v>
      </c>
      <c r="D763" t="s">
        <v>1878</v>
      </c>
    </row>
    <row r="764" spans="1:4" x14ac:dyDescent="0.2">
      <c r="A764" t="str">
        <f t="shared" ca="1" si="11"/>
        <v>График: Остаток денежных средств</v>
      </c>
      <c r="B764" t="s">
        <v>2521</v>
      </c>
      <c r="C764" s="217" t="s">
        <v>1765</v>
      </c>
      <c r="D764" t="s">
        <v>1879</v>
      </c>
    </row>
    <row r="765" spans="1:4" x14ac:dyDescent="0.2">
      <c r="A765" t="str">
        <f t="shared" ca="1" si="11"/>
        <v xml:space="preserve">         БАЛАНС</v>
      </c>
      <c r="B765" s="16" t="s">
        <v>2580</v>
      </c>
      <c r="C765" s="16" t="s">
        <v>1766</v>
      </c>
      <c r="D765" t="s">
        <v>694</v>
      </c>
    </row>
    <row r="766" spans="1:4" x14ac:dyDescent="0.2">
      <c r="A766" t="str">
        <f t="shared" ca="1" si="11"/>
        <v>Денежные средства</v>
      </c>
      <c r="B766" t="s">
        <v>2092</v>
      </c>
      <c r="C766" s="217" t="s">
        <v>599</v>
      </c>
      <c r="D766" t="s">
        <v>1880</v>
      </c>
    </row>
    <row r="767" spans="1:4" x14ac:dyDescent="0.2">
      <c r="A767" t="str">
        <f t="shared" ca="1" si="11"/>
        <v>Дебиторская задолженность</v>
      </c>
      <c r="B767" t="s">
        <v>2240</v>
      </c>
      <c r="C767" s="217" t="s">
        <v>1339</v>
      </c>
      <c r="D767" t="s">
        <v>995</v>
      </c>
    </row>
    <row r="768" spans="1:4" x14ac:dyDescent="0.2">
      <c r="A768" t="str">
        <f t="shared" ca="1" si="11"/>
        <v>Авансы уплаченные</v>
      </c>
      <c r="B768" t="s">
        <v>2241</v>
      </c>
      <c r="C768" s="217" t="s">
        <v>1714</v>
      </c>
      <c r="D768" t="s">
        <v>1451</v>
      </c>
    </row>
    <row r="769" spans="1:4" x14ac:dyDescent="0.2">
      <c r="A769" t="str">
        <f t="shared" ca="1" si="11"/>
        <v>Готовая продукция</v>
      </c>
      <c r="B769" t="s">
        <v>2242</v>
      </c>
      <c r="C769" s="217" t="s">
        <v>593</v>
      </c>
      <c r="D769" t="s">
        <v>994</v>
      </c>
    </row>
    <row r="770" spans="1:4" x14ac:dyDescent="0.2">
      <c r="A770" t="str">
        <f t="shared" ca="1" si="11"/>
        <v>Незавершенное производство</v>
      </c>
      <c r="B770" t="s">
        <v>343</v>
      </c>
      <c r="C770" s="217" t="s">
        <v>592</v>
      </c>
      <c r="D770" t="s">
        <v>993</v>
      </c>
    </row>
    <row r="771" spans="1:4" x14ac:dyDescent="0.2">
      <c r="A771" t="str">
        <f t="shared" ca="1" si="11"/>
        <v>Материалы и комплектующие</v>
      </c>
      <c r="B771" t="s">
        <v>2243</v>
      </c>
      <c r="C771" s="217" t="s">
        <v>591</v>
      </c>
      <c r="D771" t="s">
        <v>992</v>
      </c>
    </row>
    <row r="772" spans="1:4" x14ac:dyDescent="0.2">
      <c r="A772" t="str">
        <f t="shared" ca="1" si="11"/>
        <v>НДС на приобретенные товары</v>
      </c>
      <c r="B772" t="s">
        <v>2244</v>
      </c>
      <c r="C772" s="217" t="s">
        <v>758</v>
      </c>
      <c r="D772" t="s">
        <v>1881</v>
      </c>
    </row>
    <row r="773" spans="1:4" x14ac:dyDescent="0.2">
      <c r="A773" t="str">
        <f t="shared" ca="1" si="11"/>
        <v>Расходы будущих периодов</v>
      </c>
      <c r="B773" t="s">
        <v>184</v>
      </c>
      <c r="C773" s="217" t="s">
        <v>596</v>
      </c>
      <c r="D773" t="s">
        <v>1624</v>
      </c>
    </row>
    <row r="774" spans="1:4" x14ac:dyDescent="0.2">
      <c r="A774" t="str">
        <f t="shared" ca="1" si="11"/>
        <v>Прочие оборотные активы</v>
      </c>
      <c r="B774" t="s">
        <v>2245</v>
      </c>
      <c r="C774" s="217" t="s">
        <v>1767</v>
      </c>
      <c r="D774" t="s">
        <v>1882</v>
      </c>
    </row>
    <row r="775" spans="1:4" x14ac:dyDescent="0.2">
      <c r="A775" t="str">
        <f t="shared" ca="1" si="11"/>
        <v>Суммарные оборотные активы</v>
      </c>
      <c r="B775" t="s">
        <v>2246</v>
      </c>
      <c r="C775" s="217" t="s">
        <v>1146</v>
      </c>
      <c r="D775" t="s">
        <v>1214</v>
      </c>
    </row>
    <row r="776" spans="1:4" x14ac:dyDescent="0.2">
      <c r="A776" t="str">
        <f t="shared" ca="1" si="11"/>
        <v>Внеоборотные активы</v>
      </c>
      <c r="B776" t="s">
        <v>2155</v>
      </c>
      <c r="C776" s="217" t="s">
        <v>746</v>
      </c>
      <c r="D776" t="s">
        <v>984</v>
      </c>
    </row>
    <row r="777" spans="1:4" x14ac:dyDescent="0.2">
      <c r="A777" t="str">
        <f t="shared" ca="1" si="11"/>
        <v xml:space="preserve">    земельные участки</v>
      </c>
      <c r="B777" t="s">
        <v>424</v>
      </c>
      <c r="C777" t="s">
        <v>1768</v>
      </c>
      <c r="D777" t="s">
        <v>1883</v>
      </c>
    </row>
    <row r="778" spans="1:4" x14ac:dyDescent="0.2">
      <c r="A778" t="str">
        <f t="shared" ca="1" si="11"/>
        <v xml:space="preserve">    здания и сооружения</v>
      </c>
      <c r="B778" t="s">
        <v>2247</v>
      </c>
      <c r="C778" t="s">
        <v>1769</v>
      </c>
      <c r="D778" t="s">
        <v>1884</v>
      </c>
    </row>
    <row r="779" spans="1:4" x14ac:dyDescent="0.2">
      <c r="A779" t="str">
        <f t="shared" ca="1" si="11"/>
        <v xml:space="preserve">    нематериальные активы</v>
      </c>
      <c r="B779" t="s">
        <v>425</v>
      </c>
      <c r="C779" t="s">
        <v>1770</v>
      </c>
      <c r="D779" t="s">
        <v>1885</v>
      </c>
    </row>
    <row r="780" spans="1:4" x14ac:dyDescent="0.2">
      <c r="A780" t="str">
        <f t="shared" ca="1" si="11"/>
        <v xml:space="preserve">    оборудование и прочие активы</v>
      </c>
      <c r="B780" t="s">
        <v>2248</v>
      </c>
      <c r="C780" t="s">
        <v>1771</v>
      </c>
      <c r="D780" t="s">
        <v>1886</v>
      </c>
    </row>
    <row r="781" spans="1:4" x14ac:dyDescent="0.2">
      <c r="A781" t="str">
        <f t="shared" ca="1" si="11"/>
        <v>Финансовые вложения</v>
      </c>
      <c r="B781" t="s">
        <v>428</v>
      </c>
      <c r="C781" t="s">
        <v>1367</v>
      </c>
      <c r="D781" t="s">
        <v>1625</v>
      </c>
    </row>
    <row r="782" spans="1:4" x14ac:dyDescent="0.2">
      <c r="A782" t="str">
        <f t="shared" ca="1" si="11"/>
        <v>Незавершенные капиталовложения</v>
      </c>
      <c r="B782" t="s">
        <v>2249</v>
      </c>
      <c r="C782" s="217" t="s">
        <v>1292</v>
      </c>
      <c r="D782" t="s">
        <v>990</v>
      </c>
    </row>
    <row r="783" spans="1:4" x14ac:dyDescent="0.2">
      <c r="A783" t="str">
        <f t="shared" ca="1" si="11"/>
        <v>Суммарные внеоборотные активы</v>
      </c>
      <c r="B783" t="s">
        <v>2250</v>
      </c>
      <c r="C783" s="217" t="s">
        <v>1772</v>
      </c>
      <c r="D783" t="s">
        <v>1887</v>
      </c>
    </row>
    <row r="784" spans="1:4" x14ac:dyDescent="0.2">
      <c r="A784" t="str">
        <f t="shared" ca="1" si="11"/>
        <v xml:space="preserve"> = ИТОГО АКТИВОВ</v>
      </c>
      <c r="B784" t="s">
        <v>2251</v>
      </c>
      <c r="C784" s="217" t="s">
        <v>1773</v>
      </c>
      <c r="D784" t="s">
        <v>100</v>
      </c>
    </row>
    <row r="785" spans="1:4" x14ac:dyDescent="0.2">
      <c r="A785" t="str">
        <f t="shared" ca="1" si="11"/>
        <v>Кредиторская задолженность</v>
      </c>
      <c r="B785" t="s">
        <v>2252</v>
      </c>
      <c r="C785" s="217" t="s">
        <v>1713</v>
      </c>
      <c r="D785" t="s">
        <v>1449</v>
      </c>
    </row>
    <row r="786" spans="1:4" x14ac:dyDescent="0.2">
      <c r="A786" t="str">
        <f t="shared" ca="1" si="11"/>
        <v xml:space="preserve">    за поставленные товары</v>
      </c>
      <c r="B786" t="s">
        <v>2253</v>
      </c>
      <c r="C786" s="217" t="s">
        <v>1774</v>
      </c>
      <c r="D786" t="s">
        <v>101</v>
      </c>
    </row>
    <row r="787" spans="1:4" x14ac:dyDescent="0.2">
      <c r="A787" t="str">
        <f t="shared" ca="1" si="11"/>
        <v xml:space="preserve">    за внеоборотные активы</v>
      </c>
      <c r="B787" t="s">
        <v>426</v>
      </c>
      <c r="C787" s="217" t="s">
        <v>1775</v>
      </c>
      <c r="D787" t="s">
        <v>102</v>
      </c>
    </row>
    <row r="788" spans="1:4" x14ac:dyDescent="0.2">
      <c r="A788" t="str">
        <f t="shared" ca="1" si="11"/>
        <v>Расчеты с бюджетом</v>
      </c>
      <c r="B788" t="s">
        <v>2254</v>
      </c>
      <c r="C788" s="217" t="s">
        <v>1776</v>
      </c>
      <c r="D788" t="s">
        <v>103</v>
      </c>
    </row>
    <row r="789" spans="1:4" x14ac:dyDescent="0.2">
      <c r="A789" t="str">
        <f t="shared" ca="1" si="11"/>
        <v>Расчеты с персоналом</v>
      </c>
      <c r="B789" t="s">
        <v>2255</v>
      </c>
      <c r="C789" s="217" t="s">
        <v>1140</v>
      </c>
      <c r="D789" t="s">
        <v>1458</v>
      </c>
    </row>
    <row r="790" spans="1:4" x14ac:dyDescent="0.2">
      <c r="A790" t="str">
        <f t="shared" ca="1" si="11"/>
        <v>Авансы покупателей</v>
      </c>
      <c r="B790" t="s">
        <v>2256</v>
      </c>
      <c r="C790" s="217" t="s">
        <v>608</v>
      </c>
      <c r="D790" t="s">
        <v>1443</v>
      </c>
    </row>
    <row r="791" spans="1:4" x14ac:dyDescent="0.2">
      <c r="A791" t="str">
        <f t="shared" ca="1" si="11"/>
        <v>Краткосрочные кредиты</v>
      </c>
      <c r="B791" t="s">
        <v>2257</v>
      </c>
      <c r="C791" s="217" t="s">
        <v>1777</v>
      </c>
      <c r="D791" t="s">
        <v>104</v>
      </c>
    </row>
    <row r="792" spans="1:4" x14ac:dyDescent="0.2">
      <c r="A792" t="str">
        <f t="shared" ca="1" si="11"/>
        <v>Прочие краткосрочные обязательства</v>
      </c>
      <c r="B792" t="s">
        <v>2258</v>
      </c>
      <c r="C792" s="217" t="s">
        <v>1778</v>
      </c>
      <c r="D792" t="s">
        <v>105</v>
      </c>
    </row>
    <row r="793" spans="1:4" x14ac:dyDescent="0.2">
      <c r="A793" t="str">
        <f t="shared" ref="A793:A966" ca="1" si="12">OFFSET(A793,0,LanguageID)</f>
        <v>Суммарные краткосрочные обязательства</v>
      </c>
      <c r="B793" t="s">
        <v>2405</v>
      </c>
      <c r="C793" s="217" t="s">
        <v>1488</v>
      </c>
      <c r="D793" t="s">
        <v>1215</v>
      </c>
    </row>
    <row r="794" spans="1:4" x14ac:dyDescent="0.2">
      <c r="A794" t="str">
        <f t="shared" ca="1" si="12"/>
        <v>Долгосрочные обязательства</v>
      </c>
      <c r="B794" t="s">
        <v>2406</v>
      </c>
      <c r="C794" s="217" t="s">
        <v>1489</v>
      </c>
      <c r="D794" t="s">
        <v>106</v>
      </c>
    </row>
    <row r="795" spans="1:4" x14ac:dyDescent="0.2">
      <c r="A795" t="str">
        <f t="shared" ca="1" si="12"/>
        <v>Средства собственников</v>
      </c>
      <c r="B795" t="s">
        <v>512</v>
      </c>
      <c r="C795" s="217" t="s">
        <v>1799</v>
      </c>
      <c r="D795" t="s">
        <v>107</v>
      </c>
    </row>
    <row r="796" spans="1:4" x14ac:dyDescent="0.2">
      <c r="A796" t="str">
        <f t="shared" ca="1" si="12"/>
        <v>Нераспределенная прибыль</v>
      </c>
      <c r="B796" t="s">
        <v>2388</v>
      </c>
      <c r="C796" s="217" t="s">
        <v>1800</v>
      </c>
      <c r="D796" t="s">
        <v>108</v>
      </c>
    </row>
    <row r="797" spans="1:4" x14ac:dyDescent="0.2">
      <c r="A797" t="str">
        <f t="shared" ca="1" si="12"/>
        <v>Прочие источники финансирования</v>
      </c>
      <c r="B797" t="s">
        <v>2407</v>
      </c>
      <c r="C797" s="217" t="s">
        <v>1801</v>
      </c>
      <c r="D797" t="s">
        <v>109</v>
      </c>
    </row>
    <row r="798" spans="1:4" x14ac:dyDescent="0.2">
      <c r="A798" t="str">
        <f t="shared" ca="1" si="12"/>
        <v>Суммарный собственный капитал</v>
      </c>
      <c r="B798" t="s">
        <v>2408</v>
      </c>
      <c r="C798" s="217" t="s">
        <v>1802</v>
      </c>
      <c r="D798" t="s">
        <v>110</v>
      </c>
    </row>
    <row r="799" spans="1:4" x14ac:dyDescent="0.2">
      <c r="A799" t="str">
        <f t="shared" ca="1" si="12"/>
        <v xml:space="preserve"> = ИТОГО ПАССИВОВ</v>
      </c>
      <c r="B799" t="s">
        <v>422</v>
      </c>
      <c r="C799" s="217" t="s">
        <v>1803</v>
      </c>
      <c r="D799" t="s">
        <v>111</v>
      </c>
    </row>
    <row r="800" spans="1:4" x14ac:dyDescent="0.2">
      <c r="A800" t="str">
        <f t="shared" ca="1" si="12"/>
        <v>Контроль сходимости баланса</v>
      </c>
      <c r="B800" t="s">
        <v>423</v>
      </c>
      <c r="C800" s="217" t="s">
        <v>611</v>
      </c>
      <c r="D800" t="s">
        <v>112</v>
      </c>
    </row>
    <row r="801" spans="1:4" x14ac:dyDescent="0.2">
      <c r="A801" t="str">
        <f t="shared" ca="1" si="12"/>
        <v>Внимание! Баланс не сходится!</v>
      </c>
      <c r="B801" t="s">
        <v>578</v>
      </c>
      <c r="C801" s="217" t="s">
        <v>1804</v>
      </c>
      <c r="D801" t="s">
        <v>113</v>
      </c>
    </row>
    <row r="802" spans="1:4" x14ac:dyDescent="0.2">
      <c r="A802" t="str">
        <f t="shared" ca="1" si="12"/>
        <v>График: Активы проекта</v>
      </c>
      <c r="B802" t="s">
        <v>2522</v>
      </c>
      <c r="C802" s="217" t="s">
        <v>1805</v>
      </c>
      <c r="D802" t="s">
        <v>114</v>
      </c>
    </row>
    <row r="803" spans="1:4" x14ac:dyDescent="0.2">
      <c r="A803" t="str">
        <f t="shared" ca="1" si="12"/>
        <v>График: Пассивы проекта</v>
      </c>
      <c r="B803" t="s">
        <v>2523</v>
      </c>
      <c r="C803" s="217" t="s">
        <v>1806</v>
      </c>
      <c r="D803" t="s">
        <v>115</v>
      </c>
    </row>
    <row r="804" spans="1:4" x14ac:dyDescent="0.2">
      <c r="A804" t="str">
        <f t="shared" ca="1" si="12"/>
        <v xml:space="preserve">         ПОКАЗАТЕЛИ ФИНАНСОВОЙ СОСТОЯТЕЛЬНОСТИ</v>
      </c>
      <c r="B804" s="16" t="s">
        <v>2581</v>
      </c>
      <c r="C804" s="16" t="s">
        <v>1807</v>
      </c>
      <c r="D804" t="s">
        <v>695</v>
      </c>
    </row>
    <row r="805" spans="1:4" x14ac:dyDescent="0.2">
      <c r="A805" t="str">
        <f t="shared" ca="1" si="12"/>
        <v>Рентабельность активов</v>
      </c>
      <c r="B805" t="s">
        <v>2359</v>
      </c>
      <c r="C805" s="217" t="s">
        <v>1808</v>
      </c>
      <c r="D805" t="s">
        <v>116</v>
      </c>
    </row>
    <row r="806" spans="1:4" x14ac:dyDescent="0.2">
      <c r="A806" t="str">
        <f t="shared" ca="1" si="12"/>
        <v>Рентабельность собственного капитала</v>
      </c>
      <c r="B806" t="s">
        <v>2360</v>
      </c>
      <c r="C806" s="217" t="s">
        <v>1809</v>
      </c>
      <c r="D806" t="s">
        <v>117</v>
      </c>
    </row>
    <row r="807" spans="1:4" x14ac:dyDescent="0.2">
      <c r="A807" t="str">
        <f t="shared" ca="1" si="12"/>
        <v>Рентабельность внеоборотных активов</v>
      </c>
      <c r="B807" t="s">
        <v>567</v>
      </c>
      <c r="C807" s="217" t="s">
        <v>1810</v>
      </c>
      <c r="D807" t="s">
        <v>118</v>
      </c>
    </row>
    <row r="808" spans="1:4" x14ac:dyDescent="0.2">
      <c r="A808" t="str">
        <f t="shared" ca="1" si="12"/>
        <v>Прямые расходы к выручке от реализации</v>
      </c>
      <c r="B808" t="s">
        <v>2486</v>
      </c>
      <c r="C808" s="217" t="s">
        <v>1811</v>
      </c>
      <c r="D808" t="s">
        <v>119</v>
      </c>
    </row>
    <row r="809" spans="1:4" x14ac:dyDescent="0.2">
      <c r="A809" t="str">
        <f t="shared" ca="1" si="12"/>
        <v>Прибыльность продаж</v>
      </c>
      <c r="B809" t="s">
        <v>556</v>
      </c>
      <c r="C809" s="217" t="s">
        <v>1812</v>
      </c>
      <c r="D809" t="s">
        <v>120</v>
      </c>
    </row>
    <row r="810" spans="1:4" x14ac:dyDescent="0.2">
      <c r="A810" t="str">
        <f t="shared" ca="1" si="12"/>
        <v>Доля постоянных  затрат</v>
      </c>
      <c r="B810" s="119" t="s">
        <v>557</v>
      </c>
      <c r="C810" s="219" t="s">
        <v>1813</v>
      </c>
      <c r="D810" t="s">
        <v>121</v>
      </c>
    </row>
    <row r="811" spans="1:4" x14ac:dyDescent="0.2">
      <c r="A811" t="str">
        <f t="shared" ca="1" si="12"/>
        <v>Точка безубыточности</v>
      </c>
      <c r="B811" t="s">
        <v>558</v>
      </c>
      <c r="C811" s="219" t="s">
        <v>1814</v>
      </c>
      <c r="D811" t="s">
        <v>122</v>
      </c>
    </row>
    <row r="812" spans="1:4" x14ac:dyDescent="0.2">
      <c r="A812" t="str">
        <f t="shared" ca="1" si="12"/>
        <v>"Запас прочности"</v>
      </c>
      <c r="B812" t="s">
        <v>559</v>
      </c>
      <c r="C812" s="219" t="s">
        <v>1815</v>
      </c>
      <c r="D812" t="s">
        <v>123</v>
      </c>
    </row>
    <row r="813" spans="1:4" x14ac:dyDescent="0.2">
      <c r="A813" t="str">
        <f t="shared" ca="1" si="12"/>
        <v>Рентабельность по EBITDA</v>
      </c>
      <c r="B813" t="s">
        <v>2487</v>
      </c>
      <c r="C813" s="220" t="s">
        <v>1816</v>
      </c>
      <c r="D813" t="s">
        <v>124</v>
      </c>
    </row>
    <row r="814" spans="1:4" x14ac:dyDescent="0.2">
      <c r="A814" t="str">
        <f t="shared" ca="1" si="12"/>
        <v>Рентабельность по EBIT</v>
      </c>
      <c r="B814" t="s">
        <v>2488</v>
      </c>
      <c r="C814" s="220" t="s">
        <v>1817</v>
      </c>
      <c r="D814" t="s">
        <v>125</v>
      </c>
    </row>
    <row r="815" spans="1:4" x14ac:dyDescent="0.2">
      <c r="A815" t="str">
        <f t="shared" ca="1" si="12"/>
        <v xml:space="preserve">Рентабельность по чистой прибыли </v>
      </c>
      <c r="B815" t="s">
        <v>560</v>
      </c>
      <c r="C815" s="217" t="s">
        <v>1818</v>
      </c>
      <c r="D815" t="s">
        <v>126</v>
      </c>
    </row>
    <row r="816" spans="1:4" x14ac:dyDescent="0.2">
      <c r="A816" t="str">
        <f t="shared" ca="1" si="12"/>
        <v>Эффективная ставка налога на прибыль</v>
      </c>
      <c r="B816" t="s">
        <v>2588</v>
      </c>
      <c r="C816" s="220" t="s">
        <v>1819</v>
      </c>
      <c r="D816" t="s">
        <v>127</v>
      </c>
    </row>
    <row r="817" spans="1:4" x14ac:dyDescent="0.2">
      <c r="A817" t="str">
        <f t="shared" ca="1" si="12"/>
        <v>Коэффициент общей ликвидности</v>
      </c>
      <c r="B817" t="s">
        <v>561</v>
      </c>
      <c r="C817" t="s">
        <v>1820</v>
      </c>
      <c r="D817" t="s">
        <v>128</v>
      </c>
    </row>
    <row r="818" spans="1:4" x14ac:dyDescent="0.2">
      <c r="A818" t="str">
        <f t="shared" ca="1" si="12"/>
        <v>Чистый оборотный капитал</v>
      </c>
      <c r="B818" t="s">
        <v>562</v>
      </c>
      <c r="C818" t="s">
        <v>1148</v>
      </c>
      <c r="D818" t="s">
        <v>129</v>
      </c>
    </row>
    <row r="819" spans="1:4" x14ac:dyDescent="0.2">
      <c r="A819" t="str">
        <f t="shared" ca="1" si="12"/>
        <v>Коэффициент общей платежеспособности</v>
      </c>
      <c r="B819" t="s">
        <v>563</v>
      </c>
      <c r="C819" t="s">
        <v>1821</v>
      </c>
      <c r="D819" t="s">
        <v>130</v>
      </c>
    </row>
    <row r="820" spans="1:4" x14ac:dyDescent="0.2">
      <c r="A820" t="str">
        <f t="shared" ca="1" si="12"/>
        <v>Коэффициент автономии</v>
      </c>
      <c r="B820" t="s">
        <v>564</v>
      </c>
      <c r="C820" t="s">
        <v>1822</v>
      </c>
      <c r="D820" t="s">
        <v>131</v>
      </c>
    </row>
    <row r="821" spans="1:4" x14ac:dyDescent="0.2">
      <c r="A821" t="str">
        <f t="shared" ca="1" si="12"/>
        <v>Доля долгосрочных кредитов в валюте баланса</v>
      </c>
      <c r="B821" t="s">
        <v>565</v>
      </c>
      <c r="C821" t="s">
        <v>1823</v>
      </c>
      <c r="D821" t="s">
        <v>2041</v>
      </c>
    </row>
    <row r="822" spans="1:4" x14ac:dyDescent="0.2">
      <c r="A822" t="str">
        <f t="shared" ca="1" si="12"/>
        <v>Общий коэффициент покрытия долга</v>
      </c>
      <c r="B822" t="s">
        <v>2363</v>
      </c>
      <c r="C822" t="s">
        <v>1605</v>
      </c>
      <c r="D822" t="s">
        <v>19</v>
      </c>
    </row>
    <row r="823" spans="1:4" x14ac:dyDescent="0.2">
      <c r="A823" t="str">
        <f t="shared" ca="1" si="12"/>
        <v>Покрытие процентов по кредитам</v>
      </c>
      <c r="B823" t="s">
        <v>566</v>
      </c>
      <c r="C823" t="s">
        <v>132</v>
      </c>
      <c r="D823" t="s">
        <v>2042</v>
      </c>
    </row>
    <row r="824" spans="1:4" x14ac:dyDescent="0.2">
      <c r="A824" t="str">
        <f t="shared" ca="1" si="12"/>
        <v>График: Рентабельность активов</v>
      </c>
      <c r="B824" t="s">
        <v>2489</v>
      </c>
      <c r="C824" t="s">
        <v>133</v>
      </c>
      <c r="D824" t="s">
        <v>2043</v>
      </c>
    </row>
    <row r="825" spans="1:4" x14ac:dyDescent="0.2">
      <c r="A825" t="str">
        <f t="shared" ca="1" si="12"/>
        <v>График: Прибыльность продаж</v>
      </c>
      <c r="B825" t="s">
        <v>2490</v>
      </c>
      <c r="C825" s="217" t="s">
        <v>134</v>
      </c>
      <c r="D825" t="s">
        <v>2044</v>
      </c>
    </row>
    <row r="826" spans="1:4" x14ac:dyDescent="0.2">
      <c r="A826" t="str">
        <f t="shared" ca="1" si="12"/>
        <v>График: Рентабельность по EBITDA</v>
      </c>
      <c r="B826" t="s">
        <v>2491</v>
      </c>
      <c r="C826" s="220" t="s">
        <v>135</v>
      </c>
      <c r="D826" t="s">
        <v>2045</v>
      </c>
    </row>
    <row r="827" spans="1:4" x14ac:dyDescent="0.2">
      <c r="A827" t="str">
        <f t="shared" ca="1" si="12"/>
        <v xml:space="preserve">         ЭФФЕКТИВНОСТЬ ПОЛНЫХ ИНВЕСТИЦИОННЫХ ЗАТРАТ</v>
      </c>
      <c r="B827" s="16" t="s">
        <v>2584</v>
      </c>
      <c r="C827" s="16" t="s">
        <v>136</v>
      </c>
      <c r="D827" t="s">
        <v>696</v>
      </c>
    </row>
    <row r="828" spans="1:4" x14ac:dyDescent="0.2">
      <c r="A828" t="str">
        <f t="shared" ca="1" si="12"/>
        <v>Да</v>
      </c>
      <c r="B828" t="s">
        <v>2152</v>
      </c>
      <c r="C828" t="s">
        <v>736</v>
      </c>
      <c r="D828" t="s">
        <v>975</v>
      </c>
    </row>
    <row r="829" spans="1:4" x14ac:dyDescent="0.2">
      <c r="A829" t="str">
        <f t="shared" ca="1" si="12"/>
        <v>Нет</v>
      </c>
      <c r="B829" t="s">
        <v>2153</v>
      </c>
      <c r="C829" t="s">
        <v>737</v>
      </c>
      <c r="D829" t="s">
        <v>976</v>
      </c>
    </row>
    <row r="830" spans="1:4" x14ac:dyDescent="0.2">
      <c r="A830" t="str">
        <f t="shared" ca="1" si="12"/>
        <v>года</v>
      </c>
      <c r="B830" t="s">
        <v>2524</v>
      </c>
      <c r="C830" t="s">
        <v>1165</v>
      </c>
      <c r="D830" t="s">
        <v>2046</v>
      </c>
    </row>
    <row r="831" spans="1:4" x14ac:dyDescent="0.2">
      <c r="A831" t="str">
        <f t="shared" ca="1" si="12"/>
        <v>(реальная - без учета инфляции)</v>
      </c>
      <c r="B831" s="74" t="s">
        <v>2525</v>
      </c>
      <c r="C831" t="s">
        <v>137</v>
      </c>
      <c r="D831" t="s">
        <v>2047</v>
      </c>
    </row>
    <row r="832" spans="1:4" x14ac:dyDescent="0.2">
      <c r="A832" t="str">
        <f t="shared" ca="1" si="12"/>
        <v>(номинальная - с учетом инфляции)</v>
      </c>
      <c r="B832" s="74" t="s">
        <v>2526</v>
      </c>
      <c r="C832" t="s">
        <v>138</v>
      </c>
      <c r="D832" t="s">
        <v>2048</v>
      </c>
    </row>
    <row r="833" spans="1:4" x14ac:dyDescent="0.2">
      <c r="A833" t="str">
        <f t="shared" ca="1" si="12"/>
        <v>Учитывать ранее осуществленные инвестиции</v>
      </c>
      <c r="B833" s="128" t="s">
        <v>2327</v>
      </c>
      <c r="C833" t="s">
        <v>139</v>
      </c>
      <c r="D833" t="s">
        <v>2049</v>
      </c>
    </row>
    <row r="834" spans="1:4" x14ac:dyDescent="0.2">
      <c r="A834" t="str">
        <f t="shared" ca="1" si="12"/>
        <v>Учитывать остаточную стоимость проекта</v>
      </c>
      <c r="B834" s="128" t="s">
        <v>2301</v>
      </c>
      <c r="C834" t="s">
        <v>140</v>
      </c>
      <c r="D834" t="s">
        <v>2050</v>
      </c>
    </row>
    <row r="835" spans="1:4" x14ac:dyDescent="0.2">
      <c r="A835" t="str">
        <f t="shared" ca="1" si="12"/>
        <v>Валюта расчетов:</v>
      </c>
      <c r="B835" s="128" t="s">
        <v>2302</v>
      </c>
      <c r="C835" t="s">
        <v>141</v>
      </c>
      <c r="D835" t="s">
        <v>2051</v>
      </c>
    </row>
    <row r="836" spans="1:4" x14ac:dyDescent="0.2">
      <c r="A836" t="str">
        <f t="shared" ca="1" si="12"/>
        <v>Годовая ставка дисконтирования:</v>
      </c>
      <c r="B836" s="128" t="s">
        <v>2303</v>
      </c>
      <c r="C836" t="s">
        <v>142</v>
      </c>
      <c r="D836" t="s">
        <v>2052</v>
      </c>
    </row>
    <row r="837" spans="1:4" x14ac:dyDescent="0.2">
      <c r="A837" t="str">
        <f t="shared" ca="1" si="12"/>
        <v xml:space="preserve">    ставка дисконтирования на расчетный период</v>
      </c>
      <c r="B837" s="128" t="s">
        <v>2304</v>
      </c>
      <c r="C837" t="s">
        <v>143</v>
      </c>
      <c r="D837" t="s">
        <v>2053</v>
      </c>
    </row>
    <row r="838" spans="1:4" x14ac:dyDescent="0.2">
      <c r="A838" t="str">
        <f t="shared" ca="1" si="12"/>
        <v xml:space="preserve">    коэффициент дисконта для потока на начало периода</v>
      </c>
      <c r="B838" s="128" t="s">
        <v>669</v>
      </c>
      <c r="C838" t="s">
        <v>144</v>
      </c>
      <c r="D838" t="s">
        <v>2054</v>
      </c>
    </row>
    <row r="839" spans="1:4" x14ac:dyDescent="0.2">
      <c r="A839" t="str">
        <f t="shared" ca="1" si="12"/>
        <v xml:space="preserve">    коэффициент дисконта для потока на конец периода</v>
      </c>
      <c r="B839" s="128" t="s">
        <v>668</v>
      </c>
      <c r="C839" t="s">
        <v>145</v>
      </c>
      <c r="D839" t="s">
        <v>2055</v>
      </c>
    </row>
    <row r="840" spans="1:4" x14ac:dyDescent="0.2">
      <c r="A840" t="str">
        <f t="shared" ca="1" si="12"/>
        <v>Учитываемые денежные потоки проекта:</v>
      </c>
      <c r="B840" s="128" t="s">
        <v>2306</v>
      </c>
      <c r="C840" t="s">
        <v>146</v>
      </c>
      <c r="D840" t="s">
        <v>2056</v>
      </c>
    </row>
    <row r="841" spans="1:4" x14ac:dyDescent="0.2">
      <c r="A841" t="str">
        <f t="shared" ca="1" si="12"/>
        <v>Денежные потоки от операционной деятельности</v>
      </c>
      <c r="B841" s="128" t="s">
        <v>2398</v>
      </c>
      <c r="C841" t="s">
        <v>1754</v>
      </c>
      <c r="D841" t="s">
        <v>2057</v>
      </c>
    </row>
    <row r="842" spans="1:4" x14ac:dyDescent="0.2">
      <c r="A842" t="str">
        <f t="shared" ca="1" si="12"/>
        <v xml:space="preserve">    за исключением процентов по кредитам</v>
      </c>
      <c r="B842" s="128" t="s">
        <v>2307</v>
      </c>
      <c r="C842" t="s">
        <v>147</v>
      </c>
      <c r="D842" t="s">
        <v>2058</v>
      </c>
    </row>
    <row r="843" spans="1:4" x14ac:dyDescent="0.2">
      <c r="A843" t="str">
        <f t="shared" ca="1" si="12"/>
        <v>Денежные потоки от инвестиционной деятельности</v>
      </c>
      <c r="B843" s="128" t="s">
        <v>2400</v>
      </c>
      <c r="C843" t="s">
        <v>1756</v>
      </c>
      <c r="D843" t="s">
        <v>2000</v>
      </c>
    </row>
    <row r="844" spans="1:4" x14ac:dyDescent="0.2">
      <c r="A844" t="str">
        <f t="shared" ca="1" si="12"/>
        <v>Поступления собственного капитала</v>
      </c>
      <c r="B844" s="128" t="s">
        <v>2239</v>
      </c>
      <c r="C844" t="s">
        <v>1757</v>
      </c>
      <c r="D844" t="s">
        <v>2001</v>
      </c>
    </row>
    <row r="845" spans="1:4" x14ac:dyDescent="0.2">
      <c r="A845" t="str">
        <f t="shared" ca="1" si="12"/>
        <v>Поступления целевого финансирования</v>
      </c>
      <c r="B845" s="128" t="s">
        <v>2308</v>
      </c>
      <c r="C845" t="s">
        <v>603</v>
      </c>
      <c r="D845" t="s">
        <v>1004</v>
      </c>
    </row>
    <row r="846" spans="1:4" x14ac:dyDescent="0.2">
      <c r="A846" t="str">
        <f t="shared" ca="1" si="12"/>
        <v>Поступления кредитов</v>
      </c>
      <c r="B846" s="128" t="s">
        <v>2401</v>
      </c>
      <c r="C846" s="217" t="s">
        <v>1758</v>
      </c>
      <c r="D846" t="s">
        <v>2002</v>
      </c>
    </row>
    <row r="847" spans="1:4" x14ac:dyDescent="0.2">
      <c r="A847" t="str">
        <f t="shared" ca="1" si="12"/>
        <v>Возврат кредитов</v>
      </c>
      <c r="B847" s="128" t="s">
        <v>2380</v>
      </c>
      <c r="C847" s="217" t="s">
        <v>1576</v>
      </c>
      <c r="D847" t="s">
        <v>1871</v>
      </c>
    </row>
    <row r="848" spans="1:4" x14ac:dyDescent="0.2">
      <c r="A848" t="str">
        <f t="shared" ca="1" si="12"/>
        <v>Лизинговые платежи</v>
      </c>
      <c r="B848" s="128" t="s">
        <v>2379</v>
      </c>
      <c r="C848" t="s">
        <v>1575</v>
      </c>
      <c r="D848" t="s">
        <v>1872</v>
      </c>
    </row>
    <row r="849" spans="1:4" x14ac:dyDescent="0.2">
      <c r="A849" t="str">
        <f t="shared" ca="1" si="12"/>
        <v>Выплата дивидендов</v>
      </c>
      <c r="B849" s="128" t="s">
        <v>2402</v>
      </c>
      <c r="C849" t="s">
        <v>1759</v>
      </c>
      <c r="D849" t="s">
        <v>1873</v>
      </c>
    </row>
    <row r="850" spans="1:4" x14ac:dyDescent="0.2">
      <c r="A850" t="str">
        <f t="shared" ca="1" si="12"/>
        <v>Ранее осуществленные инвестиции</v>
      </c>
      <c r="B850" s="128" t="s">
        <v>2309</v>
      </c>
      <c r="C850" t="s">
        <v>690</v>
      </c>
      <c r="D850" t="s">
        <v>2059</v>
      </c>
    </row>
    <row r="851" spans="1:4" ht="12" customHeight="1" x14ac:dyDescent="0.2">
      <c r="A851" t="str">
        <f t="shared" ca="1" si="12"/>
        <v>Остаточная стоимость проекта</v>
      </c>
      <c r="B851" s="128" t="s">
        <v>2310</v>
      </c>
      <c r="C851" t="s">
        <v>148</v>
      </c>
      <c r="D851" t="s">
        <v>2060</v>
      </c>
    </row>
    <row r="852" spans="1:4" x14ac:dyDescent="0.2">
      <c r="A852" t="str">
        <f t="shared" ca="1" si="12"/>
        <v>Чистый денежный поток</v>
      </c>
      <c r="B852" s="128" t="s">
        <v>2311</v>
      </c>
      <c r="C852" t="s">
        <v>149</v>
      </c>
      <c r="D852" t="s">
        <v>2061</v>
      </c>
    </row>
    <row r="853" spans="1:4" x14ac:dyDescent="0.2">
      <c r="A853" t="str">
        <f t="shared" ca="1" si="12"/>
        <v>Дисконтированный чистый денежный поток</v>
      </c>
      <c r="B853" s="128" t="s">
        <v>2312</v>
      </c>
      <c r="C853" t="s">
        <v>150</v>
      </c>
      <c r="D853" t="s">
        <v>2062</v>
      </c>
    </row>
    <row r="854" spans="1:4" x14ac:dyDescent="0.2">
      <c r="A854" t="str">
        <f t="shared" ca="1" si="12"/>
        <v>Дисконтированный поток нарастающим итогом</v>
      </c>
      <c r="B854" s="128" t="s">
        <v>2313</v>
      </c>
      <c r="C854" t="s">
        <v>151</v>
      </c>
      <c r="D854" t="s">
        <v>2063</v>
      </c>
    </row>
    <row r="855" spans="1:4" x14ac:dyDescent="0.2">
      <c r="A855" t="str">
        <f t="shared" ca="1" si="12"/>
        <v>Простой срок окупаемости</v>
      </c>
      <c r="B855" s="128" t="s">
        <v>2314</v>
      </c>
      <c r="C855" t="s">
        <v>152</v>
      </c>
      <c r="D855" t="s">
        <v>2064</v>
      </c>
    </row>
    <row r="856" spans="1:4" x14ac:dyDescent="0.2">
      <c r="A856" t="str">
        <f t="shared" ca="1" si="12"/>
        <v xml:space="preserve">    недисконтированный поток нарастающим итогом</v>
      </c>
      <c r="B856" s="128" t="s">
        <v>2315</v>
      </c>
      <c r="C856" t="s">
        <v>153</v>
      </c>
      <c r="D856" t="s">
        <v>2065</v>
      </c>
    </row>
    <row r="857" spans="1:4" x14ac:dyDescent="0.2">
      <c r="A857" t="str">
        <f t="shared" ca="1" si="12"/>
        <v xml:space="preserve">    знак остатка денежных средств</v>
      </c>
      <c r="B857" s="128" t="s">
        <v>2316</v>
      </c>
      <c r="C857" t="s">
        <v>154</v>
      </c>
      <c r="D857" t="s">
        <v>2066</v>
      </c>
    </row>
    <row r="858" spans="1:4" x14ac:dyDescent="0.2">
      <c r="A858" t="str">
        <f t="shared" ca="1" si="12"/>
        <v xml:space="preserve">    знак остатка денежных средств (с конца)</v>
      </c>
      <c r="B858" s="128" t="s">
        <v>2317</v>
      </c>
      <c r="C858" t="s">
        <v>154</v>
      </c>
      <c r="D858" t="s">
        <v>2067</v>
      </c>
    </row>
    <row r="859" spans="1:4" x14ac:dyDescent="0.2">
      <c r="A859" t="str">
        <f t="shared" ca="1" si="12"/>
        <v>Чистая приведенная стоимость (NPV)</v>
      </c>
      <c r="B859" s="128" t="s">
        <v>2318</v>
      </c>
      <c r="C859" t="s">
        <v>155</v>
      </c>
      <c r="D859" t="s">
        <v>2068</v>
      </c>
    </row>
    <row r="860" spans="1:4" x14ac:dyDescent="0.2">
      <c r="A860" t="str">
        <f t="shared" ca="1" si="12"/>
        <v>Дисконтированный срок окупаемости (PBP)</v>
      </c>
      <c r="B860" s="128" t="s">
        <v>2319</v>
      </c>
      <c r="C860" t="s">
        <v>156</v>
      </c>
      <c r="D860" t="s">
        <v>2069</v>
      </c>
    </row>
    <row r="861" spans="1:4" x14ac:dyDescent="0.2">
      <c r="A861" t="str">
        <f t="shared" ca="1" si="12"/>
        <v xml:space="preserve">    знак остатка дисконтированных денежных средств</v>
      </c>
      <c r="B861" s="128" t="s">
        <v>2320</v>
      </c>
      <c r="C861" t="s">
        <v>157</v>
      </c>
      <c r="D861" t="s">
        <v>2070</v>
      </c>
    </row>
    <row r="862" spans="1:4" x14ac:dyDescent="0.2">
      <c r="A862" t="str">
        <f t="shared" ca="1" si="12"/>
        <v xml:space="preserve">    знак остатка дисконтированных денежных средств (с конца)</v>
      </c>
      <c r="B862" s="128" t="s">
        <v>2321</v>
      </c>
      <c r="C862" t="s">
        <v>157</v>
      </c>
      <c r="D862" t="s">
        <v>2071</v>
      </c>
    </row>
    <row r="863" spans="1:4" x14ac:dyDescent="0.2">
      <c r="A863" t="str">
        <f t="shared" ca="1" si="12"/>
        <v>Внутренняя норма рентабельности (IRR)</v>
      </c>
      <c r="B863" s="128" t="s">
        <v>2322</v>
      </c>
      <c r="C863" t="s">
        <v>158</v>
      </c>
      <c r="D863" t="s">
        <v>2072</v>
      </c>
    </row>
    <row r="864" spans="1:4" x14ac:dyDescent="0.2">
      <c r="A864" t="str">
        <f t="shared" ca="1" si="12"/>
        <v>Норма доходности дисконтированных затрат (PI)</v>
      </c>
      <c r="B864" s="128" t="s">
        <v>2527</v>
      </c>
      <c r="C864" t="s">
        <v>159</v>
      </c>
      <c r="D864" t="s">
        <v>2073</v>
      </c>
    </row>
    <row r="865" spans="1:4" x14ac:dyDescent="0.2">
      <c r="A865" t="str">
        <f t="shared" ca="1" si="12"/>
        <v xml:space="preserve">    притоки</v>
      </c>
      <c r="B865" s="128" t="s">
        <v>2528</v>
      </c>
      <c r="C865" t="s">
        <v>160</v>
      </c>
      <c r="D865" t="s">
        <v>2074</v>
      </c>
    </row>
    <row r="866" spans="1:4" x14ac:dyDescent="0.2">
      <c r="A866" t="str">
        <f t="shared" ca="1" si="12"/>
        <v xml:space="preserve">    дисконтированные притоки</v>
      </c>
      <c r="B866" s="128" t="s">
        <v>2529</v>
      </c>
      <c r="C866" t="s">
        <v>161</v>
      </c>
      <c r="D866" t="s">
        <v>2075</v>
      </c>
    </row>
    <row r="867" spans="1:4" x14ac:dyDescent="0.2">
      <c r="A867" t="str">
        <f t="shared" ca="1" si="12"/>
        <v xml:space="preserve">    оттоки</v>
      </c>
      <c r="B867" s="128" t="s">
        <v>2530</v>
      </c>
      <c r="C867" t="s">
        <v>2436</v>
      </c>
      <c r="D867" t="s">
        <v>2076</v>
      </c>
    </row>
    <row r="868" spans="1:4" x14ac:dyDescent="0.2">
      <c r="A868" t="str">
        <f t="shared" ca="1" si="12"/>
        <v xml:space="preserve">    дисконтированные оттоки</v>
      </c>
      <c r="B868" s="128" t="s">
        <v>2531</v>
      </c>
      <c r="C868" t="s">
        <v>2437</v>
      </c>
      <c r="D868" t="s">
        <v>2077</v>
      </c>
    </row>
    <row r="869" spans="1:4" x14ac:dyDescent="0.2">
      <c r="A869" t="str">
        <f t="shared" ca="1" si="12"/>
        <v>Модифицированная IRR (MIRR)</v>
      </c>
      <c r="B869" s="128" t="s">
        <v>2323</v>
      </c>
      <c r="C869" t="s">
        <v>162</v>
      </c>
      <c r="D869" t="s">
        <v>2078</v>
      </c>
    </row>
    <row r="870" spans="1:4" x14ac:dyDescent="0.2">
      <c r="A870" t="str">
        <f t="shared" ca="1" si="12"/>
        <v>Ставка реинвестирования доходов</v>
      </c>
      <c r="B870" s="128" t="s">
        <v>2324</v>
      </c>
      <c r="C870" s="48" t="s">
        <v>163</v>
      </c>
      <c r="D870" t="s">
        <v>2079</v>
      </c>
    </row>
    <row r="871" spans="1:4" x14ac:dyDescent="0.2">
      <c r="A871" t="str">
        <f t="shared" ca="1" si="12"/>
        <v>Ставка дисконтирования инвестиционных затрат</v>
      </c>
      <c r="B871" s="128" t="s">
        <v>2326</v>
      </c>
      <c r="C871" t="s">
        <v>164</v>
      </c>
      <c r="D871" t="s">
        <v>2080</v>
      </c>
    </row>
    <row r="872" spans="1:4" x14ac:dyDescent="0.2">
      <c r="A872" t="str">
        <f t="shared" ca="1" si="12"/>
        <v>График: Окупаемость проекта (для полных инвестиционных затрат)</v>
      </c>
      <c r="B872" s="74" t="s">
        <v>620</v>
      </c>
      <c r="C872" t="s">
        <v>165</v>
      </c>
      <c r="D872" t="s">
        <v>2081</v>
      </c>
    </row>
    <row r="873" spans="1:4" x14ac:dyDescent="0.2">
      <c r="A873" t="str">
        <f t="shared" ca="1" si="12"/>
        <v xml:space="preserve">         ЭФФЕКТИВНОСТЬ ДЛЯ СОБСТВЕННОГО КАПИТАЛА</v>
      </c>
      <c r="B873" s="16" t="s">
        <v>2585</v>
      </c>
      <c r="C873" t="s">
        <v>166</v>
      </c>
      <c r="D873" t="s">
        <v>697</v>
      </c>
    </row>
    <row r="874" spans="1:4" x14ac:dyDescent="0.2">
      <c r="A874" t="str">
        <f t="shared" ca="1" si="12"/>
        <v>График: Окупаемость проекта (для собственного капитала)</v>
      </c>
      <c r="B874" s="16" t="s">
        <v>621</v>
      </c>
      <c r="C874" t="s">
        <v>167</v>
      </c>
      <c r="D874" t="s">
        <v>2082</v>
      </c>
    </row>
    <row r="875" spans="1:4" x14ac:dyDescent="0.2">
      <c r="A875" t="str">
        <f t="shared" ca="1" si="12"/>
        <v xml:space="preserve">         ЭФФЕКТИВНОСТЬ ДЛЯ БАНКА</v>
      </c>
      <c r="B875" s="16" t="s">
        <v>2586</v>
      </c>
      <c r="C875" t="s">
        <v>1941</v>
      </c>
      <c r="D875" t="s">
        <v>698</v>
      </c>
    </row>
    <row r="876" spans="1:4" x14ac:dyDescent="0.2">
      <c r="A876" t="str">
        <f t="shared" ca="1" si="12"/>
        <v>График: Окупаемость проекта (для банка)</v>
      </c>
      <c r="B876" s="16" t="s">
        <v>622</v>
      </c>
      <c r="C876" t="s">
        <v>1942</v>
      </c>
      <c r="D876" t="s">
        <v>1958</v>
      </c>
    </row>
    <row r="877" spans="1:4" x14ac:dyDescent="0.2">
      <c r="A877" t="str">
        <f t="shared" ca="1" si="12"/>
        <v xml:space="preserve">         ОЦЕНКА БИЗНЕСА</v>
      </c>
      <c r="B877" s="16" t="s">
        <v>2587</v>
      </c>
      <c r="C877" t="s">
        <v>1943</v>
      </c>
      <c r="D877" t="s">
        <v>699</v>
      </c>
    </row>
    <row r="878" spans="1:4" x14ac:dyDescent="0.2">
      <c r="A878" t="str">
        <f t="shared" ca="1" si="12"/>
        <v xml:space="preserve">    коэффициент дисконта на середину периода</v>
      </c>
      <c r="B878" t="s">
        <v>2611</v>
      </c>
      <c r="C878" t="s">
        <v>1944</v>
      </c>
      <c r="D878" t="s">
        <v>1959</v>
      </c>
    </row>
    <row r="879" spans="1:4" x14ac:dyDescent="0.2">
      <c r="A879" t="str">
        <f t="shared" ca="1" si="12"/>
        <v>Долгосрочные темпы роста в постпрогнозный период</v>
      </c>
      <c r="B879" s="23" t="s">
        <v>625</v>
      </c>
      <c r="C879" t="s">
        <v>1945</v>
      </c>
      <c r="D879" t="s">
        <v>1960</v>
      </c>
    </row>
    <row r="880" spans="1:4" ht="12.75" customHeight="1" x14ac:dyDescent="0.2">
      <c r="A880" t="str">
        <f t="shared" ca="1" si="12"/>
        <v xml:space="preserve">    в пересчете на период, равный шагу проекта</v>
      </c>
      <c r="B880" s="23" t="s">
        <v>2328</v>
      </c>
      <c r="C880" t="s">
        <v>1946</v>
      </c>
      <c r="D880" t="s">
        <v>1961</v>
      </c>
    </row>
    <row r="881" spans="1:4" x14ac:dyDescent="0.2">
      <c r="A881" t="str">
        <f t="shared" ca="1" si="12"/>
        <v>Денежный поток для собственного капитала</v>
      </c>
      <c r="B881" s="23" t="s">
        <v>624</v>
      </c>
      <c r="C881" t="s">
        <v>1947</v>
      </c>
      <c r="D881" t="s">
        <v>1962</v>
      </c>
    </row>
    <row r="882" spans="1:4" x14ac:dyDescent="0.2">
      <c r="A882" t="str">
        <f t="shared" ca="1" si="12"/>
        <v>Чистая прибыль</v>
      </c>
      <c r="B882" s="23" t="s">
        <v>626</v>
      </c>
      <c r="C882" t="s">
        <v>1948</v>
      </c>
      <c r="D882" t="s">
        <v>1963</v>
      </c>
    </row>
    <row r="883" spans="1:4" x14ac:dyDescent="0.2">
      <c r="A883" t="str">
        <f t="shared" ca="1" si="12"/>
        <v>Амортизация</v>
      </c>
      <c r="B883" s="23" t="s">
        <v>2222</v>
      </c>
      <c r="C883" t="s">
        <v>1842</v>
      </c>
      <c r="D883" t="s">
        <v>1870</v>
      </c>
    </row>
    <row r="884" spans="1:4" x14ac:dyDescent="0.2">
      <c r="A884" t="str">
        <f t="shared" ca="1" si="12"/>
        <v>Изменение чистого оборотного капитала</v>
      </c>
      <c r="B884" s="23" t="s">
        <v>568</v>
      </c>
      <c r="C884" t="s">
        <v>1149</v>
      </c>
      <c r="D884" t="s">
        <v>1217</v>
      </c>
    </row>
    <row r="885" spans="1:4" x14ac:dyDescent="0.2">
      <c r="A885" t="str">
        <f t="shared" ca="1" si="12"/>
        <v>Инвестиции</v>
      </c>
      <c r="B885" s="23" t="s">
        <v>627</v>
      </c>
      <c r="C885" t="s">
        <v>1949</v>
      </c>
      <c r="D885" t="s">
        <v>1467</v>
      </c>
    </row>
    <row r="886" spans="1:4" x14ac:dyDescent="0.2">
      <c r="A886" t="str">
        <f t="shared" ca="1" si="12"/>
        <v>Изменение долгосрочной задолженности</v>
      </c>
      <c r="B886" s="23" t="s">
        <v>628</v>
      </c>
      <c r="C886" t="s">
        <v>1950</v>
      </c>
      <c r="D886" t="s">
        <v>1964</v>
      </c>
    </row>
    <row r="887" spans="1:4" x14ac:dyDescent="0.2">
      <c r="A887" t="str">
        <f t="shared" ca="1" si="12"/>
        <v>Дисконтированный денежный поток</v>
      </c>
      <c r="B887" s="23" t="s">
        <v>670</v>
      </c>
      <c r="C887" t="s">
        <v>1951</v>
      </c>
      <c r="D887" t="s">
        <v>1965</v>
      </c>
    </row>
    <row r="888" spans="1:4" x14ac:dyDescent="0.2">
      <c r="A888" t="str">
        <f t="shared" ca="1" si="12"/>
        <v>Продленная стоимость проекта</v>
      </c>
      <c r="B888" s="23" t="s">
        <v>671</v>
      </c>
      <c r="C888" t="s">
        <v>1952</v>
      </c>
      <c r="D888" t="s">
        <v>1966</v>
      </c>
    </row>
    <row r="889" spans="1:4" x14ac:dyDescent="0.2">
      <c r="A889" t="str">
        <f t="shared" ca="1" si="12"/>
        <v>Посленалоговая операционная прибыль (NOPLAT)</v>
      </c>
      <c r="B889" s="23" t="s">
        <v>674</v>
      </c>
      <c r="C889" t="s">
        <v>32</v>
      </c>
      <c r="D889" t="s">
        <v>1967</v>
      </c>
    </row>
    <row r="890" spans="1:4" x14ac:dyDescent="0.2">
      <c r="A890" t="str">
        <f t="shared" ca="1" si="12"/>
        <v>Дисконтированная продленная стоимость</v>
      </c>
      <c r="B890" s="23" t="s">
        <v>672</v>
      </c>
      <c r="C890" t="s">
        <v>33</v>
      </c>
      <c r="D890" t="s">
        <v>1968</v>
      </c>
    </row>
    <row r="891" spans="1:4" x14ac:dyDescent="0.2">
      <c r="A891" t="str">
        <f t="shared" ca="1" si="12"/>
        <v>Итого стоимость бизнеса</v>
      </c>
      <c r="B891" s="23" t="s">
        <v>673</v>
      </c>
      <c r="C891" t="s">
        <v>34</v>
      </c>
      <c r="D891" t="s">
        <v>1969</v>
      </c>
    </row>
    <row r="892" spans="1:4" x14ac:dyDescent="0.2">
      <c r="A892" t="str">
        <f t="shared" ca="1" si="12"/>
        <v xml:space="preserve">         БЮДЖЕТНАЯ ЭФФЕКТИВНОСТЬ</v>
      </c>
      <c r="B892" s="16" t="s">
        <v>2428</v>
      </c>
      <c r="C892" t="s">
        <v>35</v>
      </c>
      <c r="D892" t="s">
        <v>700</v>
      </c>
    </row>
    <row r="893" spans="1:4" x14ac:dyDescent="0.2">
      <c r="A893" t="str">
        <f t="shared" ca="1" si="12"/>
        <v>федеральный</v>
      </c>
      <c r="B893" t="s">
        <v>631</v>
      </c>
      <c r="C893" t="s">
        <v>36</v>
      </c>
      <c r="D893" t="s">
        <v>1970</v>
      </c>
    </row>
    <row r="894" spans="1:4" x14ac:dyDescent="0.2">
      <c r="A894" t="str">
        <f t="shared" ca="1" si="12"/>
        <v>территории</v>
      </c>
      <c r="B894" t="s">
        <v>632</v>
      </c>
      <c r="C894" t="s">
        <v>37</v>
      </c>
      <c r="D894" t="s">
        <v>1971</v>
      </c>
    </row>
    <row r="895" spans="1:4" x14ac:dyDescent="0.2">
      <c r="A895" t="str">
        <f t="shared" ca="1" si="12"/>
        <v>Доли налоговых поступлений в бюджеты разных уровней</v>
      </c>
      <c r="B895" s="23" t="s">
        <v>630</v>
      </c>
      <c r="C895" s="217" t="s">
        <v>38</v>
      </c>
      <c r="D895" t="s">
        <v>1972</v>
      </c>
    </row>
    <row r="896" spans="1:4" x14ac:dyDescent="0.2">
      <c r="A896" t="str">
        <f t="shared" ca="1" si="12"/>
        <v>Налог на добавленную стоимость</v>
      </c>
      <c r="B896" s="23" t="s">
        <v>633</v>
      </c>
      <c r="C896" s="217" t="s">
        <v>39</v>
      </c>
      <c r="D896" t="s">
        <v>1453</v>
      </c>
    </row>
    <row r="897" spans="1:4" x14ac:dyDescent="0.2">
      <c r="A897" t="str">
        <f t="shared" ca="1" si="12"/>
        <v>Налог на прибыль</v>
      </c>
      <c r="B897" s="23" t="s">
        <v>2385</v>
      </c>
      <c r="C897" s="217" t="s">
        <v>1437</v>
      </c>
      <c r="D897" t="s">
        <v>920</v>
      </c>
    </row>
    <row r="898" spans="1:4" x14ac:dyDescent="0.2">
      <c r="A898" t="str">
        <f t="shared" ca="1" si="12"/>
        <v xml:space="preserve">Начисления на заработную плату </v>
      </c>
      <c r="B898" s="23" t="s">
        <v>634</v>
      </c>
      <c r="C898" s="217" t="s">
        <v>772</v>
      </c>
      <c r="D898" t="s">
        <v>1973</v>
      </c>
    </row>
    <row r="899" spans="1:4" x14ac:dyDescent="0.2">
      <c r="A899" t="str">
        <f t="shared" ca="1" si="12"/>
        <v>Акцизы и экспортные пошлины</v>
      </c>
      <c r="B899" s="23" t="s">
        <v>2283</v>
      </c>
      <c r="C899" s="217" t="s">
        <v>906</v>
      </c>
      <c r="D899" t="s">
        <v>923</v>
      </c>
    </row>
    <row r="900" spans="1:4" x14ac:dyDescent="0.2">
      <c r="A900" t="str">
        <f t="shared" ca="1" si="12"/>
        <v>Импортная пошлина</v>
      </c>
      <c r="B900" s="23" t="s">
        <v>635</v>
      </c>
      <c r="C900" s="217" t="s">
        <v>907</v>
      </c>
      <c r="D900" t="s">
        <v>924</v>
      </c>
    </row>
    <row r="901" spans="1:4" x14ac:dyDescent="0.2">
      <c r="A901" t="str">
        <f t="shared" ca="1" si="12"/>
        <v>Подоходный налог</v>
      </c>
      <c r="B901" s="23" t="s">
        <v>636</v>
      </c>
      <c r="C901" s="217" t="s">
        <v>40</v>
      </c>
      <c r="D901" t="s">
        <v>1974</v>
      </c>
    </row>
    <row r="902" spans="1:4" x14ac:dyDescent="0.2">
      <c r="A902" t="str">
        <f t="shared" ca="1" si="12"/>
        <v>Земельный налог</v>
      </c>
      <c r="B902" s="23" t="s">
        <v>482</v>
      </c>
      <c r="C902" s="217" t="s">
        <v>778</v>
      </c>
      <c r="D902" t="s">
        <v>954</v>
      </c>
    </row>
    <row r="903" spans="1:4" x14ac:dyDescent="0.2">
      <c r="A903" t="str">
        <f t="shared" ca="1" si="12"/>
        <v>Налог на имущество</v>
      </c>
      <c r="B903" s="23" t="s">
        <v>488</v>
      </c>
      <c r="C903" s="217" t="s">
        <v>789</v>
      </c>
      <c r="D903" t="s">
        <v>1975</v>
      </c>
    </row>
    <row r="904" spans="1:4" x14ac:dyDescent="0.2">
      <c r="A904" t="str">
        <f t="shared" ca="1" si="12"/>
        <v>Единый налог на вмененный доход</v>
      </c>
      <c r="B904" s="23" t="s">
        <v>823</v>
      </c>
      <c r="C904" s="217" t="s">
        <v>41</v>
      </c>
      <c r="D904" t="s">
        <v>1976</v>
      </c>
    </row>
    <row r="905" spans="1:4" x14ac:dyDescent="0.2">
      <c r="A905" t="str">
        <f t="shared" ca="1" si="12"/>
        <v>Упрощенная система налогообложения</v>
      </c>
      <c r="B905" s="23" t="s">
        <v>824</v>
      </c>
      <c r="C905" s="217" t="s">
        <v>42</v>
      </c>
      <c r="D905" t="s">
        <v>1319</v>
      </c>
    </row>
    <row r="906" spans="1:4" x14ac:dyDescent="0.2">
      <c r="A906" t="str">
        <f t="shared" ca="1" si="12"/>
        <v>Ставка налога на доходы физических лиц</v>
      </c>
      <c r="B906" s="23" t="s">
        <v>637</v>
      </c>
      <c r="C906" s="217" t="s">
        <v>43</v>
      </c>
      <c r="D906" t="s">
        <v>1977</v>
      </c>
    </row>
    <row r="907" spans="1:4" x14ac:dyDescent="0.2">
      <c r="A907" t="str">
        <f t="shared" ca="1" si="12"/>
        <v>Налоговые поступления в федеральный бюджет</v>
      </c>
      <c r="B907" s="23" t="s">
        <v>638</v>
      </c>
      <c r="C907" s="217" t="s">
        <v>44</v>
      </c>
      <c r="D907" t="s">
        <v>1978</v>
      </c>
    </row>
    <row r="908" spans="1:4" x14ac:dyDescent="0.2">
      <c r="A908" t="str">
        <f t="shared" ca="1" si="12"/>
        <v>Налоговые поступления в территориальный бюджет</v>
      </c>
      <c r="B908" s="23" t="s">
        <v>639</v>
      </c>
      <c r="C908" s="217" t="s">
        <v>45</v>
      </c>
      <c r="D908" t="s">
        <v>1979</v>
      </c>
    </row>
    <row r="909" spans="1:4" x14ac:dyDescent="0.2">
      <c r="A909" t="str">
        <f t="shared" ca="1" si="12"/>
        <v>Бюджетное финансирование</v>
      </c>
      <c r="B909" s="23" t="s">
        <v>640</v>
      </c>
      <c r="C909" s="217" t="s">
        <v>46</v>
      </c>
      <c r="D909" t="s">
        <v>1980</v>
      </c>
    </row>
    <row r="910" spans="1:4" x14ac:dyDescent="0.2">
      <c r="A910" t="str">
        <f t="shared" ca="1" si="12"/>
        <v>Федеральный бюджет</v>
      </c>
      <c r="B910" s="11" t="s">
        <v>641</v>
      </c>
      <c r="C910" s="221" t="s">
        <v>47</v>
      </c>
      <c r="D910" t="s">
        <v>1981</v>
      </c>
    </row>
    <row r="911" spans="1:4" x14ac:dyDescent="0.2">
      <c r="A911" t="str">
        <f t="shared" ca="1" si="12"/>
        <v xml:space="preserve">    целевое финансирование</v>
      </c>
      <c r="B911" s="116" t="s">
        <v>642</v>
      </c>
      <c r="C911" s="217" t="s">
        <v>48</v>
      </c>
      <c r="D911" t="s">
        <v>1982</v>
      </c>
    </row>
    <row r="912" spans="1:4" x14ac:dyDescent="0.2">
      <c r="A912" t="str">
        <f t="shared" ca="1" si="12"/>
        <v xml:space="preserve">    кредиты выданные</v>
      </c>
      <c r="B912" s="116" t="s">
        <v>643</v>
      </c>
      <c r="C912" s="217" t="s">
        <v>49</v>
      </c>
      <c r="D912" t="s">
        <v>1983</v>
      </c>
    </row>
    <row r="913" spans="1:4" x14ac:dyDescent="0.2">
      <c r="A913" t="str">
        <f t="shared" ca="1" si="12"/>
        <v xml:space="preserve">    возврат кредитов</v>
      </c>
      <c r="B913" s="116" t="s">
        <v>817</v>
      </c>
      <c r="C913" s="217" t="s">
        <v>50</v>
      </c>
      <c r="D913" t="s">
        <v>1984</v>
      </c>
    </row>
    <row r="914" spans="1:4" x14ac:dyDescent="0.2">
      <c r="A914" t="str">
        <f t="shared" ca="1" si="12"/>
        <v xml:space="preserve">    проценты по выданным кредитам</v>
      </c>
      <c r="B914" s="116" t="s">
        <v>818</v>
      </c>
      <c r="C914" s="217" t="s">
        <v>51</v>
      </c>
      <c r="D914" t="s">
        <v>219</v>
      </c>
    </row>
    <row r="915" spans="1:4" x14ac:dyDescent="0.2">
      <c r="A915" t="str">
        <f t="shared" ca="1" si="12"/>
        <v>Территориальный бюджет</v>
      </c>
      <c r="B915" s="181" t="s">
        <v>819</v>
      </c>
      <c r="C915" s="221" t="s">
        <v>52</v>
      </c>
      <c r="D915" t="s">
        <v>220</v>
      </c>
    </row>
    <row r="916" spans="1:4" x14ac:dyDescent="0.2">
      <c r="A916" t="str">
        <f t="shared" ca="1" si="12"/>
        <v>Доходы бюджетов</v>
      </c>
      <c r="B916" s="208" t="s">
        <v>820</v>
      </c>
      <c r="C916" s="217" t="s">
        <v>38</v>
      </c>
      <c r="D916" t="s">
        <v>218</v>
      </c>
    </row>
    <row r="917" spans="1:4" x14ac:dyDescent="0.2">
      <c r="A917" t="str">
        <f t="shared" ca="1" si="12"/>
        <v>Суммарные денежные потоки федерального бюджета</v>
      </c>
      <c r="B917" s="208" t="s">
        <v>821</v>
      </c>
      <c r="C917" s="217" t="s">
        <v>53</v>
      </c>
      <c r="D917" t="s">
        <v>2158</v>
      </c>
    </row>
    <row r="918" spans="1:4" x14ac:dyDescent="0.2">
      <c r="A918" t="str">
        <f t="shared" ca="1" si="12"/>
        <v>Суммарные денежные потоки территориального бюджета</v>
      </c>
      <c r="B918" s="208" t="s">
        <v>822</v>
      </c>
      <c r="C918" s="217" t="s">
        <v>54</v>
      </c>
      <c r="D918" t="s">
        <v>2159</v>
      </c>
    </row>
    <row r="919" spans="1:4" x14ac:dyDescent="0.2">
      <c r="A919" t="str">
        <f t="shared" ca="1" si="12"/>
        <v>Годовая ставка дисконтирования:</v>
      </c>
      <c r="B919" s="208" t="s">
        <v>2303</v>
      </c>
      <c r="C919" s="217" t="s">
        <v>55</v>
      </c>
      <c r="D919" t="s">
        <v>2160</v>
      </c>
    </row>
    <row r="920" spans="1:4" x14ac:dyDescent="0.2">
      <c r="A920" t="str">
        <f t="shared" ca="1" si="12"/>
        <v xml:space="preserve">    ставка дисконтирования на расчетный период</v>
      </c>
      <c r="B920" s="208" t="s">
        <v>2304</v>
      </c>
      <c r="C920" t="s">
        <v>143</v>
      </c>
      <c r="D920" t="s">
        <v>2053</v>
      </c>
    </row>
    <row r="921" spans="1:4" x14ac:dyDescent="0.2">
      <c r="A921" t="str">
        <f t="shared" ca="1" si="12"/>
        <v xml:space="preserve">    коэффициент дисконта</v>
      </c>
      <c r="B921" s="208" t="s">
        <v>2305</v>
      </c>
      <c r="C921" t="s">
        <v>56</v>
      </c>
      <c r="D921" t="s">
        <v>239</v>
      </c>
    </row>
    <row r="922" spans="1:4" x14ac:dyDescent="0.2">
      <c r="A922" t="str">
        <f t="shared" ca="1" si="12"/>
        <v>Дисконтированные потоки федерального бюджета</v>
      </c>
      <c r="B922" s="208" t="s">
        <v>825</v>
      </c>
      <c r="C922" s="217" t="s">
        <v>57</v>
      </c>
      <c r="D922" t="s">
        <v>2161</v>
      </c>
    </row>
    <row r="923" spans="1:4" x14ac:dyDescent="0.2">
      <c r="A923" t="str">
        <f t="shared" ca="1" si="12"/>
        <v>Дисконтированные потоки территориального бюджета</v>
      </c>
      <c r="B923" s="208" t="s">
        <v>826</v>
      </c>
      <c r="C923" s="217" t="s">
        <v>58</v>
      </c>
      <c r="D923" t="s">
        <v>2162</v>
      </c>
    </row>
    <row r="924" spans="1:4" x14ac:dyDescent="0.2">
      <c r="A924" t="str">
        <f t="shared" ca="1" si="12"/>
        <v>NPV федерального бюджета</v>
      </c>
      <c r="B924" s="23" t="s">
        <v>25</v>
      </c>
      <c r="C924" s="217" t="s">
        <v>27</v>
      </c>
      <c r="D924" t="s">
        <v>2163</v>
      </c>
    </row>
    <row r="925" spans="1:4" x14ac:dyDescent="0.2">
      <c r="A925" t="str">
        <f t="shared" ca="1" si="12"/>
        <v>NPV территориального бюджета</v>
      </c>
      <c r="B925" s="298" t="s">
        <v>26</v>
      </c>
      <c r="C925" s="217" t="s">
        <v>28</v>
      </c>
      <c r="D925" t="s">
        <v>2164</v>
      </c>
    </row>
    <row r="926" spans="1:4" x14ac:dyDescent="0.2">
      <c r="A926" t="str">
        <f t="shared" ca="1" si="12"/>
        <v xml:space="preserve">         ОСНОВНЫЕ ПОКАЗАТЕЛИ ПРОЕКТА</v>
      </c>
      <c r="B926" s="16" t="s">
        <v>2429</v>
      </c>
      <c r="C926" t="s">
        <v>221</v>
      </c>
      <c r="D926" t="s">
        <v>2165</v>
      </c>
    </row>
    <row r="927" spans="1:4" x14ac:dyDescent="0.2">
      <c r="A927" t="str">
        <f t="shared" ca="1" si="12"/>
        <v>Выручка от реализации (без НДС)</v>
      </c>
      <c r="B927" t="s">
        <v>827</v>
      </c>
      <c r="C927" t="s">
        <v>222</v>
      </c>
      <c r="D927" t="s">
        <v>2166</v>
      </c>
    </row>
    <row r="928" spans="1:4" x14ac:dyDescent="0.2">
      <c r="A928" t="str">
        <f t="shared" ca="1" si="12"/>
        <v>Затраты на производство (без НДС)</v>
      </c>
      <c r="B928" t="s">
        <v>828</v>
      </c>
      <c r="C928" t="s">
        <v>223</v>
      </c>
      <c r="D928" t="s">
        <v>2167</v>
      </c>
    </row>
    <row r="929" spans="1:4" x14ac:dyDescent="0.2">
      <c r="A929" t="str">
        <f t="shared" ca="1" si="12"/>
        <v>Инвестции во внеоборотные активы</v>
      </c>
      <c r="B929" s="19" t="s">
        <v>829</v>
      </c>
      <c r="C929" t="s">
        <v>224</v>
      </c>
      <c r="D929" t="s">
        <v>2168</v>
      </c>
    </row>
    <row r="930" spans="1:4" x14ac:dyDescent="0.2">
      <c r="A930" t="str">
        <f t="shared" ca="1" si="12"/>
        <v>Инвестиции в оборотный капитал</v>
      </c>
      <c r="B930" s="19" t="s">
        <v>2375</v>
      </c>
      <c r="C930" t="s">
        <v>1410</v>
      </c>
      <c r="D930" t="s">
        <v>1467</v>
      </c>
    </row>
    <row r="931" spans="1:4" x14ac:dyDescent="0.2">
      <c r="A931" t="str">
        <f t="shared" ca="1" si="12"/>
        <v>Собственные средства и целевое финансирование</v>
      </c>
      <c r="B931" s="19" t="s">
        <v>830</v>
      </c>
      <c r="C931" t="s">
        <v>225</v>
      </c>
      <c r="D931" t="s">
        <v>2169</v>
      </c>
    </row>
    <row r="932" spans="1:4" x14ac:dyDescent="0.2">
      <c r="A932" t="str">
        <f t="shared" ca="1" si="12"/>
        <v>Привлечение кредитов</v>
      </c>
      <c r="B932" t="s">
        <v>831</v>
      </c>
      <c r="C932" s="217" t="s">
        <v>226</v>
      </c>
      <c r="D932" t="s">
        <v>2174</v>
      </c>
    </row>
    <row r="933" spans="1:4" x14ac:dyDescent="0.2">
      <c r="A933" t="str">
        <f t="shared" ca="1" si="12"/>
        <v>Погашение кредитов</v>
      </c>
      <c r="B933" t="s">
        <v>832</v>
      </c>
      <c r="C933" s="217" t="s">
        <v>227</v>
      </c>
      <c r="D933" t="s">
        <v>1871</v>
      </c>
    </row>
    <row r="934" spans="1:4" x14ac:dyDescent="0.2">
      <c r="A934" t="str">
        <f t="shared" ca="1" si="12"/>
        <v>Выплата процентов по кредитам</v>
      </c>
      <c r="B934" t="s">
        <v>2395</v>
      </c>
      <c r="C934" s="217" t="s">
        <v>1463</v>
      </c>
      <c r="D934" t="s">
        <v>71</v>
      </c>
    </row>
    <row r="935" spans="1:4" x14ac:dyDescent="0.2">
      <c r="A935" t="str">
        <f t="shared" ca="1" si="12"/>
        <v>Эффективность полных инвестиционных затрат</v>
      </c>
      <c r="B935" s="24" t="s">
        <v>833</v>
      </c>
      <c r="C935" s="217" t="s">
        <v>228</v>
      </c>
      <c r="D935" t="s">
        <v>2175</v>
      </c>
    </row>
    <row r="936" spans="1:4" x14ac:dyDescent="0.2">
      <c r="A936" t="str">
        <f t="shared" ca="1" si="12"/>
        <v>Эффективность для собственного капитала</v>
      </c>
      <c r="B936" s="23" t="s">
        <v>834</v>
      </c>
      <c r="C936" s="217" t="s">
        <v>1809</v>
      </c>
      <c r="D936" t="s">
        <v>2176</v>
      </c>
    </row>
    <row r="937" spans="1:4" x14ac:dyDescent="0.2">
      <c r="A937" t="str">
        <f t="shared" ca="1" si="12"/>
        <v>Эффективность для банка</v>
      </c>
      <c r="B937" s="23" t="s">
        <v>835</v>
      </c>
      <c r="C937" s="217" t="s">
        <v>229</v>
      </c>
      <c r="D937" t="s">
        <v>2177</v>
      </c>
    </row>
    <row r="938" spans="1:4" x14ac:dyDescent="0.2">
      <c r="A938" t="str">
        <f t="shared" ca="1" si="12"/>
        <v xml:space="preserve">         АНАЛИЗ ЧУВСТВИТЕЛЬНОСТИ</v>
      </c>
      <c r="B938" s="16" t="s">
        <v>1377</v>
      </c>
      <c r="C938" t="s">
        <v>230</v>
      </c>
      <c r="D938" t="s">
        <v>701</v>
      </c>
    </row>
    <row r="939" spans="1:4" x14ac:dyDescent="0.2">
      <c r="A939" t="str">
        <f t="shared" ca="1" si="12"/>
        <v>Портфель проектов компании</v>
      </c>
      <c r="B939" s="16" t="s">
        <v>2589</v>
      </c>
      <c r="C939" t="s">
        <v>231</v>
      </c>
      <c r="D939" t="s">
        <v>2178</v>
      </c>
    </row>
    <row r="940" spans="1:4" x14ac:dyDescent="0.2">
      <c r="A940" t="str">
        <f t="shared" ca="1" si="12"/>
        <v xml:space="preserve">         СОСТАВ ПОРТФЕЛЯ</v>
      </c>
      <c r="B940" s="16" t="s">
        <v>2602</v>
      </c>
      <c r="C940" s="16" t="s">
        <v>232</v>
      </c>
      <c r="D940" t="s">
        <v>702</v>
      </c>
    </row>
    <row r="941" spans="1:4" x14ac:dyDescent="0.2">
      <c r="A941" t="str">
        <f t="shared" ca="1" si="12"/>
        <v>Название компании:</v>
      </c>
      <c r="B941" s="52" t="s">
        <v>644</v>
      </c>
      <c r="C941" t="s">
        <v>233</v>
      </c>
      <c r="D941" t="s">
        <v>2179</v>
      </c>
    </row>
    <row r="942" spans="1:4" x14ac:dyDescent="0.2">
      <c r="A942" t="str">
        <f t="shared" ca="1" si="12"/>
        <v>Компания без названия</v>
      </c>
      <c r="B942" s="52" t="s">
        <v>645</v>
      </c>
      <c r="C942" t="s">
        <v>234</v>
      </c>
      <c r="D942" t="s">
        <v>2180</v>
      </c>
    </row>
    <row r="943" spans="1:4" x14ac:dyDescent="0.2">
      <c r="A943" t="str">
        <f t="shared" ca="1" si="12"/>
        <v>Список проектов</v>
      </c>
      <c r="B943" s="52" t="s">
        <v>2564</v>
      </c>
      <c r="C943" t="s">
        <v>2565</v>
      </c>
      <c r="D943" t="s">
        <v>2181</v>
      </c>
    </row>
    <row r="944" spans="1:4" x14ac:dyDescent="0.2">
      <c r="A944" t="str">
        <f t="shared" ca="1" si="12"/>
        <v>Учитывать?</v>
      </c>
      <c r="B944" s="16" t="s">
        <v>2590</v>
      </c>
      <c r="C944" t="s">
        <v>235</v>
      </c>
      <c r="D944" t="s">
        <v>2182</v>
      </c>
    </row>
    <row r="945" spans="1:4" x14ac:dyDescent="0.2">
      <c r="A945" t="str">
        <f t="shared" ca="1" si="12"/>
        <v>Источник</v>
      </c>
      <c r="B945" s="16" t="s">
        <v>2601</v>
      </c>
      <c r="C945" t="s">
        <v>236</v>
      </c>
      <c r="D945" t="s">
        <v>2183</v>
      </c>
    </row>
    <row r="946" spans="1:4" x14ac:dyDescent="0.2">
      <c r="A946" t="str">
        <f t="shared" ca="1" si="12"/>
        <v>Последнее обновление проектов из внешних книг:</v>
      </c>
      <c r="B946" s="222" t="s">
        <v>2591</v>
      </c>
      <c r="C946" t="s">
        <v>237</v>
      </c>
      <c r="D946" t="s">
        <v>2184</v>
      </c>
    </row>
    <row r="947" spans="1:4" x14ac:dyDescent="0.2">
      <c r="A947" t="str">
        <f t="shared" ca="1" si="12"/>
        <v>Параметры бюджета портфеля проектов</v>
      </c>
      <c r="B947" s="222" t="s">
        <v>2592</v>
      </c>
      <c r="C947" t="s">
        <v>238</v>
      </c>
      <c r="D947" t="s">
        <v>2185</v>
      </c>
    </row>
    <row r="948" spans="1:4" x14ac:dyDescent="0.2">
      <c r="A948" t="str">
        <f t="shared" ca="1" si="12"/>
        <v>Дата начала первого периода</v>
      </c>
      <c r="B948" s="222" t="s">
        <v>2593</v>
      </c>
      <c r="C948" t="s">
        <v>2003</v>
      </c>
      <c r="D948" t="s">
        <v>2186</v>
      </c>
    </row>
    <row r="949" spans="1:4" x14ac:dyDescent="0.2">
      <c r="A949" t="str">
        <f t="shared" ca="1" si="12"/>
        <v>Длительность</v>
      </c>
      <c r="B949" s="222" t="s">
        <v>2594</v>
      </c>
      <c r="C949" t="s">
        <v>2004</v>
      </c>
      <c r="D949" t="s">
        <v>2187</v>
      </c>
    </row>
    <row r="950" spans="1:4" x14ac:dyDescent="0.2">
      <c r="A950" t="str">
        <f t="shared" ca="1" si="12"/>
        <v>Шаг планирования</v>
      </c>
      <c r="B950" s="222" t="s">
        <v>2112</v>
      </c>
      <c r="C950" t="s">
        <v>2499</v>
      </c>
      <c r="D950" t="s">
        <v>2188</v>
      </c>
    </row>
    <row r="951" spans="1:4" x14ac:dyDescent="0.2">
      <c r="A951" t="str">
        <f t="shared" ca="1" si="12"/>
        <v>Валюта для отображения результатов</v>
      </c>
      <c r="B951" s="222" t="s">
        <v>2116</v>
      </c>
      <c r="C951" t="s">
        <v>2503</v>
      </c>
      <c r="D951" t="s">
        <v>801</v>
      </c>
    </row>
    <row r="952" spans="1:4" x14ac:dyDescent="0.2">
      <c r="A952" t="str">
        <f t="shared" ca="1" si="12"/>
        <v>Периоды осуществления проектов</v>
      </c>
      <c r="B952" s="222" t="s">
        <v>2595</v>
      </c>
      <c r="C952" t="s">
        <v>2005</v>
      </c>
      <c r="D952" t="s">
        <v>2189</v>
      </c>
    </row>
    <row r="953" spans="1:4" x14ac:dyDescent="0.2">
      <c r="A953" t="str">
        <f t="shared" ca="1" si="12"/>
        <v>с периода</v>
      </c>
      <c r="B953" s="222" t="s">
        <v>2596</v>
      </c>
      <c r="C953" t="s">
        <v>2006</v>
      </c>
      <c r="D953" t="s">
        <v>2190</v>
      </c>
    </row>
    <row r="954" spans="1:4" x14ac:dyDescent="0.2">
      <c r="A954" t="str">
        <f t="shared" ca="1" si="12"/>
        <v>по период</v>
      </c>
      <c r="B954" s="16" t="s">
        <v>2597</v>
      </c>
      <c r="C954" t="s">
        <v>2007</v>
      </c>
      <c r="D954" t="s">
        <v>2191</v>
      </c>
    </row>
    <row r="955" spans="1:4" x14ac:dyDescent="0.2">
      <c r="A955" t="str">
        <f t="shared" ca="1" si="12"/>
        <v>Год начала бюджета</v>
      </c>
      <c r="B955" t="s">
        <v>2598</v>
      </c>
      <c r="C955" t="s">
        <v>2008</v>
      </c>
      <c r="D955" t="s">
        <v>2192</v>
      </c>
    </row>
    <row r="956" spans="1:4" x14ac:dyDescent="0.2">
      <c r="A956" t="str">
        <f t="shared" ca="1" si="12"/>
        <v>Месяц начала бюджета</v>
      </c>
      <c r="B956" t="s">
        <v>2599</v>
      </c>
      <c r="C956" t="s">
        <v>240</v>
      </c>
      <c r="D956" t="s">
        <v>2193</v>
      </c>
    </row>
    <row r="957" spans="1:4" x14ac:dyDescent="0.2">
      <c r="A957" t="str">
        <f t="shared" ca="1" si="12"/>
        <v>Номера периодов</v>
      </c>
      <c r="B957" t="s">
        <v>2125</v>
      </c>
      <c r="C957" t="s">
        <v>740</v>
      </c>
      <c r="D957" t="s">
        <v>2194</v>
      </c>
    </row>
    <row r="958" spans="1:4" x14ac:dyDescent="0.2">
      <c r="A958" t="str">
        <f t="shared" ca="1" si="12"/>
        <v>Наименования периодов без учета дат</v>
      </c>
      <c r="B958" t="s">
        <v>2126</v>
      </c>
      <c r="C958" t="s">
        <v>741</v>
      </c>
      <c r="D958" t="s">
        <v>256</v>
      </c>
    </row>
    <row r="959" spans="1:4" x14ac:dyDescent="0.2">
      <c r="A959" t="str">
        <f t="shared" ca="1" si="12"/>
        <v>Дата начала периода</v>
      </c>
      <c r="B959" t="s">
        <v>2127</v>
      </c>
      <c r="C959" t="s">
        <v>742</v>
      </c>
      <c r="D959" t="s">
        <v>257</v>
      </c>
    </row>
    <row r="960" spans="1:4" x14ac:dyDescent="0.2">
      <c r="A960" t="str">
        <f t="shared" ca="1" si="12"/>
        <v>Наименования периодов с учетом дат</v>
      </c>
      <c r="B960" t="s">
        <v>2128</v>
      </c>
      <c r="C960" t="s">
        <v>743</v>
      </c>
      <c r="D960" t="s">
        <v>258</v>
      </c>
    </row>
    <row r="961" spans="1:4" x14ac:dyDescent="0.2">
      <c r="A961" t="str">
        <f t="shared" ca="1" si="12"/>
        <v xml:space="preserve">         ПЕРЕСЧЕТ НАЛОГА НА ПРИБЫЛЬ</v>
      </c>
      <c r="B961" t="s">
        <v>685</v>
      </c>
      <c r="C961" t="s">
        <v>241</v>
      </c>
      <c r="D961" t="s">
        <v>703</v>
      </c>
    </row>
    <row r="962" spans="1:4" x14ac:dyDescent="0.2">
      <c r="A962" t="str">
        <f t="shared" ca="1" si="12"/>
        <v>Пересчитать налог</v>
      </c>
      <c r="B962" s="16" t="s">
        <v>785</v>
      </c>
      <c r="C962" t="s">
        <v>242</v>
      </c>
      <c r="D962" t="s">
        <v>259</v>
      </c>
    </row>
    <row r="963" spans="1:4" x14ac:dyDescent="0.2">
      <c r="A963" t="str">
        <f t="shared" ca="1" si="12"/>
        <v>Не пересчитывать налог</v>
      </c>
      <c r="B963" s="16" t="s">
        <v>2433</v>
      </c>
      <c r="C963" t="s">
        <v>243</v>
      </c>
      <c r="D963" t="s">
        <v>260</v>
      </c>
    </row>
    <row r="964" spans="1:4" x14ac:dyDescent="0.2">
      <c r="A964" t="str">
        <f t="shared" ca="1" si="12"/>
        <v>График: Суммарная выручка проектов</v>
      </c>
      <c r="B964" t="s">
        <v>1924</v>
      </c>
      <c r="C964" t="s">
        <v>1925</v>
      </c>
      <c r="D964" t="s">
        <v>261</v>
      </c>
    </row>
    <row r="965" spans="1:4" x14ac:dyDescent="0.2">
      <c r="A965" t="str">
        <f t="shared" ca="1" si="12"/>
        <v>График: Прибыль проектов</v>
      </c>
      <c r="B965" t="s">
        <v>2604</v>
      </c>
      <c r="C965" t="s">
        <v>244</v>
      </c>
      <c r="D965" t="s">
        <v>262</v>
      </c>
    </row>
    <row r="966" spans="1:4" x14ac:dyDescent="0.2">
      <c r="A966" t="str">
        <f t="shared" ca="1" si="12"/>
        <v>Налог на прибыль по консолидированной отчетности</v>
      </c>
      <c r="B966" t="s">
        <v>2600</v>
      </c>
      <c r="C966" t="s">
        <v>245</v>
      </c>
      <c r="D966" t="s">
        <v>263</v>
      </c>
    </row>
    <row r="967" spans="1:4" x14ac:dyDescent="0.2">
      <c r="A967" t="str">
        <f t="shared" ref="A967:A1017" ca="1" si="13">OFFSET(A967,0,LanguageID)</f>
        <v>Ставка налога на прибыль</v>
      </c>
      <c r="B967" t="s">
        <v>2603</v>
      </c>
      <c r="C967" t="s">
        <v>246</v>
      </c>
      <c r="D967" t="s">
        <v>264</v>
      </c>
    </row>
    <row r="968" spans="1:4" x14ac:dyDescent="0.2">
      <c r="A968" t="str">
        <f t="shared" ca="1" si="13"/>
        <v xml:space="preserve">         СВОДНЫЙ ОТЧЕТ ОБ ИНВЕСТИЦИЯХ В ПРОЕКТ</v>
      </c>
      <c r="B968" t="s">
        <v>2579</v>
      </c>
      <c r="C968" s="16" t="s">
        <v>1865</v>
      </c>
      <c r="D968" t="s">
        <v>684</v>
      </c>
    </row>
    <row r="969" spans="1:4" x14ac:dyDescent="0.2">
      <c r="A969" t="str">
        <f t="shared" ca="1" si="13"/>
        <v xml:space="preserve">         СВОДНЫЙ ОТЧЕТ О ПРИБЫЛЯХ И УБЫТКАХ</v>
      </c>
      <c r="B969" t="s">
        <v>2612</v>
      </c>
      <c r="C969" s="16" t="s">
        <v>247</v>
      </c>
      <c r="D969" t="s">
        <v>704</v>
      </c>
    </row>
    <row r="970" spans="1:4" x14ac:dyDescent="0.2">
      <c r="A970" t="str">
        <f t="shared" ca="1" si="13"/>
        <v xml:space="preserve">         СВОДНЫЙ ОТЧЕТ О ДВИЖЕНИИ ДЕНЕЖНЫХ СРЕДСТВ</v>
      </c>
      <c r="B970" t="s">
        <v>2613</v>
      </c>
      <c r="C970" s="16" t="s">
        <v>248</v>
      </c>
      <c r="D970" t="s">
        <v>705</v>
      </c>
    </row>
    <row r="971" spans="1:4" x14ac:dyDescent="0.2">
      <c r="A971" t="str">
        <f t="shared" ca="1" si="13"/>
        <v xml:space="preserve">         СВОДНЫЙ БАЛАНС</v>
      </c>
      <c r="B971" t="s">
        <v>2614</v>
      </c>
      <c r="C971" s="16" t="s">
        <v>2170</v>
      </c>
      <c r="D971" t="s">
        <v>706</v>
      </c>
    </row>
    <row r="972" spans="1:4" x14ac:dyDescent="0.2">
      <c r="A972" t="str">
        <f t="shared" ca="1" si="13"/>
        <v>График: Активы проектов</v>
      </c>
      <c r="B972" t="s">
        <v>2615</v>
      </c>
      <c r="C972" s="217" t="s">
        <v>2171</v>
      </c>
      <c r="D972" t="s">
        <v>265</v>
      </c>
    </row>
    <row r="973" spans="1:4" x14ac:dyDescent="0.2">
      <c r="A973" t="str">
        <f t="shared" ca="1" si="13"/>
        <v>График: Пассивы проектов</v>
      </c>
      <c r="B973" t="s">
        <v>2616</v>
      </c>
      <c r="C973" s="217" t="s">
        <v>249</v>
      </c>
      <c r="D973" t="s">
        <v>266</v>
      </c>
    </row>
    <row r="974" spans="1:4" x14ac:dyDescent="0.2">
      <c r="A974" t="str">
        <f t="shared" ca="1" si="13"/>
        <v xml:space="preserve">         СВОДНЫЕ ПОКАЗАТЕЛИ ФИНАНСОВОЙ СОСТОЯТЕЛЬНОСТИ</v>
      </c>
      <c r="B974" t="s">
        <v>2617</v>
      </c>
      <c r="C974" s="16" t="s">
        <v>250</v>
      </c>
      <c r="D974" t="s">
        <v>707</v>
      </c>
    </row>
    <row r="975" spans="1:4" x14ac:dyDescent="0.2">
      <c r="A975" t="str">
        <f t="shared" ca="1" si="13"/>
        <v>График: Окупаемость проектов (для полных инвестиционных затрат)</v>
      </c>
      <c r="B975" s="74" t="s">
        <v>2618</v>
      </c>
      <c r="C975" s="205" t="s">
        <v>251</v>
      </c>
      <c r="D975" t="s">
        <v>267</v>
      </c>
    </row>
    <row r="976" spans="1:4" x14ac:dyDescent="0.2">
      <c r="A976" t="str">
        <f t="shared" ca="1" si="13"/>
        <v>График: Окупаемость проектов (для собственного капитала)</v>
      </c>
      <c r="B976" s="74" t="s">
        <v>2619</v>
      </c>
      <c r="C976" s="205" t="s">
        <v>252</v>
      </c>
      <c r="D976" t="s">
        <v>268</v>
      </c>
    </row>
    <row r="977" spans="1:4" x14ac:dyDescent="0.2">
      <c r="A977" t="str">
        <f t="shared" ca="1" si="13"/>
        <v>График: Окупаемость проектов (для банка)</v>
      </c>
      <c r="B977" s="74" t="s">
        <v>2484</v>
      </c>
      <c r="C977" s="205" t="s">
        <v>253</v>
      </c>
      <c r="D977" t="s">
        <v>269</v>
      </c>
    </row>
    <row r="978" spans="1:4" x14ac:dyDescent="0.2">
      <c r="A978" t="str">
        <f t="shared" ca="1" si="13"/>
        <v xml:space="preserve">         ОСНОВНЫЕ ПОКАЗАТЕЛИ ПРОЕКТОВ</v>
      </c>
      <c r="B978" t="s">
        <v>2485</v>
      </c>
      <c r="C978" s="205" t="s">
        <v>254</v>
      </c>
      <c r="D978" t="s">
        <v>708</v>
      </c>
    </row>
    <row r="979" spans="1:4" x14ac:dyDescent="0.2">
      <c r="A979" t="str">
        <f t="shared" ca="1" si="13"/>
        <v>Изменяемый параметр</v>
      </c>
      <c r="B979" t="s">
        <v>2623</v>
      </c>
      <c r="C979" s="205" t="s">
        <v>2438</v>
      </c>
      <c r="D979" t="s">
        <v>270</v>
      </c>
    </row>
    <row r="980" spans="1:4" x14ac:dyDescent="0.2">
      <c r="A980" t="str">
        <f t="shared" ca="1" si="13"/>
        <v>В интервале</v>
      </c>
      <c r="B980" t="s">
        <v>2625</v>
      </c>
      <c r="C980" s="205" t="s">
        <v>2439</v>
      </c>
      <c r="D980" t="s">
        <v>271</v>
      </c>
    </row>
    <row r="981" spans="1:4" x14ac:dyDescent="0.2">
      <c r="A981" t="str">
        <f t="shared" ca="1" si="13"/>
        <v xml:space="preserve">от: </v>
      </c>
      <c r="B981" t="s">
        <v>2626</v>
      </c>
      <c r="C981" s="205" t="s">
        <v>2440</v>
      </c>
      <c r="D981" t="s">
        <v>272</v>
      </c>
    </row>
    <row r="982" spans="1:4" x14ac:dyDescent="0.2">
      <c r="A982" t="str">
        <f t="shared" ca="1" si="13"/>
        <v xml:space="preserve">с шагом: </v>
      </c>
      <c r="B982" t="s">
        <v>2627</v>
      </c>
      <c r="C982" s="205" t="s">
        <v>2441</v>
      </c>
      <c r="D982" t="s">
        <v>273</v>
      </c>
    </row>
    <row r="983" spans="1:4" x14ac:dyDescent="0.2">
      <c r="A983" t="str">
        <f t="shared" ca="1" si="13"/>
        <v>Итоговый показатель</v>
      </c>
      <c r="B983" t="s">
        <v>2624</v>
      </c>
      <c r="C983" s="205" t="s">
        <v>2442</v>
      </c>
      <c r="D983" t="s">
        <v>274</v>
      </c>
    </row>
    <row r="984" spans="1:4" x14ac:dyDescent="0.2">
      <c r="A984" t="str">
        <f t="shared" ca="1" si="13"/>
        <v>Таблица рассчитанных значений</v>
      </c>
      <c r="B984" t="s">
        <v>2628</v>
      </c>
      <c r="C984" s="205" t="s">
        <v>2443</v>
      </c>
      <c r="D984" t="s">
        <v>275</v>
      </c>
    </row>
    <row r="985" spans="1:4" x14ac:dyDescent="0.2">
      <c r="A985" t="str">
        <f t="shared" ca="1" si="13"/>
        <v>Значение</v>
      </c>
      <c r="B985" t="s">
        <v>2629</v>
      </c>
      <c r="C985" s="205" t="s">
        <v>236</v>
      </c>
      <c r="D985" t="s">
        <v>276</v>
      </c>
    </row>
    <row r="986" spans="1:4" x14ac:dyDescent="0.2">
      <c r="A986" t="str">
        <f t="shared" ca="1" si="13"/>
        <v>Результат</v>
      </c>
      <c r="B986" t="s">
        <v>2630</v>
      </c>
      <c r="C986" s="205" t="s">
        <v>2444</v>
      </c>
      <c r="D986" t="s">
        <v>277</v>
      </c>
    </row>
    <row r="987" spans="1:4" x14ac:dyDescent="0.2">
      <c r="A987" t="str">
        <f t="shared" ca="1" si="13"/>
        <v>График: Анализ чувствительности</v>
      </c>
      <c r="B987" t="s">
        <v>2563</v>
      </c>
      <c r="C987" s="205" t="s">
        <v>2445</v>
      </c>
      <c r="D987" t="s">
        <v>278</v>
      </c>
    </row>
    <row r="988" spans="1:4" x14ac:dyDescent="0.2">
      <c r="A988" t="str">
        <f t="shared" ca="1" si="13"/>
        <v>Параметры анализа чувствительности</v>
      </c>
      <c r="B988" t="s">
        <v>2631</v>
      </c>
      <c r="C988" s="205" t="s">
        <v>2446</v>
      </c>
      <c r="D988" t="s">
        <v>279</v>
      </c>
    </row>
    <row r="989" spans="1:4" x14ac:dyDescent="0.2">
      <c r="A989" t="str">
        <f t="shared" ca="1" si="13"/>
        <v>Объем реализации (в единицах продукции)</v>
      </c>
      <c r="B989" t="s">
        <v>762</v>
      </c>
      <c r="C989" s="205" t="s">
        <v>2447</v>
      </c>
      <c r="D989" t="s">
        <v>280</v>
      </c>
    </row>
    <row r="990" spans="1:4" x14ac:dyDescent="0.2">
      <c r="A990" t="str">
        <f t="shared" ca="1" si="13"/>
        <v>Цена продажи</v>
      </c>
      <c r="B990" t="s">
        <v>2632</v>
      </c>
      <c r="C990" s="205" t="s">
        <v>2448</v>
      </c>
      <c r="D990" t="s">
        <v>281</v>
      </c>
    </row>
    <row r="991" spans="1:4" x14ac:dyDescent="0.2">
      <c r="A991" t="str">
        <f t="shared" ca="1" si="13"/>
        <v>Общая величина инвестиций</v>
      </c>
      <c r="B991" t="s">
        <v>303</v>
      </c>
      <c r="C991" s="205" t="s">
        <v>304</v>
      </c>
      <c r="D991" t="s">
        <v>282</v>
      </c>
    </row>
    <row r="992" spans="1:4" x14ac:dyDescent="0.2">
      <c r="A992" t="str">
        <f t="shared" ca="1" si="13"/>
        <v>Ставка дисконтирования</v>
      </c>
      <c r="B992" t="s">
        <v>2633</v>
      </c>
      <c r="C992" s="205" t="s">
        <v>55</v>
      </c>
      <c r="D992" t="s">
        <v>2160</v>
      </c>
    </row>
    <row r="993" spans="1:4" x14ac:dyDescent="0.2">
      <c r="A993" t="str">
        <f t="shared" ca="1" si="13"/>
        <v>&lt;конец списка изменяемых параметров&gt;</v>
      </c>
      <c r="B993" t="s">
        <v>2634</v>
      </c>
      <c r="C993" s="205" t="s">
        <v>2449</v>
      </c>
      <c r="D993" t="s">
        <v>283</v>
      </c>
    </row>
    <row r="994" spans="1:4" x14ac:dyDescent="0.2">
      <c r="A994" t="str">
        <f t="shared" ca="1" si="13"/>
        <v>NPV для полных инвестиционных затрат</v>
      </c>
      <c r="B994" t="s">
        <v>2635</v>
      </c>
      <c r="C994" s="205" t="s">
        <v>2450</v>
      </c>
      <c r="D994" t="s">
        <v>284</v>
      </c>
    </row>
    <row r="995" spans="1:4" x14ac:dyDescent="0.2">
      <c r="A995" t="str">
        <f t="shared" ca="1" si="13"/>
        <v>NPV для собственного капитала</v>
      </c>
      <c r="B995" t="s">
        <v>2636</v>
      </c>
      <c r="C995" s="205" t="s">
        <v>2451</v>
      </c>
      <c r="D995" t="s">
        <v>285</v>
      </c>
    </row>
    <row r="996" spans="1:4" x14ac:dyDescent="0.2">
      <c r="A996" t="str">
        <f t="shared" ca="1" si="13"/>
        <v>NPV для банка</v>
      </c>
      <c r="B996" t="s">
        <v>2637</v>
      </c>
      <c r="C996" s="205" t="s">
        <v>2452</v>
      </c>
      <c r="D996" t="s">
        <v>286</v>
      </c>
    </row>
    <row r="997" spans="1:4" x14ac:dyDescent="0.2">
      <c r="A997" t="str">
        <f t="shared" ca="1" si="13"/>
        <v>Суммарная чистая прибыль</v>
      </c>
      <c r="B997" t="s">
        <v>2553</v>
      </c>
      <c r="C997" s="205" t="s">
        <v>2453</v>
      </c>
      <c r="D997" t="s">
        <v>287</v>
      </c>
    </row>
    <row r="998" spans="1:4" x14ac:dyDescent="0.2">
      <c r="A998" t="str">
        <f t="shared" ca="1" si="13"/>
        <v>&lt;конец списка анализируемых результатов&gt;</v>
      </c>
      <c r="B998" t="s">
        <v>2554</v>
      </c>
      <c r="C998" s="205" t="s">
        <v>2449</v>
      </c>
      <c r="D998" t="s">
        <v>288</v>
      </c>
    </row>
    <row r="999" spans="1:4" x14ac:dyDescent="0.2">
      <c r="A999" t="str">
        <f t="shared" ca="1" si="13"/>
        <v>Область</v>
      </c>
      <c r="B999" t="s">
        <v>2555</v>
      </c>
      <c r="C999" s="205" t="s">
        <v>2439</v>
      </c>
      <c r="D999" t="s">
        <v>289</v>
      </c>
    </row>
    <row r="1000" spans="1:4" x14ac:dyDescent="0.2">
      <c r="A1000" t="str">
        <f t="shared" ca="1" si="13"/>
        <v>от планового значения</v>
      </c>
      <c r="B1000" t="s">
        <v>2557</v>
      </c>
      <c r="C1000" s="205" t="s">
        <v>2454</v>
      </c>
      <c r="D1000" t="s">
        <v>290</v>
      </c>
    </row>
    <row r="1001" spans="1:4" x14ac:dyDescent="0.2">
      <c r="A1001" t="str">
        <f t="shared" ca="1" si="13"/>
        <v>Начисленные налоги специальных режимов обложения</v>
      </c>
      <c r="B1001" t="s">
        <v>784</v>
      </c>
      <c r="C1001" s="205" t="s">
        <v>2455</v>
      </c>
      <c r="D1001" s="48" t="s">
        <v>2643</v>
      </c>
    </row>
    <row r="1002" spans="1:4" x14ac:dyDescent="0.2">
      <c r="A1002" t="str">
        <f t="shared" ca="1" si="13"/>
        <v>Учитывать</v>
      </c>
      <c r="B1002" t="s">
        <v>1238</v>
      </c>
      <c r="C1002" s="205" t="s">
        <v>2456</v>
      </c>
      <c r="D1002" t="s">
        <v>291</v>
      </c>
    </row>
    <row r="1003" spans="1:4" x14ac:dyDescent="0.2">
      <c r="A1003" t="str">
        <f t="shared" ca="1" si="13"/>
        <v>Нет</v>
      </c>
      <c r="B1003" t="s">
        <v>2153</v>
      </c>
      <c r="C1003" s="205" t="s">
        <v>2457</v>
      </c>
      <c r="D1003" t="s">
        <v>976</v>
      </c>
    </row>
    <row r="1004" spans="1:4" x14ac:dyDescent="0.2">
      <c r="A1004" t="str">
        <f t="shared" ca="1" si="13"/>
        <v>Вычитать</v>
      </c>
      <c r="B1004" t="s">
        <v>1237</v>
      </c>
      <c r="C1004" s="205" t="s">
        <v>2458</v>
      </c>
      <c r="D1004" s="48" t="s">
        <v>2644</v>
      </c>
    </row>
    <row r="1005" spans="1:4" x14ac:dyDescent="0.2">
      <c r="A1005" t="str">
        <f t="shared" ca="1" si="13"/>
        <v>Баланс не сходится!</v>
      </c>
      <c r="B1005" t="s">
        <v>2459</v>
      </c>
      <c r="C1005" s="205" t="s">
        <v>2460</v>
      </c>
      <c r="D1005" t="s">
        <v>292</v>
      </c>
    </row>
    <row r="1006" spans="1:4" x14ac:dyDescent="0.2">
      <c r="A1006" t="str">
        <f t="shared" ca="1" si="13"/>
        <v>График: Движение денег по кредитам</v>
      </c>
      <c r="B1006" t="s">
        <v>1912</v>
      </c>
      <c r="C1006" s="205" t="s">
        <v>1913</v>
      </c>
      <c r="D1006" s="48" t="s">
        <v>2645</v>
      </c>
    </row>
    <row r="1007" spans="1:4" x14ac:dyDescent="0.2">
      <c r="A1007" t="str">
        <f t="shared" ca="1" si="13"/>
        <v>График: Остаток задолженности по кредитам</v>
      </c>
      <c r="B1007" t="s">
        <v>1914</v>
      </c>
      <c r="C1007" s="205" t="s">
        <v>1915</v>
      </c>
      <c r="D1007" s="48" t="s">
        <v>2646</v>
      </c>
    </row>
    <row r="1008" spans="1:4" x14ac:dyDescent="0.2">
      <c r="A1008" t="str">
        <f t="shared" ca="1" si="13"/>
        <v>График: Поступления от продаж</v>
      </c>
      <c r="B1008" t="s">
        <v>1916</v>
      </c>
      <c r="C1008" s="205" t="s">
        <v>1917</v>
      </c>
      <c r="D1008" s="48" t="s">
        <v>2647</v>
      </c>
    </row>
    <row r="1009" spans="1:4" x14ac:dyDescent="0.2">
      <c r="A1009" t="str">
        <f t="shared" ca="1" si="13"/>
        <v>График: EBITDA</v>
      </c>
      <c r="B1009" t="s">
        <v>1922</v>
      </c>
      <c r="C1009" s="205" t="s">
        <v>1923</v>
      </c>
      <c r="D1009" t="s">
        <v>293</v>
      </c>
    </row>
    <row r="1010" spans="1:4" x14ac:dyDescent="0.2">
      <c r="A1010" t="str">
        <f t="shared" ca="1" si="13"/>
        <v>Ранее осуществленные инвестиции</v>
      </c>
      <c r="B1010" t="s">
        <v>2309</v>
      </c>
      <c r="C1010" t="s">
        <v>690</v>
      </c>
      <c r="D1010" t="s">
        <v>2059</v>
      </c>
    </row>
    <row r="1011" spans="1:4" x14ac:dyDescent="0.2">
      <c r="A1011" t="str">
        <f t="shared" ca="1" si="13"/>
        <v>Затраты на строительство объекта</v>
      </c>
      <c r="B1011" t="s">
        <v>305</v>
      </c>
      <c r="C1011" s="205" t="s">
        <v>306</v>
      </c>
      <c r="D1011" t="s">
        <v>308</v>
      </c>
    </row>
    <row r="1012" spans="1:4" x14ac:dyDescent="0.2">
      <c r="A1012" t="str">
        <f t="shared" ca="1" si="13"/>
        <v>Доходы от продажи площадей</v>
      </c>
      <c r="B1012" t="s">
        <v>2471</v>
      </c>
      <c r="C1012" s="205" t="s">
        <v>312</v>
      </c>
    </row>
    <row r="1013" spans="1:4" x14ac:dyDescent="0.2">
      <c r="A1013" t="str">
        <f t="shared" ca="1" si="13"/>
        <v>Доходы от аренды</v>
      </c>
      <c r="B1013" t="s">
        <v>2479</v>
      </c>
      <c r="C1013" t="s">
        <v>1161</v>
      </c>
      <c r="D1013" t="s">
        <v>1120</v>
      </c>
    </row>
    <row r="1014" spans="1:4" x14ac:dyDescent="0.2">
      <c r="A1014" t="str">
        <f t="shared" ca="1" si="13"/>
        <v>Доходы от продажи дольщикам</v>
      </c>
      <c r="B1014" t="s">
        <v>310</v>
      </c>
      <c r="C1014" s="205" t="s">
        <v>311</v>
      </c>
    </row>
    <row r="1015" spans="1:4" x14ac:dyDescent="0.2">
      <c r="A1015" t="str">
        <f t="shared" ca="1" si="13"/>
        <v>Не обнулять баланс проекта после его окончания</v>
      </c>
      <c r="B1015" t="s">
        <v>871</v>
      </c>
      <c r="C1015" s="205" t="s">
        <v>872</v>
      </c>
      <c r="D1015" s="205" t="s">
        <v>872</v>
      </c>
    </row>
    <row r="1016" spans="1:4" x14ac:dyDescent="0.2">
      <c r="A1016" t="str">
        <f t="shared" ca="1" si="13"/>
        <v>Да, не обнулять</v>
      </c>
      <c r="B1016" t="s">
        <v>873</v>
      </c>
      <c r="C1016" s="205" t="s">
        <v>875</v>
      </c>
      <c r="D1016" s="205" t="s">
        <v>875</v>
      </c>
    </row>
    <row r="1017" spans="1:4" x14ac:dyDescent="0.2">
      <c r="A1017" t="str">
        <f t="shared" ca="1" si="13"/>
        <v>Нет, обнулять</v>
      </c>
      <c r="B1017" t="s">
        <v>874</v>
      </c>
      <c r="C1017" s="205" t="s">
        <v>876</v>
      </c>
      <c r="D1017" s="205" t="s">
        <v>876</v>
      </c>
    </row>
  </sheetData>
  <phoneticPr fontId="11" type="noConversion"/>
  <pageMargins left="0.7" right="0.7" top="0.75" bottom="0.75" header="0.3" footer="0.3"/>
  <pageSetup paperSize="9" orientation="portrait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231</vt:i4>
      </vt:variant>
    </vt:vector>
  </HeadingPairs>
  <TitlesOfParts>
    <vt:vector size="236" baseType="lpstr">
      <vt:lpstr>Исходные</vt:lpstr>
      <vt:lpstr>Проект</vt:lpstr>
      <vt:lpstr>Портфель</vt:lpstr>
      <vt:lpstr>Отчет</vt:lpstr>
      <vt:lpstr>Language</vt:lpstr>
      <vt:lpstr>__ESTATE</vt:lpstr>
      <vt:lpstr>Проект!_NPV1</vt:lpstr>
      <vt:lpstr>Проект!_NPV2</vt:lpstr>
      <vt:lpstr>Проект!_NPV3</vt:lpstr>
      <vt:lpstr>AI_Version</vt:lpstr>
      <vt:lpstr>CalcMethod</vt:lpstr>
      <vt:lpstr>Проект!Cash_At_End</vt:lpstr>
      <vt:lpstr>Проект!Cash_Dividends</vt:lpstr>
      <vt:lpstr>Проект!Cash_Finance</vt:lpstr>
      <vt:lpstr>Проект!Cash_Grant</vt:lpstr>
      <vt:lpstr>Проект!Cash_Interest</vt:lpstr>
      <vt:lpstr>Проект!Cash_Invest</vt:lpstr>
      <vt:lpstr>Проект!Cash_Leasing</vt:lpstr>
      <vt:lpstr>Проект!Cash_LoanOut</vt:lpstr>
      <vt:lpstr>Проект!Cash_Oper</vt:lpstr>
      <vt:lpstr>Проект!Cash_Share</vt:lpstr>
      <vt:lpstr>Проект!Cash_Total</vt:lpstr>
      <vt:lpstr>Портфель!Chart_1</vt:lpstr>
      <vt:lpstr>Проект!Chart_1</vt:lpstr>
      <vt:lpstr>Портфель!Chart_10</vt:lpstr>
      <vt:lpstr>Проект!Chart_10</vt:lpstr>
      <vt:lpstr>Портфель!Chart_11</vt:lpstr>
      <vt:lpstr>Проект!Chart_11</vt:lpstr>
      <vt:lpstr>Портфель!Chart_12</vt:lpstr>
      <vt:lpstr>Проект!Chart_12</vt:lpstr>
      <vt:lpstr>Портфель!Chart_13</vt:lpstr>
      <vt:lpstr>Проект!Chart_13</vt:lpstr>
      <vt:lpstr>Портфель!Chart_14</vt:lpstr>
      <vt:lpstr>Проект!Chart_14</vt:lpstr>
      <vt:lpstr>Портфель!Chart_15</vt:lpstr>
      <vt:lpstr>Проект!Chart_15</vt:lpstr>
      <vt:lpstr>Проект!Chart_16</vt:lpstr>
      <vt:lpstr>Портфель!Chart_2</vt:lpstr>
      <vt:lpstr>Проект!Chart_2</vt:lpstr>
      <vt:lpstr>Портфель!Chart_3</vt:lpstr>
      <vt:lpstr>Проект!Chart_3</vt:lpstr>
      <vt:lpstr>Портфель!Chart_4</vt:lpstr>
      <vt:lpstr>Проект!Chart_4</vt:lpstr>
      <vt:lpstr>Портфель!Chart_5</vt:lpstr>
      <vt:lpstr>Проект!Chart_5</vt:lpstr>
      <vt:lpstr>Портфель!Chart_6</vt:lpstr>
      <vt:lpstr>Проект!Chart_6</vt:lpstr>
      <vt:lpstr>Портфель!Chart_7</vt:lpstr>
      <vt:lpstr>Проект!Chart_7</vt:lpstr>
      <vt:lpstr>Портфель!Chart_8</vt:lpstr>
      <vt:lpstr>Проект!Chart_8</vt:lpstr>
      <vt:lpstr>Портфель!Chart_9</vt:lpstr>
      <vt:lpstr>Проект!Chart_9</vt:lpstr>
      <vt:lpstr>Проект!Count_Assets_1</vt:lpstr>
      <vt:lpstr>Проект!Count_Assets_2</vt:lpstr>
      <vt:lpstr>Проект!Count_Assets_3</vt:lpstr>
      <vt:lpstr>Проект!Count_Assets_4</vt:lpstr>
      <vt:lpstr>Проект!Count_Assets_5</vt:lpstr>
      <vt:lpstr>Проект!Count_Assets_6</vt:lpstr>
      <vt:lpstr>Проект!Count_Expenses_1</vt:lpstr>
      <vt:lpstr>Проект!Count_Expenses_2</vt:lpstr>
      <vt:lpstr>Проект!Count_Expenses_3</vt:lpstr>
      <vt:lpstr>Проект!Count_Expenses_4</vt:lpstr>
      <vt:lpstr>Проект!Count_Leasing</vt:lpstr>
      <vt:lpstr>Проект!Count_Loans</vt:lpstr>
      <vt:lpstr>Проект!Count_Personnel_1</vt:lpstr>
      <vt:lpstr>Проект!Count_Personnel_2</vt:lpstr>
      <vt:lpstr>Проект!Count_Personnel_3</vt:lpstr>
      <vt:lpstr>Count_Personnel_4</vt:lpstr>
      <vt:lpstr>Проект!Count_Taxes_1</vt:lpstr>
      <vt:lpstr>Проект!Count_Taxes_2</vt:lpstr>
      <vt:lpstr>Проект!CUR_Foreign</vt:lpstr>
      <vt:lpstr>Проект!CUR_I_Foreign</vt:lpstr>
      <vt:lpstr>Проект!CUR_I_Main</vt:lpstr>
      <vt:lpstr>Портфель!CUR_I_Report</vt:lpstr>
      <vt:lpstr>Проект!CUR_I_Report</vt:lpstr>
      <vt:lpstr>Проект!CUR_Main</vt:lpstr>
      <vt:lpstr>Портфель!CUR_Report</vt:lpstr>
      <vt:lpstr>Проект!CUR_Report</vt:lpstr>
      <vt:lpstr>Проект!CurrencyRate</vt:lpstr>
      <vt:lpstr>Проект!Height_Assets_1</vt:lpstr>
      <vt:lpstr>Проект!Height_Assets_2</vt:lpstr>
      <vt:lpstr>Проект!Height_Assets_3</vt:lpstr>
      <vt:lpstr>Проект!Height_Assets_4</vt:lpstr>
      <vt:lpstr>Проект!Height_Assets_5</vt:lpstr>
      <vt:lpstr>Проект!Height_Assets_6</vt:lpstr>
      <vt:lpstr>Проект!Height_Expenses_1</vt:lpstr>
      <vt:lpstr>Проект!Height_Expenses_2</vt:lpstr>
      <vt:lpstr>Проект!Height_Expenses_3</vt:lpstr>
      <vt:lpstr>Проект!Height_Expenses_4</vt:lpstr>
      <vt:lpstr>Проект!Height_Leasing</vt:lpstr>
      <vt:lpstr>Height_Loans</vt:lpstr>
      <vt:lpstr>Проект!Height_Personnel_1</vt:lpstr>
      <vt:lpstr>Проект!Height_Personnel_2</vt:lpstr>
      <vt:lpstr>Проект!Height_Personnel_3</vt:lpstr>
      <vt:lpstr>Проект!Height_Personnel_4</vt:lpstr>
      <vt:lpstr>Проект!Height_Taxes_1</vt:lpstr>
      <vt:lpstr>Проект!Height_Taxes_2</vt:lpstr>
      <vt:lpstr>IS_BUILT</vt:lpstr>
      <vt:lpstr>IS_DEMO</vt:lpstr>
      <vt:lpstr>IS_ESTATE</vt:lpstr>
      <vt:lpstr>IS_SUMM</vt:lpstr>
      <vt:lpstr>IS_TRIAL</vt:lpstr>
      <vt:lpstr>LanguageID</vt:lpstr>
      <vt:lpstr>Портфель!LAST_COLUMN</vt:lpstr>
      <vt:lpstr>Проект!LAST_COLUMN</vt:lpstr>
      <vt:lpstr>Портфель!LIFE_PRJ</vt:lpstr>
      <vt:lpstr>LNG_CurList</vt:lpstr>
      <vt:lpstr>Проект!NWC_T_Cr_AdvK</vt:lpstr>
      <vt:lpstr>Проект!NWC_T_Cr_AdvT</vt:lpstr>
      <vt:lpstr>Проект!NWC_T_Cr_CrdK</vt:lpstr>
      <vt:lpstr>Проект!NWC_T_Cr_CrdT</vt:lpstr>
      <vt:lpstr>Проект!NWC_T_Cycle</vt:lpstr>
      <vt:lpstr>Проект!NWC_T_Db_AdvK</vt:lpstr>
      <vt:lpstr>Проект!NWC_T_Db_AdvT</vt:lpstr>
      <vt:lpstr>Проект!NWC_T_Db_CrdK</vt:lpstr>
      <vt:lpstr>Проект!NWC_T_Db_CrdT</vt:lpstr>
      <vt:lpstr>Проект!NWC_T_Goods</vt:lpstr>
      <vt:lpstr>Проект!NWC_T_Mat</vt:lpstr>
      <vt:lpstr>Портфель!PeriodTitle</vt:lpstr>
      <vt:lpstr>Проект!PeriodTitle</vt:lpstr>
      <vt:lpstr>PORT_Consolidated_1</vt:lpstr>
      <vt:lpstr>Портфель!PORT_ExtPrjCount</vt:lpstr>
      <vt:lpstr>Портфель!PORT_ExtUpdatedTime</vt:lpstr>
      <vt:lpstr>Портфель!PORT_IntPrjCount</vt:lpstr>
      <vt:lpstr>Портфель!PORT_Name</vt:lpstr>
      <vt:lpstr>PORT_PRJ_COUNT</vt:lpstr>
      <vt:lpstr>Портфель!PORT_PrjList</vt:lpstr>
      <vt:lpstr>PORT_PrjPeriods</vt:lpstr>
      <vt:lpstr>Портфель!PRJ_Len</vt:lpstr>
      <vt:lpstr>Проект!PRJ_Len</vt:lpstr>
      <vt:lpstr>Проект!PRJ_Name</vt:lpstr>
      <vt:lpstr>Проект!PRJ_Protected</vt:lpstr>
      <vt:lpstr>Портфель!PRJ_StartDate</vt:lpstr>
      <vt:lpstr>Проект!PRJ_StartDate</vt:lpstr>
      <vt:lpstr>Портфель!PRJ_StartMon</vt:lpstr>
      <vt:lpstr>Проект!PRJ_StartMon</vt:lpstr>
      <vt:lpstr>Портфель!PRJ_StartYear</vt:lpstr>
      <vt:lpstr>Проект!PRJ_StartYear</vt:lpstr>
      <vt:lpstr>Портфель!PRJ_Step</vt:lpstr>
      <vt:lpstr>Проект!PRJ_Step</vt:lpstr>
      <vt:lpstr>Портфель!PRJ_Step_SName</vt:lpstr>
      <vt:lpstr>Проект!PRJ_Step_SName</vt:lpstr>
      <vt:lpstr>Портфель!PRJ_StepType</vt:lpstr>
      <vt:lpstr>Проект!PRJ_StepType</vt:lpstr>
      <vt:lpstr>Проект!Product_Count</vt:lpstr>
      <vt:lpstr>Проект!Product_Height_1</vt:lpstr>
      <vt:lpstr>Проект!Product_Height_2</vt:lpstr>
      <vt:lpstr>Проект!Product_Height_2_After</vt:lpstr>
      <vt:lpstr>Проект!Product_Height_3</vt:lpstr>
      <vt:lpstr>Проект!Product_Height_3_After</vt:lpstr>
      <vt:lpstr>Проект!Product_Height_4</vt:lpstr>
      <vt:lpstr>Проект!Product_Height_4_After</vt:lpstr>
      <vt:lpstr>Проект!Product_Height_5</vt:lpstr>
      <vt:lpstr>Проект!Product_Height_5_After</vt:lpstr>
      <vt:lpstr>Проект!Product_Height_6</vt:lpstr>
      <vt:lpstr>Проект!Product_Height_6_After</vt:lpstr>
      <vt:lpstr>Проект!Product_Height_7</vt:lpstr>
      <vt:lpstr>Проект!Product_Height_7_After</vt:lpstr>
      <vt:lpstr>Проект!Product_Height_8</vt:lpstr>
      <vt:lpstr>Проект!Product_Height_8_After</vt:lpstr>
      <vt:lpstr>Проект!Product_Height_9</vt:lpstr>
      <vt:lpstr>Проект!Product_Height_9_After</vt:lpstr>
      <vt:lpstr>Проект!ProfitTax</vt:lpstr>
      <vt:lpstr>Проект!SENS_Discount</vt:lpstr>
      <vt:lpstr>Проект!SENS_From</vt:lpstr>
      <vt:lpstr>Проект!SENS_Invest</vt:lpstr>
      <vt:lpstr>Проект!SENS_PList_Result</vt:lpstr>
      <vt:lpstr>Проект!SENS_PList_Source</vt:lpstr>
      <vt:lpstr>Проект!SENS_Price</vt:lpstr>
      <vt:lpstr>Проект!SENS_Result</vt:lpstr>
      <vt:lpstr>Проект!SENS_Sales</vt:lpstr>
      <vt:lpstr>Проект!SENS_Source</vt:lpstr>
      <vt:lpstr>Проект!SENS_Step</vt:lpstr>
      <vt:lpstr>Проект!SENS_Table</vt:lpstr>
      <vt:lpstr>ShowAbout</vt:lpstr>
      <vt:lpstr>Проект!ShowRealDates</vt:lpstr>
      <vt:lpstr>Проект!SUMM_Only_Money1</vt:lpstr>
      <vt:lpstr>Проект!SUMM_Only_Money2</vt:lpstr>
      <vt:lpstr>Портфель!Table_1</vt:lpstr>
      <vt:lpstr>Проект!Table_1</vt:lpstr>
      <vt:lpstr>Портфель!Table_10</vt:lpstr>
      <vt:lpstr>Проект!Table_10</vt:lpstr>
      <vt:lpstr>Портфель!Table_11</vt:lpstr>
      <vt:lpstr>Проект!Table_11</vt:lpstr>
      <vt:lpstr>Портфель!Table_12</vt:lpstr>
      <vt:lpstr>Проект!Table_12</vt:lpstr>
      <vt:lpstr>Проект!Table_13</vt:lpstr>
      <vt:lpstr>Проект!Table_14</vt:lpstr>
      <vt:lpstr>Проект!Table_15</vt:lpstr>
      <vt:lpstr>Проект!Table_16</vt:lpstr>
      <vt:lpstr>Проект!Table_17</vt:lpstr>
      <vt:lpstr>Проект!Table_18</vt:lpstr>
      <vt:lpstr>Проект!Table_19</vt:lpstr>
      <vt:lpstr>Портфель!Table_2</vt:lpstr>
      <vt:lpstr>Проект!Table_2</vt:lpstr>
      <vt:lpstr>Проект!Table_20</vt:lpstr>
      <vt:lpstr>Проект!Table_21</vt:lpstr>
      <vt:lpstr>Проект!Table_22</vt:lpstr>
      <vt:lpstr>Проект!Table_23</vt:lpstr>
      <vt:lpstr>Проект!Table_24</vt:lpstr>
      <vt:lpstr>Проект!Table_25</vt:lpstr>
      <vt:lpstr>Проект!Table_26</vt:lpstr>
      <vt:lpstr>Проект!Table_27</vt:lpstr>
      <vt:lpstr>Проект!Table_28</vt:lpstr>
      <vt:lpstr>Проект!Table_29</vt:lpstr>
      <vt:lpstr>Портфель!Table_3</vt:lpstr>
      <vt:lpstr>Проект!Table_3</vt:lpstr>
      <vt:lpstr>Проект!Table_30</vt:lpstr>
      <vt:lpstr>Проект!Table_31</vt:lpstr>
      <vt:lpstr>Проект!Table_32</vt:lpstr>
      <vt:lpstr>Проект!Table_33</vt:lpstr>
      <vt:lpstr>Проект!Table_34</vt:lpstr>
      <vt:lpstr>Портфель!Table_4</vt:lpstr>
      <vt:lpstr>Проект!Table_4</vt:lpstr>
      <vt:lpstr>Портфель!Table_5</vt:lpstr>
      <vt:lpstr>Проект!Table_5</vt:lpstr>
      <vt:lpstr>Портфель!Table_6</vt:lpstr>
      <vt:lpstr>Проект!Table_6</vt:lpstr>
      <vt:lpstr>Портфель!Table_7</vt:lpstr>
      <vt:lpstr>Проект!Table_7</vt:lpstr>
      <vt:lpstr>Портфель!Table_8</vt:lpstr>
      <vt:lpstr>Проект!Table_8</vt:lpstr>
      <vt:lpstr>Портфель!Table_9</vt:lpstr>
      <vt:lpstr>Проект!Table_9</vt:lpstr>
      <vt:lpstr>ToBuild_Demo</vt:lpstr>
      <vt:lpstr>ToBuild_Estate</vt:lpstr>
      <vt:lpstr>ToBuild_Lang</vt:lpstr>
      <vt:lpstr>ToBuild_Summ</vt:lpstr>
      <vt:lpstr>Проект!TotalProfit</vt:lpstr>
      <vt:lpstr>TRIAL_DATE</vt:lpstr>
      <vt:lpstr>Портфель!VAT</vt:lpstr>
      <vt:lpstr>Проект!VAT</vt:lpstr>
      <vt:lpstr>Проект!VAT_Period</vt:lpstr>
      <vt:lpstr>Проект!VAT_Repay</vt:lpstr>
      <vt:lpstr>Ver_BuildDate</vt:lpstr>
    </vt:vector>
  </TitlesOfParts>
  <Company>Альт-Инвест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Дмитрий Рябых</dc:creator>
  <cp:lastModifiedBy>Матвей Аверкин</cp:lastModifiedBy>
  <dcterms:created xsi:type="dcterms:W3CDTF">2008-07-10T14:34:54Z</dcterms:created>
  <dcterms:modified xsi:type="dcterms:W3CDTF">2024-04-01T11:59:31Z</dcterms:modified>
</cp:coreProperties>
</file>