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Project-Refrigeration_system\"/>
    </mc:Choice>
  </mc:AlternateContent>
  <bookViews>
    <workbookView xWindow="0" yWindow="0" windowWidth="21570" windowHeight="8145" firstSheet="11" activeTab="14"/>
  </bookViews>
  <sheets>
    <sheet name="Външни параметри" sheetId="1" r:id="rId1"/>
    <sheet name="Sheet2" sheetId="2" r:id="rId2"/>
    <sheet name="Т.Конструкция" sheetId="3" r:id="rId3"/>
    <sheet name="Данни" sheetId="4" r:id="rId4"/>
    <sheet name="хладилна камера 1" sheetId="5" r:id="rId5"/>
    <sheet name="хладилна камера 2" sheetId="6" r:id="rId6"/>
    <sheet name="хладилна камера 3" sheetId="7" r:id="rId7"/>
    <sheet name="хладилна камера 4" sheetId="8" r:id="rId8"/>
    <sheet name="Приемно помещение 1" sheetId="9" r:id="rId9"/>
    <sheet name="Sheet1" sheetId="10" r:id="rId10"/>
    <sheet name="Burnout filters" sheetId="13" r:id="rId11"/>
    <sheet name="Liquid Line" sheetId="14" r:id="rId12"/>
    <sheet name="Sheet8" sheetId="16" r:id="rId13"/>
    <sheet name="Suc.Line" sheetId="15" r:id="rId14"/>
    <sheet name="Sheet9" sheetId="17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17" l="1"/>
  <c r="B60" i="17"/>
  <c r="D60" i="17" s="1"/>
  <c r="B44" i="17"/>
  <c r="D44" i="17" s="1"/>
  <c r="B21" i="17"/>
  <c r="D21" i="17" s="1"/>
  <c r="D69" i="17"/>
  <c r="D59" i="17"/>
  <c r="D57" i="17"/>
  <c r="D58" i="17"/>
  <c r="D66" i="17"/>
  <c r="D67" i="17"/>
  <c r="D68" i="17"/>
  <c r="D56" i="17"/>
  <c r="D75" i="17"/>
  <c r="B49" i="17"/>
  <c r="D43" i="17"/>
  <c r="D3" i="17"/>
  <c r="D20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8" i="17"/>
  <c r="D49" i="17" s="1"/>
  <c r="D14" i="17"/>
  <c r="D4" i="17"/>
  <c r="D5" i="17"/>
  <c r="D6" i="17"/>
  <c r="D7" i="17"/>
  <c r="D8" i="17"/>
  <c r="D9" i="17"/>
  <c r="D10" i="17"/>
  <c r="D11" i="17"/>
  <c r="D12" i="17"/>
  <c r="D13" i="17"/>
  <c r="D15" i="17"/>
  <c r="D16" i="17"/>
  <c r="D17" i="17"/>
  <c r="D18" i="17"/>
  <c r="D19" i="17"/>
  <c r="C6" i="16"/>
  <c r="C5" i="16"/>
  <c r="C4" i="16"/>
  <c r="F51" i="15"/>
  <c r="E51" i="15"/>
  <c r="F44" i="15"/>
  <c r="E44" i="15"/>
  <c r="F37" i="15"/>
  <c r="E37" i="15"/>
  <c r="F29" i="15"/>
  <c r="E29" i="15"/>
  <c r="F21" i="15"/>
  <c r="E21" i="15"/>
  <c r="F13" i="15"/>
  <c r="E13" i="15"/>
  <c r="F5" i="15"/>
  <c r="E5" i="15"/>
  <c r="F24" i="14"/>
  <c r="E24" i="14"/>
  <c r="F41" i="14"/>
  <c r="E41" i="14"/>
  <c r="F62" i="14"/>
  <c r="E62" i="14"/>
  <c r="F79" i="14"/>
  <c r="E79" i="14"/>
  <c r="F99" i="14"/>
  <c r="E99" i="14"/>
  <c r="F111" i="14"/>
  <c r="E111" i="14"/>
  <c r="F131" i="14"/>
  <c r="E131" i="14"/>
  <c r="F165" i="14"/>
  <c r="E165" i="14"/>
  <c r="F151" i="14"/>
  <c r="E151" i="14"/>
  <c r="F118" i="14"/>
  <c r="E118" i="14"/>
  <c r="E137" i="14"/>
  <c r="F137" i="14"/>
  <c r="F5" i="14"/>
  <c r="E5" i="14"/>
  <c r="F68" i="14"/>
  <c r="E68" i="14"/>
  <c r="F50" i="14"/>
  <c r="E50" i="14"/>
  <c r="F29" i="14"/>
  <c r="E29" i="14"/>
  <c r="F12" i="14"/>
  <c r="E12" i="14"/>
  <c r="B9" i="10"/>
  <c r="E19" i="10"/>
  <c r="B8" i="10"/>
  <c r="B7" i="10"/>
  <c r="J9" i="10"/>
  <c r="C3" i="10"/>
  <c r="C4" i="10"/>
  <c r="C5" i="10"/>
  <c r="C6" i="10"/>
  <c r="C2" i="10"/>
  <c r="E166" i="5"/>
  <c r="B173" i="9"/>
  <c r="B172" i="9"/>
  <c r="E168" i="9"/>
  <c r="B173" i="8"/>
  <c r="B172" i="8"/>
  <c r="B178" i="8"/>
  <c r="B172" i="7"/>
  <c r="B173" i="7"/>
  <c r="B172" i="5"/>
  <c r="B172" i="6"/>
  <c r="B173" i="6"/>
  <c r="E169" i="7"/>
  <c r="E169" i="6"/>
  <c r="B171" i="5"/>
  <c r="E168" i="5"/>
  <c r="B160" i="9"/>
  <c r="B131" i="9"/>
  <c r="B126" i="9"/>
  <c r="B162" i="8"/>
  <c r="B160" i="8"/>
  <c r="B162" i="7"/>
  <c r="B161" i="7"/>
  <c r="B160" i="7"/>
  <c r="B162" i="6"/>
  <c r="B161" i="6"/>
  <c r="B160" i="6"/>
  <c r="B162" i="5"/>
  <c r="B161" i="5"/>
  <c r="B131" i="5"/>
  <c r="I131" i="5"/>
  <c r="E131" i="5"/>
  <c r="D70" i="17" l="1"/>
  <c r="D76" i="17"/>
  <c r="C7" i="10"/>
  <c r="B176" i="8"/>
  <c r="B176" i="7"/>
  <c r="B176" i="6"/>
  <c r="E13" i="9"/>
  <c r="C8" i="8"/>
  <c r="B112" i="7"/>
  <c r="E21" i="6"/>
  <c r="B152" i="5"/>
  <c r="G103" i="5"/>
  <c r="G100" i="5"/>
  <c r="D105" i="5"/>
  <c r="D106" i="5"/>
  <c r="B93" i="5"/>
  <c r="E21" i="5"/>
  <c r="F6" i="5"/>
  <c r="F39" i="4"/>
  <c r="D10" i="5"/>
  <c r="B174" i="9" l="1"/>
  <c r="I131" i="9" l="1"/>
  <c r="E131" i="9"/>
  <c r="B114" i="8"/>
  <c r="B114" i="7"/>
  <c r="B114" i="6"/>
  <c r="E11" i="5"/>
  <c r="E8" i="5"/>
  <c r="E7" i="5"/>
  <c r="B114" i="5"/>
  <c r="B167" i="9" l="1"/>
  <c r="H143" i="9"/>
  <c r="H138" i="9"/>
  <c r="I125" i="9"/>
  <c r="E125" i="9"/>
  <c r="B100" i="9"/>
  <c r="B112" i="9"/>
  <c r="B110" i="9"/>
  <c r="D106" i="9"/>
  <c r="E9" i="7" l="1"/>
  <c r="E8" i="7"/>
  <c r="E7" i="7"/>
  <c r="E6" i="7"/>
  <c r="E11" i="8"/>
  <c r="E8" i="8"/>
  <c r="E7" i="8"/>
  <c r="E6" i="8"/>
  <c r="E11" i="9"/>
  <c r="E10" i="9"/>
  <c r="E9" i="9"/>
  <c r="E8" i="9"/>
  <c r="E7" i="9"/>
  <c r="E6" i="9"/>
  <c r="C9" i="9"/>
  <c r="F9" i="9" s="1"/>
  <c r="C8" i="9"/>
  <c r="C7" i="9"/>
  <c r="C6" i="9"/>
  <c r="F6" i="9" s="1"/>
  <c r="F7" i="9"/>
  <c r="B166" i="9"/>
  <c r="B165" i="9"/>
  <c r="B152" i="9"/>
  <c r="B149" i="9"/>
  <c r="B143" i="9"/>
  <c r="B125" i="9"/>
  <c r="D105" i="9"/>
  <c r="B107" i="9" s="1"/>
  <c r="D104" i="9"/>
  <c r="B101" i="9"/>
  <c r="G48" i="9"/>
  <c r="E42" i="9" s="1"/>
  <c r="C13" i="9"/>
  <c r="E12" i="9"/>
  <c r="D12" i="9"/>
  <c r="C12" i="9"/>
  <c r="F12" i="9" s="1"/>
  <c r="F11" i="9"/>
  <c r="C11" i="9"/>
  <c r="C10" i="9"/>
  <c r="F8" i="9"/>
  <c r="I131" i="8"/>
  <c r="B131" i="8"/>
  <c r="B149" i="6"/>
  <c r="B149" i="7"/>
  <c r="B149" i="8"/>
  <c r="B152" i="8" s="1"/>
  <c r="B166" i="8" s="1"/>
  <c r="B112" i="8"/>
  <c r="B143" i="8"/>
  <c r="B165" i="8" s="1"/>
  <c r="B125" i="8"/>
  <c r="B110" i="8"/>
  <c r="B109" i="8"/>
  <c r="D106" i="8"/>
  <c r="D105" i="8"/>
  <c r="D104" i="8"/>
  <c r="B101" i="8"/>
  <c r="B96" i="8"/>
  <c r="G25" i="8"/>
  <c r="E19" i="8" s="1"/>
  <c r="E21" i="8" s="1"/>
  <c r="B164" i="8" s="1"/>
  <c r="C11" i="8"/>
  <c r="F11" i="8" s="1"/>
  <c r="E10" i="8"/>
  <c r="D10" i="8"/>
  <c r="C10" i="8"/>
  <c r="E9" i="8"/>
  <c r="F9" i="8" s="1"/>
  <c r="C9" i="8"/>
  <c r="F8" i="8"/>
  <c r="C7" i="8"/>
  <c r="C6" i="8"/>
  <c r="B110" i="7"/>
  <c r="B109" i="7"/>
  <c r="E21" i="7"/>
  <c r="B152" i="7"/>
  <c r="B166" i="7" s="1"/>
  <c r="B143" i="7"/>
  <c r="B165" i="7" s="1"/>
  <c r="E131" i="7"/>
  <c r="B125" i="7"/>
  <c r="B131" i="7" s="1"/>
  <c r="D106" i="7"/>
  <c r="D105" i="7"/>
  <c r="D104" i="7"/>
  <c r="B101" i="7"/>
  <c r="B96" i="7"/>
  <c r="B102" i="7" s="1"/>
  <c r="G26" i="7"/>
  <c r="G25" i="7"/>
  <c r="E19" i="7" s="1"/>
  <c r="G24" i="7"/>
  <c r="E11" i="7"/>
  <c r="C11" i="7"/>
  <c r="E10" i="7"/>
  <c r="D10" i="7"/>
  <c r="F10" i="7" s="1"/>
  <c r="C10" i="7"/>
  <c r="C9" i="7"/>
  <c r="F9" i="7" s="1"/>
  <c r="F8" i="7"/>
  <c r="C8" i="7"/>
  <c r="C7" i="7"/>
  <c r="C6" i="7"/>
  <c r="B125" i="6"/>
  <c r="I131" i="6" s="1"/>
  <c r="B109" i="6"/>
  <c r="B110" i="6"/>
  <c r="D105" i="6"/>
  <c r="D104" i="6"/>
  <c r="D104" i="5"/>
  <c r="D106" i="6"/>
  <c r="B96" i="6"/>
  <c r="G26" i="6"/>
  <c r="G24" i="6"/>
  <c r="E10" i="6"/>
  <c r="E11" i="6"/>
  <c r="E9" i="6"/>
  <c r="E8" i="6"/>
  <c r="E7" i="6"/>
  <c r="E6" i="6"/>
  <c r="C10" i="6"/>
  <c r="C11" i="6"/>
  <c r="C9" i="6"/>
  <c r="C8" i="6"/>
  <c r="C7" i="6"/>
  <c r="C6" i="6"/>
  <c r="B152" i="6"/>
  <c r="B166" i="6" s="1"/>
  <c r="B143" i="6"/>
  <c r="B165" i="6" s="1"/>
  <c r="B101" i="6"/>
  <c r="D10" i="6"/>
  <c r="B166" i="5"/>
  <c r="B164" i="5"/>
  <c r="B160" i="5"/>
  <c r="B149" i="5"/>
  <c r="B143" i="5"/>
  <c r="B165" i="5" s="1"/>
  <c r="B112" i="5"/>
  <c r="B110" i="5"/>
  <c r="B56" i="5"/>
  <c r="B54" i="5"/>
  <c r="B101" i="5"/>
  <c r="B102" i="5" s="1"/>
  <c r="B42" i="5"/>
  <c r="E10" i="5"/>
  <c r="E9" i="5"/>
  <c r="E6" i="5"/>
  <c r="C11" i="5"/>
  <c r="C10" i="5"/>
  <c r="C9" i="5"/>
  <c r="F9" i="5" s="1"/>
  <c r="C8" i="5"/>
  <c r="C7" i="5"/>
  <c r="F7" i="5" s="1"/>
  <c r="C6" i="5"/>
  <c r="F10" i="5"/>
  <c r="F37" i="4"/>
  <c r="B13" i="4"/>
  <c r="F35" i="4"/>
  <c r="F34" i="4"/>
  <c r="F33" i="4"/>
  <c r="F32" i="4"/>
  <c r="F31" i="4"/>
  <c r="F6" i="8" l="1"/>
  <c r="E44" i="9"/>
  <c r="B164" i="9" s="1"/>
  <c r="B102" i="9"/>
  <c r="F6" i="7"/>
  <c r="F13" i="9"/>
  <c r="F10" i="9"/>
  <c r="F14" i="9" s="1"/>
  <c r="B157" i="9" s="1"/>
  <c r="B161" i="9"/>
  <c r="B162" i="9"/>
  <c r="E161" i="9" s="1"/>
  <c r="B102" i="8"/>
  <c r="B107" i="8"/>
  <c r="F10" i="8"/>
  <c r="F7" i="8"/>
  <c r="E131" i="8"/>
  <c r="B161" i="8" s="1"/>
  <c r="B107" i="7"/>
  <c r="B164" i="7"/>
  <c r="I131" i="7"/>
  <c r="F7" i="7"/>
  <c r="F11" i="7"/>
  <c r="F6" i="6"/>
  <c r="F10" i="6"/>
  <c r="B131" i="6"/>
  <c r="F7" i="6"/>
  <c r="E131" i="6"/>
  <c r="G25" i="6"/>
  <c r="E19" i="6" s="1"/>
  <c r="B164" i="6" s="1"/>
  <c r="B112" i="6"/>
  <c r="B107" i="6"/>
  <c r="B107" i="5"/>
  <c r="B158" i="5" s="1"/>
  <c r="B102" i="6"/>
  <c r="F11" i="6"/>
  <c r="F8" i="6"/>
  <c r="F9" i="6"/>
  <c r="F8" i="5"/>
  <c r="F11" i="5"/>
  <c r="F36" i="4"/>
  <c r="F12" i="8" l="1"/>
  <c r="B157" i="8" s="1"/>
  <c r="G100" i="9"/>
  <c r="G103" i="9" s="1"/>
  <c r="B158" i="9" s="1"/>
  <c r="E163" i="9" s="1"/>
  <c r="E165" i="9" s="1"/>
  <c r="E166" i="9" s="1"/>
  <c r="F12" i="7"/>
  <c r="B157" i="7" s="1"/>
  <c r="G100" i="8"/>
  <c r="G103" i="8" s="1"/>
  <c r="B158" i="8" s="1"/>
  <c r="G100" i="7"/>
  <c r="G103" i="7" s="1"/>
  <c r="B158" i="7" s="1"/>
  <c r="F12" i="6"/>
  <c r="B157" i="6" s="1"/>
  <c r="G100" i="6"/>
  <c r="G103" i="6" s="1"/>
  <c r="B158" i="6" s="1"/>
  <c r="E161" i="6" s="1"/>
  <c r="E163" i="6" s="1"/>
  <c r="E165" i="6" s="1"/>
  <c r="E166" i="6" s="1"/>
  <c r="B174" i="6" s="1"/>
  <c r="F12" i="5"/>
  <c r="B157" i="5" s="1"/>
  <c r="E161" i="5" s="1"/>
  <c r="X2" i="3"/>
  <c r="S2" i="3"/>
  <c r="N2" i="3"/>
  <c r="I2" i="3"/>
  <c r="D2" i="3"/>
  <c r="V2" i="3"/>
  <c r="Q2" i="3"/>
  <c r="L2" i="3"/>
  <c r="G2" i="3"/>
  <c r="B2" i="3"/>
  <c r="E163" i="5" l="1"/>
  <c r="E165" i="5" s="1"/>
  <c r="B173" i="5" s="1"/>
  <c r="B175" i="5"/>
  <c r="E161" i="8"/>
  <c r="E163" i="8" s="1"/>
  <c r="E165" i="8" s="1"/>
  <c r="E166" i="8" s="1"/>
  <c r="B174" i="8" s="1"/>
  <c r="E161" i="7"/>
  <c r="E163" i="7" s="1"/>
  <c r="E165" i="7" s="1"/>
  <c r="E166" i="7" s="1"/>
  <c r="B174" i="7" s="1"/>
  <c r="G3" i="2"/>
  <c r="G4" i="2"/>
  <c r="G5" i="2"/>
  <c r="G6" i="2"/>
  <c r="G2" i="2"/>
  <c r="F3" i="2"/>
  <c r="F4" i="2"/>
  <c r="F5" i="2"/>
  <c r="F6" i="2"/>
  <c r="F2" i="2"/>
  <c r="F85" i="14"/>
  <c r="E85" i="14"/>
  <c r="J15" i="10"/>
</calcChain>
</file>

<file path=xl/sharedStrings.xml><?xml version="1.0" encoding="utf-8"?>
<sst xmlns="http://schemas.openxmlformats.org/spreadsheetml/2006/main" count="1780" uniqueCount="398">
  <si>
    <t>Помещение</t>
  </si>
  <si>
    <t>Размери
 a x b x h
m</t>
  </si>
  <si>
    <t>Площ
m2</t>
  </si>
  <si>
    <t xml:space="preserve">Обем
m3 </t>
  </si>
  <si>
    <t>Максимален капацитет
kg</t>
  </si>
  <si>
    <t>Температурен режим 
C</t>
  </si>
  <si>
    <t>Хладилна камера 1</t>
  </si>
  <si>
    <t>Хладилна камера 2</t>
  </si>
  <si>
    <t>Хладилна камера 3</t>
  </si>
  <si>
    <t>Хладилна камера 4</t>
  </si>
  <si>
    <t>Приемно помещение</t>
  </si>
  <si>
    <t>9.10 x 20.05 x 3.25</t>
  </si>
  <si>
    <t>7.42 x 20.05 x 3.25</t>
  </si>
  <si>
    <t>16.52 x 19.21 x 3.25</t>
  </si>
  <si>
    <t>Дължина</t>
  </si>
  <si>
    <t>Ширина</t>
  </si>
  <si>
    <t>Височина</t>
  </si>
  <si>
    <t>-</t>
  </si>
  <si>
    <t>Дебелина δ</t>
  </si>
  <si>
    <t>mm</t>
  </si>
  <si>
    <t>Коефициент на топлопреминаване u</t>
  </si>
  <si>
    <r>
      <t>W/(m</t>
    </r>
    <r>
      <rPr>
        <b/>
        <vertAlign val="superscript"/>
        <sz val="12"/>
        <color rgb="FF000000"/>
        <rFont val="Calibri"/>
        <family val="2"/>
        <charset val="204"/>
        <scheme val="minor"/>
      </rPr>
      <t>2</t>
    </r>
    <r>
      <rPr>
        <b/>
        <sz val="12"/>
        <color rgb="FF000000"/>
        <rFont val="Calibri"/>
        <family val="2"/>
        <charset val="204"/>
        <scheme val="minor"/>
      </rPr>
      <t>K)</t>
    </r>
  </si>
  <si>
    <t>Препоръчителна температурна разлика</t>
  </si>
  <si>
    <t>ΔТ в K</t>
  </si>
  <si>
    <t>Температура на приложение</t>
  </si>
  <si>
    <r>
      <t xml:space="preserve"> </t>
    </r>
    <r>
      <rPr>
        <b/>
        <vertAlign val="superscript"/>
        <sz val="12"/>
        <color rgb="FF000000"/>
        <rFont val="Calibri"/>
        <family val="2"/>
        <charset val="204"/>
        <scheme val="minor"/>
      </rPr>
      <t>о</t>
    </r>
    <r>
      <rPr>
        <b/>
        <sz val="12"/>
        <color rgb="FF000000"/>
        <rFont val="Calibri"/>
        <family val="2"/>
        <charset val="204"/>
        <scheme val="minor"/>
      </rPr>
      <t>С</t>
    </r>
  </si>
  <si>
    <t>0,39</t>
  </si>
  <si>
    <t>0,26</t>
  </si>
  <si>
    <t>0,19</t>
  </si>
  <si>
    <t>0,15</t>
  </si>
  <si>
    <t>0,13</t>
  </si>
  <si>
    <t>Product</t>
  </si>
  <si>
    <t>Teknopanel CP-S</t>
  </si>
  <si>
    <t>Teknopanel CI-S</t>
  </si>
  <si>
    <t>Insulation Core</t>
  </si>
  <si>
    <t>Poliüretan (PUR)</t>
  </si>
  <si>
    <t>Poliizoiyanurat (PIR)</t>
  </si>
  <si>
    <t>Core Thickness (mm)</t>
  </si>
  <si>
    <t>Density</t>
  </si>
  <si>
    <r>
      <t>38-42 kg/m</t>
    </r>
    <r>
      <rPr>
        <vertAlign val="superscript"/>
        <sz val="7"/>
        <color rgb="FF000000"/>
        <rFont val="Lucida Sans Unicode"/>
        <family val="2"/>
        <charset val="204"/>
      </rPr>
      <t>3</t>
    </r>
    <r>
      <rPr>
        <sz val="7"/>
        <color rgb="FF000000"/>
        <rFont val="Lucida Sans Unicode"/>
        <family val="2"/>
        <charset val="204"/>
      </rPr>
      <t> (Standart)</t>
    </r>
  </si>
  <si>
    <r>
      <t>42-45 kg/m</t>
    </r>
    <r>
      <rPr>
        <vertAlign val="superscript"/>
        <sz val="7"/>
        <color rgb="FF000000"/>
        <rFont val="Lucida Sans Unicode"/>
        <family val="2"/>
        <charset val="204"/>
      </rPr>
      <t>3</t>
    </r>
    <r>
      <rPr>
        <sz val="7"/>
        <color rgb="FF000000"/>
        <rFont val="Lucida Sans Unicode"/>
        <family val="2"/>
        <charset val="204"/>
      </rPr>
      <t> (Standart)</t>
    </r>
  </si>
  <si>
    <t>Fire Class</t>
  </si>
  <si>
    <t>B s2 d0 (TS EN 13501-1)</t>
  </si>
  <si>
    <r>
      <t>U Value (W/m</t>
    </r>
    <r>
      <rPr>
        <vertAlign val="superscript"/>
        <sz val="7"/>
        <color rgb="FF000000"/>
        <rFont val="Lucida Sans Unicode"/>
        <family val="2"/>
        <charset val="204"/>
      </rPr>
      <t>2</t>
    </r>
    <r>
      <rPr>
        <sz val="7"/>
        <color rgb="FF000000"/>
        <rFont val="Lucida Sans Unicode"/>
        <family val="2"/>
        <charset val="204"/>
      </rPr>
      <t>K)</t>
    </r>
  </si>
  <si>
    <t>0,36</t>
  </si>
  <si>
    <t>0,27</t>
  </si>
  <si>
    <t>0,22</t>
  </si>
  <si>
    <t>0,18</t>
  </si>
  <si>
    <t>0,12</t>
  </si>
  <si>
    <t>0,11</t>
  </si>
  <si>
    <t>R Value (h·ft²·°F/Btu)</t>
  </si>
  <si>
    <t>External Sheet</t>
  </si>
  <si>
    <t>Prepainted Galvanized Steel</t>
  </si>
  <si>
    <t>Internal Sheet</t>
  </si>
  <si>
    <t>№</t>
  </si>
  <si>
    <t>Елемент</t>
  </si>
  <si>
    <t>Стена изток</t>
  </si>
  <si>
    <t>Стена запад</t>
  </si>
  <si>
    <t>Стена север</t>
  </si>
  <si>
    <t>Стена юг</t>
  </si>
  <si>
    <t>Таван</t>
  </si>
  <si>
    <t xml:space="preserve">темп </t>
  </si>
  <si>
    <t>+40</t>
  </si>
  <si>
    <t>Град Монтана</t>
  </si>
  <si>
    <t xml:space="preserve">Надмоска височина, m= </t>
  </si>
  <si>
    <t xml:space="preserve">Средно налягане, kPa = </t>
  </si>
  <si>
    <t>Относителна влажност, % =</t>
  </si>
  <si>
    <t>1 x 8h</t>
  </si>
  <si>
    <t>3 x 8h</t>
  </si>
  <si>
    <t>2 x 8h</t>
  </si>
  <si>
    <t>5 x 8h</t>
  </si>
  <si>
    <t>Параметър</t>
  </si>
  <si>
    <t>Размерност</t>
  </si>
  <si>
    <t>Стойност</t>
  </si>
  <si>
    <r>
      <t xml:space="preserve">Максимален капацитет </t>
    </r>
    <r>
      <rPr>
        <b/>
        <sz val="12"/>
        <color rgb="FF000000"/>
        <rFont val="Calibri"/>
        <family val="2"/>
        <charset val="204"/>
        <scheme val="minor"/>
      </rPr>
      <t>G</t>
    </r>
    <r>
      <rPr>
        <b/>
        <vertAlign val="subscript"/>
        <sz val="12"/>
        <color rgb="FF000000"/>
        <rFont val="Calibri"/>
        <family val="2"/>
        <charset val="204"/>
        <scheme val="minor"/>
      </rPr>
      <t>max</t>
    </r>
  </si>
  <si>
    <t>kg</t>
  </si>
  <si>
    <r>
      <t xml:space="preserve">Максимално технологично натоварване </t>
    </r>
    <r>
      <rPr>
        <b/>
        <sz val="12"/>
        <color rgb="FF000000"/>
        <rFont val="Calibri"/>
        <family val="2"/>
        <charset val="204"/>
        <scheme val="minor"/>
      </rPr>
      <t>G</t>
    </r>
    <r>
      <rPr>
        <b/>
        <vertAlign val="subscript"/>
        <sz val="12"/>
        <color rgb="FF000000"/>
        <rFont val="Calibri"/>
        <family val="2"/>
        <charset val="204"/>
        <scheme val="minor"/>
      </rPr>
      <t>max,d</t>
    </r>
  </si>
  <si>
    <t>kg/24h</t>
  </si>
  <si>
    <r>
      <t xml:space="preserve">Начална температура на продукта </t>
    </r>
    <r>
      <rPr>
        <b/>
        <sz val="12"/>
        <color rgb="FF000000"/>
        <rFont val="Calibri"/>
        <family val="2"/>
        <charset val="204"/>
        <scheme val="minor"/>
      </rPr>
      <t>t</t>
    </r>
    <r>
      <rPr>
        <b/>
        <vertAlign val="subscript"/>
        <sz val="12"/>
        <color rgb="FF000000"/>
        <rFont val="Calibri"/>
        <family val="2"/>
        <charset val="204"/>
        <scheme val="minor"/>
      </rPr>
      <t>1</t>
    </r>
  </si>
  <si>
    <r>
      <t>o</t>
    </r>
    <r>
      <rPr>
        <sz val="12"/>
        <color rgb="FF000000"/>
        <rFont val="Calibri"/>
        <family val="2"/>
        <charset val="204"/>
        <scheme val="minor"/>
      </rPr>
      <t>C</t>
    </r>
  </si>
  <si>
    <r>
      <t xml:space="preserve">Крайна температура на продукта </t>
    </r>
    <r>
      <rPr>
        <b/>
        <sz val="12"/>
        <color rgb="FF000000"/>
        <rFont val="Calibri"/>
        <family val="2"/>
        <charset val="204"/>
        <scheme val="minor"/>
      </rPr>
      <t>t</t>
    </r>
    <r>
      <rPr>
        <b/>
        <vertAlign val="subscript"/>
        <sz val="12"/>
        <color rgb="FF000000"/>
        <rFont val="Calibri"/>
        <family val="2"/>
        <charset val="204"/>
        <scheme val="minor"/>
      </rPr>
      <t>2</t>
    </r>
  </si>
  <si>
    <r>
      <t xml:space="preserve">Продължителност на процеса на понижаване на температурата </t>
    </r>
    <r>
      <rPr>
        <b/>
        <sz val="12"/>
        <color rgb="FF000000"/>
        <rFont val="Calibri"/>
        <family val="2"/>
        <charset val="204"/>
        <scheme val="minor"/>
      </rPr>
      <t>τ</t>
    </r>
  </si>
  <si>
    <t>h</t>
  </si>
  <si>
    <r>
      <t xml:space="preserve">Специфична топлина от дишане на продукта </t>
    </r>
    <r>
      <rPr>
        <b/>
        <sz val="12"/>
        <color rgb="FF000000"/>
        <rFont val="Calibri"/>
        <family val="2"/>
        <charset val="204"/>
        <scheme val="minor"/>
      </rPr>
      <t>q</t>
    </r>
    <r>
      <rPr>
        <b/>
        <vertAlign val="subscript"/>
        <sz val="12"/>
        <color rgb="FF000000"/>
        <rFont val="Calibri"/>
        <family val="2"/>
        <charset val="204"/>
        <scheme val="minor"/>
      </rPr>
      <t>0,resp</t>
    </r>
  </si>
  <si>
    <t>mW/kg</t>
  </si>
  <si>
    <r>
      <t xml:space="preserve">Среден специфичен топлинен капацитет на продукта </t>
    </r>
    <r>
      <rPr>
        <b/>
        <sz val="12"/>
        <color rgb="FF000000"/>
        <rFont val="Calibri"/>
        <family val="2"/>
        <charset val="204"/>
        <scheme val="minor"/>
      </rPr>
      <t>c</t>
    </r>
    <r>
      <rPr>
        <b/>
        <vertAlign val="subscript"/>
        <sz val="12"/>
        <color rgb="FF000000"/>
        <rFont val="Calibri"/>
        <family val="2"/>
        <charset val="204"/>
        <scheme val="minor"/>
      </rPr>
      <t>p</t>
    </r>
  </si>
  <si>
    <t>kJ/(kgK)</t>
  </si>
  <si>
    <r>
      <t xml:space="preserve">Специфично натоварване от осветление </t>
    </r>
    <r>
      <rPr>
        <b/>
        <sz val="12"/>
        <color rgb="FF000000"/>
        <rFont val="Calibri"/>
        <family val="2"/>
        <charset val="204"/>
        <scheme val="minor"/>
      </rPr>
      <t>q</t>
    </r>
    <r>
      <rPr>
        <b/>
        <vertAlign val="subscript"/>
        <sz val="12"/>
        <color rgb="FF000000"/>
        <rFont val="Calibri"/>
        <family val="2"/>
        <charset val="204"/>
        <scheme val="minor"/>
      </rPr>
      <t>0,light</t>
    </r>
  </si>
  <si>
    <r>
      <t>W/m</t>
    </r>
    <r>
      <rPr>
        <vertAlign val="superscript"/>
        <sz val="12"/>
        <color rgb="FF000000"/>
        <rFont val="Calibri"/>
        <family val="2"/>
        <charset val="204"/>
        <scheme val="minor"/>
      </rPr>
      <t>2</t>
    </r>
  </si>
  <si>
    <r>
      <t xml:space="preserve">Присъствие на хора </t>
    </r>
    <r>
      <rPr>
        <b/>
        <sz val="12"/>
        <color rgb="FF000000"/>
        <rFont val="Calibri"/>
        <family val="2"/>
        <charset val="204"/>
        <scheme val="minor"/>
      </rPr>
      <t>n</t>
    </r>
  </si>
  <si>
    <r>
      <t xml:space="preserve">Намиращо се в охлаждания обем електрическо оборудване </t>
    </r>
    <r>
      <rPr>
        <b/>
        <sz val="12"/>
        <color rgb="FF000000"/>
        <rFont val="Calibri"/>
        <family val="2"/>
        <charset val="204"/>
        <scheme val="minor"/>
      </rPr>
      <t>n x q</t>
    </r>
    <r>
      <rPr>
        <b/>
        <vertAlign val="subscript"/>
        <sz val="12"/>
        <color rgb="FF000000"/>
        <rFont val="Calibri"/>
        <family val="2"/>
        <charset val="204"/>
        <scheme val="minor"/>
      </rPr>
      <t>0,el</t>
    </r>
  </si>
  <si>
    <t>бр. x W</t>
  </si>
  <si>
    <t>бр. x h</t>
  </si>
  <si>
    <r>
      <t xml:space="preserve">Външна изчислителна темп </t>
    </r>
    <r>
      <rPr>
        <sz val="18"/>
        <color theme="1"/>
        <rFont val="Calibri"/>
        <family val="2"/>
        <charset val="204"/>
      </rPr>
      <t>оС =</t>
    </r>
  </si>
  <si>
    <t>Под(земя)</t>
  </si>
  <si>
    <t>N</t>
  </si>
  <si>
    <t>Слой</t>
  </si>
  <si>
    <t>δ, m</t>
  </si>
  <si>
    <t>λ, W/mk</t>
  </si>
  <si>
    <t>R, m2K/W</t>
  </si>
  <si>
    <t>Rλi</t>
  </si>
  <si>
    <t>Rsi</t>
  </si>
  <si>
    <t>Rse</t>
  </si>
  <si>
    <t>U , w/m2k</t>
  </si>
  <si>
    <t>Структура на пoдовата конструкция</t>
  </si>
  <si>
    <t xml:space="preserve">Дебелина δ </t>
  </si>
  <si>
    <t>m</t>
  </si>
  <si>
    <t xml:space="preserve">Коефициент на топлопроводност λ </t>
  </si>
  <si>
    <t>W/(mK)</t>
  </si>
  <si>
    <t>Термично съпротивление δ/ λ</t>
  </si>
  <si>
    <r>
      <t>(m</t>
    </r>
    <r>
      <rPr>
        <b/>
        <vertAlign val="superscript"/>
        <sz val="12"/>
        <color rgb="FF000000"/>
        <rFont val="Calibri"/>
        <family val="2"/>
        <charset val="204"/>
        <scheme val="minor"/>
      </rPr>
      <t>2</t>
    </r>
    <r>
      <rPr>
        <b/>
        <sz val="12"/>
        <color rgb="FF000000"/>
        <rFont val="Calibri"/>
        <family val="2"/>
        <charset val="204"/>
        <scheme val="minor"/>
      </rPr>
      <t>K)/W</t>
    </r>
  </si>
  <si>
    <t>Стоманобетонна плоча</t>
  </si>
  <si>
    <t>0,1173</t>
  </si>
  <si>
    <t>Битум</t>
  </si>
  <si>
    <t>0,015</t>
  </si>
  <si>
    <t>0,16</t>
  </si>
  <si>
    <t>0,0938</t>
  </si>
  <si>
    <t>Стиродур</t>
  </si>
  <si>
    <t>0,1</t>
  </si>
  <si>
    <t>0,03</t>
  </si>
  <si>
    <t>0,0782</t>
  </si>
  <si>
    <t>Износоустойчива замазка</t>
  </si>
  <si>
    <t>0,05</t>
  </si>
  <si>
    <t>0,026</t>
  </si>
  <si>
    <t xml:space="preserve">Местоположение </t>
  </si>
  <si>
    <r>
      <t>α</t>
    </r>
    <r>
      <rPr>
        <b/>
        <vertAlign val="subscript"/>
        <sz val="12"/>
        <color rgb="FF000000"/>
        <rFont val="Calibri"/>
        <family val="2"/>
        <charset val="204"/>
        <scheme val="minor"/>
      </rPr>
      <t>i</t>
    </r>
  </si>
  <si>
    <t>Местоположение</t>
  </si>
  <si>
    <r>
      <t>α</t>
    </r>
    <r>
      <rPr>
        <b/>
        <vertAlign val="subscript"/>
        <sz val="12"/>
        <color rgb="FF000000"/>
        <rFont val="Calibri"/>
        <family val="2"/>
        <charset val="204"/>
        <scheme val="minor"/>
      </rPr>
      <t>e</t>
    </r>
  </si>
  <si>
    <t>Вътрешни стени при</t>
  </si>
  <si>
    <t>Външни стени граничещи</t>
  </si>
  <si>
    <r>
      <t>·</t>
    </r>
    <r>
      <rPr>
        <sz val="7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Calibri"/>
        <family val="2"/>
        <charset val="204"/>
        <scheme val="minor"/>
      </rPr>
      <t xml:space="preserve"> принудителна конвекция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</si>
  <si>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Calibri"/>
        <family val="2"/>
        <charset val="204"/>
        <scheme val="minor"/>
      </rPr>
      <t>с външен въздух</t>
    </r>
  </si>
  <si>
    <r>
      <t>·</t>
    </r>
    <r>
      <rPr>
        <sz val="7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Calibri"/>
        <family val="2"/>
        <charset val="204"/>
        <scheme val="minor"/>
      </rPr>
      <t xml:space="preserve"> естествена конвекция</t>
    </r>
  </si>
  <si>
    <r>
      <t>·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Calibri"/>
        <family val="2"/>
        <charset val="204"/>
        <scheme val="minor"/>
      </rPr>
      <t>със съседни помещения</t>
    </r>
  </si>
  <si>
    <t>Q</t>
  </si>
  <si>
    <t xml:space="preserve">Δt
 [K] </t>
  </si>
  <si>
    <t>A
[m2]</t>
  </si>
  <si>
    <t>Q
[W]</t>
  </si>
  <si>
    <r>
      <t xml:space="preserve">u
</t>
    </r>
    <r>
      <rPr>
        <sz val="16"/>
        <color theme="1"/>
        <rFont val="Calibri"/>
        <family val="2"/>
        <charset val="204"/>
        <scheme val="minor"/>
      </rPr>
      <t>[W/m.K]</t>
    </r>
    <r>
      <rPr>
        <sz val="20"/>
        <color theme="1"/>
        <rFont val="Calibri"/>
        <family val="2"/>
        <charset val="204"/>
        <scheme val="minor"/>
      </rPr>
      <t xml:space="preserve"> </t>
    </r>
  </si>
  <si>
    <t>East</t>
  </si>
  <si>
    <t>West</t>
  </si>
  <si>
    <t>North</t>
  </si>
  <si>
    <t>South</t>
  </si>
  <si>
    <t>Floor</t>
  </si>
  <si>
    <t>Roof</t>
  </si>
  <si>
    <t>t room [oC] =</t>
  </si>
  <si>
    <t>Total:</t>
  </si>
  <si>
    <r>
      <t>o</t>
    </r>
    <r>
      <rPr>
        <b/>
        <sz val="12"/>
        <color rgb="FF000000"/>
        <rFont val="Calibri"/>
        <family val="2"/>
        <charset val="204"/>
        <scheme val="minor"/>
      </rPr>
      <t>C</t>
    </r>
  </si>
  <si>
    <t>W</t>
  </si>
  <si>
    <t xml:space="preserve">T, room </t>
  </si>
  <si>
    <t>q на човек</t>
  </si>
  <si>
    <t xml:space="preserve">q = </t>
  </si>
  <si>
    <r>
      <t>Q</t>
    </r>
    <r>
      <rPr>
        <sz val="10"/>
        <color theme="1"/>
        <rFont val="Calibri"/>
        <family val="2"/>
        <charset val="204"/>
        <scheme val="minor"/>
      </rPr>
      <t>person</t>
    </r>
    <r>
      <rPr>
        <sz val="24"/>
        <color theme="1"/>
        <rFont val="Calibri"/>
        <family val="2"/>
        <scheme val="minor"/>
      </rPr>
      <t>=</t>
    </r>
  </si>
  <si>
    <t xml:space="preserve">n = </t>
  </si>
  <si>
    <r>
      <t>ρ</t>
    </r>
    <r>
      <rPr>
        <vertAlign val="subscript"/>
        <sz val="12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charset val="204"/>
        <scheme val="minor"/>
      </rPr>
      <t xml:space="preserve"> = 1,2930 kg/m</t>
    </r>
    <r>
      <rPr>
        <vertAlign val="superscript"/>
        <sz val="12"/>
        <color theme="1"/>
        <rFont val="Calibri"/>
        <family val="2"/>
        <charset val="204"/>
        <scheme val="minor"/>
      </rPr>
      <t>3</t>
    </r>
    <r>
      <rPr>
        <sz val="12"/>
        <color theme="1"/>
        <rFont val="Calibri"/>
        <family val="2"/>
        <charset val="204"/>
        <scheme val="minor"/>
      </rPr>
      <t xml:space="preserve"> – плътност на въздуха при 0</t>
    </r>
    <r>
      <rPr>
        <vertAlign val="superscript"/>
        <sz val="12"/>
        <color theme="1"/>
        <rFont val="Calibri"/>
        <family val="2"/>
        <charset val="204"/>
        <scheme val="minor"/>
      </rPr>
      <t>о</t>
    </r>
    <r>
      <rPr>
        <sz val="12"/>
        <color theme="1"/>
        <rFont val="Calibri"/>
        <family val="2"/>
        <charset val="204"/>
        <scheme val="minor"/>
      </rPr>
      <t>С;</t>
    </r>
  </si>
  <si>
    <t>ro=</t>
  </si>
  <si>
    <t>Ft</t>
  </si>
  <si>
    <r>
      <t>n</t>
    </r>
    <r>
      <rPr>
        <sz val="8"/>
        <color theme="1"/>
        <rFont val="Calibri"/>
        <family val="2"/>
        <charset val="204"/>
        <scheme val="minor"/>
      </rPr>
      <t>times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</si>
  <si>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sz val="8"/>
        <color theme="1"/>
        <rFont val="Calibri"/>
        <family val="2"/>
        <charset val="204"/>
        <scheme val="minor"/>
      </rPr>
      <t>open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</si>
  <si>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sz val="8"/>
        <color theme="1"/>
        <rFont val="Calibri"/>
        <family val="2"/>
        <charset val="204"/>
        <scheme val="minor"/>
      </rPr>
      <t>close</t>
    </r>
    <r>
      <rPr>
        <sz val="11"/>
        <color theme="1"/>
        <rFont val="Calibri"/>
        <family val="2"/>
        <scheme val="minor"/>
      </rPr>
      <t xml:space="preserve"> = </t>
    </r>
  </si>
  <si>
    <r>
      <t>t</t>
    </r>
    <r>
      <rPr>
        <sz val="8"/>
        <color theme="1"/>
        <rFont val="Calibri"/>
        <family val="2"/>
        <charset val="204"/>
        <scheme val="minor"/>
      </rPr>
      <t>fullopen</t>
    </r>
    <r>
      <rPr>
        <sz val="11"/>
        <color theme="1"/>
        <rFont val="Calibri"/>
        <family val="2"/>
        <scheme val="minor"/>
      </rPr>
      <t xml:space="preserve"> = </t>
    </r>
  </si>
  <si>
    <r>
      <t>V</t>
    </r>
    <r>
      <rPr>
        <sz val="10"/>
        <color theme="1"/>
        <rFont val="Calibri"/>
        <family val="2"/>
        <charset val="204"/>
        <scheme val="minor"/>
      </rPr>
      <t>AT</t>
    </r>
    <r>
      <rPr>
        <sz val="14"/>
        <color theme="1"/>
        <rFont val="Calibri"/>
        <family val="2"/>
        <scheme val="minor"/>
      </rPr>
      <t xml:space="preserve"> = </t>
    </r>
  </si>
  <si>
    <t>ttotal =</t>
  </si>
  <si>
    <t>ro I =</t>
  </si>
  <si>
    <t>ro e =</t>
  </si>
  <si>
    <t>const0.5 =</t>
  </si>
  <si>
    <t>const1.5 =</t>
  </si>
  <si>
    <t>constgH =</t>
  </si>
  <si>
    <r>
      <t>V</t>
    </r>
    <r>
      <rPr>
        <sz val="11"/>
        <color theme="1"/>
        <rFont val="Calibri"/>
        <family val="2"/>
        <charset val="204"/>
        <scheme val="minor"/>
      </rPr>
      <t>D</t>
    </r>
    <r>
      <rPr>
        <sz val="16"/>
        <color theme="1"/>
        <rFont val="Calibri"/>
        <family val="2"/>
        <scheme val="minor"/>
      </rPr>
      <t xml:space="preserve"> =</t>
    </r>
  </si>
  <si>
    <t xml:space="preserve">h,e = </t>
  </si>
  <si>
    <t xml:space="preserve">h,I = </t>
  </si>
  <si>
    <t>delta h =</t>
  </si>
  <si>
    <t xml:space="preserve">Vt = </t>
  </si>
  <si>
    <r>
      <t>V</t>
    </r>
    <r>
      <rPr>
        <sz val="11"/>
        <color theme="1"/>
        <rFont val="Calibri"/>
        <family val="2"/>
        <charset val="204"/>
        <scheme val="minor"/>
      </rPr>
      <t>TR</t>
    </r>
    <r>
      <rPr>
        <sz val="14"/>
        <color theme="1"/>
        <rFont val="Calibri"/>
        <family val="2"/>
        <scheme val="minor"/>
      </rPr>
      <t xml:space="preserve"> =</t>
    </r>
  </si>
  <si>
    <t>E =</t>
  </si>
  <si>
    <r>
      <t>V</t>
    </r>
    <r>
      <rPr>
        <b/>
        <sz val="12"/>
        <color theme="1"/>
        <rFont val="Calibri"/>
        <family val="2"/>
        <charset val="204"/>
        <scheme val="minor"/>
      </rPr>
      <t>inf</t>
    </r>
    <r>
      <rPr>
        <b/>
        <sz val="18"/>
        <color theme="1"/>
        <rFont val="Calibri"/>
        <family val="2"/>
        <charset val="204"/>
        <scheme val="minor"/>
      </rPr>
      <t xml:space="preserve"> =</t>
    </r>
  </si>
  <si>
    <t>Qinf =</t>
  </si>
  <si>
    <t>Охлаждане на продукта</t>
  </si>
  <si>
    <t xml:space="preserve">m = </t>
  </si>
  <si>
    <t>cp</t>
  </si>
  <si>
    <t>t1 =</t>
  </si>
  <si>
    <t xml:space="preserve">t2 = </t>
  </si>
  <si>
    <t>tau =</t>
  </si>
  <si>
    <t>Qcool =</t>
  </si>
  <si>
    <r>
      <t>Q</t>
    </r>
    <r>
      <rPr>
        <sz val="12"/>
        <color theme="1"/>
        <rFont val="Calibri"/>
        <family val="2"/>
        <charset val="204"/>
        <scheme val="minor"/>
      </rPr>
      <t>cool</t>
    </r>
    <r>
      <rPr>
        <sz val="16"/>
        <color theme="1"/>
        <rFont val="Calibri"/>
        <family val="2"/>
        <scheme val="minor"/>
      </rPr>
      <t xml:space="preserve"> =</t>
    </r>
  </si>
  <si>
    <t>Топлопритоци от електрическо оборудване</t>
  </si>
  <si>
    <t>i =</t>
  </si>
  <si>
    <t xml:space="preserve">t = </t>
  </si>
  <si>
    <t>Qlight =</t>
  </si>
  <si>
    <r>
      <t>Q</t>
    </r>
    <r>
      <rPr>
        <sz val="12"/>
        <color theme="1"/>
        <rFont val="Calibri"/>
        <family val="2"/>
        <charset val="204"/>
        <scheme val="minor"/>
      </rPr>
      <t xml:space="preserve">light </t>
    </r>
    <r>
      <rPr>
        <sz val="18"/>
        <color theme="1"/>
        <rFont val="Calibri"/>
        <family val="2"/>
        <scheme val="minor"/>
      </rPr>
      <t>=</t>
    </r>
  </si>
  <si>
    <t xml:space="preserve">A = </t>
  </si>
  <si>
    <t>q =</t>
  </si>
  <si>
    <t>P[W] =</t>
  </si>
  <si>
    <t>Qfreez =</t>
  </si>
  <si>
    <t>шунка</t>
  </si>
  <si>
    <t>cp =</t>
  </si>
  <si>
    <r>
      <t>Q</t>
    </r>
    <r>
      <rPr>
        <sz val="11"/>
        <color theme="1"/>
        <rFont val="Calibri"/>
        <family val="2"/>
        <charset val="204"/>
        <scheme val="minor"/>
      </rPr>
      <t>sub</t>
    </r>
    <r>
      <rPr>
        <sz val="12"/>
        <color theme="1"/>
        <rFont val="Calibri"/>
        <family val="2"/>
        <charset val="204"/>
        <scheme val="minor"/>
      </rPr>
      <t>cool</t>
    </r>
    <r>
      <rPr>
        <sz val="16"/>
        <color theme="1"/>
        <rFont val="Calibri"/>
        <family val="2"/>
        <scheme val="minor"/>
      </rPr>
      <t xml:space="preserve"> =</t>
    </r>
  </si>
  <si>
    <t>QTrans =</t>
  </si>
  <si>
    <t>QInf =</t>
  </si>
  <si>
    <t>Qvent =</t>
  </si>
  <si>
    <t>Qfreeze =</t>
  </si>
  <si>
    <t>Qsubcool =</t>
  </si>
  <si>
    <t>Qresp =</t>
  </si>
  <si>
    <t>QPerson =</t>
  </si>
  <si>
    <t>Qsum =</t>
  </si>
  <si>
    <t>Qfan =</t>
  </si>
  <si>
    <t>Qtotal =</t>
  </si>
  <si>
    <t xml:space="preserve">a = </t>
  </si>
  <si>
    <t>b =</t>
  </si>
  <si>
    <t>c =</t>
  </si>
  <si>
    <t>t,radiation =</t>
  </si>
  <si>
    <t>t,external =</t>
  </si>
  <si>
    <t>t, earth =</t>
  </si>
  <si>
    <t xml:space="preserve">A1 = </t>
  </si>
  <si>
    <t>X =</t>
  </si>
  <si>
    <t>A2 =</t>
  </si>
  <si>
    <t xml:space="preserve">B1 = </t>
  </si>
  <si>
    <t>Y =</t>
  </si>
  <si>
    <t>B2 =</t>
  </si>
  <si>
    <t>m, kg/24h =</t>
  </si>
  <si>
    <t>риба тон</t>
  </si>
  <si>
    <t>Qstacker =</t>
  </si>
  <si>
    <r>
      <t>Q</t>
    </r>
    <r>
      <rPr>
        <sz val="11"/>
        <color theme="1"/>
        <rFont val="Calibri"/>
        <family val="2"/>
        <charset val="204"/>
        <scheme val="minor"/>
      </rPr>
      <t>stacker</t>
    </r>
    <r>
      <rPr>
        <sz val="14"/>
        <color theme="1"/>
        <rFont val="Calibri"/>
        <family val="2"/>
        <charset val="204"/>
        <scheme val="minor"/>
      </rPr>
      <t xml:space="preserve"> =</t>
    </r>
  </si>
  <si>
    <t>яйца</t>
  </si>
  <si>
    <t>кайсия/авокадо</t>
  </si>
  <si>
    <t>East,хлад3</t>
  </si>
  <si>
    <t>East, хлад4</t>
  </si>
  <si>
    <t>West,хлад 1</t>
  </si>
  <si>
    <t>West,хлад 2</t>
  </si>
  <si>
    <t>QEL =</t>
  </si>
  <si>
    <t>Qel =</t>
  </si>
  <si>
    <t xml:space="preserve">Q fan = </t>
  </si>
  <si>
    <t>Qfd =</t>
  </si>
  <si>
    <t>Q0,basic =</t>
  </si>
  <si>
    <t>w</t>
  </si>
  <si>
    <r>
      <t xml:space="preserve">Q </t>
    </r>
    <r>
      <rPr>
        <b/>
        <sz val="12"/>
        <color theme="1"/>
        <rFont val="Calibri"/>
        <family val="2"/>
        <charset val="204"/>
        <scheme val="minor"/>
      </rPr>
      <t>defrost</t>
    </r>
    <r>
      <rPr>
        <b/>
        <sz val="16"/>
        <color theme="1"/>
        <rFont val="Calibri"/>
        <family val="2"/>
        <charset val="204"/>
        <scheme val="minor"/>
      </rPr>
      <t xml:space="preserve"> =</t>
    </r>
  </si>
  <si>
    <r>
      <t xml:space="preserve">Q </t>
    </r>
    <r>
      <rPr>
        <b/>
        <sz val="11"/>
        <color theme="1"/>
        <rFont val="Calibri"/>
        <family val="2"/>
        <charset val="204"/>
        <scheme val="minor"/>
      </rPr>
      <t>effective =</t>
    </r>
  </si>
  <si>
    <t xml:space="preserve">izpariteli </t>
  </si>
  <si>
    <t>Qevap</t>
  </si>
  <si>
    <t>priemno</t>
  </si>
  <si>
    <t>Qo</t>
  </si>
  <si>
    <t>Среднотемпературна хладилна централа</t>
  </si>
  <si>
    <t>Камера 1</t>
  </si>
  <si>
    <t>камера 2</t>
  </si>
  <si>
    <t>Камера 3</t>
  </si>
  <si>
    <t>Приемно Помещение 1</t>
  </si>
  <si>
    <t xml:space="preserve">troom </t>
  </si>
  <si>
    <t>t0</t>
  </si>
  <si>
    <t>Мощност</t>
  </si>
  <si>
    <t>kW</t>
  </si>
  <si>
    <t>t0,basic =</t>
  </si>
  <si>
    <t>Камера 4</t>
  </si>
  <si>
    <t>Qc =</t>
  </si>
  <si>
    <t>Room №</t>
  </si>
  <si>
    <t>Type</t>
  </si>
  <si>
    <t>Dock,1</t>
  </si>
  <si>
    <t>NS</t>
  </si>
  <si>
    <t>Av [m^3/s]</t>
  </si>
  <si>
    <t>DP [bar]</t>
  </si>
  <si>
    <t>DT_sat [K]</t>
  </si>
  <si>
    <t>Velocity, in [m/s]</t>
  </si>
  <si>
    <t>Acid capacity [kg]</t>
  </si>
  <si>
    <t>DCR 09611-DA</t>
  </si>
  <si>
    <t>For sunction lines</t>
  </si>
  <si>
    <t>DCR 04811-DA</t>
  </si>
  <si>
    <t>DCR 04817-DA</t>
  </si>
  <si>
    <t>DCR 0489-DA</t>
  </si>
  <si>
    <t>DIN-EN 42</t>
  </si>
  <si>
    <t>Дебелина</t>
  </si>
  <si>
    <t>Тип</t>
  </si>
  <si>
    <t>Пад на налягане</t>
  </si>
  <si>
    <t>Пад на темп.</t>
  </si>
  <si>
    <t>Скорост</t>
  </si>
  <si>
    <t>bar</t>
  </si>
  <si>
    <t>K</t>
  </si>
  <si>
    <t>K/m</t>
  </si>
  <si>
    <t>Пад на темп. За m</t>
  </si>
  <si>
    <t>m/s</t>
  </si>
  <si>
    <t>Материал</t>
  </si>
  <si>
    <t>Мед</t>
  </si>
  <si>
    <t>DIN-EN 35</t>
  </si>
  <si>
    <t>Вид</t>
  </si>
  <si>
    <t>Тръба</t>
  </si>
  <si>
    <t>Стеснител</t>
  </si>
  <si>
    <t>DIN-EN 35 x 22</t>
  </si>
  <si>
    <t>DIN-EN 22</t>
  </si>
  <si>
    <t>90 DIN-EN 22</t>
  </si>
  <si>
    <t>Коляно</t>
  </si>
  <si>
    <t>90 DIN-EN 18</t>
  </si>
  <si>
    <t>DIN-EN 18</t>
  </si>
  <si>
    <t>DIN-EN 22 x 18</t>
  </si>
  <si>
    <t>DIN-EN 18 x 12</t>
  </si>
  <si>
    <t>DIN-EN 12</t>
  </si>
  <si>
    <t>90 DIN-EN 12</t>
  </si>
  <si>
    <t>Сума</t>
  </si>
  <si>
    <t>Линеен ресивер - възел А</t>
  </si>
  <si>
    <t>Възел А – Възел B</t>
  </si>
  <si>
    <t>Възел B – Изпарител 1</t>
  </si>
  <si>
    <t>Филтър дех.</t>
  </si>
  <si>
    <t>DIN-EN 16</t>
  </si>
  <si>
    <t>DIN-EN 22 x 16</t>
  </si>
  <si>
    <t>90 DIN-EN 16</t>
  </si>
  <si>
    <t>DML 055s</t>
  </si>
  <si>
    <t>Спирателен вент.</t>
  </si>
  <si>
    <t>GBC 16s v2</t>
  </si>
  <si>
    <t>SGP 16s</t>
  </si>
  <si>
    <t>Набл. Стъкло</t>
  </si>
  <si>
    <t>Възел B – Възел С</t>
  </si>
  <si>
    <t>Възел С – Изпарител 2</t>
  </si>
  <si>
    <t>Възел С – Възел D</t>
  </si>
  <si>
    <t>GBC 12s v2</t>
  </si>
  <si>
    <t>SGP 12s</t>
  </si>
  <si>
    <t>DML 034s</t>
  </si>
  <si>
    <t>Възел D – Изпарител 3</t>
  </si>
  <si>
    <t>Възел D – Възел E</t>
  </si>
  <si>
    <t>Възел E – Изпарител 4</t>
  </si>
  <si>
    <t>Възел A – Възел F</t>
  </si>
  <si>
    <t>Възел F – Изпарител 5</t>
  </si>
  <si>
    <t>Възел F – Изпарител 6</t>
  </si>
  <si>
    <t>DIN-EN 22 x 12</t>
  </si>
  <si>
    <t>Възел F – Възел H</t>
  </si>
  <si>
    <t>Възел H – Изпарител 7</t>
  </si>
  <si>
    <t>DIN-EN 18 x 16</t>
  </si>
  <si>
    <t>Възел L – Изпарител 8</t>
  </si>
  <si>
    <t>Възел H – Възел L</t>
  </si>
  <si>
    <t>Соленоид вент.</t>
  </si>
  <si>
    <t>EVR 10 man v2</t>
  </si>
  <si>
    <t>Възел L – Изпарител 9</t>
  </si>
  <si>
    <t>Разширител</t>
  </si>
  <si>
    <t>DIN-EN 54</t>
  </si>
  <si>
    <t>DIN-EN 42 x 54</t>
  </si>
  <si>
    <t>DIN-EN 64</t>
  </si>
  <si>
    <t>DIN-EN 54 x 64</t>
  </si>
  <si>
    <t>Възел C - възел D</t>
  </si>
  <si>
    <t>Възел D - възел C</t>
  </si>
  <si>
    <t>Възел E - възел D</t>
  </si>
  <si>
    <t>възел H - възел G</t>
  </si>
  <si>
    <t>DIN-EN 35 x 42</t>
  </si>
  <si>
    <t>възел H - възел L</t>
  </si>
  <si>
    <t>DIN-EN 35 x 64</t>
  </si>
  <si>
    <t>15,66</t>
  </si>
  <si>
    <t>възел L - възел M</t>
  </si>
  <si>
    <t>възел A – Смукателен колектор</t>
  </si>
  <si>
    <t>DIN-EN 89</t>
  </si>
  <si>
    <t>Изпарител №:</t>
  </si>
  <si>
    <t>Диаметър</t>
  </si>
  <si>
    <t>Пад на нал.</t>
  </si>
  <si>
    <t>TE 5 - 4</t>
  </si>
  <si>
    <t>TE 5 - 2</t>
  </si>
  <si>
    <t>[bar]</t>
  </si>
  <si>
    <t>TGE 10 - 8</t>
  </si>
  <si>
    <t>TGE 10 - 9</t>
  </si>
  <si>
    <t>CCMT 4</t>
  </si>
  <si>
    <t>Участък</t>
  </si>
  <si>
    <t>Обем</t>
  </si>
  <si>
    <t>Смукателни</t>
  </si>
  <si>
    <t>Ресивер-Възел А</t>
  </si>
  <si>
    <t>Възел А - Възел В</t>
  </si>
  <si>
    <t>Възел B – Изп. 1</t>
  </si>
  <si>
    <t>Възел В - Възел С</t>
  </si>
  <si>
    <t>Възел С - Изп. 2</t>
  </si>
  <si>
    <t>Възел С - Възел D</t>
  </si>
  <si>
    <t>Възел D - Изп. 3</t>
  </si>
  <si>
    <t>Възел D - Възел Е</t>
  </si>
  <si>
    <t>Възел Е - Изп. 4</t>
  </si>
  <si>
    <t>Възел А - Възел F</t>
  </si>
  <si>
    <t>Възел F - Изп. 5</t>
  </si>
  <si>
    <t>Възел F - Изп. 6</t>
  </si>
  <si>
    <t>Възел F - Възел Н</t>
  </si>
  <si>
    <t>Възел Н - Изп. 7</t>
  </si>
  <si>
    <t>Възел Н - Възел L</t>
  </si>
  <si>
    <t>Възел L - Изп. 8</t>
  </si>
  <si>
    <t>Възел L - Изп. 9</t>
  </si>
  <si>
    <t>Течностни</t>
  </si>
  <si>
    <t>Изп 4 - Възел Е</t>
  </si>
  <si>
    <t>Изп 3 - Възел Е</t>
  </si>
  <si>
    <t>Възел Е - Възел D</t>
  </si>
  <si>
    <t>Изп. 2 - Възел D</t>
  </si>
  <si>
    <t xml:space="preserve">Възел D - Възел С </t>
  </si>
  <si>
    <t>Изп. 1 - Възел С</t>
  </si>
  <si>
    <t>Изп. 5 - Възел G</t>
  </si>
  <si>
    <t>Изп. 6 - Възел G</t>
  </si>
  <si>
    <t>Възел Н - Възел G</t>
  </si>
  <si>
    <t>Изп. 7 - Възел Н</t>
  </si>
  <si>
    <t>Изп 8.  - Възел Н</t>
  </si>
  <si>
    <t>Възел Н - Възел  L</t>
  </si>
  <si>
    <t>Изп. 9 - Възел  L</t>
  </si>
  <si>
    <t>Възел  L - Възел  M</t>
  </si>
  <si>
    <t>Възел А - Смук. Кол.</t>
  </si>
  <si>
    <t>Нагнетателни</t>
  </si>
  <si>
    <t>m =</t>
  </si>
  <si>
    <t>Ro =</t>
  </si>
  <si>
    <t xml:space="preserve">Ro = </t>
  </si>
  <si>
    <t>Конд. - Комп.</t>
  </si>
  <si>
    <t>Възел В - Изп. 11</t>
  </si>
  <si>
    <t>Възел В - Изп. 10</t>
  </si>
  <si>
    <t>Изп. 10 - Възел А</t>
  </si>
  <si>
    <t>Изп. 11 - Възел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</si>
</sst>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1" formatCode="0.000"/>
    <numFmt numFmtId="173" formatCode="0.00000"/>
    <numFmt numFmtId="177" formatCode="0.0000000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vertAlign val="superscript"/>
      <sz val="12"/>
      <color rgb="FF000000"/>
      <name val="Calibri"/>
      <family val="2"/>
      <charset val="204"/>
      <scheme val="minor"/>
    </font>
    <font>
      <b/>
      <sz val="7"/>
      <color rgb="FF000000"/>
      <name val="Lucida Sans Unicode"/>
      <family val="2"/>
      <charset val="204"/>
    </font>
    <font>
      <sz val="7"/>
      <color rgb="FF000000"/>
      <name val="Lucida Sans Unicode"/>
      <family val="2"/>
      <charset val="204"/>
    </font>
    <font>
      <vertAlign val="superscript"/>
      <sz val="7"/>
      <color rgb="FF000000"/>
      <name val="Lucida Sans Unicode"/>
      <family val="2"/>
      <charset val="204"/>
    </font>
    <font>
      <sz val="12"/>
      <color rgb="FF000000"/>
      <name val="Calibri"/>
      <family val="2"/>
      <charset val="204"/>
      <scheme val="minor"/>
    </font>
    <font>
      <b/>
      <vertAlign val="subscript"/>
      <sz val="12"/>
      <color rgb="FF000000"/>
      <name val="Calibri"/>
      <family val="2"/>
      <charset val="204"/>
      <scheme val="minor"/>
    </font>
    <font>
      <vertAlign val="superscript"/>
      <sz val="12"/>
      <color rgb="FF00000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Symbol"/>
      <family val="1"/>
      <charset val="2"/>
    </font>
    <font>
      <sz val="7"/>
      <color rgb="FF000000"/>
      <name val="Times New Roman"/>
      <family val="1"/>
      <charset val="204"/>
    </font>
    <font>
      <sz val="20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rgb="FF3F3F3F"/>
      <name val="Calibri"/>
      <family val="2"/>
      <scheme val="minor"/>
    </font>
    <font>
      <sz val="8.25"/>
      <color indexed="8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11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17" fillId="0" borderId="16" applyNumberFormat="0" applyFill="0" applyAlignment="0" applyProtection="0"/>
    <xf numFmtId="0" fontId="18" fillId="5" borderId="17" applyNumberFormat="0" applyAlignment="0" applyProtection="0"/>
    <xf numFmtId="0" fontId="19" fillId="6" borderId="18" applyNumberFormat="0" applyAlignment="0" applyProtection="0"/>
    <xf numFmtId="0" fontId="20" fillId="7" borderId="19" applyNumberFormat="0" applyAlignment="0" applyProtection="0"/>
    <xf numFmtId="0" fontId="21" fillId="0" borderId="20" applyNumberFormat="0" applyFill="0" applyAlignment="0" applyProtection="0"/>
    <xf numFmtId="0" fontId="22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1" borderId="0" applyNumberFormat="0" applyBorder="0" applyAlignment="0" applyProtection="0"/>
  </cellStyleXfs>
  <cellXfs count="2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wrapText="1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1" fillId="0" borderId="2" xfId="1" applyBorder="1" applyAlignment="1">
      <alignment horizontal="left" wrapText="1"/>
    </xf>
    <xf numFmtId="0" fontId="1" fillId="0" borderId="3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1" applyBorder="1" applyAlignment="1">
      <alignment horizontal="left" wrapText="1"/>
    </xf>
    <xf numFmtId="0" fontId="2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/>
    <xf numFmtId="0" fontId="1" fillId="0" borderId="8" xfId="1" applyBorder="1" applyAlignment="1">
      <alignment horizontal="center" wrapText="1"/>
    </xf>
    <xf numFmtId="0" fontId="1" fillId="0" borderId="9" xfId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right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 wrapText="1"/>
    </xf>
    <xf numFmtId="0" fontId="14" fillId="0" borderId="0" xfId="0" applyFont="1"/>
    <xf numFmtId="0" fontId="14" fillId="4" borderId="2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0" fillId="0" borderId="1" xfId="0" applyBorder="1"/>
    <xf numFmtId="0" fontId="23" fillId="0" borderId="1" xfId="0" applyFont="1" applyBorder="1"/>
    <xf numFmtId="0" fontId="0" fillId="0" borderId="1" xfId="0" applyBorder="1" applyAlignment="1"/>
    <xf numFmtId="0" fontId="0" fillId="0" borderId="0" xfId="0" applyBorder="1"/>
    <xf numFmtId="0" fontId="19" fillId="6" borderId="1" xfId="5" applyBorder="1" applyAlignment="1">
      <alignment horizontal="center"/>
    </xf>
    <xf numFmtId="0" fontId="22" fillId="8" borderId="1" xfId="8" applyBorder="1" applyAlignment="1">
      <alignment horizontal="center"/>
    </xf>
    <xf numFmtId="0" fontId="21" fillId="0" borderId="1" xfId="7" applyBorder="1"/>
    <xf numFmtId="0" fontId="5" fillId="0" borderId="0" xfId="0" applyFont="1" applyAlignment="1">
      <alignment horizontal="center" vertical="center"/>
    </xf>
    <xf numFmtId="0" fontId="0" fillId="0" borderId="14" xfId="0" applyBorder="1" applyAlignment="1">
      <alignment vertical="top"/>
    </xf>
    <xf numFmtId="0" fontId="5" fillId="0" borderId="0" xfId="0" applyFont="1" applyAlignment="1">
      <alignment horizontal="center" vertical="center" wrapText="1"/>
    </xf>
    <xf numFmtId="0" fontId="0" fillId="0" borderId="14" xfId="0" applyBorder="1" applyAlignment="1">
      <alignment vertical="top" wrapText="1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3" fontId="10" fillId="3" borderId="0" xfId="0" applyNumberFormat="1" applyFont="1" applyFill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vertical="top"/>
    </xf>
    <xf numFmtId="3" fontId="10" fillId="0" borderId="14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 indent="1"/>
    </xf>
    <xf numFmtId="0" fontId="25" fillId="3" borderId="14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center" vertical="center" wrapText="1"/>
    </xf>
    <xf numFmtId="16" fontId="0" fillId="0" borderId="0" xfId="0" applyNumberFormat="1"/>
    <xf numFmtId="0" fontId="24" fillId="0" borderId="1" xfId="0" applyFont="1" applyBorder="1" applyAlignment="1">
      <alignment horizontal="center" vertical="center"/>
    </xf>
    <xf numFmtId="2" fontId="0" fillId="10" borderId="1" xfId="0" applyNumberFormat="1" applyFont="1" applyFill="1" applyBorder="1"/>
    <xf numFmtId="0" fontId="35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0" fontId="0" fillId="0" borderId="1" xfId="0" applyFill="1" applyBorder="1" applyAlignment="1">
      <alignment horizontal="right" wrapText="1"/>
    </xf>
    <xf numFmtId="0" fontId="0" fillId="0" borderId="1" xfId="0" applyFill="1" applyBorder="1"/>
    <xf numFmtId="0" fontId="18" fillId="5" borderId="17" xfId="4"/>
    <xf numFmtId="0" fontId="20" fillId="7" borderId="19" xfId="6"/>
    <xf numFmtId="0" fontId="6" fillId="0" borderId="14" xfId="0" applyFont="1" applyBorder="1" applyAlignment="1">
      <alignment horizontal="center" vertical="center" wrapText="1"/>
    </xf>
    <xf numFmtId="0" fontId="31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33" fillId="4" borderId="0" xfId="0" applyFont="1" applyFill="1" applyAlignment="1">
      <alignment horizontal="right"/>
    </xf>
    <xf numFmtId="0" fontId="33" fillId="4" borderId="0" xfId="0" applyFont="1" applyFill="1" applyAlignment="1">
      <alignment horizontal="left"/>
    </xf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3" fillId="0" borderId="0" xfId="0" applyFont="1" applyFill="1" applyBorder="1" applyAlignment="1">
      <alignment horizontal="right"/>
    </xf>
    <xf numFmtId="2" fontId="0" fillId="0" borderId="0" xfId="0" applyNumberFormat="1" applyAlignment="1">
      <alignment horizontal="left"/>
    </xf>
    <xf numFmtId="0" fontId="38" fillId="0" borderId="0" xfId="0" applyFont="1" applyAlignment="1">
      <alignment horizontal="left"/>
    </xf>
    <xf numFmtId="0" fontId="0" fillId="4" borderId="0" xfId="0" applyFill="1"/>
    <xf numFmtId="0" fontId="37" fillId="0" borderId="0" xfId="0" applyFont="1" applyAlignment="1">
      <alignment horizontal="right"/>
    </xf>
    <xf numFmtId="0" fontId="43" fillId="0" borderId="0" xfId="0" applyFont="1" applyAlignment="1">
      <alignment horizontal="right"/>
    </xf>
    <xf numFmtId="0" fontId="38" fillId="0" borderId="0" xfId="0" applyFont="1" applyAlignment="1">
      <alignment horizontal="right"/>
    </xf>
    <xf numFmtId="0" fontId="32" fillId="0" borderId="0" xfId="0" applyFont="1" applyAlignment="1">
      <alignment horizontal="right"/>
    </xf>
    <xf numFmtId="0" fontId="16" fillId="9" borderId="1" xfId="9" applyBorder="1" applyAlignment="1">
      <alignment horizontal="right" wrapText="1"/>
    </xf>
    <xf numFmtId="2" fontId="16" fillId="9" borderId="1" xfId="9" applyNumberFormat="1" applyBorder="1"/>
    <xf numFmtId="0" fontId="16" fillId="9" borderId="1" xfId="9" applyBorder="1"/>
    <xf numFmtId="0" fontId="19" fillId="6" borderId="18" xfId="5"/>
    <xf numFmtId="0" fontId="44" fillId="6" borderId="18" xfId="5" applyFont="1"/>
    <xf numFmtId="0" fontId="28" fillId="0" borderId="0" xfId="0" applyFont="1" applyAlignment="1">
      <alignment horizontal="right"/>
    </xf>
    <xf numFmtId="0" fontId="1" fillId="0" borderId="0" xfId="1"/>
    <xf numFmtId="0" fontId="18" fillId="5" borderId="17" xfId="4" applyAlignment="1">
      <alignment horizontal="left"/>
    </xf>
    <xf numFmtId="0" fontId="0" fillId="9" borderId="1" xfId="9" applyFont="1" applyBorder="1" applyAlignment="1">
      <alignment horizontal="right" wrapText="1"/>
    </xf>
    <xf numFmtId="0" fontId="43" fillId="0" borderId="0" xfId="0" applyFont="1"/>
    <xf numFmtId="0" fontId="43" fillId="0" borderId="0" xfId="0" applyFont="1" applyAlignment="1">
      <alignment horizontal="left"/>
    </xf>
    <xf numFmtId="0" fontId="38" fillId="0" borderId="0" xfId="0" applyFont="1"/>
    <xf numFmtId="2" fontId="38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5" borderId="3" xfId="3" applyFill="1" applyBorder="1" applyAlignment="1">
      <alignment horizontal="center"/>
    </xf>
    <xf numFmtId="0" fontId="17" fillId="5" borderId="15" xfId="3" applyFill="1" applyBorder="1" applyAlignment="1">
      <alignment horizontal="center"/>
    </xf>
    <xf numFmtId="0" fontId="17" fillId="5" borderId="2" xfId="3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11" xfId="0" applyFont="1" applyBorder="1" applyAlignment="1">
      <alignment horizontal="center" wrapText="1"/>
    </xf>
    <xf numFmtId="0" fontId="3" fillId="2" borderId="3" xfId="2" applyBorder="1" applyAlignment="1">
      <alignment horizontal="center"/>
    </xf>
    <xf numFmtId="0" fontId="3" fillId="2" borderId="15" xfId="2" applyBorder="1" applyAlignment="1">
      <alignment horizontal="center"/>
    </xf>
    <xf numFmtId="0" fontId="3" fillId="2" borderId="2" xfId="2" applyBorder="1" applyAlignment="1">
      <alignment horizontal="center"/>
    </xf>
    <xf numFmtId="0" fontId="4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2" fillId="0" borderId="0" xfId="0" applyFont="1" applyAlignment="1">
      <alignment horizontal="right"/>
    </xf>
    <xf numFmtId="177" fontId="33" fillId="0" borderId="0" xfId="0" applyNumberFormat="1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6" fillId="11" borderId="1" xfId="10" applyBorder="1" applyAlignment="1">
      <alignment horizontal="center"/>
    </xf>
    <xf numFmtId="0" fontId="16" fillId="8" borderId="1" xfId="8" applyFont="1" applyBorder="1" applyAlignment="1">
      <alignment horizontal="center"/>
    </xf>
    <xf numFmtId="0" fontId="1" fillId="0" borderId="0" xfId="1" applyAlignment="1"/>
    <xf numFmtId="0" fontId="0" fillId="0" borderId="1" xfId="0" applyBorder="1" applyAlignment="1">
      <alignment horizontal="center"/>
    </xf>
    <xf numFmtId="0" fontId="16" fillId="11" borderId="1" xfId="10" applyBorder="1" applyAlignment="1">
      <alignment horizontal="center" vertical="center"/>
    </xf>
    <xf numFmtId="0" fontId="16" fillId="11" borderId="1" xfId="10" applyBorder="1" applyAlignment="1">
      <alignment horizontal="center"/>
    </xf>
    <xf numFmtId="0" fontId="16" fillId="8" borderId="1" xfId="8" applyFont="1" applyBorder="1" applyAlignment="1">
      <alignment horizontal="center" vertical="center"/>
    </xf>
    <xf numFmtId="0" fontId="16" fillId="8" borderId="1" xfId="8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8" borderId="1" xfId="8" applyFont="1" applyBorder="1" applyAlignment="1">
      <alignment horizontal="center" vertical="center"/>
    </xf>
    <xf numFmtId="0" fontId="16" fillId="8" borderId="1" xfId="8" applyFont="1" applyBorder="1" applyAlignment="1">
      <alignment horizontal="center" wrapText="1"/>
    </xf>
    <xf numFmtId="0" fontId="1" fillId="0" borderId="1" xfId="1" applyBorder="1" applyAlignment="1">
      <alignment horizontal="center"/>
    </xf>
    <xf numFmtId="0" fontId="1" fillId="0" borderId="3" xfId="1" applyBorder="1" applyAlignment="1">
      <alignment horizontal="right"/>
    </xf>
    <xf numFmtId="0" fontId="1" fillId="0" borderId="2" xfId="1" applyBorder="1" applyAlignment="1">
      <alignment horizontal="right"/>
    </xf>
    <xf numFmtId="0" fontId="16" fillId="8" borderId="3" xfId="8" applyFont="1" applyBorder="1" applyAlignment="1">
      <alignment horizontal="right"/>
    </xf>
    <xf numFmtId="0" fontId="16" fillId="8" borderId="2" xfId="8" applyFont="1" applyBorder="1" applyAlignment="1">
      <alignment horizontal="right"/>
    </xf>
    <xf numFmtId="0" fontId="0" fillId="12" borderId="1" xfId="0" applyFill="1" applyBorder="1" applyAlignment="1">
      <alignment horizontal="center" vertical="center"/>
    </xf>
    <xf numFmtId="0" fontId="45" fillId="0" borderId="0" xfId="0" applyNumberFormat="1" applyFont="1" applyFill="1" applyBorder="1" applyAlignment="1" applyProtection="1">
      <alignment horizontal="left" vertical="top" wrapText="1"/>
    </xf>
    <xf numFmtId="0" fontId="45" fillId="0" borderId="0" xfId="0" applyNumberFormat="1" applyFont="1" applyFill="1" applyBorder="1" applyAlignment="1" applyProtection="1">
      <alignment horizontal="right" vertical="top" wrapText="1"/>
    </xf>
    <xf numFmtId="0" fontId="45" fillId="0" borderId="1" xfId="0" applyNumberFormat="1" applyFont="1" applyFill="1" applyBorder="1" applyAlignment="1" applyProtection="1">
      <alignment horizontal="left" vertical="top" wrapText="1"/>
    </xf>
    <xf numFmtId="0" fontId="45" fillId="0" borderId="1" xfId="0" applyNumberFormat="1" applyFont="1" applyFill="1" applyBorder="1" applyAlignment="1" applyProtection="1">
      <alignment horizontal="right" vertical="top" wrapText="1"/>
    </xf>
    <xf numFmtId="0" fontId="16" fillId="9" borderId="1" xfId="9" applyNumberFormat="1" applyBorder="1" applyAlignment="1" applyProtection="1">
      <alignment horizontal="left" vertical="top" wrapText="1"/>
    </xf>
    <xf numFmtId="0" fontId="16" fillId="9" borderId="1" xfId="9" applyNumberFormat="1" applyBorder="1" applyAlignment="1" applyProtection="1">
      <alignment horizontal="right" vertical="top" wrapText="1"/>
    </xf>
    <xf numFmtId="0" fontId="16" fillId="11" borderId="1" xfId="10" applyBorder="1" applyAlignment="1">
      <alignment horizontal="center" vertical="center"/>
    </xf>
    <xf numFmtId="0" fontId="0" fillId="11" borderId="1" xfId="10" applyFont="1" applyBorder="1" applyAlignment="1">
      <alignment horizontal="center" vertical="center"/>
    </xf>
    <xf numFmtId="0" fontId="16" fillId="11" borderId="1" xfId="10" applyNumberFormat="1" applyBorder="1" applyAlignment="1" applyProtection="1">
      <alignment horizontal="center" vertical="center" wrapText="1"/>
    </xf>
    <xf numFmtId="0" fontId="16" fillId="11" borderId="8" xfId="10" applyBorder="1" applyAlignment="1">
      <alignment horizontal="center" vertical="center"/>
    </xf>
    <xf numFmtId="0" fontId="16" fillId="11" borderId="5" xfId="10" applyBorder="1" applyAlignment="1">
      <alignment horizontal="center" vertical="center"/>
    </xf>
    <xf numFmtId="0" fontId="0" fillId="11" borderId="8" xfId="10" applyFont="1" applyBorder="1" applyAlignment="1">
      <alignment horizontal="center" vertical="center"/>
    </xf>
    <xf numFmtId="0" fontId="44" fillId="6" borderId="18" xfId="5" applyFont="1" applyAlignment="1">
      <alignment horizontal="center"/>
    </xf>
    <xf numFmtId="0" fontId="2" fillId="0" borderId="0" xfId="0" applyFont="1" applyAlignment="1">
      <alignment horizontal="left" vertical="center" indent="10"/>
    </xf>
    <xf numFmtId="0" fontId="44" fillId="6" borderId="21" xfId="5" applyFont="1" applyBorder="1" applyAlignment="1">
      <alignment horizontal="center"/>
    </xf>
    <xf numFmtId="0" fontId="16" fillId="11" borderId="3" xfId="10" applyBorder="1" applyAlignment="1">
      <alignment horizontal="center" vertical="center"/>
    </xf>
    <xf numFmtId="0" fontId="16" fillId="11" borderId="2" xfId="1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1" borderId="1" xfId="10" applyNumberFormat="1" applyFont="1" applyBorder="1" applyAlignment="1" applyProtection="1">
      <alignment horizontal="center" vertical="center" wrapText="1"/>
    </xf>
    <xf numFmtId="0" fontId="0" fillId="11" borderId="3" xfId="10" applyFont="1" applyBorder="1" applyAlignment="1">
      <alignment horizontal="center" vertical="center"/>
    </xf>
    <xf numFmtId="0" fontId="0" fillId="11" borderId="2" xfId="10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5"/>
    </xf>
    <xf numFmtId="0" fontId="16" fillId="11" borderId="1" xfId="10" applyBorder="1"/>
    <xf numFmtId="173" fontId="0" fillId="0" borderId="0" xfId="0" applyNumberFormat="1" applyAlignment="1">
      <alignment horizontal="center"/>
    </xf>
    <xf numFmtId="173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right"/>
    </xf>
    <xf numFmtId="173" fontId="16" fillId="11" borderId="1" xfId="10" applyNumberFormat="1" applyBorder="1" applyAlignment="1">
      <alignment horizontal="center"/>
    </xf>
    <xf numFmtId="0" fontId="0" fillId="0" borderId="1" xfId="0" applyBorder="1" applyAlignment="1">
      <alignment horizontal="left"/>
    </xf>
    <xf numFmtId="17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6" fillId="11" borderId="1" xfId="10" applyBorder="1" applyAlignment="1">
      <alignment horizontal="right"/>
    </xf>
    <xf numFmtId="171" fontId="16" fillId="11" borderId="1" xfId="10" applyNumberFormat="1" applyBorder="1" applyAlignment="1">
      <alignment horizontal="center"/>
    </xf>
  </cellXfs>
  <cellStyles count="11">
    <cellStyle name="20% - Accent3" xfId="10" builtinId="38"/>
    <cellStyle name="40% - Accent3" xfId="9" builtinId="39"/>
    <cellStyle name="Accent3" xfId="8" builtinId="37"/>
    <cellStyle name="Check Cell" xfId="6" builtinId="23"/>
    <cellStyle name="Good" xfId="2" builtinId="26"/>
    <cellStyle name="Heading 1" xfId="3" builtinId="16"/>
    <cellStyle name="Input" xfId="4" builtinId="20"/>
    <cellStyle name="Normal" xfId="0" builtinId="0"/>
    <cellStyle name="Normal 2" xfId="1"/>
    <cellStyle name="Output" xfId="5" builtinId="21"/>
    <cellStyle name="Total" xfId="7" builtinId="25"/>
  </cellStyles>
  <dxfs count="1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22</xdr:col>
      <xdr:colOff>131657</xdr:colOff>
      <xdr:row>20</xdr:row>
      <xdr:rowOff>113815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13542857" cy="3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66675</xdr:rowOff>
    </xdr:from>
    <xdr:to>
      <xdr:col>22</xdr:col>
      <xdr:colOff>131657</xdr:colOff>
      <xdr:row>22</xdr:row>
      <xdr:rowOff>38056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76675"/>
          <a:ext cx="13542857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37</xdr:row>
      <xdr:rowOff>0</xdr:rowOff>
    </xdr:from>
    <xdr:to>
      <xdr:col>10</xdr:col>
      <xdr:colOff>581025</xdr:colOff>
      <xdr:row>39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13068300"/>
          <a:ext cx="5810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2</xdr:col>
      <xdr:colOff>323850</xdr:colOff>
      <xdr:row>17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829050"/>
          <a:ext cx="15906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1</xdr:col>
      <xdr:colOff>38100</xdr:colOff>
      <xdr:row>39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4875"/>
          <a:ext cx="8477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1</xdr:col>
      <xdr:colOff>419100</xdr:colOff>
      <xdr:row>45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8375"/>
          <a:ext cx="12287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1</xdr:col>
      <xdr:colOff>1028700</xdr:colOff>
      <xdr:row>47</xdr:row>
      <xdr:rowOff>180975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39375"/>
          <a:ext cx="18383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114301</xdr:rowOff>
    </xdr:from>
    <xdr:to>
      <xdr:col>3</xdr:col>
      <xdr:colOff>466725</xdr:colOff>
      <xdr:row>78</xdr:row>
      <xdr:rowOff>113770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953876"/>
          <a:ext cx="3152775" cy="5804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142876</xdr:rowOff>
    </xdr:from>
    <xdr:to>
      <xdr:col>5</xdr:col>
      <xdr:colOff>514350</xdr:colOff>
      <xdr:row>81</xdr:row>
      <xdr:rowOff>121352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563476"/>
          <a:ext cx="4705350" cy="5499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114300</xdr:rowOff>
    </xdr:from>
    <xdr:to>
      <xdr:col>6</xdr:col>
      <xdr:colOff>323850</xdr:colOff>
      <xdr:row>86</xdr:row>
      <xdr:rowOff>51637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106400"/>
          <a:ext cx="5124450" cy="8898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85725</xdr:rowOff>
    </xdr:from>
    <xdr:to>
      <xdr:col>8</xdr:col>
      <xdr:colOff>172025</xdr:colOff>
      <xdr:row>90</xdr:row>
      <xdr:rowOff>171450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839825"/>
          <a:ext cx="6191825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</xdr:col>
      <xdr:colOff>1123950</xdr:colOff>
      <xdr:row>123</xdr:row>
      <xdr:rowOff>60097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5088850"/>
          <a:ext cx="1933575" cy="63159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762001</xdr:colOff>
      <xdr:row>136</xdr:row>
      <xdr:rowOff>190499</xdr:rowOff>
    </xdr:from>
    <xdr:to>
      <xdr:col>4</xdr:col>
      <xdr:colOff>398351</xdr:colOff>
      <xdr:row>140</xdr:row>
      <xdr:rowOff>9524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6" y="28441649"/>
          <a:ext cx="2303350" cy="58102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143</xdr:row>
      <xdr:rowOff>133350</xdr:rowOff>
    </xdr:from>
    <xdr:to>
      <xdr:col>2</xdr:col>
      <xdr:colOff>523577</xdr:colOff>
      <xdr:row>147</xdr:row>
      <xdr:rowOff>18969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9075" y="29822775"/>
          <a:ext cx="2380952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819151</xdr:colOff>
      <xdr:row>136</xdr:row>
      <xdr:rowOff>142874</xdr:rowOff>
    </xdr:from>
    <xdr:to>
      <xdr:col>4</xdr:col>
      <xdr:colOff>285484</xdr:colOff>
      <xdr:row>140</xdr:row>
      <xdr:rowOff>190398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8776" y="28394024"/>
          <a:ext cx="2133333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119</xdr:row>
      <xdr:rowOff>104775</xdr:rowOff>
    </xdr:from>
    <xdr:to>
      <xdr:col>5</xdr:col>
      <xdr:colOff>247650</xdr:colOff>
      <xdr:row>122</xdr:row>
      <xdr:rowOff>175051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81275" y="25003125"/>
          <a:ext cx="1857375" cy="6417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119</xdr:row>
      <xdr:rowOff>152400</xdr:rowOff>
    </xdr:from>
    <xdr:to>
      <xdr:col>10</xdr:col>
      <xdr:colOff>415471</xdr:colOff>
      <xdr:row>123</xdr:row>
      <xdr:rowOff>28575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57775" y="25050750"/>
          <a:ext cx="2491921" cy="638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2</xdr:col>
      <xdr:colOff>323850</xdr:colOff>
      <xdr:row>17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3943350"/>
          <a:ext cx="15906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114301</xdr:rowOff>
    </xdr:from>
    <xdr:to>
      <xdr:col>3</xdr:col>
      <xdr:colOff>466725</xdr:colOff>
      <xdr:row>78</xdr:row>
      <xdr:rowOff>113770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954376"/>
          <a:ext cx="3152775" cy="5804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142876</xdr:rowOff>
    </xdr:from>
    <xdr:to>
      <xdr:col>6</xdr:col>
      <xdr:colOff>9525</xdr:colOff>
      <xdr:row>81</xdr:row>
      <xdr:rowOff>121352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563976"/>
          <a:ext cx="4705350" cy="5499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114300</xdr:rowOff>
    </xdr:from>
    <xdr:to>
      <xdr:col>6</xdr:col>
      <xdr:colOff>428625</xdr:colOff>
      <xdr:row>86</xdr:row>
      <xdr:rowOff>51637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06900"/>
          <a:ext cx="5124450" cy="8898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85725</xdr:rowOff>
    </xdr:from>
    <xdr:to>
      <xdr:col>8</xdr:col>
      <xdr:colOff>276800</xdr:colOff>
      <xdr:row>90</xdr:row>
      <xdr:rowOff>171450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840325"/>
          <a:ext cx="6191825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</xdr:col>
      <xdr:colOff>1123950</xdr:colOff>
      <xdr:row>123</xdr:row>
      <xdr:rowOff>60097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088850"/>
          <a:ext cx="1933575" cy="63159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762001</xdr:colOff>
      <xdr:row>136</xdr:row>
      <xdr:rowOff>190499</xdr:rowOff>
    </xdr:from>
    <xdr:to>
      <xdr:col>4</xdr:col>
      <xdr:colOff>398351</xdr:colOff>
      <xdr:row>140</xdr:row>
      <xdr:rowOff>9524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1626" y="28441649"/>
          <a:ext cx="2303350" cy="58102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143</xdr:row>
      <xdr:rowOff>133350</xdr:rowOff>
    </xdr:from>
    <xdr:to>
      <xdr:col>2</xdr:col>
      <xdr:colOff>523577</xdr:colOff>
      <xdr:row>147</xdr:row>
      <xdr:rowOff>18969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9075" y="29822775"/>
          <a:ext cx="2380952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819151</xdr:colOff>
      <xdr:row>136</xdr:row>
      <xdr:rowOff>142874</xdr:rowOff>
    </xdr:from>
    <xdr:to>
      <xdr:col>4</xdr:col>
      <xdr:colOff>285484</xdr:colOff>
      <xdr:row>140</xdr:row>
      <xdr:rowOff>190398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28776" y="28394024"/>
          <a:ext cx="2133333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119</xdr:row>
      <xdr:rowOff>104775</xdr:rowOff>
    </xdr:from>
    <xdr:to>
      <xdr:col>5</xdr:col>
      <xdr:colOff>352425</xdr:colOff>
      <xdr:row>122</xdr:row>
      <xdr:rowOff>175051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81275" y="25003125"/>
          <a:ext cx="1857375" cy="6417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119</xdr:row>
      <xdr:rowOff>152400</xdr:rowOff>
    </xdr:from>
    <xdr:to>
      <xdr:col>10</xdr:col>
      <xdr:colOff>415471</xdr:colOff>
      <xdr:row>123</xdr:row>
      <xdr:rowOff>28575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57775" y="25050750"/>
          <a:ext cx="2491921" cy="638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2</xdr:col>
      <xdr:colOff>323850</xdr:colOff>
      <xdr:row>17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000500"/>
          <a:ext cx="15906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114301</xdr:rowOff>
    </xdr:from>
    <xdr:to>
      <xdr:col>3</xdr:col>
      <xdr:colOff>381000</xdr:colOff>
      <xdr:row>78</xdr:row>
      <xdr:rowOff>113770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973426"/>
          <a:ext cx="3152775" cy="5804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142876</xdr:rowOff>
    </xdr:from>
    <xdr:to>
      <xdr:col>5</xdr:col>
      <xdr:colOff>428625</xdr:colOff>
      <xdr:row>81</xdr:row>
      <xdr:rowOff>121352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583026"/>
          <a:ext cx="4705350" cy="5499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114300</xdr:rowOff>
    </xdr:from>
    <xdr:to>
      <xdr:col>6</xdr:col>
      <xdr:colOff>238125</xdr:colOff>
      <xdr:row>86</xdr:row>
      <xdr:rowOff>51637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25950"/>
          <a:ext cx="5124450" cy="8898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85725</xdr:rowOff>
    </xdr:from>
    <xdr:to>
      <xdr:col>8</xdr:col>
      <xdr:colOff>86300</xdr:colOff>
      <xdr:row>90</xdr:row>
      <xdr:rowOff>171450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859375"/>
          <a:ext cx="6191825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</xdr:col>
      <xdr:colOff>1123950</xdr:colOff>
      <xdr:row>123</xdr:row>
      <xdr:rowOff>60097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107900"/>
          <a:ext cx="1933575" cy="63159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762001</xdr:colOff>
      <xdr:row>136</xdr:row>
      <xdr:rowOff>190499</xdr:rowOff>
    </xdr:from>
    <xdr:to>
      <xdr:col>4</xdr:col>
      <xdr:colOff>312626</xdr:colOff>
      <xdr:row>140</xdr:row>
      <xdr:rowOff>9524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1626" y="28460699"/>
          <a:ext cx="2303350" cy="58102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143</xdr:row>
      <xdr:rowOff>133350</xdr:rowOff>
    </xdr:from>
    <xdr:to>
      <xdr:col>2</xdr:col>
      <xdr:colOff>437852</xdr:colOff>
      <xdr:row>147</xdr:row>
      <xdr:rowOff>18969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9075" y="29841825"/>
          <a:ext cx="2380952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819151</xdr:colOff>
      <xdr:row>136</xdr:row>
      <xdr:rowOff>142874</xdr:rowOff>
    </xdr:from>
    <xdr:to>
      <xdr:col>4</xdr:col>
      <xdr:colOff>199759</xdr:colOff>
      <xdr:row>140</xdr:row>
      <xdr:rowOff>190398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28776" y="28413074"/>
          <a:ext cx="2133333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119</xdr:row>
      <xdr:rowOff>104775</xdr:rowOff>
    </xdr:from>
    <xdr:to>
      <xdr:col>5</xdr:col>
      <xdr:colOff>247650</xdr:colOff>
      <xdr:row>122</xdr:row>
      <xdr:rowOff>175051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81275" y="25022175"/>
          <a:ext cx="1857375" cy="6417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119</xdr:row>
      <xdr:rowOff>152400</xdr:rowOff>
    </xdr:from>
    <xdr:to>
      <xdr:col>10</xdr:col>
      <xdr:colOff>415471</xdr:colOff>
      <xdr:row>123</xdr:row>
      <xdr:rowOff>28575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057775" y="25069800"/>
          <a:ext cx="2491921" cy="6381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2</xdr:col>
      <xdr:colOff>323850</xdr:colOff>
      <xdr:row>17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000500"/>
          <a:ext cx="15906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114301</xdr:rowOff>
    </xdr:from>
    <xdr:to>
      <xdr:col>3</xdr:col>
      <xdr:colOff>466725</xdr:colOff>
      <xdr:row>78</xdr:row>
      <xdr:rowOff>113770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973426"/>
          <a:ext cx="3152775" cy="5804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142876</xdr:rowOff>
    </xdr:from>
    <xdr:to>
      <xdr:col>5</xdr:col>
      <xdr:colOff>514350</xdr:colOff>
      <xdr:row>81</xdr:row>
      <xdr:rowOff>121352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583026"/>
          <a:ext cx="4705350" cy="5499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114300</xdr:rowOff>
    </xdr:from>
    <xdr:to>
      <xdr:col>6</xdr:col>
      <xdr:colOff>323850</xdr:colOff>
      <xdr:row>86</xdr:row>
      <xdr:rowOff>51637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25950"/>
          <a:ext cx="5124450" cy="8898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85725</xdr:rowOff>
    </xdr:from>
    <xdr:to>
      <xdr:col>8</xdr:col>
      <xdr:colOff>172025</xdr:colOff>
      <xdr:row>90</xdr:row>
      <xdr:rowOff>171450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859375"/>
          <a:ext cx="6191825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</xdr:col>
      <xdr:colOff>1123950</xdr:colOff>
      <xdr:row>123</xdr:row>
      <xdr:rowOff>60097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107900"/>
          <a:ext cx="1933575" cy="63159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762001</xdr:colOff>
      <xdr:row>136</xdr:row>
      <xdr:rowOff>190499</xdr:rowOff>
    </xdr:from>
    <xdr:to>
      <xdr:col>4</xdr:col>
      <xdr:colOff>398351</xdr:colOff>
      <xdr:row>140</xdr:row>
      <xdr:rowOff>9524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1626" y="28460699"/>
          <a:ext cx="2303350" cy="58102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143</xdr:row>
      <xdr:rowOff>133350</xdr:rowOff>
    </xdr:from>
    <xdr:to>
      <xdr:col>2</xdr:col>
      <xdr:colOff>523577</xdr:colOff>
      <xdr:row>147</xdr:row>
      <xdr:rowOff>18969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9075" y="29841825"/>
          <a:ext cx="2380952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819151</xdr:colOff>
      <xdr:row>136</xdr:row>
      <xdr:rowOff>142874</xdr:rowOff>
    </xdr:from>
    <xdr:to>
      <xdr:col>4</xdr:col>
      <xdr:colOff>285484</xdr:colOff>
      <xdr:row>140</xdr:row>
      <xdr:rowOff>190398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28776" y="28413074"/>
          <a:ext cx="2133333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119</xdr:row>
      <xdr:rowOff>104775</xdr:rowOff>
    </xdr:from>
    <xdr:to>
      <xdr:col>5</xdr:col>
      <xdr:colOff>247650</xdr:colOff>
      <xdr:row>122</xdr:row>
      <xdr:rowOff>175051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81275" y="25022175"/>
          <a:ext cx="1857375" cy="6417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119</xdr:row>
      <xdr:rowOff>152400</xdr:rowOff>
    </xdr:from>
    <xdr:to>
      <xdr:col>10</xdr:col>
      <xdr:colOff>415471</xdr:colOff>
      <xdr:row>123</xdr:row>
      <xdr:rowOff>28575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62550" y="25069800"/>
          <a:ext cx="2491921" cy="6381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2</xdr:col>
      <xdr:colOff>323850</xdr:colOff>
      <xdr:row>40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000500"/>
          <a:ext cx="15906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114301</xdr:rowOff>
    </xdr:from>
    <xdr:to>
      <xdr:col>3</xdr:col>
      <xdr:colOff>466725</xdr:colOff>
      <xdr:row>78</xdr:row>
      <xdr:rowOff>113770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973426"/>
          <a:ext cx="3152775" cy="5804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142876</xdr:rowOff>
    </xdr:from>
    <xdr:to>
      <xdr:col>5</xdr:col>
      <xdr:colOff>514350</xdr:colOff>
      <xdr:row>81</xdr:row>
      <xdr:rowOff>121352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583026"/>
          <a:ext cx="4705350" cy="5499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114300</xdr:rowOff>
    </xdr:from>
    <xdr:to>
      <xdr:col>6</xdr:col>
      <xdr:colOff>323850</xdr:colOff>
      <xdr:row>86</xdr:row>
      <xdr:rowOff>51637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25950"/>
          <a:ext cx="5124450" cy="8898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85725</xdr:rowOff>
    </xdr:from>
    <xdr:to>
      <xdr:col>8</xdr:col>
      <xdr:colOff>172025</xdr:colOff>
      <xdr:row>90</xdr:row>
      <xdr:rowOff>171450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859375"/>
          <a:ext cx="6191825" cy="1038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1</xdr:col>
      <xdr:colOff>1123950</xdr:colOff>
      <xdr:row>123</xdr:row>
      <xdr:rowOff>60097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5107900"/>
          <a:ext cx="1933575" cy="63159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762001</xdr:colOff>
      <xdr:row>136</xdr:row>
      <xdr:rowOff>190499</xdr:rowOff>
    </xdr:from>
    <xdr:to>
      <xdr:col>4</xdr:col>
      <xdr:colOff>398351</xdr:colOff>
      <xdr:row>140</xdr:row>
      <xdr:rowOff>9524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71626" y="28460699"/>
          <a:ext cx="2303350" cy="581025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143</xdr:row>
      <xdr:rowOff>133350</xdr:rowOff>
    </xdr:from>
    <xdr:to>
      <xdr:col>2</xdr:col>
      <xdr:colOff>523577</xdr:colOff>
      <xdr:row>147</xdr:row>
      <xdr:rowOff>18969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9075" y="29841825"/>
          <a:ext cx="2380952" cy="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819151</xdr:colOff>
      <xdr:row>136</xdr:row>
      <xdr:rowOff>142874</xdr:rowOff>
    </xdr:from>
    <xdr:to>
      <xdr:col>4</xdr:col>
      <xdr:colOff>285484</xdr:colOff>
      <xdr:row>140</xdr:row>
      <xdr:rowOff>190398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28776" y="28413074"/>
          <a:ext cx="2133333" cy="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119</xdr:row>
      <xdr:rowOff>104775</xdr:rowOff>
    </xdr:from>
    <xdr:to>
      <xdr:col>5</xdr:col>
      <xdr:colOff>247650</xdr:colOff>
      <xdr:row>122</xdr:row>
      <xdr:rowOff>175051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81275" y="25022175"/>
          <a:ext cx="1857375" cy="6417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119</xdr:row>
      <xdr:rowOff>152400</xdr:rowOff>
    </xdr:from>
    <xdr:to>
      <xdr:col>10</xdr:col>
      <xdr:colOff>415471</xdr:colOff>
      <xdr:row>123</xdr:row>
      <xdr:rowOff>28575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62550" y="25069800"/>
          <a:ext cx="2491921" cy="6381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6" totalsRowShown="0" headerRowBorderDxfId="11" tableBorderDxfId="10" totalsRowBorderDxfId="9">
  <autoFilter ref="A1:I6"/>
  <tableColumns count="9">
    <tableColumn id="1" name="Помещение" dataDxfId="8" dataCellStyle="Normal 2"/>
    <tableColumn id="2" name="Размери_x000a_ a x b x h_x000a_m" dataDxfId="7"/>
    <tableColumn id="3" name="Дължина" dataDxfId="6"/>
    <tableColumn id="4" name="Ширина" dataDxfId="5"/>
    <tableColumn id="5" name="Височина" dataDxfId="4"/>
    <tableColumn id="6" name="Площ_x000a_m2" dataDxfId="3">
      <calculatedColumnFormula>PRODUCT(C2:D2)</calculatedColumnFormula>
    </tableColumn>
    <tableColumn id="7" name="Обем_x000a_m3 " dataDxfId="2">
      <calculatedColumnFormula>PRODUCT(C2:E2)</calculatedColumnFormula>
    </tableColumn>
    <tableColumn id="8" name="Максимален капацитет_x000a_kg" dataDxfId="1" dataCellStyle="Normal 2"/>
    <tableColumn id="9" name="Температурен режим _x000a_C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24" sqref="M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0" sqref="B10"/>
    </sheetView>
  </sheetViews>
  <sheetFormatPr defaultRowHeight="15" x14ac:dyDescent="0.25"/>
  <cols>
    <col min="9" max="9" width="10.28515625" customWidth="1"/>
    <col min="10" max="10" width="12.85546875" customWidth="1"/>
  </cols>
  <sheetData>
    <row r="1" spans="1:13" x14ac:dyDescent="0.25">
      <c r="B1" t="s">
        <v>238</v>
      </c>
      <c r="C1" t="s">
        <v>240</v>
      </c>
      <c r="H1" s="158" t="s">
        <v>241</v>
      </c>
      <c r="I1" s="158"/>
      <c r="J1" s="158"/>
      <c r="K1" s="158"/>
      <c r="L1" s="158"/>
    </row>
    <row r="2" spans="1:13" x14ac:dyDescent="0.25">
      <c r="A2">
        <v>1</v>
      </c>
      <c r="B2">
        <v>37.200000000000003</v>
      </c>
      <c r="C2">
        <f>(B2*24)/20</f>
        <v>44.64</v>
      </c>
      <c r="H2" s="165" t="s">
        <v>54</v>
      </c>
      <c r="I2" s="165"/>
      <c r="J2" s="166" t="s">
        <v>248</v>
      </c>
      <c r="K2" s="166" t="s">
        <v>246</v>
      </c>
      <c r="L2" s="166" t="s">
        <v>247</v>
      </c>
    </row>
    <row r="3" spans="1:13" x14ac:dyDescent="0.25">
      <c r="A3">
        <v>2</v>
      </c>
      <c r="B3">
        <v>29.2</v>
      </c>
      <c r="C3">
        <f t="shared" ref="C3:C6" si="0">(B3*24)/20</f>
        <v>35.04</v>
      </c>
      <c r="H3" s="165"/>
      <c r="I3" s="165"/>
      <c r="J3" s="166" t="s">
        <v>249</v>
      </c>
      <c r="K3" s="166"/>
      <c r="L3" s="166"/>
    </row>
    <row r="4" spans="1:13" x14ac:dyDescent="0.25">
      <c r="A4">
        <v>3</v>
      </c>
      <c r="B4">
        <v>31.2</v>
      </c>
      <c r="C4">
        <f t="shared" si="0"/>
        <v>37.44</v>
      </c>
      <c r="H4" s="167" t="s">
        <v>242</v>
      </c>
      <c r="I4" s="167"/>
      <c r="J4" s="168">
        <v>37.200000000000003</v>
      </c>
      <c r="K4" s="168">
        <v>0</v>
      </c>
      <c r="L4" s="168">
        <v>-8</v>
      </c>
    </row>
    <row r="5" spans="1:13" x14ac:dyDescent="0.25">
      <c r="A5">
        <v>4</v>
      </c>
      <c r="B5">
        <v>34</v>
      </c>
      <c r="C5">
        <f t="shared" si="0"/>
        <v>40.799999999999997</v>
      </c>
      <c r="H5" s="160" t="s">
        <v>243</v>
      </c>
      <c r="I5" s="160"/>
      <c r="J5" s="169">
        <v>29.2</v>
      </c>
      <c r="K5" s="169">
        <v>4</v>
      </c>
      <c r="L5" s="169">
        <v>-4</v>
      </c>
    </row>
    <row r="6" spans="1:13" x14ac:dyDescent="0.25">
      <c r="A6" t="s">
        <v>239</v>
      </c>
      <c r="B6">
        <v>42.3</v>
      </c>
      <c r="C6">
        <f t="shared" si="0"/>
        <v>50.76</v>
      </c>
      <c r="H6" s="167" t="s">
        <v>244</v>
      </c>
      <c r="I6" s="167"/>
      <c r="J6" s="168">
        <v>31.2</v>
      </c>
      <c r="K6" s="168">
        <v>6</v>
      </c>
      <c r="L6" s="168">
        <v>-2</v>
      </c>
    </row>
    <row r="7" spans="1:13" ht="16.5" customHeight="1" x14ac:dyDescent="0.25">
      <c r="B7">
        <f>SUM(B2:B6)</f>
        <v>173.90000000000003</v>
      </c>
      <c r="C7">
        <f>SUM(C2:C6)</f>
        <v>208.68</v>
      </c>
      <c r="H7" s="170" t="s">
        <v>245</v>
      </c>
      <c r="I7" s="170"/>
      <c r="J7" s="165">
        <v>42.3</v>
      </c>
      <c r="K7" s="165">
        <v>8</v>
      </c>
      <c r="L7" s="165">
        <v>0</v>
      </c>
      <c r="M7" s="161"/>
    </row>
    <row r="8" spans="1:13" x14ac:dyDescent="0.25">
      <c r="B8">
        <f>B7-B5</f>
        <v>139.90000000000003</v>
      </c>
      <c r="H8" s="170"/>
      <c r="I8" s="170"/>
      <c r="J8" s="165"/>
      <c r="K8" s="165"/>
      <c r="L8" s="165"/>
      <c r="M8" s="161"/>
    </row>
    <row r="9" spans="1:13" x14ac:dyDescent="0.25">
      <c r="B9">
        <f>B8-B6-B4</f>
        <v>66.400000000000034</v>
      </c>
      <c r="H9" s="172" t="s">
        <v>134</v>
      </c>
      <c r="I9" s="173"/>
      <c r="J9" s="171">
        <f>SUM(J4:J8)</f>
        <v>139.9</v>
      </c>
      <c r="K9" s="171" t="s">
        <v>250</v>
      </c>
      <c r="L9" s="171">
        <v>-8</v>
      </c>
      <c r="M9" s="161"/>
    </row>
    <row r="10" spans="1:13" x14ac:dyDescent="0.25">
      <c r="H10" s="161"/>
      <c r="I10" s="161"/>
      <c r="J10" s="161"/>
      <c r="K10" s="161"/>
      <c r="L10" s="161"/>
      <c r="M10" s="161"/>
    </row>
    <row r="11" spans="1:13" x14ac:dyDescent="0.25">
      <c r="H11" s="158" t="s">
        <v>241</v>
      </c>
      <c r="I11" s="158"/>
      <c r="J11" s="158"/>
      <c r="K11" s="158"/>
      <c r="L11" s="158"/>
    </row>
    <row r="12" spans="1:13" x14ac:dyDescent="0.25">
      <c r="H12" s="165" t="s">
        <v>54</v>
      </c>
      <c r="I12" s="165"/>
      <c r="J12" s="166" t="s">
        <v>248</v>
      </c>
      <c r="K12" s="166" t="s">
        <v>246</v>
      </c>
      <c r="L12" s="166" t="s">
        <v>247</v>
      </c>
    </row>
    <row r="13" spans="1:13" x14ac:dyDescent="0.25">
      <c r="H13" s="165"/>
      <c r="I13" s="165"/>
      <c r="J13" s="166" t="s">
        <v>249</v>
      </c>
      <c r="K13" s="166"/>
      <c r="L13" s="166"/>
    </row>
    <row r="14" spans="1:13" x14ac:dyDescent="0.25">
      <c r="H14" s="176" t="s">
        <v>251</v>
      </c>
      <c r="I14" s="176"/>
      <c r="J14" s="176">
        <v>34</v>
      </c>
      <c r="K14" s="176">
        <v>-27</v>
      </c>
      <c r="L14" s="176">
        <v>-35</v>
      </c>
    </row>
    <row r="15" spans="1:13" x14ac:dyDescent="0.25">
      <c r="H15" s="174" t="s">
        <v>134</v>
      </c>
      <c r="I15" s="175"/>
      <c r="J15" s="166">
        <f ca="1">SUM(J11:J15)</f>
        <v>42.3</v>
      </c>
      <c r="K15" s="166" t="s">
        <v>250</v>
      </c>
      <c r="L15" s="166">
        <v>-8</v>
      </c>
    </row>
    <row r="19" spans="2:5" x14ac:dyDescent="0.25">
      <c r="B19">
        <v>408.22</v>
      </c>
      <c r="D19" t="s">
        <v>252</v>
      </c>
      <c r="E19">
        <f>1.666*(B19-B20)</f>
        <v>232.74020000000007</v>
      </c>
    </row>
    <row r="20" spans="2:5" x14ac:dyDescent="0.25">
      <c r="B20">
        <v>268.52</v>
      </c>
    </row>
    <row r="21" spans="2:5" x14ac:dyDescent="0.25">
      <c r="B21">
        <v>243.452</v>
      </c>
    </row>
  </sheetData>
  <mergeCells count="13">
    <mergeCell ref="H15:I15"/>
    <mergeCell ref="H1:L1"/>
    <mergeCell ref="H2:I3"/>
    <mergeCell ref="H9:I9"/>
    <mergeCell ref="H11:L11"/>
    <mergeCell ref="H12:I13"/>
    <mergeCell ref="H7:I8"/>
    <mergeCell ref="H6:I6"/>
    <mergeCell ref="H5:I5"/>
    <mergeCell ref="H4:I4"/>
    <mergeCell ref="J7:J8"/>
    <mergeCell ref="K7:K8"/>
    <mergeCell ref="L7:L8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B19" sqref="B19:H21"/>
    </sheetView>
  </sheetViews>
  <sheetFormatPr defaultRowHeight="15" x14ac:dyDescent="0.25"/>
  <cols>
    <col min="2" max="2" width="15.28515625" customWidth="1"/>
    <col min="3" max="3" width="5.140625" customWidth="1"/>
    <col min="4" max="4" width="8.85546875" customWidth="1"/>
    <col min="5" max="5" width="7.7109375" customWidth="1"/>
    <col min="6" max="6" width="8.5703125" customWidth="1"/>
    <col min="7" max="7" width="13.42578125" customWidth="1"/>
    <col min="8" max="8" width="14.7109375" customWidth="1"/>
  </cols>
  <sheetData>
    <row r="2" spans="1:8" x14ac:dyDescent="0.25">
      <c r="B2" t="s">
        <v>263</v>
      </c>
    </row>
    <row r="5" spans="1:8" x14ac:dyDescent="0.25">
      <c r="A5" s="55" t="s">
        <v>253</v>
      </c>
      <c r="B5" s="179" t="s">
        <v>254</v>
      </c>
      <c r="C5" s="179" t="s">
        <v>256</v>
      </c>
      <c r="D5" s="179" t="s">
        <v>257</v>
      </c>
      <c r="E5" s="179" t="s">
        <v>258</v>
      </c>
      <c r="F5" s="179" t="s">
        <v>259</v>
      </c>
      <c r="G5" s="179" t="s">
        <v>260</v>
      </c>
      <c r="H5" s="179" t="s">
        <v>261</v>
      </c>
    </row>
    <row r="6" spans="1:8" x14ac:dyDescent="0.25">
      <c r="A6" s="1">
        <v>1</v>
      </c>
      <c r="B6" s="181" t="s">
        <v>262</v>
      </c>
      <c r="C6" s="182">
        <v>32</v>
      </c>
      <c r="D6" s="182">
        <v>6.4999999999999997E-4</v>
      </c>
      <c r="E6" s="182">
        <v>4.8000000000000001E-2</v>
      </c>
      <c r="F6" s="182">
        <v>0.6</v>
      </c>
      <c r="G6" s="182">
        <v>12.59</v>
      </c>
      <c r="H6" s="182">
        <v>5.33E-2</v>
      </c>
    </row>
    <row r="7" spans="1:8" x14ac:dyDescent="0.25">
      <c r="A7" s="1"/>
      <c r="B7" s="181" t="s">
        <v>262</v>
      </c>
      <c r="C7" s="182">
        <v>32</v>
      </c>
      <c r="D7" s="182">
        <v>6.4999999999999997E-4</v>
      </c>
      <c r="E7" s="182">
        <v>4.8000000000000001E-2</v>
      </c>
      <c r="F7" s="182">
        <v>0.6</v>
      </c>
      <c r="G7" s="182">
        <v>12.59</v>
      </c>
      <c r="H7" s="182">
        <v>5.33E-2</v>
      </c>
    </row>
    <row r="8" spans="1:8" x14ac:dyDescent="0.25">
      <c r="A8" s="1">
        <v>2</v>
      </c>
      <c r="B8" s="179" t="s">
        <v>264</v>
      </c>
      <c r="C8" s="180">
        <v>32</v>
      </c>
      <c r="D8" s="180">
        <v>5.2499999999999997E-4</v>
      </c>
      <c r="E8" s="180">
        <v>3.7999999999999999E-2</v>
      </c>
      <c r="F8" s="180">
        <v>0.4</v>
      </c>
      <c r="G8" s="180">
        <v>8.3800000000000008</v>
      </c>
      <c r="H8" s="180">
        <v>2.6700000000000002E-2</v>
      </c>
    </row>
    <row r="9" spans="1:8" x14ac:dyDescent="0.25">
      <c r="A9" s="1"/>
      <c r="B9" s="179" t="s">
        <v>264</v>
      </c>
      <c r="C9" s="180">
        <v>32</v>
      </c>
      <c r="D9" s="180">
        <v>5.2499999999999997E-4</v>
      </c>
      <c r="E9" s="180">
        <v>3.7999999999999999E-2</v>
      </c>
      <c r="F9" s="180">
        <v>0.4</v>
      </c>
      <c r="G9" s="180">
        <v>8.3800000000000008</v>
      </c>
      <c r="H9" s="180">
        <v>2.6700000000000002E-2</v>
      </c>
    </row>
    <row r="10" spans="1:8" x14ac:dyDescent="0.25">
      <c r="A10" s="1">
        <v>3</v>
      </c>
      <c r="B10" s="181" t="s">
        <v>264</v>
      </c>
      <c r="C10" s="182">
        <v>32</v>
      </c>
      <c r="D10" s="182">
        <v>5.2499999999999997E-4</v>
      </c>
      <c r="E10" s="182">
        <v>3.7999999999999999E-2</v>
      </c>
      <c r="F10" s="182">
        <v>0.4</v>
      </c>
      <c r="G10" s="182">
        <v>8.15</v>
      </c>
      <c r="H10" s="182">
        <v>2.6700000000000002E-2</v>
      </c>
    </row>
    <row r="11" spans="1:8" x14ac:dyDescent="0.25">
      <c r="A11" s="1"/>
      <c r="B11" s="181" t="s">
        <v>264</v>
      </c>
      <c r="C11" s="182">
        <v>32</v>
      </c>
      <c r="D11" s="182">
        <v>5.2499999999999997E-4</v>
      </c>
      <c r="E11" s="182">
        <v>3.7999999999999999E-2</v>
      </c>
      <c r="F11" s="182">
        <v>0.4</v>
      </c>
      <c r="G11" s="182">
        <v>8.15</v>
      </c>
      <c r="H11" s="182">
        <v>2.6700000000000002E-2</v>
      </c>
    </row>
    <row r="12" spans="1:8" x14ac:dyDescent="0.25">
      <c r="A12" s="1">
        <v>4</v>
      </c>
      <c r="B12" s="55" t="s">
        <v>265</v>
      </c>
      <c r="C12" s="55">
        <v>50</v>
      </c>
      <c r="D12" s="55">
        <v>5.2499999999999997E-4</v>
      </c>
      <c r="E12" s="55">
        <v>0.12</v>
      </c>
      <c r="F12" s="55">
        <v>3.9</v>
      </c>
      <c r="G12" s="55">
        <v>11.73</v>
      </c>
      <c r="H12" s="55">
        <v>2.6700000000000002E-2</v>
      </c>
    </row>
    <row r="13" spans="1:8" x14ac:dyDescent="0.25">
      <c r="A13" s="1"/>
      <c r="B13" s="55" t="s">
        <v>265</v>
      </c>
      <c r="C13" s="55">
        <v>50</v>
      </c>
      <c r="D13" s="55">
        <v>5.2499999999999997E-4</v>
      </c>
      <c r="E13" s="55">
        <v>0.12</v>
      </c>
      <c r="F13" s="55">
        <v>3.9</v>
      </c>
      <c r="G13" s="55">
        <v>11.73</v>
      </c>
      <c r="H13" s="55">
        <v>2.6700000000000002E-2</v>
      </c>
    </row>
    <row r="14" spans="1:8" x14ac:dyDescent="0.25">
      <c r="A14" s="1" t="s">
        <v>255</v>
      </c>
      <c r="B14" s="181" t="s">
        <v>266</v>
      </c>
      <c r="C14" s="182">
        <v>25</v>
      </c>
      <c r="D14" s="182">
        <v>4.1869999999999999E-4</v>
      </c>
      <c r="E14" s="182">
        <v>4.5999999999999999E-2</v>
      </c>
      <c r="F14" s="182">
        <v>0.4</v>
      </c>
      <c r="G14" s="182">
        <v>11.74</v>
      </c>
      <c r="H14" s="182">
        <v>2.6700000000000002E-2</v>
      </c>
    </row>
    <row r="15" spans="1:8" x14ac:dyDescent="0.25">
      <c r="A15" s="1"/>
      <c r="B15" s="181" t="s">
        <v>266</v>
      </c>
      <c r="C15" s="182">
        <v>25</v>
      </c>
      <c r="D15" s="182">
        <v>4.1869999999999999E-4</v>
      </c>
      <c r="E15" s="182">
        <v>4.5999999999999999E-2</v>
      </c>
      <c r="F15" s="182">
        <v>0.4</v>
      </c>
      <c r="G15" s="182">
        <v>11.74</v>
      </c>
      <c r="H15" s="182">
        <v>2.6700000000000002E-2</v>
      </c>
    </row>
    <row r="16" spans="1:8" x14ac:dyDescent="0.25">
      <c r="A16" s="1"/>
      <c r="B16" s="181" t="s">
        <v>266</v>
      </c>
      <c r="C16" s="182">
        <v>25</v>
      </c>
      <c r="D16" s="182">
        <v>4.1869999999999999E-4</v>
      </c>
      <c r="E16" s="182">
        <v>4.5999999999999999E-2</v>
      </c>
      <c r="F16" s="182">
        <v>0.4</v>
      </c>
      <c r="G16" s="182">
        <v>11.74</v>
      </c>
      <c r="H16" s="182">
        <v>2.6700000000000002E-2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selection activeCell="B26" sqref="B26"/>
    </sheetView>
  </sheetViews>
  <sheetFormatPr defaultRowHeight="15" x14ac:dyDescent="0.25"/>
  <cols>
    <col min="1" max="1" width="10.42578125" customWidth="1"/>
    <col min="2" max="2" width="10.5703125" customWidth="1"/>
    <col min="3" max="3" width="16.5703125" customWidth="1"/>
    <col min="4" max="4" width="12.140625" customWidth="1"/>
    <col min="5" max="5" width="18.140625" customWidth="1"/>
    <col min="6" max="6" width="18.28515625" customWidth="1"/>
  </cols>
  <sheetData>
    <row r="1" spans="1:8" x14ac:dyDescent="0.25">
      <c r="A1" t="s">
        <v>295</v>
      </c>
    </row>
    <row r="2" spans="1:8" x14ac:dyDescent="0.25">
      <c r="A2" s="184" t="s">
        <v>281</v>
      </c>
      <c r="B2" s="184" t="s">
        <v>278</v>
      </c>
      <c r="C2" s="183" t="s">
        <v>269</v>
      </c>
      <c r="D2" s="183" t="s">
        <v>268</v>
      </c>
      <c r="E2" s="183" t="s">
        <v>270</v>
      </c>
      <c r="F2" s="183" t="s">
        <v>271</v>
      </c>
      <c r="G2" s="183" t="s">
        <v>276</v>
      </c>
      <c r="H2" s="183" t="s">
        <v>272</v>
      </c>
    </row>
    <row r="3" spans="1:8" x14ac:dyDescent="0.25">
      <c r="A3" s="1" t="s">
        <v>17</v>
      </c>
      <c r="B3" s="1" t="s">
        <v>17</v>
      </c>
      <c r="C3" s="1" t="s">
        <v>17</v>
      </c>
      <c r="D3" s="1" t="s">
        <v>19</v>
      </c>
      <c r="E3" s="1" t="s">
        <v>273</v>
      </c>
      <c r="F3" s="1" t="s">
        <v>274</v>
      </c>
      <c r="G3" s="1" t="s">
        <v>275</v>
      </c>
      <c r="H3" s="1" t="s">
        <v>277</v>
      </c>
    </row>
    <row r="4" spans="1:8" x14ac:dyDescent="0.25">
      <c r="A4" s="184" t="s">
        <v>282</v>
      </c>
      <c r="B4" s="184" t="s">
        <v>279</v>
      </c>
      <c r="C4" s="183" t="s">
        <v>280</v>
      </c>
      <c r="D4" s="183">
        <v>35</v>
      </c>
      <c r="E4" s="183">
        <v>1.0999999999999999E-2</v>
      </c>
      <c r="F4" s="183">
        <v>0</v>
      </c>
      <c r="G4" s="183">
        <v>1.2E-2</v>
      </c>
      <c r="H4" s="183">
        <v>1.22</v>
      </c>
    </row>
    <row r="5" spans="1:8" ht="15.75" x14ac:dyDescent="0.25">
      <c r="D5" s="189" t="s">
        <v>294</v>
      </c>
      <c r="E5" s="189">
        <f>SUM(E2:E4)</f>
        <v>1.0999999999999999E-2</v>
      </c>
      <c r="F5" s="189">
        <f>SUM(F2:F4)</f>
        <v>0</v>
      </c>
    </row>
    <row r="6" spans="1:8" ht="15.75" x14ac:dyDescent="0.25">
      <c r="A6" s="190" t="s">
        <v>296</v>
      </c>
    </row>
    <row r="7" spans="1:8" x14ac:dyDescent="0.25">
      <c r="A7" s="184" t="s">
        <v>281</v>
      </c>
      <c r="B7" s="184" t="s">
        <v>278</v>
      </c>
      <c r="C7" s="183" t="s">
        <v>269</v>
      </c>
      <c r="D7" s="183" t="s">
        <v>268</v>
      </c>
      <c r="E7" s="183" t="s">
        <v>270</v>
      </c>
      <c r="F7" s="183" t="s">
        <v>271</v>
      </c>
      <c r="G7" s="183" t="s">
        <v>276</v>
      </c>
      <c r="H7" s="183" t="s">
        <v>272</v>
      </c>
    </row>
    <row r="8" spans="1:8" x14ac:dyDescent="0.25">
      <c r="A8" s="1" t="s">
        <v>17</v>
      </c>
      <c r="B8" s="1" t="s">
        <v>17</v>
      </c>
      <c r="C8" s="1" t="s">
        <v>17</v>
      </c>
      <c r="D8" s="1" t="s">
        <v>19</v>
      </c>
      <c r="E8" s="1" t="s">
        <v>273</v>
      </c>
      <c r="F8" s="1" t="s">
        <v>274</v>
      </c>
      <c r="G8" s="1" t="s">
        <v>275</v>
      </c>
      <c r="H8" s="1" t="s">
        <v>277</v>
      </c>
    </row>
    <row r="9" spans="1:8" x14ac:dyDescent="0.25">
      <c r="A9" s="184" t="s">
        <v>283</v>
      </c>
      <c r="B9" s="184" t="s">
        <v>279</v>
      </c>
      <c r="C9" s="185" t="s">
        <v>284</v>
      </c>
      <c r="D9" s="185">
        <v>35</v>
      </c>
      <c r="E9" s="185">
        <v>5.0000000000000001E-3</v>
      </c>
      <c r="F9" s="185">
        <v>0</v>
      </c>
      <c r="G9" s="185" t="s">
        <v>17</v>
      </c>
      <c r="H9" s="185">
        <v>1.48</v>
      </c>
    </row>
    <row r="10" spans="1:8" x14ac:dyDescent="0.25">
      <c r="A10" s="162" t="s">
        <v>282</v>
      </c>
      <c r="B10" s="162" t="s">
        <v>279</v>
      </c>
      <c r="C10" s="162" t="s">
        <v>285</v>
      </c>
      <c r="D10" s="162">
        <v>22</v>
      </c>
      <c r="E10" s="162">
        <v>7.3999999999999996E-2</v>
      </c>
      <c r="F10" s="162">
        <v>0.2</v>
      </c>
      <c r="G10" s="162">
        <v>2.9000000000000001E-2</v>
      </c>
      <c r="H10" s="162">
        <v>1.48</v>
      </c>
    </row>
    <row r="11" spans="1:8" x14ac:dyDescent="0.25">
      <c r="A11" s="183" t="s">
        <v>287</v>
      </c>
      <c r="B11" s="183" t="s">
        <v>279</v>
      </c>
      <c r="C11" s="183" t="s">
        <v>286</v>
      </c>
      <c r="D11" s="183">
        <v>22</v>
      </c>
      <c r="E11" s="183">
        <v>3.0000000000000001E-3</v>
      </c>
      <c r="F11" s="183">
        <v>0</v>
      </c>
      <c r="G11" s="183" t="s">
        <v>17</v>
      </c>
      <c r="H11" s="183">
        <v>1.48</v>
      </c>
    </row>
    <row r="12" spans="1:8" ht="15.75" x14ac:dyDescent="0.25">
      <c r="D12" s="189" t="s">
        <v>294</v>
      </c>
      <c r="E12" s="189">
        <f>SUM(E9:E11)</f>
        <v>8.2000000000000003E-2</v>
      </c>
      <c r="F12" s="189">
        <f>SUM(F9:F11)</f>
        <v>0.2</v>
      </c>
    </row>
    <row r="13" spans="1:8" ht="15.75" x14ac:dyDescent="0.25">
      <c r="A13" s="190" t="s">
        <v>297</v>
      </c>
    </row>
    <row r="14" spans="1:8" x14ac:dyDescent="0.25">
      <c r="A14" s="184" t="s">
        <v>281</v>
      </c>
      <c r="B14" s="184" t="s">
        <v>278</v>
      </c>
      <c r="C14" s="183" t="s">
        <v>269</v>
      </c>
      <c r="D14" s="183" t="s">
        <v>268</v>
      </c>
      <c r="E14" s="183" t="s">
        <v>270</v>
      </c>
      <c r="F14" s="183" t="s">
        <v>271</v>
      </c>
      <c r="G14" s="183" t="s">
        <v>276</v>
      </c>
      <c r="H14" s="183" t="s">
        <v>272</v>
      </c>
    </row>
    <row r="15" spans="1:8" x14ac:dyDescent="0.25">
      <c r="A15" s="1" t="s">
        <v>17</v>
      </c>
      <c r="B15" s="1" t="s">
        <v>17</v>
      </c>
      <c r="C15" s="1" t="s">
        <v>17</v>
      </c>
      <c r="D15" s="1" t="s">
        <v>19</v>
      </c>
      <c r="E15" s="1" t="s">
        <v>273</v>
      </c>
      <c r="F15" s="1" t="s">
        <v>274</v>
      </c>
      <c r="G15" s="1" t="s">
        <v>275</v>
      </c>
      <c r="H15" s="1" t="s">
        <v>277</v>
      </c>
    </row>
    <row r="16" spans="1:8" x14ac:dyDescent="0.25">
      <c r="A16" s="183" t="s">
        <v>287</v>
      </c>
      <c r="B16" s="183" t="s">
        <v>279</v>
      </c>
      <c r="C16" s="183" t="s">
        <v>286</v>
      </c>
      <c r="D16" s="183">
        <v>22</v>
      </c>
      <c r="E16" s="183">
        <v>0</v>
      </c>
      <c r="F16" s="183">
        <v>0</v>
      </c>
      <c r="G16" s="183" t="s">
        <v>17</v>
      </c>
      <c r="H16" s="183">
        <v>0.41</v>
      </c>
    </row>
    <row r="17" spans="1:8" x14ac:dyDescent="0.25">
      <c r="A17" s="1" t="s">
        <v>283</v>
      </c>
      <c r="B17" s="1" t="s">
        <v>279</v>
      </c>
      <c r="C17" s="1" t="s">
        <v>300</v>
      </c>
      <c r="D17" s="1">
        <v>22</v>
      </c>
      <c r="E17" s="1">
        <v>1E-3</v>
      </c>
      <c r="F17" s="1">
        <v>0</v>
      </c>
      <c r="G17" s="1" t="s">
        <v>17</v>
      </c>
      <c r="H17" s="1">
        <v>0.84</v>
      </c>
    </row>
    <row r="18" spans="1:8" x14ac:dyDescent="0.25">
      <c r="A18" s="183" t="s">
        <v>282</v>
      </c>
      <c r="B18" s="183" t="s">
        <v>279</v>
      </c>
      <c r="C18" s="183" t="s">
        <v>299</v>
      </c>
      <c r="D18" s="183">
        <v>16</v>
      </c>
      <c r="E18" s="183">
        <v>8.9999999999999993E-3</v>
      </c>
      <c r="F18" s="183">
        <v>0</v>
      </c>
      <c r="G18" s="183">
        <v>1.6E-2</v>
      </c>
      <c r="H18" s="183">
        <v>0.84</v>
      </c>
    </row>
    <row r="19" spans="1:8" x14ac:dyDescent="0.25">
      <c r="A19" s="1" t="s">
        <v>287</v>
      </c>
      <c r="B19" s="1" t="s">
        <v>279</v>
      </c>
      <c r="C19" s="1" t="s">
        <v>301</v>
      </c>
      <c r="D19" s="1">
        <v>16</v>
      </c>
      <c r="E19" s="1">
        <v>1E-3</v>
      </c>
      <c r="F19" s="1">
        <v>0</v>
      </c>
      <c r="G19" s="1" t="s">
        <v>17</v>
      </c>
      <c r="H19" s="1">
        <v>0.84</v>
      </c>
    </row>
    <row r="20" spans="1:8" x14ac:dyDescent="0.25">
      <c r="A20" s="192" t="s">
        <v>303</v>
      </c>
      <c r="B20" s="193"/>
      <c r="C20" s="183" t="s">
        <v>304</v>
      </c>
      <c r="D20" s="183">
        <v>16</v>
      </c>
      <c r="E20" s="183">
        <v>1E-3</v>
      </c>
      <c r="F20" s="183">
        <v>0</v>
      </c>
      <c r="G20" s="183" t="s">
        <v>17</v>
      </c>
      <c r="H20" s="183">
        <v>0.98</v>
      </c>
    </row>
    <row r="21" spans="1:8" x14ac:dyDescent="0.25">
      <c r="A21" s="195" t="s">
        <v>306</v>
      </c>
      <c r="B21" s="196"/>
      <c r="C21" s="1" t="s">
        <v>305</v>
      </c>
      <c r="D21" s="1">
        <v>16</v>
      </c>
      <c r="E21" s="1">
        <v>1.2E-2</v>
      </c>
      <c r="F21" s="1">
        <v>0</v>
      </c>
      <c r="G21" s="194" t="s">
        <v>17</v>
      </c>
      <c r="H21" s="194">
        <v>0.87</v>
      </c>
    </row>
    <row r="22" spans="1:8" x14ac:dyDescent="0.25">
      <c r="A22" s="192" t="s">
        <v>298</v>
      </c>
      <c r="B22" s="193"/>
      <c r="C22" s="183" t="s">
        <v>302</v>
      </c>
      <c r="D22" s="183">
        <v>16</v>
      </c>
      <c r="E22" s="183">
        <v>4.7E-2</v>
      </c>
      <c r="F22" s="183">
        <v>0.1</v>
      </c>
      <c r="G22" s="184" t="s">
        <v>17</v>
      </c>
      <c r="H22" s="183">
        <v>0.83</v>
      </c>
    </row>
    <row r="23" spans="1:8" x14ac:dyDescent="0.25">
      <c r="A23" s="195" t="s">
        <v>325</v>
      </c>
      <c r="B23" s="196"/>
      <c r="C23" s="1" t="s">
        <v>326</v>
      </c>
      <c r="D23" s="1">
        <v>16</v>
      </c>
      <c r="E23" s="1">
        <v>0.05</v>
      </c>
      <c r="F23" s="1">
        <v>0.2</v>
      </c>
      <c r="G23" s="1" t="s">
        <v>17</v>
      </c>
      <c r="H23" s="1">
        <v>2.04</v>
      </c>
    </row>
    <row r="24" spans="1:8" ht="15.75" x14ac:dyDescent="0.25">
      <c r="D24" s="191" t="s">
        <v>294</v>
      </c>
      <c r="E24" s="191">
        <f>SUM(E16:E23)</f>
        <v>0.12100000000000001</v>
      </c>
      <c r="F24" s="191">
        <f>SUM(F16:F23)</f>
        <v>0.30000000000000004</v>
      </c>
    </row>
    <row r="25" spans="1:8" ht="15.75" x14ac:dyDescent="0.25">
      <c r="A25" s="190" t="s">
        <v>307</v>
      </c>
    </row>
    <row r="26" spans="1:8" x14ac:dyDescent="0.25">
      <c r="A26" s="184" t="s">
        <v>281</v>
      </c>
      <c r="B26" s="184" t="s">
        <v>278</v>
      </c>
      <c r="C26" s="183" t="s">
        <v>269</v>
      </c>
      <c r="D26" s="183" t="s">
        <v>268</v>
      </c>
      <c r="E26" s="183" t="s">
        <v>270</v>
      </c>
      <c r="F26" s="183" t="s">
        <v>271</v>
      </c>
      <c r="G26" s="183" t="s">
        <v>276</v>
      </c>
      <c r="H26" s="183" t="s">
        <v>272</v>
      </c>
    </row>
    <row r="27" spans="1:8" x14ac:dyDescent="0.25">
      <c r="A27" s="1" t="s">
        <v>17</v>
      </c>
      <c r="B27" s="1" t="s">
        <v>17</v>
      </c>
      <c r="C27" s="1" t="s">
        <v>17</v>
      </c>
      <c r="D27" s="1" t="s">
        <v>19</v>
      </c>
      <c r="E27" s="1" t="s">
        <v>273</v>
      </c>
      <c r="F27" s="1" t="s">
        <v>274</v>
      </c>
      <c r="G27" s="1" t="s">
        <v>275</v>
      </c>
      <c r="H27" s="1" t="s">
        <v>277</v>
      </c>
    </row>
    <row r="28" spans="1:8" x14ac:dyDescent="0.25">
      <c r="A28" s="184" t="s">
        <v>282</v>
      </c>
      <c r="B28" s="184" t="s">
        <v>279</v>
      </c>
      <c r="C28" s="183" t="s">
        <v>285</v>
      </c>
      <c r="D28" s="183">
        <v>22</v>
      </c>
      <c r="E28" s="183">
        <v>0.02</v>
      </c>
      <c r="F28" s="183">
        <v>0.1</v>
      </c>
      <c r="G28" s="183">
        <v>1.6E-2</v>
      </c>
      <c r="H28" s="183">
        <v>1.06</v>
      </c>
    </row>
    <row r="29" spans="1:8" ht="15.75" x14ac:dyDescent="0.25">
      <c r="D29" s="189" t="s">
        <v>294</v>
      </c>
      <c r="E29" s="189">
        <f>SUM(E26:E28)</f>
        <v>0.02</v>
      </c>
      <c r="F29" s="189">
        <f>SUM(F26:F28)</f>
        <v>0.1</v>
      </c>
    </row>
    <row r="30" spans="1:8" ht="15.75" x14ac:dyDescent="0.25">
      <c r="A30" s="190" t="s">
        <v>308</v>
      </c>
    </row>
    <row r="31" spans="1:8" x14ac:dyDescent="0.25">
      <c r="A31" s="184" t="s">
        <v>281</v>
      </c>
      <c r="B31" s="184" t="s">
        <v>278</v>
      </c>
      <c r="C31" s="183" t="s">
        <v>269</v>
      </c>
      <c r="D31" s="183" t="s">
        <v>268</v>
      </c>
      <c r="E31" s="183" t="s">
        <v>270</v>
      </c>
      <c r="F31" s="183" t="s">
        <v>271</v>
      </c>
      <c r="G31" s="183" t="s">
        <v>276</v>
      </c>
      <c r="H31" s="183" t="s">
        <v>272</v>
      </c>
    </row>
    <row r="32" spans="1:8" x14ac:dyDescent="0.25">
      <c r="A32" s="1" t="s">
        <v>17</v>
      </c>
      <c r="B32" s="1" t="s">
        <v>17</v>
      </c>
      <c r="C32" s="1" t="s">
        <v>17</v>
      </c>
      <c r="D32" s="1" t="s">
        <v>19</v>
      </c>
      <c r="E32" s="1" t="s">
        <v>273</v>
      </c>
      <c r="F32" s="1" t="s">
        <v>274</v>
      </c>
      <c r="G32" s="1" t="s">
        <v>275</v>
      </c>
      <c r="H32" s="1" t="s">
        <v>277</v>
      </c>
    </row>
    <row r="33" spans="1:9" x14ac:dyDescent="0.25">
      <c r="A33" s="183" t="s">
        <v>287</v>
      </c>
      <c r="B33" s="183" t="s">
        <v>279</v>
      </c>
      <c r="C33" s="183" t="s">
        <v>286</v>
      </c>
      <c r="D33" s="183">
        <v>22</v>
      </c>
      <c r="E33" s="183">
        <v>0</v>
      </c>
      <c r="F33" s="183">
        <v>0</v>
      </c>
      <c r="G33" s="183" t="s">
        <v>17</v>
      </c>
      <c r="H33" s="183">
        <v>0.41</v>
      </c>
    </row>
    <row r="34" spans="1:9" x14ac:dyDescent="0.25">
      <c r="A34" s="1" t="s">
        <v>283</v>
      </c>
      <c r="B34" s="1" t="s">
        <v>279</v>
      </c>
      <c r="C34" s="1" t="s">
        <v>300</v>
      </c>
      <c r="D34" s="1">
        <v>22</v>
      </c>
      <c r="E34" s="1">
        <v>1E-3</v>
      </c>
      <c r="F34" s="1">
        <v>0</v>
      </c>
      <c r="G34" s="1" t="s">
        <v>17</v>
      </c>
      <c r="H34" s="1">
        <v>0.84</v>
      </c>
    </row>
    <row r="35" spans="1:9" x14ac:dyDescent="0.25">
      <c r="A35" s="183" t="s">
        <v>282</v>
      </c>
      <c r="B35" s="183" t="s">
        <v>279</v>
      </c>
      <c r="C35" s="183" t="s">
        <v>299</v>
      </c>
      <c r="D35" s="183">
        <v>16</v>
      </c>
      <c r="E35" s="183">
        <v>8.9999999999999993E-3</v>
      </c>
      <c r="F35" s="183">
        <v>0</v>
      </c>
      <c r="G35" s="183">
        <v>1.6E-2</v>
      </c>
      <c r="H35" s="183">
        <v>0.84</v>
      </c>
    </row>
    <row r="36" spans="1:9" x14ac:dyDescent="0.25">
      <c r="A36" s="1" t="s">
        <v>287</v>
      </c>
      <c r="B36" s="1" t="s">
        <v>279</v>
      </c>
      <c r="C36" s="1" t="s">
        <v>301</v>
      </c>
      <c r="D36" s="1">
        <v>16</v>
      </c>
      <c r="E36" s="1">
        <v>1E-3</v>
      </c>
      <c r="F36" s="1">
        <v>0</v>
      </c>
      <c r="G36" s="1" t="s">
        <v>17</v>
      </c>
      <c r="H36" s="1">
        <v>0.84</v>
      </c>
    </row>
    <row r="37" spans="1:9" x14ac:dyDescent="0.25">
      <c r="A37" s="163" t="s">
        <v>303</v>
      </c>
      <c r="B37" s="163"/>
      <c r="C37" s="183" t="s">
        <v>304</v>
      </c>
      <c r="D37" s="183">
        <v>16</v>
      </c>
      <c r="E37" s="183">
        <v>1E-3</v>
      </c>
      <c r="F37" s="183">
        <v>0</v>
      </c>
      <c r="G37" s="183" t="s">
        <v>17</v>
      </c>
      <c r="H37" s="183">
        <v>0.98</v>
      </c>
    </row>
    <row r="38" spans="1:9" x14ac:dyDescent="0.25">
      <c r="A38" s="157" t="s">
        <v>306</v>
      </c>
      <c r="B38" s="157"/>
      <c r="C38" s="1" t="s">
        <v>305</v>
      </c>
      <c r="D38" s="1">
        <v>16</v>
      </c>
      <c r="E38" s="1">
        <v>1.2E-2</v>
      </c>
      <c r="F38" s="1">
        <v>0</v>
      </c>
      <c r="G38" s="194" t="s">
        <v>17</v>
      </c>
      <c r="H38" s="194">
        <v>0.87</v>
      </c>
    </row>
    <row r="39" spans="1:9" x14ac:dyDescent="0.25">
      <c r="A39" s="192" t="s">
        <v>298</v>
      </c>
      <c r="B39" s="193"/>
      <c r="C39" s="183" t="s">
        <v>302</v>
      </c>
      <c r="D39" s="183">
        <v>16</v>
      </c>
      <c r="E39" s="183">
        <v>4.7E-2</v>
      </c>
      <c r="F39" s="183">
        <v>0.1</v>
      </c>
      <c r="G39" s="184" t="s">
        <v>17</v>
      </c>
      <c r="H39" s="183">
        <v>0.83</v>
      </c>
    </row>
    <row r="40" spans="1:9" x14ac:dyDescent="0.25">
      <c r="A40" s="157" t="s">
        <v>325</v>
      </c>
      <c r="B40" s="157"/>
      <c r="C40" s="1" t="s">
        <v>326</v>
      </c>
      <c r="D40" s="1">
        <v>12</v>
      </c>
      <c r="E40" s="1">
        <v>0.05</v>
      </c>
      <c r="F40" s="1">
        <v>0.2</v>
      </c>
      <c r="G40" s="1" t="s">
        <v>17</v>
      </c>
      <c r="H40" s="1">
        <v>2.04</v>
      </c>
    </row>
    <row r="41" spans="1:9" ht="15.75" x14ac:dyDescent="0.25">
      <c r="D41" s="191" t="s">
        <v>294</v>
      </c>
      <c r="E41" s="191">
        <f>SUM(E33:E40)</f>
        <v>0.12100000000000001</v>
      </c>
      <c r="F41" s="191">
        <f>SUM(F33:F40)</f>
        <v>0.30000000000000004</v>
      </c>
    </row>
    <row r="45" spans="1:9" ht="15.75" x14ac:dyDescent="0.25">
      <c r="A45" s="190" t="s">
        <v>309</v>
      </c>
    </row>
    <row r="46" spans="1:9" x14ac:dyDescent="0.25">
      <c r="A46" s="184" t="s">
        <v>281</v>
      </c>
      <c r="B46" s="184" t="s">
        <v>278</v>
      </c>
      <c r="C46" s="183" t="s">
        <v>269</v>
      </c>
      <c r="D46" s="183" t="s">
        <v>268</v>
      </c>
      <c r="E46" s="183" t="s">
        <v>270</v>
      </c>
      <c r="F46" s="183" t="s">
        <v>271</v>
      </c>
      <c r="G46" s="183" t="s">
        <v>276</v>
      </c>
      <c r="H46" s="183" t="s">
        <v>272</v>
      </c>
    </row>
    <row r="47" spans="1:9" x14ac:dyDescent="0.25">
      <c r="A47" s="1" t="s">
        <v>17</v>
      </c>
      <c r="B47" s="1" t="s">
        <v>17</v>
      </c>
      <c r="C47" s="1" t="s">
        <v>17</v>
      </c>
      <c r="D47" s="1" t="s">
        <v>19</v>
      </c>
      <c r="E47" s="1" t="s">
        <v>273</v>
      </c>
      <c r="F47" s="1" t="s">
        <v>274</v>
      </c>
      <c r="G47" s="1" t="s">
        <v>275</v>
      </c>
      <c r="H47" s="1" t="s">
        <v>277</v>
      </c>
      <c r="I47">
        <v>0.51</v>
      </c>
    </row>
    <row r="48" spans="1:9" x14ac:dyDescent="0.25">
      <c r="A48" s="184" t="s">
        <v>283</v>
      </c>
      <c r="B48" s="184" t="s">
        <v>279</v>
      </c>
      <c r="C48" s="185" t="s">
        <v>290</v>
      </c>
      <c r="D48" s="185">
        <v>22</v>
      </c>
      <c r="E48" s="185">
        <v>1E-3</v>
      </c>
      <c r="F48" s="185">
        <v>0</v>
      </c>
      <c r="G48" s="185" t="s">
        <v>17</v>
      </c>
      <c r="H48" s="185">
        <v>1.01</v>
      </c>
    </row>
    <row r="49" spans="1:8" x14ac:dyDescent="0.25">
      <c r="A49" s="162" t="s">
        <v>282</v>
      </c>
      <c r="B49" s="162" t="s">
        <v>279</v>
      </c>
      <c r="C49" s="162" t="s">
        <v>289</v>
      </c>
      <c r="D49" s="162">
        <v>18</v>
      </c>
      <c r="E49" s="162">
        <v>2.9000000000000001E-2</v>
      </c>
      <c r="F49" s="162">
        <v>0.1</v>
      </c>
      <c r="G49" s="162">
        <v>1.9E-2</v>
      </c>
      <c r="H49" s="162">
        <v>1.01</v>
      </c>
    </row>
    <row r="50" spans="1:8" ht="15.75" x14ac:dyDescent="0.25">
      <c r="D50" s="189" t="s">
        <v>294</v>
      </c>
      <c r="E50" s="189">
        <f>SUM(E47:E49)</f>
        <v>3.0000000000000002E-2</v>
      </c>
      <c r="F50" s="189">
        <f>SUM(F47:F49)</f>
        <v>0.1</v>
      </c>
    </row>
    <row r="51" spans="1:8" ht="15.75" x14ac:dyDescent="0.25">
      <c r="A51" s="190" t="s">
        <v>313</v>
      </c>
    </row>
    <row r="52" spans="1:8" x14ac:dyDescent="0.25">
      <c r="A52" s="184" t="s">
        <v>281</v>
      </c>
      <c r="B52" s="184" t="s">
        <v>278</v>
      </c>
      <c r="C52" s="183" t="s">
        <v>269</v>
      </c>
      <c r="D52" s="183" t="s">
        <v>268</v>
      </c>
      <c r="E52" s="183" t="s">
        <v>270</v>
      </c>
      <c r="F52" s="183" t="s">
        <v>271</v>
      </c>
      <c r="G52" s="183" t="s">
        <v>276</v>
      </c>
      <c r="H52" s="183" t="s">
        <v>272</v>
      </c>
    </row>
    <row r="53" spans="1:8" x14ac:dyDescent="0.25">
      <c r="A53" s="1" t="s">
        <v>17</v>
      </c>
      <c r="B53" s="1" t="s">
        <v>17</v>
      </c>
      <c r="C53" s="1" t="s">
        <v>17</v>
      </c>
      <c r="D53" s="1" t="s">
        <v>19</v>
      </c>
      <c r="E53" s="1" t="s">
        <v>273</v>
      </c>
      <c r="F53" s="1" t="s">
        <v>274</v>
      </c>
      <c r="G53" s="1" t="s">
        <v>275</v>
      </c>
      <c r="H53" s="1" t="s">
        <v>277</v>
      </c>
    </row>
    <row r="54" spans="1:8" x14ac:dyDescent="0.25">
      <c r="A54" s="183" t="s">
        <v>287</v>
      </c>
      <c r="B54" s="183" t="s">
        <v>279</v>
      </c>
      <c r="C54" s="183" t="s">
        <v>288</v>
      </c>
      <c r="D54" s="183">
        <v>18</v>
      </c>
      <c r="E54" s="183">
        <v>0</v>
      </c>
      <c r="F54" s="183">
        <v>0</v>
      </c>
      <c r="G54" s="183" t="s">
        <v>17</v>
      </c>
      <c r="H54" s="183">
        <v>0.51</v>
      </c>
    </row>
    <row r="55" spans="1:8" x14ac:dyDescent="0.25">
      <c r="A55" s="1" t="s">
        <v>283</v>
      </c>
      <c r="B55" s="1" t="s">
        <v>279</v>
      </c>
      <c r="C55" s="1" t="s">
        <v>291</v>
      </c>
      <c r="D55" s="1">
        <v>18</v>
      </c>
      <c r="E55" s="1">
        <v>4.0000000000000001E-3</v>
      </c>
      <c r="F55" s="1">
        <v>0</v>
      </c>
      <c r="G55" s="1" t="s">
        <v>17</v>
      </c>
      <c r="H55" s="1">
        <v>1.3</v>
      </c>
    </row>
    <row r="56" spans="1:8" x14ac:dyDescent="0.25">
      <c r="A56" s="183" t="s">
        <v>282</v>
      </c>
      <c r="B56" s="183" t="s">
        <v>279</v>
      </c>
      <c r="C56" s="183" t="s">
        <v>292</v>
      </c>
      <c r="D56" s="183">
        <v>12</v>
      </c>
      <c r="E56" s="183">
        <v>2.8000000000000001E-2</v>
      </c>
      <c r="F56" s="183">
        <v>0.1</v>
      </c>
      <c r="G56" s="183">
        <v>5.2999999999999999E-2</v>
      </c>
      <c r="H56" s="183">
        <v>1.3</v>
      </c>
    </row>
    <row r="57" spans="1:8" x14ac:dyDescent="0.25">
      <c r="A57" s="1" t="s">
        <v>287</v>
      </c>
      <c r="B57" s="1" t="s">
        <v>279</v>
      </c>
      <c r="C57" s="1" t="s">
        <v>293</v>
      </c>
      <c r="D57" s="1">
        <v>12</v>
      </c>
      <c r="E57" s="1">
        <v>3.0000000000000001E-3</v>
      </c>
      <c r="F57" s="1">
        <v>0</v>
      </c>
      <c r="G57" s="1" t="s">
        <v>17</v>
      </c>
      <c r="H57" s="1">
        <v>1.3</v>
      </c>
    </row>
    <row r="58" spans="1:8" x14ac:dyDescent="0.25">
      <c r="A58" s="163" t="s">
        <v>303</v>
      </c>
      <c r="B58" s="163"/>
      <c r="C58" s="183" t="s">
        <v>310</v>
      </c>
      <c r="D58" s="183">
        <v>12</v>
      </c>
      <c r="E58" s="183">
        <v>1E-3</v>
      </c>
      <c r="F58" s="183">
        <v>0</v>
      </c>
      <c r="G58" s="183" t="s">
        <v>17</v>
      </c>
      <c r="H58" s="183">
        <v>1.6</v>
      </c>
    </row>
    <row r="59" spans="1:8" x14ac:dyDescent="0.25">
      <c r="A59" s="157" t="s">
        <v>306</v>
      </c>
      <c r="B59" s="157"/>
      <c r="C59" s="1" t="s">
        <v>311</v>
      </c>
      <c r="D59" s="1">
        <v>12</v>
      </c>
      <c r="E59" s="1">
        <v>2.1000000000000001E-2</v>
      </c>
      <c r="F59" s="1">
        <v>0.1</v>
      </c>
      <c r="G59" s="194" t="s">
        <v>17</v>
      </c>
      <c r="H59" s="194">
        <v>1.3</v>
      </c>
    </row>
    <row r="60" spans="1:8" x14ac:dyDescent="0.25">
      <c r="A60" s="192" t="s">
        <v>298</v>
      </c>
      <c r="B60" s="193"/>
      <c r="C60" s="183" t="s">
        <v>312</v>
      </c>
      <c r="D60" s="183">
        <v>12</v>
      </c>
      <c r="E60" s="183">
        <v>7.2999999999999995E-2</v>
      </c>
      <c r="F60" s="183">
        <v>0.2</v>
      </c>
      <c r="G60" s="184" t="s">
        <v>17</v>
      </c>
      <c r="H60" s="183">
        <v>1.05</v>
      </c>
    </row>
    <row r="61" spans="1:8" x14ac:dyDescent="0.25">
      <c r="A61" s="157" t="s">
        <v>325</v>
      </c>
      <c r="B61" s="157"/>
      <c r="C61" s="1" t="s">
        <v>326</v>
      </c>
      <c r="D61" s="1">
        <v>12</v>
      </c>
      <c r="E61" s="1">
        <v>3.4000000000000002E-2</v>
      </c>
      <c r="F61" s="1">
        <v>0.1</v>
      </c>
      <c r="G61" s="1" t="s">
        <v>17</v>
      </c>
      <c r="H61" s="1">
        <v>1.6</v>
      </c>
    </row>
    <row r="62" spans="1:8" ht="15.75" x14ac:dyDescent="0.25">
      <c r="D62" s="191" t="s">
        <v>294</v>
      </c>
      <c r="E62" s="191">
        <f>SUM(E54:E61)</f>
        <v>0.16400000000000001</v>
      </c>
      <c r="F62" s="191">
        <f>SUM(F54:F61)</f>
        <v>0.5</v>
      </c>
    </row>
    <row r="63" spans="1:8" ht="15.75" x14ac:dyDescent="0.25">
      <c r="A63" s="190" t="s">
        <v>314</v>
      </c>
    </row>
    <row r="64" spans="1:8" x14ac:dyDescent="0.25">
      <c r="A64" s="184" t="s">
        <v>281</v>
      </c>
      <c r="B64" s="184" t="s">
        <v>278</v>
      </c>
      <c r="C64" s="183" t="s">
        <v>269</v>
      </c>
      <c r="D64" s="183" t="s">
        <v>268</v>
      </c>
      <c r="E64" s="183" t="s">
        <v>270</v>
      </c>
      <c r="F64" s="183" t="s">
        <v>271</v>
      </c>
      <c r="G64" s="183" t="s">
        <v>276</v>
      </c>
      <c r="H64" s="183" t="s">
        <v>272</v>
      </c>
    </row>
    <row r="65" spans="1:8" x14ac:dyDescent="0.25">
      <c r="A65" s="1" t="s">
        <v>17</v>
      </c>
      <c r="B65" s="1" t="s">
        <v>17</v>
      </c>
      <c r="C65" s="1" t="s">
        <v>17</v>
      </c>
      <c r="D65" s="1" t="s">
        <v>19</v>
      </c>
      <c r="E65" s="1" t="s">
        <v>273</v>
      </c>
      <c r="F65" s="1" t="s">
        <v>274</v>
      </c>
      <c r="G65" s="1" t="s">
        <v>275</v>
      </c>
      <c r="H65" s="1" t="s">
        <v>277</v>
      </c>
    </row>
    <row r="66" spans="1:8" x14ac:dyDescent="0.25">
      <c r="A66" s="184" t="s">
        <v>283</v>
      </c>
      <c r="B66" s="184" t="s">
        <v>279</v>
      </c>
      <c r="C66" s="183" t="s">
        <v>291</v>
      </c>
      <c r="D66" s="183">
        <v>18</v>
      </c>
      <c r="E66" s="183">
        <v>4.0000000000000001E-3</v>
      </c>
      <c r="F66" s="183">
        <v>0</v>
      </c>
      <c r="G66" s="183" t="s">
        <v>17</v>
      </c>
      <c r="H66" s="183">
        <v>1.3</v>
      </c>
    </row>
    <row r="67" spans="1:8" x14ac:dyDescent="0.25">
      <c r="A67" s="162" t="s">
        <v>282</v>
      </c>
      <c r="B67" s="162" t="s">
        <v>279</v>
      </c>
      <c r="C67" s="1" t="s">
        <v>292</v>
      </c>
      <c r="D67" s="1">
        <v>12</v>
      </c>
      <c r="E67" s="1">
        <v>5.6000000000000001E-2</v>
      </c>
      <c r="F67" s="1">
        <v>0.2</v>
      </c>
      <c r="G67" s="1">
        <v>5.2999999999999999E-2</v>
      </c>
      <c r="H67" s="1">
        <v>1.3</v>
      </c>
    </row>
    <row r="68" spans="1:8" ht="15.75" x14ac:dyDescent="0.25">
      <c r="D68" s="189" t="s">
        <v>294</v>
      </c>
      <c r="E68" s="189">
        <f>SUM(E65:E67)</f>
        <v>0.06</v>
      </c>
      <c r="F68" s="189">
        <f>SUM(F65:F67)</f>
        <v>0.2</v>
      </c>
    </row>
    <row r="69" spans="1:8" ht="15.75" x14ac:dyDescent="0.25">
      <c r="A69" s="190" t="s">
        <v>315</v>
      </c>
    </row>
    <row r="70" spans="1:8" x14ac:dyDescent="0.25">
      <c r="A70" s="184" t="s">
        <v>281</v>
      </c>
      <c r="B70" s="184" t="s">
        <v>278</v>
      </c>
      <c r="C70" s="183" t="s">
        <v>269</v>
      </c>
      <c r="D70" s="183" t="s">
        <v>268</v>
      </c>
      <c r="E70" s="183" t="s">
        <v>270</v>
      </c>
      <c r="F70" s="183" t="s">
        <v>271</v>
      </c>
      <c r="G70" s="183" t="s">
        <v>276</v>
      </c>
      <c r="H70" s="183" t="s">
        <v>272</v>
      </c>
    </row>
    <row r="71" spans="1:8" x14ac:dyDescent="0.25">
      <c r="A71" s="1" t="s">
        <v>17</v>
      </c>
      <c r="B71" s="1" t="s">
        <v>17</v>
      </c>
      <c r="C71" s="1" t="s">
        <v>17</v>
      </c>
      <c r="D71" s="1" t="s">
        <v>19</v>
      </c>
      <c r="E71" s="1" t="s">
        <v>273</v>
      </c>
      <c r="F71" s="1" t="s">
        <v>274</v>
      </c>
      <c r="G71" s="1" t="s">
        <v>275</v>
      </c>
      <c r="H71" s="1" t="s">
        <v>277</v>
      </c>
    </row>
    <row r="72" spans="1:8" x14ac:dyDescent="0.25">
      <c r="A72" s="186" t="s">
        <v>287</v>
      </c>
      <c r="B72" s="186" t="s">
        <v>279</v>
      </c>
      <c r="C72" s="188" t="s">
        <v>293</v>
      </c>
      <c r="D72" s="186">
        <v>12</v>
      </c>
      <c r="E72" s="186">
        <v>0</v>
      </c>
      <c r="F72" s="186">
        <v>0</v>
      </c>
      <c r="G72" s="186" t="s">
        <v>17</v>
      </c>
      <c r="H72" s="186">
        <v>1.3</v>
      </c>
    </row>
    <row r="73" spans="1:8" x14ac:dyDescent="0.25">
      <c r="A73" s="162" t="s">
        <v>282</v>
      </c>
      <c r="B73" s="162" t="s">
        <v>279</v>
      </c>
      <c r="C73" s="162" t="s">
        <v>292</v>
      </c>
      <c r="D73" s="162">
        <v>12</v>
      </c>
      <c r="E73" s="162">
        <v>2.8000000000000001E-2</v>
      </c>
      <c r="F73" s="162">
        <v>0.1</v>
      </c>
      <c r="G73" s="162">
        <v>5.2999999999999999E-2</v>
      </c>
      <c r="H73" s="162">
        <v>1.3</v>
      </c>
    </row>
    <row r="74" spans="1:8" x14ac:dyDescent="0.25">
      <c r="A74" s="187" t="s">
        <v>287</v>
      </c>
      <c r="B74" s="187" t="s">
        <v>279</v>
      </c>
      <c r="C74" s="187" t="s">
        <v>293</v>
      </c>
      <c r="D74" s="187">
        <v>12</v>
      </c>
      <c r="E74" s="187">
        <v>3.0000000000000001E-3</v>
      </c>
      <c r="F74" s="187">
        <v>0</v>
      </c>
      <c r="G74" s="187" t="s">
        <v>17</v>
      </c>
      <c r="H74" s="187">
        <v>1.3</v>
      </c>
    </row>
    <row r="75" spans="1:8" x14ac:dyDescent="0.25">
      <c r="A75" s="157" t="s">
        <v>303</v>
      </c>
      <c r="B75" s="157"/>
      <c r="C75" s="1" t="s">
        <v>310</v>
      </c>
      <c r="D75" s="1">
        <v>12</v>
      </c>
      <c r="E75" s="1">
        <v>1E-3</v>
      </c>
      <c r="F75" s="1">
        <v>0</v>
      </c>
      <c r="G75" s="1" t="s">
        <v>17</v>
      </c>
      <c r="H75" s="1">
        <v>1.6</v>
      </c>
    </row>
    <row r="76" spans="1:8" x14ac:dyDescent="0.25">
      <c r="A76" s="163" t="s">
        <v>306</v>
      </c>
      <c r="B76" s="163"/>
      <c r="C76" s="183" t="s">
        <v>311</v>
      </c>
      <c r="D76" s="183">
        <v>12</v>
      </c>
      <c r="E76" s="183">
        <v>2.1000000000000001E-2</v>
      </c>
      <c r="F76" s="183">
        <v>0.1</v>
      </c>
      <c r="G76" s="183" t="s">
        <v>17</v>
      </c>
      <c r="H76" s="183">
        <v>1.3</v>
      </c>
    </row>
    <row r="77" spans="1:8" x14ac:dyDescent="0.25">
      <c r="A77" s="157" t="s">
        <v>298</v>
      </c>
      <c r="B77" s="157"/>
      <c r="C77" s="1" t="s">
        <v>312</v>
      </c>
      <c r="D77" s="1">
        <v>12</v>
      </c>
      <c r="E77" s="1">
        <v>7.2999999999999995E-2</v>
      </c>
      <c r="F77" s="1">
        <v>0.2</v>
      </c>
      <c r="G77" s="1" t="s">
        <v>17</v>
      </c>
      <c r="H77" s="1">
        <v>1.05</v>
      </c>
    </row>
    <row r="78" spans="1:8" x14ac:dyDescent="0.25">
      <c r="A78" s="198" t="s">
        <v>325</v>
      </c>
      <c r="B78" s="199"/>
      <c r="C78" s="183" t="s">
        <v>326</v>
      </c>
      <c r="D78" s="183">
        <v>12</v>
      </c>
      <c r="E78" s="183">
        <v>3.4000000000000002E-2</v>
      </c>
      <c r="F78" s="183">
        <v>0.1</v>
      </c>
      <c r="G78" s="183" t="s">
        <v>17</v>
      </c>
      <c r="H78" s="183">
        <v>1.6</v>
      </c>
    </row>
    <row r="79" spans="1:8" ht="15.75" x14ac:dyDescent="0.25">
      <c r="D79" s="191" t="s">
        <v>294</v>
      </c>
      <c r="E79" s="191">
        <f>SUM(E72:E78)</f>
        <v>0.16</v>
      </c>
      <c r="F79" s="191">
        <f>SUM(F72:F78)</f>
        <v>0.5</v>
      </c>
    </row>
    <row r="80" spans="1:8" ht="15.75" x14ac:dyDescent="0.25">
      <c r="A80" s="190" t="s">
        <v>316</v>
      </c>
    </row>
    <row r="81" spans="1:8" x14ac:dyDescent="0.25">
      <c r="A81" s="184" t="s">
        <v>281</v>
      </c>
      <c r="B81" s="184" t="s">
        <v>278</v>
      </c>
      <c r="C81" s="183" t="s">
        <v>269</v>
      </c>
      <c r="D81" s="183" t="s">
        <v>268</v>
      </c>
      <c r="E81" s="183" t="s">
        <v>270</v>
      </c>
      <c r="F81" s="183" t="s">
        <v>271</v>
      </c>
      <c r="G81" s="183" t="s">
        <v>276</v>
      </c>
      <c r="H81" s="183" t="s">
        <v>272</v>
      </c>
    </row>
    <row r="82" spans="1:8" x14ac:dyDescent="0.25">
      <c r="A82" s="1" t="s">
        <v>17</v>
      </c>
      <c r="B82" s="1" t="s">
        <v>17</v>
      </c>
      <c r="C82" s="1" t="s">
        <v>17</v>
      </c>
      <c r="D82" s="1" t="s">
        <v>19</v>
      </c>
      <c r="E82" s="1" t="s">
        <v>273</v>
      </c>
      <c r="F82" s="1" t="s">
        <v>274</v>
      </c>
      <c r="G82" s="1" t="s">
        <v>275</v>
      </c>
      <c r="H82" s="1" t="s">
        <v>277</v>
      </c>
    </row>
    <row r="83" spans="1:8" x14ac:dyDescent="0.25">
      <c r="A83" s="184" t="s">
        <v>283</v>
      </c>
      <c r="B83" s="184" t="s">
        <v>279</v>
      </c>
      <c r="C83" s="185" t="s">
        <v>284</v>
      </c>
      <c r="D83" s="185">
        <v>35</v>
      </c>
      <c r="E83" s="185">
        <v>7.0000000000000001E-3</v>
      </c>
      <c r="F83" s="185">
        <v>0</v>
      </c>
      <c r="G83" s="185" t="s">
        <v>17</v>
      </c>
      <c r="H83" s="185">
        <v>1.63</v>
      </c>
    </row>
    <row r="84" spans="1:8" x14ac:dyDescent="0.25">
      <c r="A84" s="162" t="s">
        <v>282</v>
      </c>
      <c r="B84" s="162" t="s">
        <v>279</v>
      </c>
      <c r="C84" s="162" t="s">
        <v>285</v>
      </c>
      <c r="D84" s="162">
        <v>22</v>
      </c>
      <c r="E84" s="162">
        <v>3.6999999999999998E-2</v>
      </c>
      <c r="F84" s="162">
        <v>0.1</v>
      </c>
      <c r="G84" s="162">
        <v>3.5000000000000003E-2</v>
      </c>
      <c r="H84" s="162">
        <v>1.63</v>
      </c>
    </row>
    <row r="85" spans="1:8" ht="15.75" x14ac:dyDescent="0.25">
      <c r="D85" s="189" t="s">
        <v>294</v>
      </c>
      <c r="E85" s="189">
        <f ca="1">SUM(E83:E85)</f>
        <v>4.3999999999999997E-2</v>
      </c>
      <c r="F85" s="189">
        <f ca="1">SUM(F83:F85)</f>
        <v>0.1</v>
      </c>
    </row>
    <row r="87" spans="1:8" ht="15.75" x14ac:dyDescent="0.25">
      <c r="A87" s="190" t="s">
        <v>317</v>
      </c>
    </row>
    <row r="88" spans="1:8" x14ac:dyDescent="0.25">
      <c r="A88" s="184" t="s">
        <v>281</v>
      </c>
      <c r="B88" s="184" t="s">
        <v>278</v>
      </c>
      <c r="C88" s="183" t="s">
        <v>269</v>
      </c>
      <c r="D88" s="183" t="s">
        <v>268</v>
      </c>
      <c r="E88" s="183" t="s">
        <v>270</v>
      </c>
      <c r="F88" s="183" t="s">
        <v>271</v>
      </c>
      <c r="G88" s="183" t="s">
        <v>276</v>
      </c>
      <c r="H88" s="183" t="s">
        <v>272</v>
      </c>
    </row>
    <row r="89" spans="1:8" x14ac:dyDescent="0.25">
      <c r="A89" s="1" t="s">
        <v>17</v>
      </c>
      <c r="B89" s="1" t="s">
        <v>17</v>
      </c>
      <c r="C89" s="1" t="s">
        <v>17</v>
      </c>
      <c r="D89" s="1" t="s">
        <v>19</v>
      </c>
      <c r="E89" s="1" t="s">
        <v>273</v>
      </c>
      <c r="F89" s="1" t="s">
        <v>274</v>
      </c>
      <c r="G89" s="1" t="s">
        <v>275</v>
      </c>
      <c r="H89" s="1" t="s">
        <v>277</v>
      </c>
    </row>
    <row r="90" spans="1:8" x14ac:dyDescent="0.25">
      <c r="A90" s="184" t="s">
        <v>283</v>
      </c>
      <c r="B90" s="184" t="s">
        <v>279</v>
      </c>
      <c r="C90" s="197" t="s">
        <v>319</v>
      </c>
      <c r="D90" s="185">
        <v>22</v>
      </c>
      <c r="E90" s="185">
        <v>5.0000000000000001E-3</v>
      </c>
      <c r="F90" s="185">
        <v>0</v>
      </c>
      <c r="G90" s="185" t="s">
        <v>17</v>
      </c>
      <c r="H90" s="185">
        <v>1.25</v>
      </c>
    </row>
    <row r="91" spans="1:8" x14ac:dyDescent="0.25">
      <c r="A91" s="1" t="s">
        <v>287</v>
      </c>
      <c r="B91" s="1" t="s">
        <v>279</v>
      </c>
      <c r="C91" s="1" t="s">
        <v>293</v>
      </c>
      <c r="D91" s="1">
        <v>12</v>
      </c>
      <c r="E91" s="1">
        <v>2E-3</v>
      </c>
      <c r="F91" s="1">
        <v>0</v>
      </c>
      <c r="G91" s="1" t="s">
        <v>17</v>
      </c>
      <c r="H91" s="1">
        <v>1.25</v>
      </c>
    </row>
    <row r="92" spans="1:8" x14ac:dyDescent="0.25">
      <c r="A92" s="187" t="s">
        <v>287</v>
      </c>
      <c r="B92" s="187" t="s">
        <v>279</v>
      </c>
      <c r="C92" s="187" t="s">
        <v>293</v>
      </c>
      <c r="D92" s="187">
        <v>12</v>
      </c>
      <c r="E92" s="187">
        <v>2E-3</v>
      </c>
      <c r="F92" s="187">
        <v>0</v>
      </c>
      <c r="G92" s="187" t="s">
        <v>17</v>
      </c>
      <c r="H92" s="187">
        <v>1.25</v>
      </c>
    </row>
    <row r="93" spans="1:8" x14ac:dyDescent="0.25">
      <c r="A93" s="1" t="s">
        <v>287</v>
      </c>
      <c r="B93" s="1" t="s">
        <v>279</v>
      </c>
      <c r="C93" s="1" t="s">
        <v>293</v>
      </c>
      <c r="D93" s="1">
        <v>12</v>
      </c>
      <c r="E93" s="1">
        <v>2E-3</v>
      </c>
      <c r="F93" s="1">
        <v>0</v>
      </c>
      <c r="G93" s="1" t="s">
        <v>17</v>
      </c>
      <c r="H93" s="1">
        <v>1.25</v>
      </c>
    </row>
    <row r="94" spans="1:8" x14ac:dyDescent="0.25">
      <c r="A94" s="183" t="s">
        <v>282</v>
      </c>
      <c r="B94" s="183" t="s">
        <v>279</v>
      </c>
      <c r="C94" s="183" t="s">
        <v>292</v>
      </c>
      <c r="D94" s="183">
        <v>12</v>
      </c>
      <c r="E94" s="183">
        <v>0.123</v>
      </c>
      <c r="F94" s="183">
        <v>0.4</v>
      </c>
      <c r="G94" s="183">
        <v>0.05</v>
      </c>
      <c r="H94" s="183">
        <v>1.25</v>
      </c>
    </row>
    <row r="95" spans="1:8" x14ac:dyDescent="0.25">
      <c r="A95" s="157" t="s">
        <v>303</v>
      </c>
      <c r="B95" s="157"/>
      <c r="C95" s="1" t="s">
        <v>310</v>
      </c>
      <c r="D95" s="1">
        <v>12</v>
      </c>
      <c r="E95" s="1">
        <v>1E-3</v>
      </c>
      <c r="F95" s="1">
        <v>0</v>
      </c>
      <c r="G95" s="1" t="s">
        <v>17</v>
      </c>
      <c r="H95" s="1">
        <v>1.55</v>
      </c>
    </row>
    <row r="96" spans="1:8" x14ac:dyDescent="0.25">
      <c r="A96" s="192" t="s">
        <v>306</v>
      </c>
      <c r="B96" s="193"/>
      <c r="C96" s="183" t="s">
        <v>311</v>
      </c>
      <c r="D96" s="183">
        <v>12</v>
      </c>
      <c r="E96" s="183">
        <v>1.9E-2</v>
      </c>
      <c r="F96" s="183">
        <v>0.1</v>
      </c>
      <c r="G96" s="183" t="s">
        <v>17</v>
      </c>
      <c r="H96" s="183">
        <v>1.25</v>
      </c>
    </row>
    <row r="97" spans="1:8" x14ac:dyDescent="0.25">
      <c r="A97" s="195" t="s">
        <v>298</v>
      </c>
      <c r="B97" s="196"/>
      <c r="C97" s="1" t="s">
        <v>312</v>
      </c>
      <c r="D97" s="1">
        <v>12</v>
      </c>
      <c r="E97" s="1">
        <v>6.8000000000000005E-2</v>
      </c>
      <c r="F97" s="1">
        <v>0.2</v>
      </c>
      <c r="G97" s="1" t="s">
        <v>17</v>
      </c>
      <c r="H97" s="1">
        <v>1.02</v>
      </c>
    </row>
    <row r="98" spans="1:8" x14ac:dyDescent="0.25">
      <c r="A98" s="198" t="s">
        <v>325</v>
      </c>
      <c r="B98" s="199"/>
      <c r="C98" s="183" t="s">
        <v>326</v>
      </c>
      <c r="D98" s="183">
        <v>12</v>
      </c>
      <c r="E98" s="183">
        <v>3.2000000000000001E-2</v>
      </c>
      <c r="F98" s="183">
        <v>0.1</v>
      </c>
      <c r="G98" s="183" t="s">
        <v>17</v>
      </c>
      <c r="H98" s="183">
        <v>1.55</v>
      </c>
    </row>
    <row r="99" spans="1:8" ht="15.75" x14ac:dyDescent="0.25">
      <c r="D99" s="191" t="s">
        <v>294</v>
      </c>
      <c r="E99" s="191">
        <f>SUM(E90:E98)</f>
        <v>0.254</v>
      </c>
      <c r="F99" s="191">
        <f>SUM(F90:F98)</f>
        <v>0.79999999999999993</v>
      </c>
    </row>
    <row r="101" spans="1:8" ht="15.75" x14ac:dyDescent="0.25">
      <c r="A101" s="190" t="s">
        <v>318</v>
      </c>
    </row>
    <row r="102" spans="1:8" x14ac:dyDescent="0.25">
      <c r="A102" s="184" t="s">
        <v>281</v>
      </c>
      <c r="B102" s="184" t="s">
        <v>278</v>
      </c>
      <c r="C102" s="183" t="s">
        <v>269</v>
      </c>
      <c r="D102" s="183" t="s">
        <v>268</v>
      </c>
      <c r="E102" s="183" t="s">
        <v>270</v>
      </c>
      <c r="F102" s="183" t="s">
        <v>271</v>
      </c>
      <c r="G102" s="183" t="s">
        <v>276</v>
      </c>
      <c r="H102" s="183" t="s">
        <v>272</v>
      </c>
    </row>
    <row r="103" spans="1:8" x14ac:dyDescent="0.25">
      <c r="A103" s="1" t="s">
        <v>17</v>
      </c>
      <c r="B103" s="1" t="s">
        <v>17</v>
      </c>
      <c r="C103" s="1" t="s">
        <v>17</v>
      </c>
      <c r="D103" s="1" t="s">
        <v>19</v>
      </c>
      <c r="E103" s="1" t="s">
        <v>273</v>
      </c>
      <c r="F103" s="1" t="s">
        <v>274</v>
      </c>
      <c r="G103" s="1" t="s">
        <v>275</v>
      </c>
      <c r="H103" s="1" t="s">
        <v>277</v>
      </c>
    </row>
    <row r="104" spans="1:8" x14ac:dyDescent="0.25">
      <c r="A104" s="184" t="s">
        <v>283</v>
      </c>
      <c r="B104" s="184" t="s">
        <v>279</v>
      </c>
      <c r="C104" s="197" t="s">
        <v>319</v>
      </c>
      <c r="D104" s="185">
        <v>22</v>
      </c>
      <c r="E104" s="185">
        <v>5.0000000000000001E-3</v>
      </c>
      <c r="F104" s="185">
        <v>0</v>
      </c>
      <c r="G104" s="185" t="s">
        <v>17</v>
      </c>
      <c r="H104" s="185">
        <v>1.25</v>
      </c>
    </row>
    <row r="105" spans="1:8" x14ac:dyDescent="0.25">
      <c r="A105" s="1" t="s">
        <v>287</v>
      </c>
      <c r="B105" s="1" t="s">
        <v>279</v>
      </c>
      <c r="C105" s="1" t="s">
        <v>293</v>
      </c>
      <c r="D105" s="1">
        <v>12</v>
      </c>
      <c r="E105" s="1">
        <v>2E-3</v>
      </c>
      <c r="F105" s="1">
        <v>0</v>
      </c>
      <c r="G105" s="1" t="s">
        <v>17</v>
      </c>
      <c r="H105" s="1">
        <v>1.25</v>
      </c>
    </row>
    <row r="106" spans="1:8" x14ac:dyDescent="0.25">
      <c r="A106" s="183" t="s">
        <v>282</v>
      </c>
      <c r="B106" s="183" t="s">
        <v>279</v>
      </c>
      <c r="C106" s="183" t="s">
        <v>292</v>
      </c>
      <c r="D106" s="183">
        <v>12</v>
      </c>
      <c r="E106" s="183">
        <v>3.2000000000000001E-2</v>
      </c>
      <c r="F106" s="183">
        <v>0.1</v>
      </c>
      <c r="G106" s="183">
        <v>0.05</v>
      </c>
      <c r="H106" s="183">
        <v>1.25</v>
      </c>
    </row>
    <row r="107" spans="1:8" x14ac:dyDescent="0.25">
      <c r="A107" s="195" t="s">
        <v>303</v>
      </c>
      <c r="B107" s="196"/>
      <c r="C107" s="1" t="s">
        <v>310</v>
      </c>
      <c r="D107" s="1">
        <v>12</v>
      </c>
      <c r="E107" s="1">
        <v>1E-3</v>
      </c>
      <c r="F107" s="1">
        <v>0</v>
      </c>
      <c r="G107" s="1" t="s">
        <v>17</v>
      </c>
      <c r="H107" s="1">
        <v>1.55</v>
      </c>
    </row>
    <row r="108" spans="1:8" x14ac:dyDescent="0.25">
      <c r="A108" s="192" t="s">
        <v>306</v>
      </c>
      <c r="B108" s="193"/>
      <c r="C108" s="183" t="s">
        <v>311</v>
      </c>
      <c r="D108" s="183">
        <v>12</v>
      </c>
      <c r="E108" s="183">
        <v>1.9E-2</v>
      </c>
      <c r="F108" s="183">
        <v>0.1</v>
      </c>
      <c r="G108" s="183" t="s">
        <v>17</v>
      </c>
      <c r="H108" s="183">
        <v>1.25</v>
      </c>
    </row>
    <row r="109" spans="1:8" x14ac:dyDescent="0.25">
      <c r="A109" s="195" t="s">
        <v>298</v>
      </c>
      <c r="B109" s="196"/>
      <c r="C109" s="1" t="s">
        <v>312</v>
      </c>
      <c r="D109" s="1">
        <v>12</v>
      </c>
      <c r="E109" s="1">
        <v>6.8000000000000005E-2</v>
      </c>
      <c r="F109" s="1">
        <v>0.2</v>
      </c>
      <c r="G109" s="1" t="s">
        <v>17</v>
      </c>
      <c r="H109" s="1">
        <v>1.02</v>
      </c>
    </row>
    <row r="110" spans="1:8" x14ac:dyDescent="0.25">
      <c r="A110" s="198" t="s">
        <v>325</v>
      </c>
      <c r="B110" s="199"/>
      <c r="C110" s="183" t="s">
        <v>326</v>
      </c>
      <c r="D110" s="183">
        <v>12</v>
      </c>
      <c r="E110" s="183">
        <v>3.2000000000000001E-2</v>
      </c>
      <c r="F110" s="183">
        <v>0.1</v>
      </c>
      <c r="G110" s="183" t="s">
        <v>17</v>
      </c>
      <c r="H110" s="183">
        <v>1.55</v>
      </c>
    </row>
    <row r="111" spans="1:8" ht="15.75" x14ac:dyDescent="0.25">
      <c r="D111" s="191" t="s">
        <v>294</v>
      </c>
      <c r="E111" s="191">
        <f>SUM(E104:E110)</f>
        <v>0.159</v>
      </c>
      <c r="F111" s="191">
        <f>SUM(F104:F110)</f>
        <v>0.5</v>
      </c>
    </row>
    <row r="113" spans="1:8" ht="15.75" x14ac:dyDescent="0.25">
      <c r="A113" s="190" t="s">
        <v>320</v>
      </c>
    </row>
    <row r="114" spans="1:8" x14ac:dyDescent="0.25">
      <c r="A114" s="184" t="s">
        <v>281</v>
      </c>
      <c r="B114" s="184" t="s">
        <v>278</v>
      </c>
      <c r="C114" s="183" t="s">
        <v>269</v>
      </c>
      <c r="D114" s="183" t="s">
        <v>268</v>
      </c>
      <c r="E114" s="183" t="s">
        <v>270</v>
      </c>
      <c r="F114" s="183" t="s">
        <v>271</v>
      </c>
      <c r="G114" s="183" t="s">
        <v>276</v>
      </c>
      <c r="H114" s="183" t="s">
        <v>272</v>
      </c>
    </row>
    <row r="115" spans="1:8" x14ac:dyDescent="0.25">
      <c r="A115" s="1" t="s">
        <v>17</v>
      </c>
      <c r="B115" s="1" t="s">
        <v>17</v>
      </c>
      <c r="C115" s="1" t="s">
        <v>17</v>
      </c>
      <c r="D115" s="1" t="s">
        <v>19</v>
      </c>
      <c r="E115" s="1" t="s">
        <v>273</v>
      </c>
      <c r="F115" s="1" t="s">
        <v>274</v>
      </c>
      <c r="G115" s="1" t="s">
        <v>275</v>
      </c>
      <c r="H115" s="1" t="s">
        <v>277</v>
      </c>
    </row>
    <row r="116" spans="1:8" x14ac:dyDescent="0.25">
      <c r="A116" s="184" t="s">
        <v>283</v>
      </c>
      <c r="B116" s="184" t="s">
        <v>279</v>
      </c>
      <c r="C116" s="197" t="s">
        <v>290</v>
      </c>
      <c r="D116" s="185">
        <v>22</v>
      </c>
      <c r="E116" s="185">
        <v>3.0000000000000001E-3</v>
      </c>
      <c r="F116" s="185">
        <v>0</v>
      </c>
      <c r="G116" s="185" t="s">
        <v>17</v>
      </c>
      <c r="H116" s="185">
        <v>1.57</v>
      </c>
    </row>
    <row r="117" spans="1:8" x14ac:dyDescent="0.25">
      <c r="A117" s="162" t="s">
        <v>282</v>
      </c>
      <c r="B117" s="162" t="s">
        <v>279</v>
      </c>
      <c r="C117" s="162" t="s">
        <v>289</v>
      </c>
      <c r="D117" s="162">
        <v>18</v>
      </c>
      <c r="E117" s="162">
        <v>7.8E-2</v>
      </c>
      <c r="F117" s="162">
        <v>0.2</v>
      </c>
      <c r="G117" s="162">
        <v>1.4E-2</v>
      </c>
      <c r="H117" s="162">
        <v>1.57</v>
      </c>
    </row>
    <row r="118" spans="1:8" ht="15.75" x14ac:dyDescent="0.25">
      <c r="D118" s="189" t="s">
        <v>294</v>
      </c>
      <c r="E118" s="189">
        <f>SUM(E116:E117)</f>
        <v>8.1000000000000003E-2</v>
      </c>
      <c r="F118" s="189">
        <f>SUM(F116:F117)</f>
        <v>0.2</v>
      </c>
    </row>
    <row r="121" spans="1:8" ht="15.75" x14ac:dyDescent="0.25">
      <c r="A121" s="190" t="s">
        <v>321</v>
      </c>
    </row>
    <row r="122" spans="1:8" x14ac:dyDescent="0.25">
      <c r="A122" s="184" t="s">
        <v>281</v>
      </c>
      <c r="B122" s="184" t="s">
        <v>278</v>
      </c>
      <c r="C122" s="183" t="s">
        <v>269</v>
      </c>
      <c r="D122" s="183" t="s">
        <v>268</v>
      </c>
      <c r="E122" s="183" t="s">
        <v>270</v>
      </c>
      <c r="F122" s="183" t="s">
        <v>271</v>
      </c>
      <c r="G122" s="183" t="s">
        <v>276</v>
      </c>
      <c r="H122" s="183" t="s">
        <v>272</v>
      </c>
    </row>
    <row r="123" spans="1:8" x14ac:dyDescent="0.25">
      <c r="A123" s="1" t="s">
        <v>17</v>
      </c>
      <c r="B123" s="1" t="s">
        <v>17</v>
      </c>
      <c r="C123" s="1" t="s">
        <v>17</v>
      </c>
      <c r="D123" s="1" t="s">
        <v>19</v>
      </c>
      <c r="E123" s="1" t="s">
        <v>273</v>
      </c>
      <c r="F123" s="1" t="s">
        <v>274</v>
      </c>
      <c r="G123" s="1" t="s">
        <v>275</v>
      </c>
      <c r="H123" s="1" t="s">
        <v>277</v>
      </c>
    </row>
    <row r="124" spans="1:8" x14ac:dyDescent="0.25">
      <c r="A124" s="184" t="s">
        <v>283</v>
      </c>
      <c r="B124" s="184" t="s">
        <v>279</v>
      </c>
      <c r="C124" s="197" t="s">
        <v>291</v>
      </c>
      <c r="D124" s="185">
        <v>18</v>
      </c>
      <c r="E124" s="185">
        <v>4.0000000000000001E-3</v>
      </c>
      <c r="F124" s="185">
        <v>0</v>
      </c>
      <c r="G124" s="185" t="s">
        <v>17</v>
      </c>
      <c r="H124" s="185">
        <v>1.25</v>
      </c>
    </row>
    <row r="125" spans="1:8" x14ac:dyDescent="0.25">
      <c r="A125" s="1" t="s">
        <v>287</v>
      </c>
      <c r="B125" s="1" t="s">
        <v>279</v>
      </c>
      <c r="C125" s="1" t="s">
        <v>293</v>
      </c>
      <c r="D125" s="1">
        <v>12</v>
      </c>
      <c r="E125" s="1">
        <v>2E-3</v>
      </c>
      <c r="F125" s="1">
        <v>0</v>
      </c>
      <c r="G125" s="1" t="s">
        <v>17</v>
      </c>
      <c r="H125" s="1">
        <v>1.25</v>
      </c>
    </row>
    <row r="126" spans="1:8" x14ac:dyDescent="0.25">
      <c r="A126" s="183" t="s">
        <v>282</v>
      </c>
      <c r="B126" s="183" t="s">
        <v>279</v>
      </c>
      <c r="C126" s="183" t="s">
        <v>292</v>
      </c>
      <c r="D126" s="183">
        <v>12</v>
      </c>
      <c r="E126" s="183">
        <v>3.2000000000000001E-2</v>
      </c>
      <c r="F126" s="183">
        <v>0.1</v>
      </c>
      <c r="G126" s="183">
        <v>0.05</v>
      </c>
      <c r="H126" s="183">
        <v>1.25</v>
      </c>
    </row>
    <row r="127" spans="1:8" x14ac:dyDescent="0.25">
      <c r="A127" s="195" t="s">
        <v>303</v>
      </c>
      <c r="B127" s="196"/>
      <c r="C127" s="1" t="s">
        <v>310</v>
      </c>
      <c r="D127" s="1">
        <v>12</v>
      </c>
      <c r="E127" s="1">
        <v>1E-3</v>
      </c>
      <c r="F127" s="1">
        <v>0</v>
      </c>
      <c r="G127" s="1" t="s">
        <v>17</v>
      </c>
      <c r="H127" s="1">
        <v>1.55</v>
      </c>
    </row>
    <row r="128" spans="1:8" x14ac:dyDescent="0.25">
      <c r="A128" s="192" t="s">
        <v>306</v>
      </c>
      <c r="B128" s="193"/>
      <c r="C128" s="183" t="s">
        <v>311</v>
      </c>
      <c r="D128" s="183">
        <v>12</v>
      </c>
      <c r="E128" s="183">
        <v>1.9E-2</v>
      </c>
      <c r="F128" s="183">
        <v>0.1</v>
      </c>
      <c r="G128" s="183" t="s">
        <v>17</v>
      </c>
      <c r="H128" s="183">
        <v>1.25</v>
      </c>
    </row>
    <row r="129" spans="1:8" x14ac:dyDescent="0.25">
      <c r="A129" s="195" t="s">
        <v>298</v>
      </c>
      <c r="B129" s="196"/>
      <c r="C129" s="1" t="s">
        <v>312</v>
      </c>
      <c r="D129" s="1">
        <v>12</v>
      </c>
      <c r="E129" s="1">
        <v>6.8000000000000005E-2</v>
      </c>
      <c r="F129" s="1">
        <v>0.2</v>
      </c>
      <c r="G129" s="1" t="s">
        <v>17</v>
      </c>
      <c r="H129" s="1">
        <v>1.02</v>
      </c>
    </row>
    <row r="130" spans="1:8" x14ac:dyDescent="0.25">
      <c r="A130" s="198" t="s">
        <v>325</v>
      </c>
      <c r="B130" s="199"/>
      <c r="C130" s="183" t="s">
        <v>326</v>
      </c>
      <c r="D130" s="183">
        <v>12</v>
      </c>
      <c r="E130" s="183">
        <v>3.2000000000000001E-2</v>
      </c>
      <c r="F130" s="183">
        <v>0.1</v>
      </c>
      <c r="G130" s="183" t="s">
        <v>17</v>
      </c>
      <c r="H130" s="183">
        <v>1.55</v>
      </c>
    </row>
    <row r="131" spans="1:8" ht="15.75" x14ac:dyDescent="0.25">
      <c r="D131" s="191" t="s">
        <v>294</v>
      </c>
      <c r="E131" s="191">
        <f>SUM(E124:E130)</f>
        <v>0.158</v>
      </c>
      <c r="F131" s="191">
        <f>SUM(F124:F130)</f>
        <v>0.5</v>
      </c>
    </row>
    <row r="132" spans="1:8" ht="15.75" x14ac:dyDescent="0.25">
      <c r="A132" s="190" t="s">
        <v>324</v>
      </c>
    </row>
    <row r="133" spans="1:8" x14ac:dyDescent="0.25">
      <c r="A133" s="184" t="s">
        <v>281</v>
      </c>
      <c r="B133" s="184" t="s">
        <v>278</v>
      </c>
      <c r="C133" s="183" t="s">
        <v>269</v>
      </c>
      <c r="D133" s="183" t="s">
        <v>268</v>
      </c>
      <c r="E133" s="183" t="s">
        <v>270</v>
      </c>
      <c r="F133" s="183" t="s">
        <v>271</v>
      </c>
      <c r="G133" s="183" t="s">
        <v>276</v>
      </c>
      <c r="H133" s="183" t="s">
        <v>272</v>
      </c>
    </row>
    <row r="134" spans="1:8" x14ac:dyDescent="0.25">
      <c r="A134" s="1" t="s">
        <v>17</v>
      </c>
      <c r="B134" s="1" t="s">
        <v>17</v>
      </c>
      <c r="C134" s="1" t="s">
        <v>17</v>
      </c>
      <c r="D134" s="1" t="s">
        <v>19</v>
      </c>
      <c r="E134" s="1" t="s">
        <v>273</v>
      </c>
      <c r="F134" s="1" t="s">
        <v>274</v>
      </c>
      <c r="G134" s="1" t="s">
        <v>275</v>
      </c>
      <c r="H134" s="1" t="s">
        <v>277</v>
      </c>
    </row>
    <row r="135" spans="1:8" x14ac:dyDescent="0.25">
      <c r="A135" s="184" t="s">
        <v>283</v>
      </c>
      <c r="B135" s="184" t="s">
        <v>279</v>
      </c>
      <c r="C135" s="197" t="s">
        <v>322</v>
      </c>
      <c r="D135" s="185">
        <v>18</v>
      </c>
      <c r="E135" s="185">
        <v>2E-3</v>
      </c>
      <c r="F135" s="185">
        <v>0</v>
      </c>
      <c r="G135" s="185" t="s">
        <v>17</v>
      </c>
      <c r="H135" s="185">
        <v>1.42</v>
      </c>
    </row>
    <row r="136" spans="1:8" x14ac:dyDescent="0.25">
      <c r="A136" s="162" t="s">
        <v>282</v>
      </c>
      <c r="B136" s="162" t="s">
        <v>279</v>
      </c>
      <c r="C136" s="162" t="s">
        <v>299</v>
      </c>
      <c r="D136" s="162">
        <v>16</v>
      </c>
      <c r="E136" s="162">
        <v>8.1000000000000003E-2</v>
      </c>
      <c r="F136" s="162">
        <v>0.2</v>
      </c>
      <c r="G136" s="162">
        <v>4.2000000000000003E-2</v>
      </c>
      <c r="H136" s="162">
        <v>1.42</v>
      </c>
    </row>
    <row r="137" spans="1:8" ht="15.75" x14ac:dyDescent="0.25">
      <c r="D137" s="189" t="s">
        <v>294</v>
      </c>
      <c r="E137" s="189">
        <f>SUM(E135:E136)</f>
        <v>8.3000000000000004E-2</v>
      </c>
      <c r="F137" s="189">
        <f>SUM(F135:F136)</f>
        <v>0.2</v>
      </c>
    </row>
    <row r="140" spans="1:8" ht="15.75" x14ac:dyDescent="0.25">
      <c r="A140" s="190" t="s">
        <v>323</v>
      </c>
    </row>
    <row r="141" spans="1:8" x14ac:dyDescent="0.25">
      <c r="A141" s="184" t="s">
        <v>281</v>
      </c>
      <c r="B141" s="184" t="s">
        <v>278</v>
      </c>
      <c r="C141" s="183" t="s">
        <v>269</v>
      </c>
      <c r="D141" s="183" t="s">
        <v>268</v>
      </c>
      <c r="E141" s="183" t="s">
        <v>270</v>
      </c>
      <c r="F141" s="183" t="s">
        <v>271</v>
      </c>
      <c r="G141" s="183" t="s">
        <v>276</v>
      </c>
      <c r="H141" s="183" t="s">
        <v>272</v>
      </c>
    </row>
    <row r="142" spans="1:8" x14ac:dyDescent="0.25">
      <c r="A142" s="1" t="s">
        <v>17</v>
      </c>
      <c r="B142" s="1" t="s">
        <v>17</v>
      </c>
      <c r="C142" s="1" t="s">
        <v>17</v>
      </c>
      <c r="D142" s="1" t="s">
        <v>19</v>
      </c>
      <c r="E142" s="1" t="s">
        <v>273</v>
      </c>
      <c r="F142" s="1" t="s">
        <v>274</v>
      </c>
      <c r="G142" s="1" t="s">
        <v>275</v>
      </c>
      <c r="H142" s="1" t="s">
        <v>277</v>
      </c>
    </row>
    <row r="143" spans="1:8" x14ac:dyDescent="0.25">
      <c r="A143" s="184" t="s">
        <v>283</v>
      </c>
      <c r="B143" s="184" t="s">
        <v>279</v>
      </c>
      <c r="C143" s="197" t="s">
        <v>291</v>
      </c>
      <c r="D143" s="185">
        <v>18</v>
      </c>
      <c r="E143" s="185">
        <v>5.0000000000000001E-3</v>
      </c>
      <c r="F143" s="185">
        <v>0</v>
      </c>
      <c r="G143" s="185" t="s">
        <v>17</v>
      </c>
      <c r="H143" s="185">
        <v>1.39</v>
      </c>
    </row>
    <row r="144" spans="1:8" x14ac:dyDescent="0.25">
      <c r="A144" s="1" t="s">
        <v>287</v>
      </c>
      <c r="B144" s="1" t="s">
        <v>279</v>
      </c>
      <c r="C144" s="1" t="s">
        <v>293</v>
      </c>
      <c r="D144" s="1">
        <v>12</v>
      </c>
      <c r="E144" s="1">
        <v>3.0000000000000001E-3</v>
      </c>
      <c r="F144" s="1">
        <v>0</v>
      </c>
      <c r="G144" s="1" t="s">
        <v>17</v>
      </c>
      <c r="H144" s="1">
        <v>1.39</v>
      </c>
    </row>
    <row r="145" spans="1:8" x14ac:dyDescent="0.25">
      <c r="A145" s="187" t="s">
        <v>287</v>
      </c>
      <c r="B145" s="187" t="s">
        <v>279</v>
      </c>
      <c r="C145" s="187" t="s">
        <v>293</v>
      </c>
      <c r="D145" s="187">
        <v>12</v>
      </c>
      <c r="E145" s="187">
        <v>3.0000000000000001E-3</v>
      </c>
      <c r="F145" s="187">
        <v>0</v>
      </c>
      <c r="G145" s="187" t="s">
        <v>17</v>
      </c>
      <c r="H145" s="187">
        <v>1.39</v>
      </c>
    </row>
    <row r="146" spans="1:8" x14ac:dyDescent="0.25">
      <c r="A146" s="162" t="s">
        <v>282</v>
      </c>
      <c r="B146" s="162" t="s">
        <v>279</v>
      </c>
      <c r="C146" s="162" t="s">
        <v>292</v>
      </c>
      <c r="D146" s="162">
        <v>12</v>
      </c>
      <c r="E146" s="162">
        <v>3.9E-2</v>
      </c>
      <c r="F146" s="162">
        <v>0.1</v>
      </c>
      <c r="G146" s="162">
        <v>0.06</v>
      </c>
      <c r="H146" s="162">
        <v>1.39</v>
      </c>
    </row>
    <row r="147" spans="1:8" x14ac:dyDescent="0.25">
      <c r="A147" s="195" t="s">
        <v>303</v>
      </c>
      <c r="B147" s="196"/>
      <c r="C147" s="1" t="s">
        <v>310</v>
      </c>
      <c r="D147" s="1">
        <v>12</v>
      </c>
      <c r="E147" s="1">
        <v>1E-3</v>
      </c>
      <c r="F147" s="1">
        <v>0</v>
      </c>
      <c r="G147" s="1" t="s">
        <v>17</v>
      </c>
      <c r="H147" s="1">
        <v>1.71</v>
      </c>
    </row>
    <row r="148" spans="1:8" x14ac:dyDescent="0.25">
      <c r="A148" s="192" t="s">
        <v>306</v>
      </c>
      <c r="B148" s="193"/>
      <c r="C148" s="183" t="s">
        <v>311</v>
      </c>
      <c r="D148" s="183">
        <v>12</v>
      </c>
      <c r="E148" s="183">
        <v>2.4E-2</v>
      </c>
      <c r="F148" s="183">
        <v>0.1</v>
      </c>
      <c r="G148" s="183" t="s">
        <v>17</v>
      </c>
      <c r="H148" s="183">
        <v>1.39</v>
      </c>
    </row>
    <row r="149" spans="1:8" x14ac:dyDescent="0.25">
      <c r="A149" s="195" t="s">
        <v>298</v>
      </c>
      <c r="B149" s="196"/>
      <c r="C149" s="1" t="s">
        <v>312</v>
      </c>
      <c r="D149" s="1">
        <v>12</v>
      </c>
      <c r="E149" s="1">
        <v>8.4000000000000005E-2</v>
      </c>
      <c r="F149" s="1">
        <v>0.3</v>
      </c>
      <c r="G149" s="1" t="s">
        <v>17</v>
      </c>
      <c r="H149" s="1">
        <v>1.1299999999999999</v>
      </c>
    </row>
    <row r="150" spans="1:8" x14ac:dyDescent="0.25">
      <c r="A150" s="198" t="s">
        <v>325</v>
      </c>
      <c r="B150" s="199"/>
      <c r="C150" s="183" t="s">
        <v>326</v>
      </c>
      <c r="D150" s="183">
        <v>12</v>
      </c>
      <c r="E150" s="183">
        <v>3.9E-2</v>
      </c>
      <c r="F150" s="183">
        <v>0.1</v>
      </c>
      <c r="G150" s="183" t="s">
        <v>17</v>
      </c>
      <c r="H150" s="183">
        <v>1.71</v>
      </c>
    </row>
    <row r="151" spans="1:8" ht="15.75" x14ac:dyDescent="0.25">
      <c r="D151" s="191" t="s">
        <v>294</v>
      </c>
      <c r="E151" s="191">
        <f>SUM(E143:E150)</f>
        <v>0.19800000000000004</v>
      </c>
      <c r="F151" s="191">
        <f>SUM(F143:F150)</f>
        <v>0.6</v>
      </c>
    </row>
    <row r="154" spans="1:8" ht="15.75" x14ac:dyDescent="0.25">
      <c r="A154" s="190" t="s">
        <v>327</v>
      </c>
    </row>
    <row r="155" spans="1:8" x14ac:dyDescent="0.25">
      <c r="A155" s="184" t="s">
        <v>281</v>
      </c>
      <c r="B155" s="184" t="s">
        <v>278</v>
      </c>
      <c r="C155" s="183" t="s">
        <v>269</v>
      </c>
      <c r="D155" s="183" t="s">
        <v>268</v>
      </c>
      <c r="E155" s="183" t="s">
        <v>270</v>
      </c>
      <c r="F155" s="183" t="s">
        <v>271</v>
      </c>
      <c r="G155" s="183" t="s">
        <v>276</v>
      </c>
      <c r="H155" s="183" t="s">
        <v>272</v>
      </c>
    </row>
    <row r="156" spans="1:8" x14ac:dyDescent="0.25">
      <c r="A156" s="1" t="s">
        <v>17</v>
      </c>
      <c r="B156" s="1" t="s">
        <v>17</v>
      </c>
      <c r="C156" s="1" t="s">
        <v>17</v>
      </c>
      <c r="D156" s="1" t="s">
        <v>19</v>
      </c>
      <c r="E156" s="1" t="s">
        <v>273</v>
      </c>
      <c r="F156" s="1" t="s">
        <v>274</v>
      </c>
      <c r="G156" s="1" t="s">
        <v>275</v>
      </c>
      <c r="H156" s="1" t="s">
        <v>277</v>
      </c>
    </row>
    <row r="157" spans="1:8" x14ac:dyDescent="0.25">
      <c r="A157" s="184" t="s">
        <v>283</v>
      </c>
      <c r="B157" s="184" t="s">
        <v>279</v>
      </c>
      <c r="C157" s="197" t="s">
        <v>291</v>
      </c>
      <c r="D157" s="185">
        <v>18</v>
      </c>
      <c r="E157" s="185">
        <v>5.0000000000000001E-3</v>
      </c>
      <c r="F157" s="185">
        <v>0</v>
      </c>
      <c r="G157" s="185" t="s">
        <v>17</v>
      </c>
      <c r="H157" s="185">
        <v>1.39</v>
      </c>
    </row>
    <row r="158" spans="1:8" x14ac:dyDescent="0.25">
      <c r="A158" s="1" t="s">
        <v>287</v>
      </c>
      <c r="B158" s="1" t="s">
        <v>279</v>
      </c>
      <c r="C158" s="1" t="s">
        <v>293</v>
      </c>
      <c r="D158" s="1">
        <v>12</v>
      </c>
      <c r="E158" s="1">
        <v>3.0000000000000001E-3</v>
      </c>
      <c r="F158" s="1">
        <v>0</v>
      </c>
      <c r="G158" s="1" t="s">
        <v>17</v>
      </c>
      <c r="H158" s="1">
        <v>1.39</v>
      </c>
    </row>
    <row r="159" spans="1:8" x14ac:dyDescent="0.25">
      <c r="A159" s="187" t="s">
        <v>287</v>
      </c>
      <c r="B159" s="187" t="s">
        <v>279</v>
      </c>
      <c r="C159" s="187" t="s">
        <v>293</v>
      </c>
      <c r="D159" s="187">
        <v>12</v>
      </c>
      <c r="E159" s="187">
        <v>3.0000000000000001E-3</v>
      </c>
      <c r="F159" s="187">
        <v>0</v>
      </c>
      <c r="G159" s="187" t="s">
        <v>17</v>
      </c>
      <c r="H159" s="187">
        <v>1.39</v>
      </c>
    </row>
    <row r="160" spans="1:8" x14ac:dyDescent="0.25">
      <c r="A160" s="162" t="s">
        <v>282</v>
      </c>
      <c r="B160" s="162" t="s">
        <v>279</v>
      </c>
      <c r="C160" s="162" t="s">
        <v>292</v>
      </c>
      <c r="D160" s="162">
        <v>12</v>
      </c>
      <c r="E160" s="162">
        <v>5.8000000000000003E-2</v>
      </c>
      <c r="F160" s="162">
        <v>0.2</v>
      </c>
      <c r="G160" s="162">
        <v>0.06</v>
      </c>
      <c r="H160" s="162">
        <v>1.39</v>
      </c>
    </row>
    <row r="161" spans="1:8" x14ac:dyDescent="0.25">
      <c r="A161" s="195" t="s">
        <v>303</v>
      </c>
      <c r="B161" s="196"/>
      <c r="C161" s="1" t="s">
        <v>310</v>
      </c>
      <c r="D161" s="1">
        <v>12</v>
      </c>
      <c r="E161" s="1">
        <v>1E-3</v>
      </c>
      <c r="F161" s="1">
        <v>0</v>
      </c>
      <c r="G161" s="1" t="s">
        <v>17</v>
      </c>
      <c r="H161" s="1">
        <v>1.71</v>
      </c>
    </row>
    <row r="162" spans="1:8" x14ac:dyDescent="0.25">
      <c r="A162" s="192" t="s">
        <v>306</v>
      </c>
      <c r="B162" s="193"/>
      <c r="C162" s="183" t="s">
        <v>311</v>
      </c>
      <c r="D162" s="183">
        <v>12</v>
      </c>
      <c r="E162" s="183">
        <v>2.4E-2</v>
      </c>
      <c r="F162" s="183">
        <v>0.1</v>
      </c>
      <c r="G162" s="183" t="s">
        <v>17</v>
      </c>
      <c r="H162" s="183">
        <v>1.39</v>
      </c>
    </row>
    <row r="163" spans="1:8" x14ac:dyDescent="0.25">
      <c r="A163" s="195" t="s">
        <v>298</v>
      </c>
      <c r="B163" s="196"/>
      <c r="C163" s="1" t="s">
        <v>312</v>
      </c>
      <c r="D163" s="1">
        <v>12</v>
      </c>
      <c r="E163" s="1">
        <v>8.4000000000000005E-2</v>
      </c>
      <c r="F163" s="1">
        <v>0.3</v>
      </c>
      <c r="G163" s="1" t="s">
        <v>17</v>
      </c>
      <c r="H163" s="1">
        <v>1.1299999999999999</v>
      </c>
    </row>
    <row r="164" spans="1:8" x14ac:dyDescent="0.25">
      <c r="A164" s="198" t="s">
        <v>325</v>
      </c>
      <c r="B164" s="199"/>
      <c r="C164" s="183" t="s">
        <v>326</v>
      </c>
      <c r="D164" s="183">
        <v>12</v>
      </c>
      <c r="E164" s="183">
        <v>3.9E-2</v>
      </c>
      <c r="F164" s="183">
        <v>0.1</v>
      </c>
      <c r="G164" s="183" t="s">
        <v>17</v>
      </c>
      <c r="H164" s="183">
        <v>1.71</v>
      </c>
    </row>
    <row r="165" spans="1:8" ht="15.75" x14ac:dyDescent="0.25">
      <c r="D165" s="191" t="s">
        <v>294</v>
      </c>
      <c r="E165" s="191">
        <f>SUM(E157:E164)</f>
        <v>0.217</v>
      </c>
      <c r="F165" s="191">
        <f>SUM(F157:F164)</f>
        <v>0.70000000000000007</v>
      </c>
    </row>
  </sheetData>
  <mergeCells count="36">
    <mergeCell ref="A40:B40"/>
    <mergeCell ref="A20:B20"/>
    <mergeCell ref="A162:B162"/>
    <mergeCell ref="A163:B163"/>
    <mergeCell ref="A164:B164"/>
    <mergeCell ref="A130:B130"/>
    <mergeCell ref="A98:B98"/>
    <mergeCell ref="A78:B78"/>
    <mergeCell ref="A147:B147"/>
    <mergeCell ref="A148:B148"/>
    <mergeCell ref="A150:B150"/>
    <mergeCell ref="A149:B149"/>
    <mergeCell ref="A161:B161"/>
    <mergeCell ref="A109:B109"/>
    <mergeCell ref="A107:B107"/>
    <mergeCell ref="A108:B108"/>
    <mergeCell ref="A127:B127"/>
    <mergeCell ref="A128:B128"/>
    <mergeCell ref="A129:B129"/>
    <mergeCell ref="A97:B97"/>
    <mergeCell ref="A96:B96"/>
    <mergeCell ref="A110:B110"/>
    <mergeCell ref="A75:B75"/>
    <mergeCell ref="A76:B76"/>
    <mergeCell ref="A77:B77"/>
    <mergeCell ref="A95:B95"/>
    <mergeCell ref="A61:B61"/>
    <mergeCell ref="A60:B60"/>
    <mergeCell ref="A59:B59"/>
    <mergeCell ref="A58:B58"/>
    <mergeCell ref="A23:B23"/>
    <mergeCell ref="A21:B21"/>
    <mergeCell ref="A22:B22"/>
    <mergeCell ref="A37:B37"/>
    <mergeCell ref="A38:B38"/>
    <mergeCell ref="A39:B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I22" sqref="A19:I22"/>
    </sheetView>
  </sheetViews>
  <sheetFormatPr defaultRowHeight="15" x14ac:dyDescent="0.25"/>
  <cols>
    <col min="5" max="5" width="11.7109375" customWidth="1"/>
    <col min="6" max="6" width="11" customWidth="1"/>
    <col min="7" max="7" width="10.42578125" customWidth="1"/>
    <col min="8" max="8" width="12" customWidth="1"/>
    <col min="9" max="9" width="10.5703125" customWidth="1"/>
  </cols>
  <sheetData>
    <row r="1" spans="1:9" x14ac:dyDescent="0.25">
      <c r="A1" s="163" t="s">
        <v>344</v>
      </c>
      <c r="B1" s="163"/>
      <c r="C1" s="192" t="s">
        <v>270</v>
      </c>
      <c r="D1" s="193"/>
      <c r="E1" s="183" t="s">
        <v>269</v>
      </c>
      <c r="F1" s="183" t="s">
        <v>345</v>
      </c>
      <c r="G1" s="183" t="s">
        <v>248</v>
      </c>
      <c r="H1" s="183" t="s">
        <v>346</v>
      </c>
      <c r="I1" s="183" t="s">
        <v>272</v>
      </c>
    </row>
    <row r="2" spans="1:9" x14ac:dyDescent="0.25">
      <c r="A2" s="163" t="s">
        <v>17</v>
      </c>
      <c r="B2" s="163"/>
      <c r="C2" s="163" t="s">
        <v>349</v>
      </c>
      <c r="D2" s="163"/>
      <c r="E2" s="183" t="s">
        <v>17</v>
      </c>
      <c r="F2" s="183" t="s">
        <v>19</v>
      </c>
      <c r="G2" s="183" t="s">
        <v>249</v>
      </c>
      <c r="H2" s="183" t="s">
        <v>349</v>
      </c>
      <c r="I2" s="183" t="s">
        <v>277</v>
      </c>
    </row>
    <row r="3" spans="1:9" x14ac:dyDescent="0.25">
      <c r="A3" s="157">
        <v>1</v>
      </c>
      <c r="B3" s="157"/>
      <c r="C3" s="157">
        <v>0.214</v>
      </c>
      <c r="D3" s="157"/>
      <c r="E3" s="1" t="s">
        <v>347</v>
      </c>
      <c r="F3" s="1">
        <v>16</v>
      </c>
      <c r="G3" s="1">
        <v>24.24</v>
      </c>
      <c r="H3" s="1">
        <v>10.75</v>
      </c>
      <c r="I3" s="1">
        <v>0.84</v>
      </c>
    </row>
    <row r="4" spans="1:9" x14ac:dyDescent="0.25">
      <c r="A4" s="163">
        <v>2</v>
      </c>
      <c r="B4" s="163"/>
      <c r="C4" s="163">
        <f>0.113+0.121</f>
        <v>0.23399999999999999</v>
      </c>
      <c r="D4" s="163"/>
      <c r="E4" s="183" t="s">
        <v>347</v>
      </c>
      <c r="F4" s="183">
        <v>16</v>
      </c>
      <c r="G4" s="183">
        <v>24.26</v>
      </c>
      <c r="H4" s="183">
        <v>10.77</v>
      </c>
      <c r="I4" s="183">
        <v>0.84</v>
      </c>
    </row>
    <row r="5" spans="1:9" x14ac:dyDescent="0.25">
      <c r="A5" s="157">
        <v>3</v>
      </c>
      <c r="B5" s="157"/>
      <c r="C5" s="157">
        <f>0.143+0.161</f>
        <v>0.30399999999999999</v>
      </c>
      <c r="D5" s="157"/>
      <c r="E5" s="1" t="s">
        <v>348</v>
      </c>
      <c r="F5" s="1">
        <v>16</v>
      </c>
      <c r="G5" s="1">
        <v>15.37</v>
      </c>
      <c r="H5" s="1">
        <v>10.34</v>
      </c>
      <c r="I5" s="1">
        <v>0.65</v>
      </c>
    </row>
    <row r="6" spans="1:9" x14ac:dyDescent="0.25">
      <c r="A6" s="163">
        <v>4</v>
      </c>
      <c r="B6" s="163"/>
      <c r="C6" s="163">
        <f>0.203+0.16</f>
        <v>0.36299999999999999</v>
      </c>
      <c r="D6" s="163"/>
      <c r="E6" s="183" t="s">
        <v>348</v>
      </c>
      <c r="F6" s="183">
        <v>16</v>
      </c>
      <c r="G6" s="183">
        <v>15.33</v>
      </c>
      <c r="H6" s="183">
        <v>10.34</v>
      </c>
      <c r="I6" s="183">
        <v>0.65</v>
      </c>
    </row>
    <row r="7" spans="1:9" x14ac:dyDescent="0.25">
      <c r="A7" s="157">
        <v>5</v>
      </c>
      <c r="B7" s="157"/>
      <c r="C7" s="157">
        <v>0.309</v>
      </c>
      <c r="D7" s="157"/>
      <c r="E7" s="1" t="s">
        <v>350</v>
      </c>
      <c r="F7" s="1">
        <v>12.7</v>
      </c>
      <c r="G7" s="1">
        <v>15.8</v>
      </c>
      <c r="H7" s="1">
        <v>9.9369999999999994</v>
      </c>
      <c r="I7" s="1">
        <v>1.1599999999999999</v>
      </c>
    </row>
    <row r="8" spans="1:9" x14ac:dyDescent="0.25">
      <c r="A8" s="163">
        <v>6</v>
      </c>
      <c r="B8" s="163"/>
      <c r="C8" s="163">
        <v>0.214</v>
      </c>
      <c r="D8" s="163"/>
      <c r="E8" s="183" t="s">
        <v>350</v>
      </c>
      <c r="F8" s="183">
        <v>12.7</v>
      </c>
      <c r="G8" s="183">
        <v>15.88</v>
      </c>
      <c r="H8" s="183">
        <v>10.029999999999999</v>
      </c>
      <c r="I8" s="183">
        <v>1.1599999999999999</v>
      </c>
    </row>
    <row r="9" spans="1:9" x14ac:dyDescent="0.25">
      <c r="A9" s="157">
        <v>7</v>
      </c>
      <c r="B9" s="157"/>
      <c r="C9" s="157">
        <v>0.29599999999999999</v>
      </c>
      <c r="D9" s="157"/>
      <c r="E9" s="1" t="s">
        <v>350</v>
      </c>
      <c r="F9" s="1">
        <v>12.7</v>
      </c>
      <c r="G9" s="1">
        <v>15.81</v>
      </c>
      <c r="H9" s="1">
        <v>9.9489999999999998</v>
      </c>
      <c r="I9" s="1">
        <v>1.1599999999999999</v>
      </c>
    </row>
    <row r="10" spans="1:9" x14ac:dyDescent="0.25">
      <c r="A10" s="163">
        <v>8</v>
      </c>
      <c r="B10" s="163"/>
      <c r="C10" s="163">
        <v>0.33600000000000002</v>
      </c>
      <c r="D10" s="163"/>
      <c r="E10" s="183" t="s">
        <v>351</v>
      </c>
      <c r="F10" s="183">
        <v>12.7</v>
      </c>
      <c r="G10" s="183">
        <v>17.829999999999998</v>
      </c>
      <c r="H10" s="183">
        <v>10.119999999999999</v>
      </c>
      <c r="I10" s="183">
        <v>1.29</v>
      </c>
    </row>
    <row r="11" spans="1:9" x14ac:dyDescent="0.25">
      <c r="A11" s="157">
        <v>9</v>
      </c>
      <c r="B11" s="157"/>
      <c r="C11" s="157">
        <v>0.217</v>
      </c>
      <c r="D11" s="157"/>
      <c r="E11" s="1" t="s">
        <v>351</v>
      </c>
      <c r="F11" s="1">
        <v>12.7</v>
      </c>
      <c r="G11" s="1">
        <v>17.940000000000001</v>
      </c>
      <c r="H11" s="1">
        <v>10.23</v>
      </c>
      <c r="I11" s="1">
        <v>1.29</v>
      </c>
    </row>
    <row r="19" spans="1:9" x14ac:dyDescent="0.25">
      <c r="A19" s="163" t="s">
        <v>344</v>
      </c>
      <c r="B19" s="163"/>
      <c r="C19" s="192" t="s">
        <v>270</v>
      </c>
      <c r="D19" s="193"/>
      <c r="E19" s="183" t="s">
        <v>269</v>
      </c>
      <c r="F19" s="183" t="s">
        <v>345</v>
      </c>
      <c r="G19" s="183" t="s">
        <v>248</v>
      </c>
      <c r="H19" s="183" t="s">
        <v>346</v>
      </c>
      <c r="I19" s="183" t="s">
        <v>272</v>
      </c>
    </row>
    <row r="20" spans="1:9" x14ac:dyDescent="0.25">
      <c r="A20" s="163" t="s">
        <v>17</v>
      </c>
      <c r="B20" s="163"/>
      <c r="C20" s="163" t="s">
        <v>349</v>
      </c>
      <c r="D20" s="163"/>
      <c r="E20" s="183" t="s">
        <v>17</v>
      </c>
      <c r="F20" s="183" t="s">
        <v>19</v>
      </c>
      <c r="G20" s="183" t="s">
        <v>249</v>
      </c>
      <c r="H20" s="183" t="s">
        <v>349</v>
      </c>
      <c r="I20" s="183" t="s">
        <v>277</v>
      </c>
    </row>
    <row r="21" spans="1:9" x14ac:dyDescent="0.25">
      <c r="A21" s="158">
        <v>10</v>
      </c>
      <c r="B21" s="158"/>
      <c r="C21" s="158">
        <v>1.4570000000000001</v>
      </c>
      <c r="D21" s="158"/>
      <c r="E21" s="162" t="s">
        <v>352</v>
      </c>
      <c r="F21" s="162">
        <v>15</v>
      </c>
      <c r="G21" s="162">
        <v>97.28</v>
      </c>
      <c r="H21" s="162">
        <v>19.54</v>
      </c>
      <c r="I21" s="162">
        <v>0.65</v>
      </c>
    </row>
    <row r="22" spans="1:9" x14ac:dyDescent="0.25">
      <c r="A22" s="159">
        <v>11</v>
      </c>
      <c r="B22" s="159"/>
      <c r="C22" s="159">
        <v>1.4570000000000001</v>
      </c>
      <c r="D22" s="159"/>
      <c r="E22" s="183" t="s">
        <v>352</v>
      </c>
      <c r="F22" s="183">
        <v>15</v>
      </c>
      <c r="G22" s="183">
        <v>97.28</v>
      </c>
      <c r="H22" s="183">
        <v>19.54</v>
      </c>
      <c r="I22" s="183">
        <v>0.65</v>
      </c>
    </row>
  </sheetData>
  <mergeCells count="30">
    <mergeCell ref="C11:D11"/>
    <mergeCell ref="C2:D2"/>
    <mergeCell ref="A2:B2"/>
    <mergeCell ref="C1:D1"/>
    <mergeCell ref="C21:D21"/>
    <mergeCell ref="C22:D22"/>
    <mergeCell ref="A19:B19"/>
    <mergeCell ref="C19:D19"/>
    <mergeCell ref="A20:B20"/>
    <mergeCell ref="C20:D20"/>
    <mergeCell ref="A21:B21"/>
    <mergeCell ref="A22:B22"/>
    <mergeCell ref="C3:D3"/>
    <mergeCell ref="C4:D4"/>
    <mergeCell ref="C5:D5"/>
    <mergeCell ref="C6:D6"/>
    <mergeCell ref="C7:D7"/>
    <mergeCell ref="C8:D8"/>
    <mergeCell ref="C9:D9"/>
    <mergeCell ref="C10:D10"/>
    <mergeCell ref="A6:B6"/>
    <mergeCell ref="A7:B7"/>
    <mergeCell ref="A8:B8"/>
    <mergeCell ref="A9:B9"/>
    <mergeCell ref="A10:B10"/>
    <mergeCell ref="A11:B11"/>
    <mergeCell ref="A1:B1"/>
    <mergeCell ref="A3:B3"/>
    <mergeCell ref="A4:B4"/>
    <mergeCell ref="A5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1" workbookViewId="0">
      <selection activeCell="A48" sqref="A48:H51"/>
    </sheetView>
  </sheetViews>
  <sheetFormatPr defaultRowHeight="15" x14ac:dyDescent="0.25"/>
  <cols>
    <col min="1" max="1" width="11.28515625" customWidth="1"/>
    <col min="3" max="3" width="14.85546875" customWidth="1"/>
    <col min="4" max="4" width="12.42578125" customWidth="1"/>
    <col min="5" max="5" width="16.140625" customWidth="1"/>
    <col min="6" max="6" width="13.7109375" customWidth="1"/>
    <col min="7" max="7" width="15.140625" customWidth="1"/>
    <col min="8" max="8" width="12.28515625" customWidth="1"/>
  </cols>
  <sheetData>
    <row r="1" spans="1:8" ht="15.75" x14ac:dyDescent="0.25">
      <c r="A1" s="200" t="s">
        <v>335</v>
      </c>
    </row>
    <row r="2" spans="1:8" x14ac:dyDescent="0.25">
      <c r="A2" s="184" t="s">
        <v>281</v>
      </c>
      <c r="B2" s="184" t="s">
        <v>278</v>
      </c>
      <c r="C2" s="183" t="s">
        <v>269</v>
      </c>
      <c r="D2" s="183" t="s">
        <v>268</v>
      </c>
      <c r="E2" s="183" t="s">
        <v>270</v>
      </c>
      <c r="F2" s="183" t="s">
        <v>271</v>
      </c>
      <c r="G2" s="183" t="s">
        <v>276</v>
      </c>
      <c r="H2" s="183" t="s">
        <v>272</v>
      </c>
    </row>
    <row r="3" spans="1:8" x14ac:dyDescent="0.25">
      <c r="A3" s="1" t="s">
        <v>17</v>
      </c>
      <c r="B3" s="1" t="s">
        <v>17</v>
      </c>
      <c r="C3" s="1" t="s">
        <v>17</v>
      </c>
      <c r="D3" s="1" t="s">
        <v>19</v>
      </c>
      <c r="E3" s="1" t="s">
        <v>273</v>
      </c>
      <c r="F3" s="1" t="s">
        <v>274</v>
      </c>
      <c r="G3" s="1" t="s">
        <v>275</v>
      </c>
      <c r="H3" s="1" t="s">
        <v>277</v>
      </c>
    </row>
    <row r="4" spans="1:8" x14ac:dyDescent="0.25">
      <c r="A4" s="184" t="s">
        <v>282</v>
      </c>
      <c r="B4" s="184" t="s">
        <v>279</v>
      </c>
      <c r="C4" s="184" t="s">
        <v>267</v>
      </c>
      <c r="D4" s="183">
        <v>42</v>
      </c>
      <c r="E4" s="183">
        <v>2.8000000000000001E-2</v>
      </c>
      <c r="F4" s="183">
        <v>0.3</v>
      </c>
      <c r="G4" s="183">
        <v>6.9000000000000006E-2</v>
      </c>
      <c r="H4" s="183">
        <v>18.22</v>
      </c>
    </row>
    <row r="5" spans="1:8" ht="15.75" x14ac:dyDescent="0.25">
      <c r="D5" s="189" t="s">
        <v>294</v>
      </c>
      <c r="E5" s="189">
        <f>SUM(E2:E4)</f>
        <v>2.8000000000000001E-2</v>
      </c>
      <c r="F5" s="189">
        <f>SUM(F2:F4)</f>
        <v>0.3</v>
      </c>
    </row>
    <row r="8" spans="1:8" ht="15.75" x14ac:dyDescent="0.25">
      <c r="A8" s="200" t="s">
        <v>334</v>
      </c>
    </row>
    <row r="9" spans="1:8" x14ac:dyDescent="0.25">
      <c r="A9" s="184" t="s">
        <v>281</v>
      </c>
      <c r="B9" s="184" t="s">
        <v>278</v>
      </c>
      <c r="C9" s="183" t="s">
        <v>269</v>
      </c>
      <c r="D9" s="183" t="s">
        <v>268</v>
      </c>
      <c r="E9" s="183" t="s">
        <v>270</v>
      </c>
      <c r="F9" s="183" t="s">
        <v>271</v>
      </c>
      <c r="G9" s="183" t="s">
        <v>276</v>
      </c>
      <c r="H9" s="183" t="s">
        <v>272</v>
      </c>
    </row>
    <row r="10" spans="1:8" x14ac:dyDescent="0.25">
      <c r="A10" s="1" t="s">
        <v>17</v>
      </c>
      <c r="B10" s="1" t="s">
        <v>17</v>
      </c>
      <c r="C10" s="1" t="s">
        <v>17</v>
      </c>
      <c r="D10" s="1" t="s">
        <v>19</v>
      </c>
      <c r="E10" s="1" t="s">
        <v>273</v>
      </c>
      <c r="F10" s="1" t="s">
        <v>274</v>
      </c>
      <c r="G10" s="1" t="s">
        <v>275</v>
      </c>
      <c r="H10" s="1" t="s">
        <v>277</v>
      </c>
    </row>
    <row r="11" spans="1:8" ht="18.75" customHeight="1" x14ac:dyDescent="0.25">
      <c r="A11" s="184" t="s">
        <v>328</v>
      </c>
      <c r="B11" s="184" t="s">
        <v>279</v>
      </c>
      <c r="C11" s="185" t="s">
        <v>330</v>
      </c>
      <c r="D11" s="185">
        <v>42</v>
      </c>
      <c r="E11" s="185">
        <v>7.0000000000000001E-3</v>
      </c>
      <c r="F11" s="185">
        <v>0.1</v>
      </c>
      <c r="G11" s="185" t="s">
        <v>17</v>
      </c>
      <c r="H11" s="185">
        <v>17.97</v>
      </c>
    </row>
    <row r="12" spans="1:8" x14ac:dyDescent="0.25">
      <c r="A12" s="162" t="s">
        <v>282</v>
      </c>
      <c r="B12" s="162" t="s">
        <v>279</v>
      </c>
      <c r="C12" s="162" t="s">
        <v>329</v>
      </c>
      <c r="D12" s="162">
        <v>54</v>
      </c>
      <c r="E12" s="162">
        <v>1.6E-2</v>
      </c>
      <c r="F12" s="162">
        <v>0.2</v>
      </c>
      <c r="G12" s="162">
        <v>5.0999999999999997E-2</v>
      </c>
      <c r="H12" s="162">
        <v>17.97</v>
      </c>
    </row>
    <row r="13" spans="1:8" ht="15.75" x14ac:dyDescent="0.25">
      <c r="D13" s="189" t="s">
        <v>294</v>
      </c>
      <c r="E13" s="189">
        <f>SUM(E10:E12)</f>
        <v>2.3E-2</v>
      </c>
      <c r="F13" s="189">
        <f>SUM(F10:F12)</f>
        <v>0.30000000000000004</v>
      </c>
    </row>
    <row r="16" spans="1:8" ht="15.75" x14ac:dyDescent="0.25">
      <c r="A16" s="200" t="s">
        <v>333</v>
      </c>
    </row>
    <row r="17" spans="1:8" x14ac:dyDescent="0.25">
      <c r="A17" s="184" t="s">
        <v>281</v>
      </c>
      <c r="B17" s="184" t="s">
        <v>278</v>
      </c>
      <c r="C17" s="183" t="s">
        <v>269</v>
      </c>
      <c r="D17" s="183" t="s">
        <v>268</v>
      </c>
      <c r="E17" s="183" t="s">
        <v>270</v>
      </c>
      <c r="F17" s="183" t="s">
        <v>271</v>
      </c>
      <c r="G17" s="183" t="s">
        <v>276</v>
      </c>
      <c r="H17" s="183" t="s">
        <v>272</v>
      </c>
    </row>
    <row r="18" spans="1:8" x14ac:dyDescent="0.25">
      <c r="A18" s="1" t="s">
        <v>17</v>
      </c>
      <c r="B18" s="1" t="s">
        <v>17</v>
      </c>
      <c r="C18" s="1" t="s">
        <v>17</v>
      </c>
      <c r="D18" s="1" t="s">
        <v>19</v>
      </c>
      <c r="E18" s="1" t="s">
        <v>273</v>
      </c>
      <c r="F18" s="1" t="s">
        <v>274</v>
      </c>
      <c r="G18" s="1" t="s">
        <v>275</v>
      </c>
      <c r="H18" s="1" t="s">
        <v>277</v>
      </c>
    </row>
    <row r="19" spans="1:8" x14ac:dyDescent="0.25">
      <c r="A19" s="184" t="s">
        <v>328</v>
      </c>
      <c r="B19" s="184" t="s">
        <v>279</v>
      </c>
      <c r="C19" s="197" t="s">
        <v>332</v>
      </c>
      <c r="D19" s="185">
        <v>54</v>
      </c>
      <c r="E19" s="185">
        <v>4.0000000000000001E-3</v>
      </c>
      <c r="F19" s="185">
        <v>0</v>
      </c>
      <c r="G19" s="185" t="s">
        <v>17</v>
      </c>
      <c r="H19" s="185">
        <v>17.309999999999999</v>
      </c>
    </row>
    <row r="20" spans="1:8" x14ac:dyDescent="0.25">
      <c r="A20" s="162" t="s">
        <v>282</v>
      </c>
      <c r="B20" s="162" t="s">
        <v>279</v>
      </c>
      <c r="C20" s="162" t="s">
        <v>331</v>
      </c>
      <c r="D20" s="162">
        <v>64</v>
      </c>
      <c r="E20" s="162">
        <v>1.2E-2</v>
      </c>
      <c r="F20" s="162">
        <v>0.1</v>
      </c>
      <c r="G20" s="162">
        <v>3.7999999999999999E-2</v>
      </c>
      <c r="H20" s="162">
        <v>17.38</v>
      </c>
    </row>
    <row r="21" spans="1:8" ht="15.75" x14ac:dyDescent="0.25">
      <c r="D21" s="189" t="s">
        <v>294</v>
      </c>
      <c r="E21" s="189">
        <f>SUM(E18:E20)</f>
        <v>1.6E-2</v>
      </c>
      <c r="F21" s="189">
        <f>SUM(F18:F20)</f>
        <v>0.1</v>
      </c>
    </row>
    <row r="24" spans="1:8" ht="15.75" x14ac:dyDescent="0.25">
      <c r="A24" s="200" t="s">
        <v>336</v>
      </c>
    </row>
    <row r="25" spans="1:8" x14ac:dyDescent="0.25">
      <c r="A25" s="184" t="s">
        <v>281</v>
      </c>
      <c r="B25" s="184" t="s">
        <v>278</v>
      </c>
      <c r="C25" s="183" t="s">
        <v>269</v>
      </c>
      <c r="D25" s="183" t="s">
        <v>268</v>
      </c>
      <c r="E25" s="183" t="s">
        <v>270</v>
      </c>
      <c r="F25" s="183" t="s">
        <v>271</v>
      </c>
      <c r="G25" s="183" t="s">
        <v>276</v>
      </c>
      <c r="H25" s="183" t="s">
        <v>272</v>
      </c>
    </row>
    <row r="26" spans="1:8" x14ac:dyDescent="0.25">
      <c r="A26" s="1" t="s">
        <v>17</v>
      </c>
      <c r="B26" s="1" t="s">
        <v>17</v>
      </c>
      <c r="C26" s="1" t="s">
        <v>17</v>
      </c>
      <c r="D26" s="1" t="s">
        <v>19</v>
      </c>
      <c r="E26" s="1" t="s">
        <v>273</v>
      </c>
      <c r="F26" s="1" t="s">
        <v>274</v>
      </c>
      <c r="G26" s="1" t="s">
        <v>275</v>
      </c>
      <c r="H26" s="1" t="s">
        <v>277</v>
      </c>
    </row>
    <row r="27" spans="1:8" x14ac:dyDescent="0.25">
      <c r="A27" s="184" t="s">
        <v>328</v>
      </c>
      <c r="B27" s="184" t="s">
        <v>279</v>
      </c>
      <c r="C27" s="197" t="s">
        <v>337</v>
      </c>
      <c r="D27" s="185">
        <v>42</v>
      </c>
      <c r="E27" s="185">
        <v>5.0000000000000001E-3</v>
      </c>
      <c r="F27" s="185">
        <v>0</v>
      </c>
      <c r="G27" s="185" t="s">
        <v>17</v>
      </c>
      <c r="H27" s="185">
        <v>17.399999999999999</v>
      </c>
    </row>
    <row r="28" spans="1:8" x14ac:dyDescent="0.25">
      <c r="A28" s="162" t="s">
        <v>282</v>
      </c>
      <c r="B28" s="162" t="s">
        <v>279</v>
      </c>
      <c r="C28" s="162" t="s">
        <v>267</v>
      </c>
      <c r="D28" s="162">
        <v>42</v>
      </c>
      <c r="E28" s="162">
        <v>0.03</v>
      </c>
      <c r="F28" s="162">
        <v>0.4</v>
      </c>
      <c r="G28" s="162">
        <v>6.5000000000000002E-2</v>
      </c>
      <c r="H28" s="162">
        <v>17.36</v>
      </c>
    </row>
    <row r="29" spans="1:8" ht="15.75" x14ac:dyDescent="0.25">
      <c r="D29" s="189" t="s">
        <v>294</v>
      </c>
      <c r="E29" s="189">
        <f>SUM(E26:E28)</f>
        <v>3.4999999999999996E-2</v>
      </c>
      <c r="F29" s="189">
        <f>SUM(F26:F28)</f>
        <v>0.4</v>
      </c>
    </row>
    <row r="32" spans="1:8" ht="15.75" x14ac:dyDescent="0.25">
      <c r="A32" s="200" t="s">
        <v>338</v>
      </c>
    </row>
    <row r="33" spans="1:8" x14ac:dyDescent="0.25">
      <c r="A33" s="184" t="s">
        <v>281</v>
      </c>
      <c r="B33" s="184" t="s">
        <v>278</v>
      </c>
      <c r="C33" s="183" t="s">
        <v>269</v>
      </c>
      <c r="D33" s="183" t="s">
        <v>268</v>
      </c>
      <c r="E33" s="183" t="s">
        <v>270</v>
      </c>
      <c r="F33" s="183" t="s">
        <v>271</v>
      </c>
      <c r="G33" s="183" t="s">
        <v>276</v>
      </c>
      <c r="H33" s="183" t="s">
        <v>272</v>
      </c>
    </row>
    <row r="34" spans="1:8" x14ac:dyDescent="0.25">
      <c r="A34" s="1" t="s">
        <v>17</v>
      </c>
      <c r="B34" s="1" t="s">
        <v>17</v>
      </c>
      <c r="C34" s="1" t="s">
        <v>17</v>
      </c>
      <c r="D34" s="1" t="s">
        <v>19</v>
      </c>
      <c r="E34" s="1" t="s">
        <v>273</v>
      </c>
      <c r="F34" s="1" t="s">
        <v>274</v>
      </c>
      <c r="G34" s="1" t="s">
        <v>275</v>
      </c>
      <c r="H34" s="1" t="s">
        <v>277</v>
      </c>
    </row>
    <row r="35" spans="1:8" x14ac:dyDescent="0.25">
      <c r="A35" s="184" t="s">
        <v>328</v>
      </c>
      <c r="B35" s="184" t="s">
        <v>279</v>
      </c>
      <c r="C35" s="197" t="s">
        <v>339</v>
      </c>
      <c r="D35" s="185">
        <v>35</v>
      </c>
      <c r="E35" s="185">
        <v>7.9000000000000001E-2</v>
      </c>
      <c r="F35" s="185">
        <v>1</v>
      </c>
      <c r="G35" s="185" t="s">
        <v>17</v>
      </c>
      <c r="H35" s="197" t="s">
        <v>340</v>
      </c>
    </row>
    <row r="36" spans="1:8" x14ac:dyDescent="0.25">
      <c r="A36" s="162" t="s">
        <v>282</v>
      </c>
      <c r="B36" s="162" t="s">
        <v>279</v>
      </c>
      <c r="C36" s="162" t="s">
        <v>331</v>
      </c>
      <c r="D36" s="162">
        <v>64</v>
      </c>
      <c r="E36" s="162">
        <v>2.5000000000000001E-2</v>
      </c>
      <c r="F36" s="162">
        <v>0.3</v>
      </c>
      <c r="G36" s="162">
        <v>0.03</v>
      </c>
      <c r="H36" s="162">
        <v>15.25</v>
      </c>
    </row>
    <row r="37" spans="1:8" ht="15.75" x14ac:dyDescent="0.25">
      <c r="D37" s="189" t="s">
        <v>294</v>
      </c>
      <c r="E37" s="189">
        <f>SUM(E34:E36)</f>
        <v>0.10400000000000001</v>
      </c>
      <c r="F37" s="189">
        <f>SUM(F34:F36)</f>
        <v>1.3</v>
      </c>
    </row>
    <row r="40" spans="1:8" ht="15.75" x14ac:dyDescent="0.25">
      <c r="A40" s="200" t="s">
        <v>341</v>
      </c>
    </row>
    <row r="41" spans="1:8" x14ac:dyDescent="0.25">
      <c r="A41" s="184" t="s">
        <v>281</v>
      </c>
      <c r="B41" s="184" t="s">
        <v>278</v>
      </c>
      <c r="C41" s="183" t="s">
        <v>269</v>
      </c>
      <c r="D41" s="183" t="s">
        <v>268</v>
      </c>
      <c r="E41" s="183" t="s">
        <v>270</v>
      </c>
      <c r="F41" s="183" t="s">
        <v>271</v>
      </c>
      <c r="G41" s="183" t="s">
        <v>276</v>
      </c>
      <c r="H41" s="183" t="s">
        <v>272</v>
      </c>
    </row>
    <row r="42" spans="1:8" x14ac:dyDescent="0.25">
      <c r="A42" s="1" t="s">
        <v>17</v>
      </c>
      <c r="B42" s="1" t="s">
        <v>17</v>
      </c>
      <c r="C42" s="1" t="s">
        <v>17</v>
      </c>
      <c r="D42" s="1" t="s">
        <v>19</v>
      </c>
      <c r="E42" s="1" t="s">
        <v>273</v>
      </c>
      <c r="F42" s="1" t="s">
        <v>274</v>
      </c>
      <c r="G42" s="1" t="s">
        <v>275</v>
      </c>
      <c r="H42" s="1" t="s">
        <v>277</v>
      </c>
    </row>
    <row r="43" spans="1:8" x14ac:dyDescent="0.25">
      <c r="A43" s="184" t="s">
        <v>282</v>
      </c>
      <c r="B43" s="184" t="s">
        <v>279</v>
      </c>
      <c r="C43" s="184" t="s">
        <v>331</v>
      </c>
      <c r="D43" s="183">
        <v>64</v>
      </c>
      <c r="E43" s="183">
        <v>3.9E-2</v>
      </c>
      <c r="F43" s="183">
        <v>0.5</v>
      </c>
      <c r="G43" s="183">
        <v>4.7E-2</v>
      </c>
      <c r="H43" s="183">
        <v>19.489999999999998</v>
      </c>
    </row>
    <row r="44" spans="1:8" ht="15.75" x14ac:dyDescent="0.25">
      <c r="D44" s="189" t="s">
        <v>294</v>
      </c>
      <c r="E44" s="189">
        <f>SUM(E41:E43)</f>
        <v>3.9E-2</v>
      </c>
      <c r="F44" s="189">
        <f>SUM(F41:F43)</f>
        <v>0.5</v>
      </c>
    </row>
    <row r="46" spans="1:8" x14ac:dyDescent="0.25">
      <c r="A46" s="177"/>
      <c r="B46" s="178"/>
      <c r="C46" s="178"/>
      <c r="D46" s="178"/>
      <c r="E46" s="178"/>
      <c r="F46" s="178"/>
    </row>
    <row r="47" spans="1:8" ht="15.75" x14ac:dyDescent="0.25">
      <c r="A47" s="200" t="s">
        <v>342</v>
      </c>
    </row>
    <row r="48" spans="1:8" x14ac:dyDescent="0.25">
      <c r="A48" s="184" t="s">
        <v>281</v>
      </c>
      <c r="B48" s="184" t="s">
        <v>278</v>
      </c>
      <c r="C48" s="183" t="s">
        <v>269</v>
      </c>
      <c r="D48" s="183" t="s">
        <v>268</v>
      </c>
      <c r="E48" s="183" t="s">
        <v>270</v>
      </c>
      <c r="F48" s="183" t="s">
        <v>271</v>
      </c>
      <c r="G48" s="183" t="s">
        <v>276</v>
      </c>
      <c r="H48" s="183" t="s">
        <v>272</v>
      </c>
    </row>
    <row r="49" spans="1:9" x14ac:dyDescent="0.25">
      <c r="A49" s="1" t="s">
        <v>17</v>
      </c>
      <c r="B49" s="1" t="s">
        <v>17</v>
      </c>
      <c r="C49" s="1" t="s">
        <v>17</v>
      </c>
      <c r="D49" s="1" t="s">
        <v>19</v>
      </c>
      <c r="E49" s="1" t="s">
        <v>273</v>
      </c>
      <c r="F49" s="1" t="s">
        <v>274</v>
      </c>
      <c r="G49" s="1" t="s">
        <v>275</v>
      </c>
      <c r="H49" s="1" t="s">
        <v>277</v>
      </c>
    </row>
    <row r="50" spans="1:9" x14ac:dyDescent="0.25">
      <c r="A50" s="184" t="s">
        <v>282</v>
      </c>
      <c r="B50" s="184" t="s">
        <v>279</v>
      </c>
      <c r="C50" s="184" t="s">
        <v>343</v>
      </c>
      <c r="D50" s="183">
        <v>88.9</v>
      </c>
      <c r="E50" s="183">
        <v>0.01</v>
      </c>
      <c r="F50" s="183">
        <v>0.1</v>
      </c>
      <c r="G50" s="183">
        <v>2.8000000000000001E-2</v>
      </c>
      <c r="H50" s="183">
        <v>18.27</v>
      </c>
      <c r="I50">
        <v>18.27</v>
      </c>
    </row>
    <row r="51" spans="1:9" ht="15.75" x14ac:dyDescent="0.25">
      <c r="D51" s="189" t="s">
        <v>294</v>
      </c>
      <c r="E51" s="189">
        <f>SUM(E48:E50)</f>
        <v>0.01</v>
      </c>
      <c r="F51" s="189">
        <f>SUM(F48:F50)</f>
        <v>0.1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topLeftCell="A43" workbookViewId="0">
      <selection activeCell="B77" sqref="B77"/>
    </sheetView>
  </sheetViews>
  <sheetFormatPr defaultRowHeight="15" x14ac:dyDescent="0.25"/>
  <cols>
    <col min="1" max="1" width="17.42578125" customWidth="1"/>
    <col min="2" max="2" width="13" customWidth="1"/>
    <col min="3" max="3" width="11.140625" customWidth="1"/>
    <col min="4" max="4" width="10.28515625" customWidth="1"/>
  </cols>
  <sheetData>
    <row r="1" spans="1:4" x14ac:dyDescent="0.25">
      <c r="A1" s="55" t="s">
        <v>373</v>
      </c>
    </row>
    <row r="2" spans="1:4" x14ac:dyDescent="0.25">
      <c r="A2" s="164" t="s">
        <v>353</v>
      </c>
      <c r="B2" s="164" t="s">
        <v>345</v>
      </c>
      <c r="C2" s="164" t="s">
        <v>14</v>
      </c>
      <c r="D2" s="164" t="s">
        <v>354</v>
      </c>
    </row>
    <row r="3" spans="1:4" x14ac:dyDescent="0.25">
      <c r="A3" s="55" t="s">
        <v>356</v>
      </c>
      <c r="B3" s="55">
        <v>33</v>
      </c>
      <c r="C3" s="55">
        <v>2.92</v>
      </c>
      <c r="D3" s="203">
        <f>(3.14*(B3/1000)^2*C3)/4</f>
        <v>2.4962058000000003E-3</v>
      </c>
    </row>
    <row r="4" spans="1:4" x14ac:dyDescent="0.25">
      <c r="A4" s="201" t="s">
        <v>357</v>
      </c>
      <c r="B4" s="201">
        <v>20</v>
      </c>
      <c r="C4" s="201">
        <v>7.64</v>
      </c>
      <c r="D4" s="206">
        <f t="shared" ref="D4:D19" si="0">(3.14*(B4/1000)^2*C4)/4</f>
        <v>2.3989600000000003E-3</v>
      </c>
    </row>
    <row r="5" spans="1:4" ht="15.75" x14ac:dyDescent="0.25">
      <c r="A5" s="204" t="s">
        <v>358</v>
      </c>
      <c r="B5" s="55">
        <v>14</v>
      </c>
      <c r="C5" s="55">
        <v>1.61</v>
      </c>
      <c r="D5" s="203">
        <f t="shared" si="0"/>
        <v>2.4771460000000005E-4</v>
      </c>
    </row>
    <row r="6" spans="1:4" x14ac:dyDescent="0.25">
      <c r="A6" s="201" t="s">
        <v>359</v>
      </c>
      <c r="B6" s="201">
        <v>20</v>
      </c>
      <c r="C6" s="201">
        <v>3.81</v>
      </c>
      <c r="D6" s="206">
        <f t="shared" si="0"/>
        <v>1.1963400000000002E-3</v>
      </c>
    </row>
    <row r="7" spans="1:4" x14ac:dyDescent="0.25">
      <c r="A7" s="55" t="s">
        <v>360</v>
      </c>
      <c r="B7" s="55">
        <v>14</v>
      </c>
      <c r="C7" s="55">
        <v>1.61</v>
      </c>
      <c r="D7" s="203">
        <f t="shared" si="0"/>
        <v>2.4771460000000005E-4</v>
      </c>
    </row>
    <row r="8" spans="1:4" x14ac:dyDescent="0.25">
      <c r="A8" s="201" t="s">
        <v>361</v>
      </c>
      <c r="B8" s="201">
        <v>16</v>
      </c>
      <c r="C8" s="201">
        <v>4.6100000000000003</v>
      </c>
      <c r="D8" s="206">
        <f t="shared" si="0"/>
        <v>9.2642560000000002E-4</v>
      </c>
    </row>
    <row r="9" spans="1:4" x14ac:dyDescent="0.25">
      <c r="A9" s="55" t="s">
        <v>362</v>
      </c>
      <c r="B9" s="55">
        <v>10</v>
      </c>
      <c r="C9" s="55">
        <v>1.61</v>
      </c>
      <c r="D9" s="203">
        <f t="shared" si="0"/>
        <v>1.2638500000000002E-4</v>
      </c>
    </row>
    <row r="10" spans="1:4" x14ac:dyDescent="0.25">
      <c r="A10" s="201" t="s">
        <v>363</v>
      </c>
      <c r="B10" s="201">
        <v>10</v>
      </c>
      <c r="C10" s="201">
        <v>3.17</v>
      </c>
      <c r="D10" s="206">
        <f t="shared" si="0"/>
        <v>2.4884500000000003E-4</v>
      </c>
    </row>
    <row r="11" spans="1:4" x14ac:dyDescent="0.25">
      <c r="A11" s="55" t="s">
        <v>364</v>
      </c>
      <c r="B11" s="55">
        <v>10</v>
      </c>
      <c r="C11" s="55">
        <v>1.61</v>
      </c>
      <c r="D11" s="203">
        <f t="shared" si="0"/>
        <v>1.2638500000000002E-4</v>
      </c>
    </row>
    <row r="12" spans="1:4" x14ac:dyDescent="0.25">
      <c r="A12" s="201" t="s">
        <v>365</v>
      </c>
      <c r="B12" s="201">
        <v>20</v>
      </c>
      <c r="C12" s="201">
        <v>3.16</v>
      </c>
      <c r="D12" s="206">
        <f t="shared" si="0"/>
        <v>9.9224000000000014E-4</v>
      </c>
    </row>
    <row r="13" spans="1:4" x14ac:dyDescent="0.25">
      <c r="A13" s="55" t="s">
        <v>366</v>
      </c>
      <c r="B13" s="55">
        <v>10</v>
      </c>
      <c r="C13" s="55">
        <v>7.44</v>
      </c>
      <c r="D13" s="203">
        <f t="shared" si="0"/>
        <v>5.8404000000000008E-4</v>
      </c>
    </row>
    <row r="14" spans="1:4" x14ac:dyDescent="0.25">
      <c r="A14" s="201" t="s">
        <v>367</v>
      </c>
      <c r="B14" s="201">
        <v>10</v>
      </c>
      <c r="C14" s="201">
        <v>1.93</v>
      </c>
      <c r="D14" s="206">
        <f>(3.14*((B14/1000)^2)*C14)/4</f>
        <v>1.5150500000000002E-4</v>
      </c>
    </row>
    <row r="15" spans="1:4" x14ac:dyDescent="0.25">
      <c r="A15" s="55" t="s">
        <v>368</v>
      </c>
      <c r="B15" s="55">
        <v>16</v>
      </c>
      <c r="C15" s="55">
        <v>5.5</v>
      </c>
      <c r="D15" s="203">
        <f t="shared" si="0"/>
        <v>1.1052799999999999E-3</v>
      </c>
    </row>
    <row r="16" spans="1:4" x14ac:dyDescent="0.25">
      <c r="A16" s="201" t="s">
        <v>369</v>
      </c>
      <c r="B16" s="201">
        <v>10</v>
      </c>
      <c r="C16" s="201">
        <v>1.93</v>
      </c>
      <c r="D16" s="206">
        <f t="shared" si="0"/>
        <v>1.5150500000000002E-4</v>
      </c>
    </row>
    <row r="17" spans="1:4" x14ac:dyDescent="0.25">
      <c r="A17" s="55" t="s">
        <v>370</v>
      </c>
      <c r="B17" s="55">
        <v>14</v>
      </c>
      <c r="C17" s="55">
        <v>5.9</v>
      </c>
      <c r="D17" s="203">
        <f t="shared" si="0"/>
        <v>9.0777400000000019E-4</v>
      </c>
    </row>
    <row r="18" spans="1:4" x14ac:dyDescent="0.25">
      <c r="A18" s="201" t="s">
        <v>371</v>
      </c>
      <c r="B18" s="201">
        <v>10</v>
      </c>
      <c r="C18" s="201">
        <v>1.97</v>
      </c>
      <c r="D18" s="206">
        <f t="shared" si="0"/>
        <v>1.5464500000000002E-4</v>
      </c>
    </row>
    <row r="19" spans="1:4" x14ac:dyDescent="0.25">
      <c r="A19" s="55" t="s">
        <v>372</v>
      </c>
      <c r="B19" s="55">
        <v>10</v>
      </c>
      <c r="C19" s="55">
        <v>2.92</v>
      </c>
      <c r="D19" s="203">
        <f t="shared" si="0"/>
        <v>2.2922000000000003E-4</v>
      </c>
    </row>
    <row r="20" spans="1:4" x14ac:dyDescent="0.25">
      <c r="A20" s="201"/>
      <c r="B20" s="201"/>
      <c r="C20" s="201" t="s">
        <v>294</v>
      </c>
      <c r="D20" s="206">
        <f>SUM(D3:D19)</f>
        <v>1.2291184599999998E-2</v>
      </c>
    </row>
    <row r="21" spans="1:4" x14ac:dyDescent="0.25">
      <c r="A21" s="205" t="s">
        <v>391</v>
      </c>
      <c r="B21" s="207">
        <f>(1228+1236)/2</f>
        <v>1232</v>
      </c>
      <c r="C21" s="205" t="s">
        <v>390</v>
      </c>
      <c r="D21" s="208">
        <f>D20*B21</f>
        <v>15.142739427199997</v>
      </c>
    </row>
    <row r="22" spans="1:4" x14ac:dyDescent="0.25">
      <c r="D22" s="202"/>
    </row>
    <row r="23" spans="1:4" x14ac:dyDescent="0.25">
      <c r="B23" s="207"/>
      <c r="D23" s="202"/>
    </row>
    <row r="24" spans="1:4" x14ac:dyDescent="0.25">
      <c r="D24" s="202"/>
    </row>
    <row r="25" spans="1:4" x14ac:dyDescent="0.25">
      <c r="D25" s="202"/>
    </row>
    <row r="26" spans="1:4" x14ac:dyDescent="0.25">
      <c r="A26" s="55" t="s">
        <v>355</v>
      </c>
      <c r="D26" s="202"/>
    </row>
    <row r="27" spans="1:4" x14ac:dyDescent="0.25">
      <c r="A27" s="201" t="s">
        <v>374</v>
      </c>
      <c r="B27" s="201">
        <v>33</v>
      </c>
      <c r="C27" s="201">
        <v>5.24</v>
      </c>
      <c r="D27" s="206">
        <f>(3.14*(B27/1000)^2*C27)/4</f>
        <v>4.4794926000000009E-3</v>
      </c>
    </row>
    <row r="28" spans="1:4" x14ac:dyDescent="0.25">
      <c r="A28" s="55" t="s">
        <v>375</v>
      </c>
      <c r="B28" s="55">
        <v>33</v>
      </c>
      <c r="C28" s="55">
        <v>2.0699999999999998</v>
      </c>
      <c r="D28" s="203">
        <f>(3.14*(B28/1000)^2*C28)/4</f>
        <v>1.76957055E-3</v>
      </c>
    </row>
    <row r="29" spans="1:4" x14ac:dyDescent="0.25">
      <c r="A29" s="201" t="s">
        <v>376</v>
      </c>
      <c r="B29" s="201">
        <v>40</v>
      </c>
      <c r="C29" s="201">
        <v>4.82</v>
      </c>
      <c r="D29" s="206">
        <f>(3.14*(B29/1000)^2*C29)/4</f>
        <v>6.0539200000000008E-3</v>
      </c>
    </row>
    <row r="30" spans="1:4" x14ac:dyDescent="0.25">
      <c r="A30" s="55" t="s">
        <v>377</v>
      </c>
      <c r="B30" s="55">
        <v>33</v>
      </c>
      <c r="C30" s="55">
        <v>2.0699999999999998</v>
      </c>
      <c r="D30" s="203">
        <f>(3.14*(B30/1000)^2*C30)/4</f>
        <v>1.76957055E-3</v>
      </c>
    </row>
    <row r="31" spans="1:4" x14ac:dyDescent="0.25">
      <c r="A31" s="201" t="s">
        <v>378</v>
      </c>
      <c r="B31" s="201">
        <v>50</v>
      </c>
      <c r="C31" s="201">
        <v>3.82</v>
      </c>
      <c r="D31" s="206">
        <f>(3.14*(B31/1000)^2*C31)/4</f>
        <v>7.4967500000000008E-3</v>
      </c>
    </row>
    <row r="32" spans="1:4" x14ac:dyDescent="0.25">
      <c r="A32" s="55" t="s">
        <v>379</v>
      </c>
      <c r="B32" s="55">
        <v>33</v>
      </c>
      <c r="C32" s="55">
        <v>2.0699999999999998</v>
      </c>
      <c r="D32" s="203">
        <f>(3.14*(B32/1000)^2*C32)/4</f>
        <v>1.76957055E-3</v>
      </c>
    </row>
    <row r="33" spans="1:4" x14ac:dyDescent="0.25">
      <c r="A33" s="201" t="s">
        <v>361</v>
      </c>
      <c r="B33" s="201">
        <v>62</v>
      </c>
      <c r="C33" s="201">
        <v>17.7</v>
      </c>
      <c r="D33" s="206">
        <f>(3.14*(B33/1000)^2*C33)/4</f>
        <v>5.3410458000000001E-2</v>
      </c>
    </row>
    <row r="34" spans="1:4" x14ac:dyDescent="0.25">
      <c r="A34" s="55" t="s">
        <v>380</v>
      </c>
      <c r="B34" s="55">
        <v>33</v>
      </c>
      <c r="C34" s="55">
        <v>6.47</v>
      </c>
      <c r="D34" s="203">
        <f>(3.14*(B34/1000)^2*C34)/4</f>
        <v>5.5309765500000004E-3</v>
      </c>
    </row>
    <row r="35" spans="1:4" x14ac:dyDescent="0.25">
      <c r="A35" s="201" t="s">
        <v>381</v>
      </c>
      <c r="B35" s="201">
        <v>33</v>
      </c>
      <c r="C35" s="201">
        <v>0.97</v>
      </c>
      <c r="D35" s="206">
        <f>(3.14*(B35/1000)^2*C35)/4</f>
        <v>8.2921905000000009E-4</v>
      </c>
    </row>
    <row r="36" spans="1:4" x14ac:dyDescent="0.25">
      <c r="A36" s="55" t="s">
        <v>382</v>
      </c>
      <c r="B36" s="55">
        <v>40</v>
      </c>
      <c r="C36" s="55">
        <v>5.47</v>
      </c>
      <c r="D36" s="203">
        <f>(3.14*(B36/1000)^2*C36)/4</f>
        <v>6.8703200000000009E-3</v>
      </c>
    </row>
    <row r="37" spans="1:4" x14ac:dyDescent="0.25">
      <c r="A37" s="201" t="s">
        <v>383</v>
      </c>
      <c r="B37" s="201">
        <v>33</v>
      </c>
      <c r="C37" s="201">
        <v>0.97</v>
      </c>
      <c r="D37" s="206">
        <f>(3.14*(B37/1000)^2*C37)/4</f>
        <v>8.2921905000000009E-4</v>
      </c>
    </row>
    <row r="38" spans="1:4" x14ac:dyDescent="0.25">
      <c r="A38" s="55" t="s">
        <v>384</v>
      </c>
      <c r="B38" s="55">
        <v>33</v>
      </c>
      <c r="C38" s="55">
        <v>1.74</v>
      </c>
      <c r="D38" s="203">
        <f>(3.14*(B38/1000)^2*C38)/4</f>
        <v>1.4874651000000001E-3</v>
      </c>
    </row>
    <row r="39" spans="1:4" x14ac:dyDescent="0.25">
      <c r="A39" s="201" t="s">
        <v>385</v>
      </c>
      <c r="B39" s="201">
        <v>62</v>
      </c>
      <c r="C39" s="201">
        <v>6</v>
      </c>
      <c r="D39" s="206">
        <f>(3.14*(B39/1000)^2*C39)/4</f>
        <v>1.8105240000000002E-2</v>
      </c>
    </row>
    <row r="40" spans="1:4" x14ac:dyDescent="0.25">
      <c r="A40" s="55" t="s">
        <v>386</v>
      </c>
      <c r="B40" s="55">
        <v>33</v>
      </c>
      <c r="C40" s="55">
        <v>1.74</v>
      </c>
      <c r="D40" s="203">
        <f>(3.14*(B40/1000)^2*C40)/4</f>
        <v>1.4874651000000001E-3</v>
      </c>
    </row>
    <row r="41" spans="1:4" x14ac:dyDescent="0.25">
      <c r="A41" s="201" t="s">
        <v>387</v>
      </c>
      <c r="B41" s="201">
        <v>62</v>
      </c>
      <c r="C41" s="201">
        <v>0.85</v>
      </c>
      <c r="D41" s="206">
        <f>(3.14*(B41/1000)^2*C41)/4</f>
        <v>2.5649089999999998E-3</v>
      </c>
    </row>
    <row r="42" spans="1:4" x14ac:dyDescent="0.25">
      <c r="A42" s="55" t="s">
        <v>388</v>
      </c>
      <c r="B42" s="55">
        <v>87</v>
      </c>
      <c r="C42" s="55">
        <v>4.3099999999999996</v>
      </c>
      <c r="D42" s="203">
        <f>(3.14*(B42/1000)^2*C42)/4</f>
        <v>2.5608576149999996E-2</v>
      </c>
    </row>
    <row r="43" spans="1:4" x14ac:dyDescent="0.25">
      <c r="A43" s="201"/>
      <c r="B43" s="201"/>
      <c r="C43" s="201" t="s">
        <v>294</v>
      </c>
      <c r="D43" s="206">
        <f>SUM(D27:D42)</f>
        <v>0.14006272224999999</v>
      </c>
    </row>
    <row r="44" spans="1:4" x14ac:dyDescent="0.25">
      <c r="A44" s="205" t="s">
        <v>392</v>
      </c>
      <c r="B44" s="207">
        <f>(26.97+25.37)/2</f>
        <v>26.17</v>
      </c>
      <c r="C44" s="205" t="s">
        <v>178</v>
      </c>
      <c r="D44" s="209">
        <f>D43*B44</f>
        <v>3.6654414412825003</v>
      </c>
    </row>
    <row r="47" spans="1:4" x14ac:dyDescent="0.25">
      <c r="A47" s="55" t="s">
        <v>389</v>
      </c>
      <c r="D47" s="202"/>
    </row>
    <row r="48" spans="1:4" x14ac:dyDescent="0.25">
      <c r="A48" s="55" t="s">
        <v>393</v>
      </c>
      <c r="B48" s="55">
        <v>40</v>
      </c>
      <c r="C48" s="55">
        <v>8.9600000000000009</v>
      </c>
      <c r="D48" s="203">
        <f>(3.14*(B48/1000)^2*C48)/4</f>
        <v>1.1253760000000003E-2</v>
      </c>
    </row>
    <row r="49" spans="1:4" x14ac:dyDescent="0.25">
      <c r="A49" s="205" t="s">
        <v>392</v>
      </c>
      <c r="B49" s="55">
        <f>(373+66)/2</f>
        <v>219.5</v>
      </c>
      <c r="C49" s="205" t="s">
        <v>178</v>
      </c>
      <c r="D49" s="203">
        <f>D48*B49</f>
        <v>2.4702003200000009</v>
      </c>
    </row>
    <row r="54" spans="1:4" x14ac:dyDescent="0.25">
      <c r="A54" s="55" t="s">
        <v>373</v>
      </c>
    </row>
    <row r="55" spans="1:4" x14ac:dyDescent="0.25">
      <c r="A55" s="164" t="s">
        <v>353</v>
      </c>
      <c r="B55" s="164" t="s">
        <v>345</v>
      </c>
      <c r="C55" s="164" t="s">
        <v>14</v>
      </c>
      <c r="D55" s="164" t="s">
        <v>354</v>
      </c>
    </row>
    <row r="56" spans="1:4" x14ac:dyDescent="0.25">
      <c r="A56" s="55" t="s">
        <v>357</v>
      </c>
      <c r="B56" s="55">
        <v>16.7</v>
      </c>
      <c r="C56" s="55">
        <v>11.95</v>
      </c>
      <c r="D56" s="203">
        <f>(3.14*(B56/1000)^2*C56)/4</f>
        <v>2.6161973675000003E-3</v>
      </c>
    </row>
    <row r="57" spans="1:4" x14ac:dyDescent="0.25">
      <c r="A57" s="201" t="s">
        <v>394</v>
      </c>
      <c r="B57" s="201">
        <v>16.7</v>
      </c>
      <c r="C57" s="201">
        <v>1.34</v>
      </c>
      <c r="D57" s="203">
        <f t="shared" ref="D57:D65" si="1">(3.14*(B57/1000)^2*C57)/4</f>
        <v>2.9336439100000007E-4</v>
      </c>
    </row>
    <row r="58" spans="1:4" x14ac:dyDescent="0.25">
      <c r="A58" s="55" t="s">
        <v>395</v>
      </c>
      <c r="B58" s="55">
        <v>16.7</v>
      </c>
      <c r="C58" s="55">
        <v>4.2300000000000004</v>
      </c>
      <c r="D58" s="203">
        <f t="shared" si="1"/>
        <v>9.2606818950000016E-4</v>
      </c>
    </row>
    <row r="59" spans="1:4" x14ac:dyDescent="0.25">
      <c r="A59" s="201"/>
      <c r="B59" s="201"/>
      <c r="C59" s="201" t="s">
        <v>294</v>
      </c>
      <c r="D59" s="206">
        <f>SUM(D56:D58)</f>
        <v>3.8356299480000007E-3</v>
      </c>
    </row>
    <row r="60" spans="1:4" x14ac:dyDescent="0.25">
      <c r="A60" s="205" t="s">
        <v>392</v>
      </c>
      <c r="B60" s="207">
        <f>950.6</f>
        <v>950.6</v>
      </c>
      <c r="C60" s="205" t="s">
        <v>178</v>
      </c>
      <c r="D60" s="209">
        <f>D59*B60</f>
        <v>3.6461498285688005</v>
      </c>
    </row>
    <row r="64" spans="1:4" x14ac:dyDescent="0.25">
      <c r="A64" s="55" t="s">
        <v>355</v>
      </c>
    </row>
    <row r="65" spans="1:4" x14ac:dyDescent="0.25">
      <c r="A65" s="164" t="s">
        <v>353</v>
      </c>
      <c r="B65" s="164" t="s">
        <v>345</v>
      </c>
      <c r="C65" s="164" t="s">
        <v>14</v>
      </c>
      <c r="D65" s="164" t="s">
        <v>354</v>
      </c>
    </row>
    <row r="66" spans="1:4" x14ac:dyDescent="0.25">
      <c r="A66" s="55" t="s">
        <v>396</v>
      </c>
      <c r="B66" s="55">
        <v>16.7</v>
      </c>
      <c r="C66" s="55">
        <v>4.6100000000000003</v>
      </c>
      <c r="D66" s="203">
        <f>(3.14*(B66/1000)^2*C66)/4</f>
        <v>1.0092610765000001E-3</v>
      </c>
    </row>
    <row r="67" spans="1:4" x14ac:dyDescent="0.25">
      <c r="A67" s="201" t="s">
        <v>397</v>
      </c>
      <c r="B67" s="201">
        <v>16.7</v>
      </c>
      <c r="C67" s="201">
        <v>1.72</v>
      </c>
      <c r="D67" s="206">
        <f>(3.14*(B67/1000)^2*C67)/4</f>
        <v>3.7655727800000005E-4</v>
      </c>
    </row>
    <row r="68" spans="1:4" x14ac:dyDescent="0.25">
      <c r="A68" s="55" t="s">
        <v>388</v>
      </c>
      <c r="B68" s="55">
        <v>22.3</v>
      </c>
      <c r="C68" s="55">
        <v>13.5</v>
      </c>
      <c r="D68" s="203">
        <f>(3.14*(B68/1000)^2*C68)/4</f>
        <v>5.270030775000001E-3</v>
      </c>
    </row>
    <row r="69" spans="1:4" x14ac:dyDescent="0.25">
      <c r="A69" s="201"/>
      <c r="B69" s="201"/>
      <c r="C69" s="201" t="s">
        <v>294</v>
      </c>
      <c r="D69" s="206">
        <f>SUM(D66:D68)</f>
        <v>6.6558491295000011E-3</v>
      </c>
    </row>
    <row r="70" spans="1:4" x14ac:dyDescent="0.25">
      <c r="A70" s="205" t="s">
        <v>392</v>
      </c>
      <c r="B70" s="207">
        <v>51.7</v>
      </c>
      <c r="C70" s="205" t="s">
        <v>178</v>
      </c>
      <c r="D70" s="209">
        <f>D69*B70</f>
        <v>0.34410739999515005</v>
      </c>
    </row>
    <row r="73" spans="1:4" x14ac:dyDescent="0.25">
      <c r="A73" s="55" t="s">
        <v>389</v>
      </c>
    </row>
    <row r="74" spans="1:4" x14ac:dyDescent="0.25">
      <c r="A74" s="164" t="s">
        <v>353</v>
      </c>
      <c r="B74" s="164" t="s">
        <v>345</v>
      </c>
      <c r="C74" s="164" t="s">
        <v>14</v>
      </c>
      <c r="D74" s="164" t="s">
        <v>354</v>
      </c>
    </row>
    <row r="75" spans="1:4" x14ac:dyDescent="0.25">
      <c r="A75" s="55" t="s">
        <v>393</v>
      </c>
      <c r="B75" s="55">
        <v>22.3</v>
      </c>
      <c r="C75" s="55">
        <v>1.1220000000000001</v>
      </c>
      <c r="D75" s="203">
        <f>(3.14*(B75/1000)^2*C75)/4</f>
        <v>4.3799811330000012E-4</v>
      </c>
    </row>
    <row r="76" spans="1:4" x14ac:dyDescent="0.25">
      <c r="A76" s="210" t="s">
        <v>392</v>
      </c>
      <c r="B76" s="201">
        <f>(354+91.65)/2</f>
        <v>222.82499999999999</v>
      </c>
      <c r="C76" s="210" t="s">
        <v>178</v>
      </c>
      <c r="D76" s="211">
        <f>D75*B76</f>
        <v>9.7596929596072524E-2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C1" zoomScaleNormal="100" workbookViewId="0">
      <selection activeCell="F2" sqref="F2"/>
    </sheetView>
  </sheetViews>
  <sheetFormatPr defaultRowHeight="15" x14ac:dyDescent="0.25"/>
  <cols>
    <col min="1" max="1" width="20.5703125" customWidth="1"/>
    <col min="2" max="2" width="31" customWidth="1"/>
    <col min="3" max="3" width="23.5703125" customWidth="1"/>
    <col min="4" max="4" width="28.28515625" customWidth="1"/>
    <col min="5" max="5" width="13.85546875" customWidth="1"/>
    <col min="6" max="6" width="16.42578125" customWidth="1"/>
    <col min="7" max="7" width="13.5703125" customWidth="1"/>
    <col min="8" max="8" width="12.85546875" customWidth="1"/>
    <col min="9" max="9" width="14.7109375" customWidth="1"/>
    <col min="19" max="19" width="9.140625" customWidth="1"/>
  </cols>
  <sheetData>
    <row r="1" spans="1:9" ht="45" customHeight="1" x14ac:dyDescent="0.25">
      <c r="A1" s="9" t="s">
        <v>0</v>
      </c>
      <c r="B1" s="10" t="s">
        <v>1</v>
      </c>
      <c r="C1" s="11" t="s">
        <v>14</v>
      </c>
      <c r="D1" s="11" t="s">
        <v>15</v>
      </c>
      <c r="E1" s="11" t="s">
        <v>16</v>
      </c>
      <c r="F1" s="12" t="s">
        <v>2</v>
      </c>
      <c r="G1" s="10" t="s">
        <v>3</v>
      </c>
      <c r="H1" s="12" t="s">
        <v>4</v>
      </c>
      <c r="I1" s="13" t="s">
        <v>5</v>
      </c>
    </row>
    <row r="2" spans="1:9" ht="15.75" customHeight="1" x14ac:dyDescent="0.25">
      <c r="A2" s="7" t="s">
        <v>6</v>
      </c>
      <c r="B2" s="3" t="s">
        <v>11</v>
      </c>
      <c r="C2" s="4">
        <v>9.1</v>
      </c>
      <c r="D2" s="5">
        <v>20.05</v>
      </c>
      <c r="E2" s="1">
        <v>3.25</v>
      </c>
      <c r="F2" s="6">
        <f>PRODUCT(C2:D2)</f>
        <v>182.45500000000001</v>
      </c>
      <c r="G2" s="6">
        <f>PRODUCT(C2:E2)</f>
        <v>592.97874999999999</v>
      </c>
      <c r="H2" s="2">
        <v>153269</v>
      </c>
      <c r="I2" s="8">
        <v>0</v>
      </c>
    </row>
    <row r="3" spans="1:9" ht="15.75" customHeight="1" x14ac:dyDescent="0.25">
      <c r="A3" s="7" t="s">
        <v>7</v>
      </c>
      <c r="B3" s="5" t="s">
        <v>12</v>
      </c>
      <c r="C3" s="1">
        <v>7.42</v>
      </c>
      <c r="D3" s="5">
        <v>20.05</v>
      </c>
      <c r="E3" s="1">
        <v>3.25</v>
      </c>
      <c r="F3" s="6">
        <f>PRODUCT(C3:D3)</f>
        <v>148.77100000000002</v>
      </c>
      <c r="G3" s="6">
        <f>PRODUCT(C3:E3)</f>
        <v>483.50575000000003</v>
      </c>
      <c r="H3" s="2">
        <v>108420</v>
      </c>
      <c r="I3" s="8">
        <v>4</v>
      </c>
    </row>
    <row r="4" spans="1:9" ht="16.5" customHeight="1" x14ac:dyDescent="0.25">
      <c r="A4" s="7" t="s">
        <v>8</v>
      </c>
      <c r="B4" s="5" t="s">
        <v>11</v>
      </c>
      <c r="C4" s="1">
        <v>9.1</v>
      </c>
      <c r="D4" s="1">
        <v>20.05</v>
      </c>
      <c r="E4" s="1">
        <v>3.25</v>
      </c>
      <c r="F4" s="6">
        <f>PRODUCT(C4:D4)</f>
        <v>182.45500000000001</v>
      </c>
      <c r="G4" s="6">
        <f>PRODUCT(C4:E4)</f>
        <v>592.97874999999999</v>
      </c>
      <c r="H4" s="2">
        <v>163232</v>
      </c>
      <c r="I4" s="8">
        <v>6</v>
      </c>
    </row>
    <row r="5" spans="1:9" ht="17.25" customHeight="1" x14ac:dyDescent="0.25">
      <c r="A5" s="7" t="s">
        <v>9</v>
      </c>
      <c r="B5" s="5" t="s">
        <v>12</v>
      </c>
      <c r="C5" s="1">
        <v>7.42</v>
      </c>
      <c r="D5" s="1">
        <v>20.05</v>
      </c>
      <c r="E5" s="1">
        <v>3.25</v>
      </c>
      <c r="F5" s="6">
        <f>PRODUCT(C5:D5)</f>
        <v>148.77100000000002</v>
      </c>
      <c r="G5" s="6">
        <f>PRODUCT(C5:E5)</f>
        <v>483.50575000000003</v>
      </c>
      <c r="H5" s="2">
        <v>115030</v>
      </c>
      <c r="I5" s="8">
        <v>-27</v>
      </c>
    </row>
    <row r="6" spans="1:9" ht="18.75" customHeight="1" x14ac:dyDescent="0.25">
      <c r="A6" s="14" t="s">
        <v>10</v>
      </c>
      <c r="B6" s="15" t="s">
        <v>13</v>
      </c>
      <c r="C6" s="16">
        <v>16.52</v>
      </c>
      <c r="D6" s="16">
        <v>19.21</v>
      </c>
      <c r="E6" s="16">
        <v>3.25</v>
      </c>
      <c r="F6" s="17">
        <f>PRODUCT(C6:D6)</f>
        <v>317.3492</v>
      </c>
      <c r="G6" s="17">
        <f>PRODUCT(C6:E6)</f>
        <v>1031.3849</v>
      </c>
      <c r="H6" s="18" t="s">
        <v>17</v>
      </c>
      <c r="I6" s="19">
        <v>8</v>
      </c>
    </row>
    <row r="10" spans="1:9" ht="21" customHeight="1" x14ac:dyDescent="0.25"/>
    <row r="11" spans="1:9" ht="38.25" customHeight="1" x14ac:dyDescent="0.25">
      <c r="A11" s="23" t="s">
        <v>18</v>
      </c>
      <c r="B11" s="23" t="s">
        <v>20</v>
      </c>
      <c r="C11" s="23" t="s">
        <v>22</v>
      </c>
      <c r="D11" s="23" t="s">
        <v>24</v>
      </c>
    </row>
    <row r="12" spans="1:9" ht="18" x14ac:dyDescent="0.25">
      <c r="A12" s="28" t="s">
        <v>19</v>
      </c>
      <c r="B12" s="22" t="s">
        <v>21</v>
      </c>
      <c r="C12" s="22" t="s">
        <v>23</v>
      </c>
      <c r="D12" s="28" t="s">
        <v>25</v>
      </c>
    </row>
    <row r="13" spans="1:9" x14ac:dyDescent="0.25">
      <c r="A13" s="32">
        <v>50</v>
      </c>
      <c r="B13" s="24" t="s">
        <v>26</v>
      </c>
      <c r="C13" s="24">
        <v>20</v>
      </c>
      <c r="D13" s="30">
        <v>-4</v>
      </c>
    </row>
    <row r="14" spans="1:9" x14ac:dyDescent="0.25">
      <c r="A14" s="25">
        <v>75</v>
      </c>
      <c r="B14" s="25" t="s">
        <v>27</v>
      </c>
      <c r="C14" s="25">
        <v>34</v>
      </c>
      <c r="D14" s="29">
        <v>-10</v>
      </c>
    </row>
    <row r="15" spans="1:9" x14ac:dyDescent="0.25">
      <c r="A15" s="24">
        <v>100</v>
      </c>
      <c r="B15" s="24" t="s">
        <v>28</v>
      </c>
      <c r="C15" s="24">
        <v>45</v>
      </c>
      <c r="D15" s="27">
        <v>-20</v>
      </c>
    </row>
    <row r="16" spans="1:9" x14ac:dyDescent="0.25">
      <c r="A16" s="25">
        <v>125</v>
      </c>
      <c r="B16" s="25" t="s">
        <v>29</v>
      </c>
      <c r="C16" s="25">
        <v>56</v>
      </c>
      <c r="D16" s="29">
        <v>-30</v>
      </c>
    </row>
    <row r="17" spans="1:15" x14ac:dyDescent="0.25">
      <c r="A17" s="26">
        <v>150</v>
      </c>
      <c r="B17" s="26" t="s">
        <v>30</v>
      </c>
      <c r="C17" s="26">
        <v>70</v>
      </c>
      <c r="D17" s="31">
        <v>-45</v>
      </c>
    </row>
    <row r="19" spans="1:15" ht="15.75" thickBot="1" x14ac:dyDescent="0.3"/>
    <row r="20" spans="1:15" ht="15.75" thickBot="1" x14ac:dyDescent="0.3">
      <c r="A20" s="33" t="s">
        <v>31</v>
      </c>
      <c r="B20" s="136" t="s">
        <v>32</v>
      </c>
      <c r="C20" s="136"/>
      <c r="D20" s="136"/>
      <c r="E20" s="136"/>
      <c r="F20" s="136"/>
      <c r="G20" s="136"/>
      <c r="H20" s="136"/>
      <c r="I20" s="136" t="s">
        <v>33</v>
      </c>
      <c r="J20" s="136"/>
      <c r="K20" s="136"/>
      <c r="L20" s="136"/>
      <c r="M20" s="136"/>
      <c r="N20" s="136"/>
      <c r="O20" s="136"/>
    </row>
    <row r="21" spans="1:15" x14ac:dyDescent="0.25">
      <c r="A21" s="34" t="s">
        <v>34</v>
      </c>
      <c r="B21" s="137" t="s">
        <v>35</v>
      </c>
      <c r="C21" s="137"/>
      <c r="D21" s="137"/>
      <c r="E21" s="137"/>
      <c r="F21" s="137"/>
      <c r="G21" s="137"/>
      <c r="H21" s="137"/>
      <c r="I21" s="137" t="s">
        <v>36</v>
      </c>
      <c r="J21" s="137"/>
      <c r="K21" s="137"/>
      <c r="L21" s="137"/>
      <c r="M21" s="137"/>
      <c r="N21" s="137"/>
      <c r="O21" s="137"/>
    </row>
    <row r="22" spans="1:15" x14ac:dyDescent="0.25">
      <c r="A22" s="35" t="s">
        <v>37</v>
      </c>
      <c r="B22" s="35">
        <v>60</v>
      </c>
      <c r="C22" s="35">
        <v>80</v>
      </c>
      <c r="D22" s="35">
        <v>100</v>
      </c>
      <c r="E22" s="35">
        <v>120</v>
      </c>
      <c r="F22" s="35">
        <v>150</v>
      </c>
      <c r="G22" s="35">
        <v>180</v>
      </c>
      <c r="H22" s="35">
        <v>200</v>
      </c>
      <c r="I22" s="35">
        <v>60</v>
      </c>
      <c r="J22" s="35">
        <v>80</v>
      </c>
      <c r="K22" s="35">
        <v>100</v>
      </c>
      <c r="L22" s="35">
        <v>120</v>
      </c>
      <c r="M22" s="35">
        <v>150</v>
      </c>
      <c r="N22" s="35">
        <v>180</v>
      </c>
      <c r="O22" s="35">
        <v>200</v>
      </c>
    </row>
    <row r="23" spans="1:15" x14ac:dyDescent="0.25">
      <c r="A23" s="34" t="s">
        <v>38</v>
      </c>
      <c r="B23" s="134" t="s">
        <v>39</v>
      </c>
      <c r="C23" s="134"/>
      <c r="D23" s="134"/>
      <c r="E23" s="134"/>
      <c r="F23" s="134"/>
      <c r="G23" s="134"/>
      <c r="H23" s="134"/>
      <c r="I23" s="134" t="s">
        <v>40</v>
      </c>
      <c r="J23" s="134"/>
      <c r="K23" s="134"/>
      <c r="L23" s="134"/>
      <c r="M23" s="134"/>
      <c r="N23" s="134"/>
      <c r="O23" s="134"/>
    </row>
    <row r="24" spans="1:15" x14ac:dyDescent="0.25">
      <c r="A24" s="35" t="s">
        <v>41</v>
      </c>
      <c r="B24" s="133" t="s">
        <v>42</v>
      </c>
      <c r="C24" s="133"/>
      <c r="D24" s="133"/>
      <c r="E24" s="133"/>
      <c r="F24" s="133"/>
      <c r="G24" s="133"/>
      <c r="H24" s="133"/>
      <c r="I24" s="133" t="s">
        <v>42</v>
      </c>
      <c r="J24" s="133"/>
      <c r="K24" s="133"/>
      <c r="L24" s="133"/>
      <c r="M24" s="133"/>
      <c r="N24" s="133"/>
      <c r="O24" s="133"/>
    </row>
    <row r="25" spans="1:15" x14ac:dyDescent="0.25">
      <c r="A25" s="34" t="s">
        <v>43</v>
      </c>
      <c r="B25" s="34" t="s">
        <v>44</v>
      </c>
      <c r="C25" s="34" t="s">
        <v>45</v>
      </c>
      <c r="D25" s="34" t="s">
        <v>46</v>
      </c>
      <c r="E25" s="34" t="s">
        <v>47</v>
      </c>
      <c r="F25" s="34" t="s">
        <v>29</v>
      </c>
      <c r="G25" s="34" t="s">
        <v>48</v>
      </c>
      <c r="H25" s="34" t="s">
        <v>49</v>
      </c>
      <c r="I25" s="34" t="s">
        <v>44</v>
      </c>
      <c r="J25" s="34" t="s">
        <v>45</v>
      </c>
      <c r="K25" s="34" t="s">
        <v>46</v>
      </c>
      <c r="L25" s="34" t="s">
        <v>47</v>
      </c>
      <c r="M25" s="34" t="s">
        <v>29</v>
      </c>
      <c r="N25" s="34" t="s">
        <v>48</v>
      </c>
      <c r="O25" s="34" t="s">
        <v>49</v>
      </c>
    </row>
    <row r="26" spans="1:15" x14ac:dyDescent="0.25">
      <c r="A26" s="35" t="s">
        <v>50</v>
      </c>
      <c r="B26" s="35">
        <v>16</v>
      </c>
      <c r="C26" s="35">
        <v>21</v>
      </c>
      <c r="D26" s="35">
        <v>26</v>
      </c>
      <c r="E26" s="35">
        <v>31</v>
      </c>
      <c r="F26" s="35">
        <v>39</v>
      </c>
      <c r="G26" s="35">
        <v>47</v>
      </c>
      <c r="H26" s="35">
        <v>52</v>
      </c>
      <c r="I26" s="35">
        <v>16</v>
      </c>
      <c r="J26" s="35">
        <v>21</v>
      </c>
      <c r="K26" s="35">
        <v>26</v>
      </c>
      <c r="L26" s="35">
        <v>31</v>
      </c>
      <c r="M26" s="35">
        <v>39</v>
      </c>
      <c r="N26" s="35" t="s">
        <v>17</v>
      </c>
      <c r="O26" s="35">
        <v>52</v>
      </c>
    </row>
    <row r="27" spans="1:15" x14ac:dyDescent="0.25">
      <c r="A27" s="34" t="s">
        <v>51</v>
      </c>
      <c r="B27" s="134" t="s">
        <v>52</v>
      </c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</row>
    <row r="28" spans="1:15" ht="15.75" thickBot="1" x14ac:dyDescent="0.3">
      <c r="A28" s="36" t="s">
        <v>53</v>
      </c>
      <c r="B28" s="135" t="s">
        <v>52</v>
      </c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</row>
  </sheetData>
  <mergeCells count="10">
    <mergeCell ref="B24:H24"/>
    <mergeCell ref="I24:O24"/>
    <mergeCell ref="B27:O27"/>
    <mergeCell ref="B28:O28"/>
    <mergeCell ref="B20:H20"/>
    <mergeCell ref="I20:O20"/>
    <mergeCell ref="B21:H21"/>
    <mergeCell ref="I21:O21"/>
    <mergeCell ref="B23:H23"/>
    <mergeCell ref="I23:O23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G17" sqref="G17"/>
    </sheetView>
  </sheetViews>
  <sheetFormatPr defaultRowHeight="15" x14ac:dyDescent="0.25"/>
  <cols>
    <col min="1" max="1" width="10.28515625" customWidth="1"/>
    <col min="2" max="2" width="15.140625" customWidth="1"/>
    <col min="3" max="3" width="12.5703125" customWidth="1"/>
    <col min="7" max="7" width="14.7109375" customWidth="1"/>
    <col min="8" max="8" width="9.85546875" customWidth="1"/>
    <col min="12" max="12" width="13.85546875" customWidth="1"/>
    <col min="17" max="17" width="13.42578125" customWidth="1"/>
    <col min="22" max="22" width="13.28515625" customWidth="1"/>
  </cols>
  <sheetData>
    <row r="1" spans="1:24" x14ac:dyDescent="0.25">
      <c r="A1" s="140" t="s">
        <v>6</v>
      </c>
      <c r="B1" s="140"/>
      <c r="F1" s="140" t="s">
        <v>7</v>
      </c>
      <c r="G1" s="140"/>
      <c r="K1" s="140" t="s">
        <v>8</v>
      </c>
      <c r="L1" s="140"/>
      <c r="P1" s="140" t="s">
        <v>9</v>
      </c>
      <c r="Q1" s="140"/>
      <c r="U1" s="140" t="s">
        <v>10</v>
      </c>
      <c r="V1" s="140"/>
    </row>
    <row r="2" spans="1:24" ht="15.75" thickBot="1" x14ac:dyDescent="0.3">
      <c r="A2" t="s">
        <v>61</v>
      </c>
      <c r="B2">
        <f>Table1[[#This Row],[Температурен режим 
C]]</f>
        <v>0</v>
      </c>
      <c r="C2" s="43" t="s">
        <v>62</v>
      </c>
      <c r="D2">
        <f>C2-B2</f>
        <v>40</v>
      </c>
      <c r="F2" t="s">
        <v>61</v>
      </c>
      <c r="G2">
        <f>Sheet2!I3</f>
        <v>4</v>
      </c>
      <c r="H2" s="43" t="s">
        <v>62</v>
      </c>
      <c r="I2">
        <f>H2-G2</f>
        <v>36</v>
      </c>
      <c r="K2" t="s">
        <v>61</v>
      </c>
      <c r="L2">
        <f>Sheet2!I4</f>
        <v>6</v>
      </c>
      <c r="M2" s="43" t="s">
        <v>62</v>
      </c>
      <c r="N2">
        <f>M2-L2</f>
        <v>34</v>
      </c>
      <c r="P2" t="s">
        <v>61</v>
      </c>
      <c r="Q2">
        <f>Sheet2!I5</f>
        <v>-27</v>
      </c>
      <c r="R2" s="43" t="s">
        <v>62</v>
      </c>
      <c r="S2">
        <f>R2-Q2</f>
        <v>67</v>
      </c>
      <c r="U2" t="s">
        <v>61</v>
      </c>
      <c r="V2">
        <f>Sheet2!I6</f>
        <v>8</v>
      </c>
      <c r="W2" s="43" t="s">
        <v>62</v>
      </c>
      <c r="X2">
        <f>W2-V2</f>
        <v>32</v>
      </c>
    </row>
    <row r="3" spans="1:24" ht="31.5" x14ac:dyDescent="0.25">
      <c r="A3" s="138" t="s">
        <v>54</v>
      </c>
      <c r="B3" s="138" t="s">
        <v>55</v>
      </c>
      <c r="C3" s="20" t="s">
        <v>18</v>
      </c>
      <c r="F3" s="138" t="s">
        <v>54</v>
      </c>
      <c r="G3" s="138" t="s">
        <v>55</v>
      </c>
      <c r="H3" s="20" t="s">
        <v>18</v>
      </c>
      <c r="K3" s="138" t="s">
        <v>54</v>
      </c>
      <c r="L3" s="138" t="s">
        <v>55</v>
      </c>
      <c r="M3" s="20" t="s">
        <v>18</v>
      </c>
      <c r="P3" s="138" t="s">
        <v>54</v>
      </c>
      <c r="Q3" s="138" t="s">
        <v>55</v>
      </c>
      <c r="R3" s="20" t="s">
        <v>18</v>
      </c>
      <c r="U3" s="138" t="s">
        <v>54</v>
      </c>
      <c r="V3" s="138" t="s">
        <v>55</v>
      </c>
      <c r="W3" s="20" t="s">
        <v>18</v>
      </c>
    </row>
    <row r="4" spans="1:24" ht="16.5" thickBot="1" x14ac:dyDescent="0.3">
      <c r="A4" s="139"/>
      <c r="B4" s="139"/>
      <c r="C4" s="21" t="s">
        <v>19</v>
      </c>
      <c r="F4" s="139"/>
      <c r="G4" s="139"/>
      <c r="H4" s="21" t="s">
        <v>19</v>
      </c>
      <c r="K4" s="139"/>
      <c r="L4" s="139"/>
      <c r="M4" s="21" t="s">
        <v>19</v>
      </c>
      <c r="P4" s="139"/>
      <c r="Q4" s="139"/>
      <c r="R4" s="21" t="s">
        <v>19</v>
      </c>
      <c r="U4" s="139"/>
      <c r="V4" s="139"/>
      <c r="W4" s="21" t="s">
        <v>19</v>
      </c>
    </row>
    <row r="5" spans="1:24" ht="15.75" x14ac:dyDescent="0.25">
      <c r="A5" s="37">
        <v>1</v>
      </c>
      <c r="B5" s="37" t="s">
        <v>56</v>
      </c>
      <c r="C5" s="37">
        <v>100</v>
      </c>
      <c r="F5" s="37">
        <v>1</v>
      </c>
      <c r="G5" s="37" t="s">
        <v>56</v>
      </c>
      <c r="H5" s="37">
        <v>100</v>
      </c>
      <c r="K5" s="37">
        <v>1</v>
      </c>
      <c r="L5" s="37" t="s">
        <v>56</v>
      </c>
      <c r="M5" s="37">
        <v>100</v>
      </c>
      <c r="P5" s="37">
        <v>1</v>
      </c>
      <c r="Q5" s="37" t="s">
        <v>56</v>
      </c>
      <c r="R5" s="37">
        <v>150</v>
      </c>
      <c r="U5" s="37">
        <v>1</v>
      </c>
      <c r="V5" s="37" t="s">
        <v>56</v>
      </c>
      <c r="W5" s="37">
        <v>100</v>
      </c>
    </row>
    <row r="6" spans="1:24" ht="15.75" x14ac:dyDescent="0.25">
      <c r="A6" s="38">
        <v>2</v>
      </c>
      <c r="B6" s="38" t="s">
        <v>57</v>
      </c>
      <c r="C6" s="38">
        <v>100</v>
      </c>
      <c r="F6" s="38">
        <v>2</v>
      </c>
      <c r="G6" s="38" t="s">
        <v>57</v>
      </c>
      <c r="H6" s="38">
        <v>100</v>
      </c>
      <c r="K6" s="38">
        <v>2</v>
      </c>
      <c r="L6" s="38" t="s">
        <v>57</v>
      </c>
      <c r="M6" s="38">
        <v>100</v>
      </c>
      <c r="P6" s="38">
        <v>2</v>
      </c>
      <c r="Q6" s="38" t="s">
        <v>57</v>
      </c>
      <c r="R6" s="38">
        <v>150</v>
      </c>
      <c r="U6" s="38">
        <v>2</v>
      </c>
      <c r="V6" s="38" t="s">
        <v>57</v>
      </c>
      <c r="W6" s="38">
        <v>100</v>
      </c>
    </row>
    <row r="7" spans="1:24" ht="15.75" x14ac:dyDescent="0.25">
      <c r="A7" s="37">
        <v>3</v>
      </c>
      <c r="B7" s="37" t="s">
        <v>58</v>
      </c>
      <c r="C7" s="37">
        <v>100</v>
      </c>
      <c r="F7" s="37">
        <v>3</v>
      </c>
      <c r="G7" s="37" t="s">
        <v>58</v>
      </c>
      <c r="H7" s="37">
        <v>100</v>
      </c>
      <c r="K7" s="37">
        <v>3</v>
      </c>
      <c r="L7" s="37" t="s">
        <v>58</v>
      </c>
      <c r="M7" s="37">
        <v>100</v>
      </c>
      <c r="P7" s="37">
        <v>3</v>
      </c>
      <c r="Q7" s="37" t="s">
        <v>58</v>
      </c>
      <c r="R7" s="37">
        <v>150</v>
      </c>
      <c r="U7" s="37">
        <v>3</v>
      </c>
      <c r="V7" s="37" t="s">
        <v>58</v>
      </c>
      <c r="W7" s="37">
        <v>100</v>
      </c>
    </row>
    <row r="8" spans="1:24" ht="15.75" x14ac:dyDescent="0.25">
      <c r="A8" s="38">
        <v>4</v>
      </c>
      <c r="B8" s="38" t="s">
        <v>59</v>
      </c>
      <c r="C8" s="38">
        <v>100</v>
      </c>
      <c r="F8" s="38">
        <v>4</v>
      </c>
      <c r="G8" s="38" t="s">
        <v>59</v>
      </c>
      <c r="H8" s="38">
        <v>100</v>
      </c>
      <c r="K8" s="38">
        <v>4</v>
      </c>
      <c r="L8" s="38" t="s">
        <v>59</v>
      </c>
      <c r="M8" s="38">
        <v>100</v>
      </c>
      <c r="P8" s="38">
        <v>4</v>
      </c>
      <c r="Q8" s="38" t="s">
        <v>59</v>
      </c>
      <c r="R8" s="38">
        <v>150</v>
      </c>
      <c r="U8" s="38">
        <v>4</v>
      </c>
      <c r="V8" s="38" t="s">
        <v>59</v>
      </c>
      <c r="W8" s="38">
        <v>100</v>
      </c>
    </row>
    <row r="9" spans="1:24" ht="16.5" thickBot="1" x14ac:dyDescent="0.3">
      <c r="A9" s="39">
        <v>5</v>
      </c>
      <c r="B9" s="39" t="s">
        <v>60</v>
      </c>
      <c r="C9" s="39">
        <v>120</v>
      </c>
      <c r="F9" s="39">
        <v>5</v>
      </c>
      <c r="G9" s="39" t="s">
        <v>60</v>
      </c>
      <c r="H9" s="39">
        <v>120</v>
      </c>
      <c r="K9" s="39">
        <v>5</v>
      </c>
      <c r="L9" s="39" t="s">
        <v>60</v>
      </c>
      <c r="M9" s="39">
        <v>120</v>
      </c>
      <c r="P9" s="39">
        <v>5</v>
      </c>
      <c r="Q9" s="39" t="s">
        <v>60</v>
      </c>
      <c r="R9" s="39">
        <v>180</v>
      </c>
      <c r="U9" s="39">
        <v>5</v>
      </c>
      <c r="V9" s="39" t="s">
        <v>60</v>
      </c>
      <c r="W9" s="39">
        <v>120</v>
      </c>
    </row>
    <row r="11" spans="1:24" ht="15.75" thickBot="1" x14ac:dyDescent="0.3"/>
    <row r="12" spans="1:24" ht="26.25" thickBot="1" x14ac:dyDescent="0.3">
      <c r="B12" s="33" t="s">
        <v>31</v>
      </c>
      <c r="C12" s="33" t="s">
        <v>32</v>
      </c>
      <c r="D12" s="33"/>
      <c r="E12" s="33"/>
      <c r="F12" s="33"/>
      <c r="G12" s="33"/>
      <c r="H12" s="33"/>
      <c r="I12" s="33"/>
      <c r="J12" s="33" t="s">
        <v>33</v>
      </c>
      <c r="K12" s="33"/>
      <c r="L12" s="33"/>
      <c r="M12" s="33"/>
      <c r="N12" s="33"/>
      <c r="O12" s="33"/>
      <c r="P12" s="33"/>
    </row>
    <row r="13" spans="1:24" ht="25.5" x14ac:dyDescent="0.25">
      <c r="B13" s="34" t="s">
        <v>34</v>
      </c>
      <c r="C13" s="42" t="s">
        <v>35</v>
      </c>
      <c r="D13" s="42"/>
      <c r="E13" s="42"/>
      <c r="F13" s="42"/>
      <c r="G13" s="42"/>
      <c r="H13" s="42"/>
      <c r="I13" s="42"/>
      <c r="J13" s="42" t="s">
        <v>36</v>
      </c>
      <c r="K13" s="42"/>
      <c r="L13" s="42"/>
      <c r="M13" s="42"/>
      <c r="N13" s="42"/>
      <c r="O13" s="42"/>
      <c r="P13" s="42"/>
    </row>
    <row r="14" spans="1:24" x14ac:dyDescent="0.25">
      <c r="B14" s="35" t="s">
        <v>37</v>
      </c>
      <c r="C14" s="35">
        <v>60</v>
      </c>
      <c r="D14" s="35">
        <v>80</v>
      </c>
      <c r="E14" s="35">
        <v>100</v>
      </c>
      <c r="F14" s="35">
        <v>120</v>
      </c>
      <c r="G14" s="35">
        <v>150</v>
      </c>
      <c r="H14" s="35">
        <v>180</v>
      </c>
      <c r="I14" s="35">
        <v>200</v>
      </c>
      <c r="J14" s="35">
        <v>60</v>
      </c>
      <c r="K14" s="35">
        <v>80</v>
      </c>
      <c r="L14" s="35">
        <v>100</v>
      </c>
      <c r="M14" s="35">
        <v>120</v>
      </c>
      <c r="N14" s="35">
        <v>150</v>
      </c>
      <c r="O14" s="35">
        <v>180</v>
      </c>
      <c r="P14" s="35">
        <v>200</v>
      </c>
    </row>
    <row r="15" spans="1:24" ht="38.25" x14ac:dyDescent="0.25">
      <c r="B15" s="34" t="s">
        <v>38</v>
      </c>
      <c r="C15" s="34" t="s">
        <v>39</v>
      </c>
      <c r="D15" s="34"/>
      <c r="E15" s="34"/>
      <c r="F15" s="34"/>
      <c r="G15" s="34"/>
      <c r="H15" s="34"/>
      <c r="I15" s="34"/>
      <c r="J15" s="34" t="s">
        <v>40</v>
      </c>
      <c r="K15" s="34"/>
      <c r="L15" s="34"/>
      <c r="M15" s="34"/>
      <c r="N15" s="34"/>
      <c r="O15" s="34"/>
      <c r="P15" s="34"/>
    </row>
    <row r="16" spans="1:24" x14ac:dyDescent="0.25">
      <c r="B16" s="35" t="s">
        <v>41</v>
      </c>
      <c r="C16" s="133" t="s">
        <v>42</v>
      </c>
      <c r="D16" s="133"/>
      <c r="E16" s="133"/>
      <c r="F16" s="133"/>
      <c r="G16" s="133"/>
      <c r="H16" s="133"/>
      <c r="I16" s="133"/>
      <c r="J16" s="133" t="s">
        <v>42</v>
      </c>
      <c r="K16" s="133"/>
      <c r="L16" s="133"/>
      <c r="M16" s="133"/>
      <c r="N16" s="133"/>
      <c r="O16" s="133"/>
      <c r="P16" s="133"/>
    </row>
    <row r="17" spans="2:21" ht="15.75" customHeight="1" x14ac:dyDescent="0.25">
      <c r="B17" s="34" t="s">
        <v>43</v>
      </c>
      <c r="C17" s="34" t="s">
        <v>44</v>
      </c>
      <c r="D17" s="34" t="s">
        <v>45</v>
      </c>
      <c r="E17" s="34" t="s">
        <v>46</v>
      </c>
      <c r="F17" s="34" t="s">
        <v>47</v>
      </c>
      <c r="G17" s="34" t="s">
        <v>29</v>
      </c>
      <c r="H17" s="34" t="s">
        <v>48</v>
      </c>
      <c r="I17" s="34" t="s">
        <v>49</v>
      </c>
      <c r="J17" s="34" t="s">
        <v>44</v>
      </c>
      <c r="K17" s="34" t="s">
        <v>45</v>
      </c>
      <c r="L17" s="34" t="s">
        <v>46</v>
      </c>
      <c r="M17" s="34" t="s">
        <v>47</v>
      </c>
      <c r="N17" s="34" t="s">
        <v>29</v>
      </c>
      <c r="O17" s="34" t="s">
        <v>48</v>
      </c>
      <c r="P17" s="34" t="s">
        <v>49</v>
      </c>
    </row>
    <row r="18" spans="2:21" ht="15" customHeight="1" x14ac:dyDescent="0.25">
      <c r="B18" s="35" t="s">
        <v>50</v>
      </c>
      <c r="C18" s="35">
        <v>16</v>
      </c>
      <c r="D18" s="35">
        <v>21</v>
      </c>
      <c r="E18" s="35">
        <v>26</v>
      </c>
      <c r="F18" s="35">
        <v>31</v>
      </c>
      <c r="G18" s="35">
        <v>39</v>
      </c>
      <c r="H18" s="35">
        <v>47</v>
      </c>
      <c r="I18" s="35">
        <v>52</v>
      </c>
      <c r="J18" s="35">
        <v>16</v>
      </c>
      <c r="K18" s="35">
        <v>21</v>
      </c>
      <c r="L18" s="35">
        <v>26</v>
      </c>
      <c r="M18" s="35">
        <v>31</v>
      </c>
      <c r="N18" s="35">
        <v>39</v>
      </c>
      <c r="O18" s="35" t="s">
        <v>17</v>
      </c>
      <c r="P18" s="35">
        <v>52</v>
      </c>
    </row>
    <row r="19" spans="2:21" x14ac:dyDescent="0.25">
      <c r="B19" s="34" t="s">
        <v>51</v>
      </c>
      <c r="C19" s="134" t="s">
        <v>52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</row>
    <row r="20" spans="2:21" ht="15" customHeight="1" thickBot="1" x14ac:dyDescent="0.3">
      <c r="B20" s="36" t="s">
        <v>53</v>
      </c>
      <c r="C20" s="135" t="s">
        <v>52</v>
      </c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</row>
    <row r="22" spans="2:21" ht="94.5" x14ac:dyDescent="0.25">
      <c r="R22" s="23" t="s">
        <v>18</v>
      </c>
      <c r="S22" s="23" t="s">
        <v>20</v>
      </c>
      <c r="T22" s="23" t="s">
        <v>22</v>
      </c>
      <c r="U22" s="23" t="s">
        <v>24</v>
      </c>
    </row>
    <row r="23" spans="2:21" ht="33.75" x14ac:dyDescent="0.25">
      <c r="R23" s="28" t="s">
        <v>19</v>
      </c>
      <c r="S23" s="22" t="s">
        <v>21</v>
      </c>
      <c r="T23" s="22" t="s">
        <v>23</v>
      </c>
      <c r="U23" s="28" t="s">
        <v>25</v>
      </c>
    </row>
    <row r="24" spans="2:21" x14ac:dyDescent="0.25">
      <c r="R24" s="32">
        <v>50</v>
      </c>
      <c r="S24" s="24" t="s">
        <v>26</v>
      </c>
      <c r="T24" s="24">
        <v>20</v>
      </c>
      <c r="U24" s="30">
        <v>-4</v>
      </c>
    </row>
    <row r="25" spans="2:21" x14ac:dyDescent="0.25">
      <c r="R25" s="25">
        <v>75</v>
      </c>
      <c r="S25" s="25" t="s">
        <v>27</v>
      </c>
      <c r="T25" s="25">
        <v>34</v>
      </c>
      <c r="U25" s="29">
        <v>-10</v>
      </c>
    </row>
    <row r="26" spans="2:21" x14ac:dyDescent="0.25">
      <c r="R26" s="24">
        <v>100</v>
      </c>
      <c r="S26" s="24" t="s">
        <v>28</v>
      </c>
      <c r="T26" s="24">
        <v>45</v>
      </c>
      <c r="U26" s="27">
        <v>-20</v>
      </c>
    </row>
    <row r="27" spans="2:21" x14ac:dyDescent="0.25">
      <c r="R27" s="25">
        <v>125</v>
      </c>
      <c r="S27" s="25" t="s">
        <v>29</v>
      </c>
      <c r="T27" s="25">
        <v>56</v>
      </c>
      <c r="U27" s="29">
        <v>-30</v>
      </c>
    </row>
    <row r="28" spans="2:21" x14ac:dyDescent="0.25">
      <c r="R28" s="26">
        <v>150</v>
      </c>
      <c r="S28" s="26" t="s">
        <v>30</v>
      </c>
      <c r="T28" s="26">
        <v>70</v>
      </c>
      <c r="U28" s="31">
        <v>-45</v>
      </c>
    </row>
  </sheetData>
  <mergeCells count="19">
    <mergeCell ref="C16:I16"/>
    <mergeCell ref="J16:P16"/>
    <mergeCell ref="C19:P19"/>
    <mergeCell ref="C20:P20"/>
    <mergeCell ref="U1:V1"/>
    <mergeCell ref="U3:U4"/>
    <mergeCell ref="V3:V4"/>
    <mergeCell ref="K1:L1"/>
    <mergeCell ref="K3:K4"/>
    <mergeCell ref="L3:L4"/>
    <mergeCell ref="P1:Q1"/>
    <mergeCell ref="P3:P4"/>
    <mergeCell ref="Q3:Q4"/>
    <mergeCell ref="A3:A4"/>
    <mergeCell ref="B3:B4"/>
    <mergeCell ref="A1:B1"/>
    <mergeCell ref="F1:G1"/>
    <mergeCell ref="F3:F4"/>
    <mergeCell ref="G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zoomScale="70" zoomScaleNormal="70" workbookViewId="0">
      <selection activeCell="Y23" sqref="Y23"/>
    </sheetView>
  </sheetViews>
  <sheetFormatPr defaultRowHeight="15" x14ac:dyDescent="0.25"/>
  <cols>
    <col min="1" max="1" width="26.85546875" customWidth="1"/>
    <col min="2" max="2" width="9.28515625" customWidth="1"/>
    <col min="3" max="3" width="35.7109375" customWidth="1"/>
    <col min="4" max="4" width="13.42578125" customWidth="1"/>
    <col min="8" max="8" width="29.5703125" customWidth="1"/>
    <col min="9" max="9" width="16.28515625" customWidth="1"/>
    <col min="10" max="10" width="16.42578125" customWidth="1"/>
    <col min="12" max="12" width="25.28515625" customWidth="1"/>
    <col min="13" max="13" width="14" customWidth="1"/>
    <col min="14" max="14" width="14.42578125" customWidth="1"/>
    <col min="17" max="17" width="27.140625" customWidth="1"/>
    <col min="18" max="18" width="16.28515625" customWidth="1"/>
    <col min="19" max="19" width="14.7109375" customWidth="1"/>
    <col min="22" max="22" width="22.140625" customWidth="1"/>
    <col min="23" max="23" width="14.140625" customWidth="1"/>
    <col min="24" max="24" width="12.42578125" customWidth="1"/>
    <col min="27" max="27" width="24.7109375" customWidth="1"/>
    <col min="28" max="28" width="15" customWidth="1"/>
    <col min="29" max="29" width="17.5703125" customWidth="1"/>
  </cols>
  <sheetData>
    <row r="1" spans="1:29" ht="23.25" x14ac:dyDescent="0.35">
      <c r="A1" s="148" t="s">
        <v>63</v>
      </c>
      <c r="B1" s="148"/>
      <c r="C1" s="148"/>
      <c r="D1" s="52"/>
    </row>
    <row r="2" spans="1:29" ht="23.25" x14ac:dyDescent="0.35">
      <c r="A2" s="145" t="s">
        <v>93</v>
      </c>
      <c r="B2" s="146"/>
      <c r="C2" s="147"/>
      <c r="D2" s="53">
        <v>36</v>
      </c>
    </row>
    <row r="3" spans="1:29" ht="23.25" x14ac:dyDescent="0.35">
      <c r="A3" s="145" t="s">
        <v>64</v>
      </c>
      <c r="B3" s="146"/>
      <c r="C3" s="147"/>
      <c r="D3" s="53">
        <v>160</v>
      </c>
    </row>
    <row r="4" spans="1:29" ht="23.25" x14ac:dyDescent="0.35">
      <c r="A4" s="145" t="s">
        <v>65</v>
      </c>
      <c r="B4" s="146"/>
      <c r="C4" s="147"/>
      <c r="D4" s="53">
        <v>99.4</v>
      </c>
    </row>
    <row r="5" spans="1:29" ht="23.25" x14ac:dyDescent="0.35">
      <c r="A5" s="145" t="s">
        <v>66</v>
      </c>
      <c r="B5" s="146"/>
      <c r="C5" s="147"/>
      <c r="D5" s="54">
        <v>35.299999999999997</v>
      </c>
    </row>
    <row r="7" spans="1:29" x14ac:dyDescent="0.25">
      <c r="H7" s="149" t="s">
        <v>6</v>
      </c>
      <c r="I7" s="150"/>
      <c r="J7" s="151"/>
      <c r="L7" s="149" t="s">
        <v>7</v>
      </c>
      <c r="M7" s="150"/>
      <c r="N7" s="151"/>
      <c r="Q7" s="149" t="s">
        <v>8</v>
      </c>
      <c r="R7" s="150"/>
      <c r="S7" s="151"/>
      <c r="V7" s="149" t="s">
        <v>9</v>
      </c>
      <c r="W7" s="150"/>
      <c r="X7" s="151"/>
      <c r="AA7" s="149" t="s">
        <v>10</v>
      </c>
      <c r="AB7" s="150"/>
      <c r="AC7" s="151"/>
    </row>
    <row r="8" spans="1:29" ht="34.5" customHeight="1" thickBot="1" x14ac:dyDescent="0.3">
      <c r="H8" s="21" t="s">
        <v>71</v>
      </c>
      <c r="I8" s="21" t="s">
        <v>72</v>
      </c>
      <c r="J8" s="21" t="s">
        <v>73</v>
      </c>
      <c r="L8" s="21" t="s">
        <v>71</v>
      </c>
      <c r="M8" s="21" t="s">
        <v>72</v>
      </c>
      <c r="N8" s="21" t="s">
        <v>73</v>
      </c>
      <c r="Q8" s="21" t="s">
        <v>71</v>
      </c>
      <c r="R8" s="21" t="s">
        <v>72</v>
      </c>
      <c r="S8" s="21" t="s">
        <v>73</v>
      </c>
      <c r="V8" s="21" t="s">
        <v>71</v>
      </c>
      <c r="W8" s="21" t="s">
        <v>72</v>
      </c>
      <c r="X8" s="21" t="s">
        <v>73</v>
      </c>
      <c r="AA8" s="21" t="s">
        <v>71</v>
      </c>
      <c r="AB8" s="21" t="s">
        <v>72</v>
      </c>
      <c r="AC8" s="21" t="s">
        <v>73</v>
      </c>
    </row>
    <row r="9" spans="1:29" ht="36.75" customHeight="1" thickBot="1" x14ac:dyDescent="0.3">
      <c r="A9" s="75" t="s">
        <v>124</v>
      </c>
      <c r="B9" s="76" t="s">
        <v>125</v>
      </c>
      <c r="C9" s="75" t="s">
        <v>126</v>
      </c>
      <c r="D9" s="75" t="s">
        <v>127</v>
      </c>
      <c r="H9" s="44" t="s">
        <v>74</v>
      </c>
      <c r="I9" s="45" t="s">
        <v>75</v>
      </c>
      <c r="J9" s="45">
        <v>153269</v>
      </c>
      <c r="L9" s="44" t="s">
        <v>74</v>
      </c>
      <c r="M9" s="45" t="s">
        <v>75</v>
      </c>
      <c r="N9" s="45">
        <v>108420</v>
      </c>
      <c r="Q9" s="44" t="s">
        <v>74</v>
      </c>
      <c r="R9" s="45" t="s">
        <v>75</v>
      </c>
      <c r="S9" s="45">
        <v>163232</v>
      </c>
      <c r="V9" s="44" t="s">
        <v>74</v>
      </c>
      <c r="W9" s="45" t="s">
        <v>75</v>
      </c>
      <c r="X9" s="45">
        <v>115030</v>
      </c>
      <c r="AA9" s="44" t="s">
        <v>74</v>
      </c>
      <c r="AB9" s="45" t="s">
        <v>75</v>
      </c>
      <c r="AC9" s="45" t="s">
        <v>17</v>
      </c>
    </row>
    <row r="10" spans="1:29" ht="58.5" customHeight="1" x14ac:dyDescent="0.25">
      <c r="A10" s="44" t="s">
        <v>128</v>
      </c>
      <c r="B10" s="45"/>
      <c r="C10" s="44" t="s">
        <v>129</v>
      </c>
      <c r="D10" s="44"/>
      <c r="H10" s="46" t="s">
        <v>76</v>
      </c>
      <c r="I10" s="47" t="s">
        <v>77</v>
      </c>
      <c r="J10" s="47">
        <v>18392</v>
      </c>
      <c r="L10" s="46" t="s">
        <v>76</v>
      </c>
      <c r="M10" s="47" t="s">
        <v>77</v>
      </c>
      <c r="N10" s="47">
        <v>13010</v>
      </c>
      <c r="Q10" s="46" t="s">
        <v>76</v>
      </c>
      <c r="R10" s="47" t="s">
        <v>77</v>
      </c>
      <c r="S10" s="47">
        <v>29382</v>
      </c>
      <c r="V10" s="46" t="s">
        <v>76</v>
      </c>
      <c r="W10" s="47" t="s">
        <v>77</v>
      </c>
      <c r="X10" s="47">
        <v>20705</v>
      </c>
      <c r="AA10" s="46" t="s">
        <v>76</v>
      </c>
      <c r="AB10" s="47" t="s">
        <v>77</v>
      </c>
      <c r="AC10" s="47" t="s">
        <v>17</v>
      </c>
    </row>
    <row r="11" spans="1:29" ht="40.5" customHeight="1" x14ac:dyDescent="0.25">
      <c r="A11" s="77" t="s">
        <v>130</v>
      </c>
      <c r="B11" s="47">
        <v>19</v>
      </c>
      <c r="C11" s="77" t="s">
        <v>131</v>
      </c>
      <c r="D11" s="47">
        <v>29</v>
      </c>
      <c r="H11" s="44" t="s">
        <v>78</v>
      </c>
      <c r="I11" s="48" t="s">
        <v>79</v>
      </c>
      <c r="J11" s="45">
        <v>4</v>
      </c>
      <c r="L11" s="44" t="s">
        <v>78</v>
      </c>
      <c r="M11" s="48" t="s">
        <v>79</v>
      </c>
      <c r="N11" s="45">
        <v>10</v>
      </c>
      <c r="Q11" s="44" t="s">
        <v>78</v>
      </c>
      <c r="R11" s="48" t="s">
        <v>79</v>
      </c>
      <c r="S11" s="45">
        <v>8</v>
      </c>
      <c r="V11" s="44" t="s">
        <v>78</v>
      </c>
      <c r="W11" s="48" t="s">
        <v>79</v>
      </c>
      <c r="X11" s="45">
        <v>-20</v>
      </c>
      <c r="AA11" s="44" t="s">
        <v>78</v>
      </c>
      <c r="AB11" s="48" t="s">
        <v>79</v>
      </c>
      <c r="AC11" s="45" t="s">
        <v>17</v>
      </c>
    </row>
    <row r="12" spans="1:29" ht="48.75" customHeight="1" thickBot="1" x14ac:dyDescent="0.3">
      <c r="A12" s="78" t="s">
        <v>132</v>
      </c>
      <c r="B12" s="79">
        <v>8</v>
      </c>
      <c r="C12" s="78" t="s">
        <v>133</v>
      </c>
      <c r="D12" s="79">
        <v>8</v>
      </c>
      <c r="H12" s="46" t="s">
        <v>80</v>
      </c>
      <c r="I12" s="49" t="s">
        <v>79</v>
      </c>
      <c r="J12" s="47">
        <v>0</v>
      </c>
      <c r="L12" s="46" t="s">
        <v>80</v>
      </c>
      <c r="M12" s="49" t="s">
        <v>79</v>
      </c>
      <c r="N12" s="47">
        <v>4</v>
      </c>
      <c r="Q12" s="46" t="s">
        <v>80</v>
      </c>
      <c r="R12" s="49" t="s">
        <v>79</v>
      </c>
      <c r="S12" s="47">
        <v>6</v>
      </c>
      <c r="V12" s="46" t="s">
        <v>80</v>
      </c>
      <c r="W12" s="49" t="s">
        <v>79</v>
      </c>
      <c r="X12" s="47">
        <v>-27</v>
      </c>
      <c r="AA12" s="46" t="s">
        <v>80</v>
      </c>
      <c r="AB12" s="49" t="s">
        <v>79</v>
      </c>
      <c r="AC12" s="47" t="s">
        <v>17</v>
      </c>
    </row>
    <row r="13" spans="1:29" ht="82.5" customHeight="1" x14ac:dyDescent="0.25">
      <c r="A13" s="80"/>
      <c r="B13">
        <f>1/B11</f>
        <v>5.2631578947368418E-2</v>
      </c>
      <c r="H13" s="44" t="s">
        <v>81</v>
      </c>
      <c r="I13" s="45" t="s">
        <v>82</v>
      </c>
      <c r="J13" s="45">
        <v>3</v>
      </c>
      <c r="L13" s="44" t="s">
        <v>81</v>
      </c>
      <c r="M13" s="45" t="s">
        <v>82</v>
      </c>
      <c r="N13" s="45">
        <v>6</v>
      </c>
      <c r="Q13" s="44" t="s">
        <v>81</v>
      </c>
      <c r="R13" s="45" t="s">
        <v>82</v>
      </c>
      <c r="S13" s="45">
        <v>4</v>
      </c>
      <c r="V13" s="44" t="s">
        <v>81</v>
      </c>
      <c r="W13" s="45" t="s">
        <v>82</v>
      </c>
      <c r="X13" s="45">
        <v>6</v>
      </c>
      <c r="AA13" s="44" t="s">
        <v>81</v>
      </c>
      <c r="AB13" s="45" t="s">
        <v>82</v>
      </c>
      <c r="AC13" s="45" t="s">
        <v>17</v>
      </c>
    </row>
    <row r="14" spans="1:29" ht="57.75" customHeight="1" x14ac:dyDescent="0.25">
      <c r="H14" s="46" t="s">
        <v>83</v>
      </c>
      <c r="I14" s="47" t="s">
        <v>84</v>
      </c>
      <c r="J14" s="47" t="s">
        <v>17</v>
      </c>
      <c r="L14" s="46" t="s">
        <v>83</v>
      </c>
      <c r="M14" s="47" t="s">
        <v>84</v>
      </c>
      <c r="N14" s="47" t="s">
        <v>17</v>
      </c>
      <c r="Q14" s="46" t="s">
        <v>83</v>
      </c>
      <c r="R14" s="47" t="s">
        <v>84</v>
      </c>
      <c r="S14" s="47" t="s">
        <v>17</v>
      </c>
      <c r="V14" s="46" t="s">
        <v>83</v>
      </c>
      <c r="W14" s="47" t="s">
        <v>84</v>
      </c>
      <c r="X14" s="47" t="s">
        <v>17</v>
      </c>
      <c r="AA14" s="46" t="s">
        <v>83</v>
      </c>
      <c r="AB14" s="47" t="s">
        <v>84</v>
      </c>
      <c r="AC14" s="47" t="s">
        <v>17</v>
      </c>
    </row>
    <row r="15" spans="1:29" ht="63.75" customHeight="1" x14ac:dyDescent="0.25">
      <c r="H15" s="44" t="s">
        <v>85</v>
      </c>
      <c r="I15" s="45" t="s">
        <v>86</v>
      </c>
      <c r="J15" s="45">
        <v>3.16</v>
      </c>
      <c r="L15" s="44" t="s">
        <v>85</v>
      </c>
      <c r="M15" s="45" t="s">
        <v>86</v>
      </c>
      <c r="N15" s="45">
        <v>3.42</v>
      </c>
      <c r="Q15" s="44" t="s">
        <v>85</v>
      </c>
      <c r="R15" s="45" t="s">
        <v>86</v>
      </c>
      <c r="S15" s="45">
        <v>3.18</v>
      </c>
      <c r="V15" s="44" t="s">
        <v>85</v>
      </c>
      <c r="W15" s="45" t="s">
        <v>86</v>
      </c>
      <c r="X15" s="45">
        <v>1.8</v>
      </c>
      <c r="AA15" s="44" t="s">
        <v>85</v>
      </c>
      <c r="AB15" s="45" t="s">
        <v>86</v>
      </c>
      <c r="AC15" s="45" t="s">
        <v>17</v>
      </c>
    </row>
    <row r="16" spans="1:29" ht="48.75" customHeight="1" x14ac:dyDescent="0.25">
      <c r="H16" s="46" t="s">
        <v>87</v>
      </c>
      <c r="I16" s="47" t="s">
        <v>88</v>
      </c>
      <c r="J16" s="47">
        <v>6</v>
      </c>
      <c r="L16" s="46" t="s">
        <v>87</v>
      </c>
      <c r="M16" s="47" t="s">
        <v>88</v>
      </c>
      <c r="N16" s="47">
        <v>6</v>
      </c>
      <c r="Q16" s="46" t="s">
        <v>87</v>
      </c>
      <c r="R16" s="47" t="s">
        <v>88</v>
      </c>
      <c r="S16" s="47">
        <v>6</v>
      </c>
      <c r="V16" s="46" t="s">
        <v>87</v>
      </c>
      <c r="W16" s="47" t="s">
        <v>88</v>
      </c>
      <c r="X16" s="47">
        <v>6</v>
      </c>
      <c r="AA16" s="46" t="s">
        <v>87</v>
      </c>
      <c r="AB16" s="47" t="s">
        <v>88</v>
      </c>
      <c r="AC16" s="47">
        <v>6</v>
      </c>
    </row>
    <row r="17" spans="2:29" ht="28.5" customHeight="1" x14ac:dyDescent="0.25">
      <c r="H17" s="44" t="s">
        <v>89</v>
      </c>
      <c r="I17" s="45" t="s">
        <v>92</v>
      </c>
      <c r="J17" s="45" t="s">
        <v>67</v>
      </c>
      <c r="L17" s="44" t="s">
        <v>89</v>
      </c>
      <c r="M17" s="45" t="s">
        <v>92</v>
      </c>
      <c r="N17" s="45" t="s">
        <v>67</v>
      </c>
      <c r="Q17" s="44" t="s">
        <v>89</v>
      </c>
      <c r="R17" s="45" t="s">
        <v>92</v>
      </c>
      <c r="S17" s="45" t="s">
        <v>68</v>
      </c>
      <c r="V17" s="44" t="s">
        <v>89</v>
      </c>
      <c r="W17" s="45" t="s">
        <v>92</v>
      </c>
      <c r="X17" s="45" t="s">
        <v>69</v>
      </c>
      <c r="AA17" s="44" t="s">
        <v>89</v>
      </c>
      <c r="AB17" s="45" t="s">
        <v>92</v>
      </c>
      <c r="AC17" s="45" t="s">
        <v>70</v>
      </c>
    </row>
    <row r="18" spans="2:29" ht="67.5" customHeight="1" thickBot="1" x14ac:dyDescent="0.3">
      <c r="H18" s="50" t="s">
        <v>90</v>
      </c>
      <c r="I18" s="51" t="s">
        <v>91</v>
      </c>
      <c r="J18" s="51" t="s">
        <v>17</v>
      </c>
      <c r="L18" s="50" t="s">
        <v>90</v>
      </c>
      <c r="M18" s="51" t="s">
        <v>91</v>
      </c>
      <c r="N18" s="51" t="s">
        <v>17</v>
      </c>
      <c r="Q18" s="50" t="s">
        <v>90</v>
      </c>
      <c r="R18" s="51" t="s">
        <v>91</v>
      </c>
      <c r="S18" s="51" t="s">
        <v>17</v>
      </c>
      <c r="V18" s="50" t="s">
        <v>90</v>
      </c>
      <c r="W18" s="51" t="s">
        <v>91</v>
      </c>
      <c r="X18" s="51" t="s">
        <v>17</v>
      </c>
      <c r="AA18" s="50" t="s">
        <v>90</v>
      </c>
      <c r="AB18" s="51" t="s">
        <v>91</v>
      </c>
      <c r="AC18" s="51" t="s">
        <v>17</v>
      </c>
    </row>
    <row r="29" spans="2:29" ht="20.25" thickBot="1" x14ac:dyDescent="0.35">
      <c r="B29" s="141" t="s">
        <v>94</v>
      </c>
      <c r="C29" s="142"/>
      <c r="D29" s="142"/>
      <c r="E29" s="142"/>
      <c r="F29" s="143"/>
    </row>
    <row r="30" spans="2:29" ht="31.5" x14ac:dyDescent="0.25">
      <c r="B30" s="55" t="s">
        <v>95</v>
      </c>
      <c r="C30" s="55" t="s">
        <v>96</v>
      </c>
      <c r="D30" s="56" t="s">
        <v>97</v>
      </c>
      <c r="E30" s="56" t="s">
        <v>98</v>
      </c>
      <c r="F30" s="55" t="s">
        <v>99</v>
      </c>
      <c r="I30" s="138" t="s">
        <v>104</v>
      </c>
      <c r="J30" s="40" t="s">
        <v>105</v>
      </c>
      <c r="K30" s="40" t="s">
        <v>107</v>
      </c>
      <c r="L30" s="20" t="s">
        <v>109</v>
      </c>
    </row>
    <row r="31" spans="2:29" ht="18" x14ac:dyDescent="0.25">
      <c r="B31" s="55">
        <v>1</v>
      </c>
      <c r="C31" s="55" t="s">
        <v>111</v>
      </c>
      <c r="D31" s="55">
        <v>0.15</v>
      </c>
      <c r="E31" s="55">
        <v>1.28</v>
      </c>
      <c r="F31" s="55">
        <f>ROUND(D31/E31,3)</f>
        <v>0.11700000000000001</v>
      </c>
      <c r="I31" s="144"/>
      <c r="J31" s="62"/>
      <c r="K31" s="62" t="s">
        <v>108</v>
      </c>
      <c r="L31" s="64" t="s">
        <v>110</v>
      </c>
    </row>
    <row r="32" spans="2:29" ht="16.5" thickBot="1" x14ac:dyDescent="0.3">
      <c r="B32" s="55">
        <v>2</v>
      </c>
      <c r="C32" s="55" t="s">
        <v>113</v>
      </c>
      <c r="D32" s="55">
        <v>1.4999999999999999E-2</v>
      </c>
      <c r="E32" s="57">
        <v>0.16</v>
      </c>
      <c r="F32" s="55">
        <f>ROUND(D32/E32,3)</f>
        <v>9.4E-2</v>
      </c>
      <c r="I32" s="139"/>
      <c r="J32" s="41" t="s">
        <v>106</v>
      </c>
      <c r="K32" s="63"/>
      <c r="L32" s="65"/>
    </row>
    <row r="33" spans="2:12" ht="15.75" x14ac:dyDescent="0.25">
      <c r="B33" s="55">
        <v>3</v>
      </c>
      <c r="C33" s="55" t="s">
        <v>117</v>
      </c>
      <c r="D33" s="55">
        <v>0.1</v>
      </c>
      <c r="E33" s="55">
        <v>0.03</v>
      </c>
      <c r="F33" s="55">
        <f>ROUND(D33/E33,3)</f>
        <v>3.3330000000000002</v>
      </c>
      <c r="I33" s="66" t="s">
        <v>111</v>
      </c>
      <c r="J33" s="37" t="s">
        <v>29</v>
      </c>
      <c r="K33" s="67">
        <v>1279</v>
      </c>
      <c r="L33" s="45" t="s">
        <v>112</v>
      </c>
    </row>
    <row r="34" spans="2:12" ht="15.75" x14ac:dyDescent="0.25">
      <c r="B34" s="55">
        <v>4</v>
      </c>
      <c r="C34" s="55" t="s">
        <v>111</v>
      </c>
      <c r="D34" s="55">
        <v>0.1</v>
      </c>
      <c r="E34" s="55">
        <v>1.28</v>
      </c>
      <c r="F34" s="55">
        <f>ROUND(D34/E34,3)</f>
        <v>7.8E-2</v>
      </c>
      <c r="I34" s="68" t="s">
        <v>113</v>
      </c>
      <c r="J34" s="38" t="s">
        <v>114</v>
      </c>
      <c r="K34" s="38" t="s">
        <v>115</v>
      </c>
      <c r="L34" s="47" t="s">
        <v>116</v>
      </c>
    </row>
    <row r="35" spans="2:12" ht="15.75" x14ac:dyDescent="0.25">
      <c r="B35" s="55">
        <v>5</v>
      </c>
      <c r="C35" s="55" t="s">
        <v>121</v>
      </c>
      <c r="D35" s="55">
        <v>0.05</v>
      </c>
      <c r="E35" s="55">
        <v>1.9239999999999999</v>
      </c>
      <c r="F35" s="55">
        <f>ROUND(D35/E35,3)</f>
        <v>2.5999999999999999E-2</v>
      </c>
      <c r="I35" s="66" t="s">
        <v>117</v>
      </c>
      <c r="J35" s="37" t="s">
        <v>118</v>
      </c>
      <c r="K35" s="37" t="s">
        <v>119</v>
      </c>
      <c r="L35" s="69">
        <v>3333</v>
      </c>
    </row>
    <row r="36" spans="2:12" ht="15.75" x14ac:dyDescent="0.25">
      <c r="E36" s="59" t="s">
        <v>100</v>
      </c>
      <c r="F36" s="55">
        <f>SUM(F31:F33)</f>
        <v>3.544</v>
      </c>
      <c r="I36" s="68" t="s">
        <v>111</v>
      </c>
      <c r="J36" s="38" t="s">
        <v>118</v>
      </c>
      <c r="K36" s="70">
        <v>1279</v>
      </c>
      <c r="L36" s="47" t="s">
        <v>120</v>
      </c>
    </row>
    <row r="37" spans="2:12" ht="15.75" x14ac:dyDescent="0.25">
      <c r="B37" s="58"/>
      <c r="C37" s="58"/>
      <c r="E37" s="59" t="s">
        <v>101</v>
      </c>
      <c r="F37" s="55">
        <f>1/B11</f>
        <v>5.2631578947368418E-2</v>
      </c>
      <c r="I37" s="66" t="s">
        <v>121</v>
      </c>
      <c r="J37" s="37" t="s">
        <v>122</v>
      </c>
      <c r="K37" s="67">
        <v>1924</v>
      </c>
      <c r="L37" s="45" t="s">
        <v>123</v>
      </c>
    </row>
    <row r="38" spans="2:12" ht="16.5" thickBot="1" x14ac:dyDescent="0.3">
      <c r="B38" s="58"/>
      <c r="C38" s="58"/>
      <c r="E38" s="59" t="s">
        <v>102</v>
      </c>
      <c r="F38" s="55">
        <v>0</v>
      </c>
      <c r="I38" s="71"/>
      <c r="J38" s="72"/>
      <c r="K38" s="73"/>
      <c r="L38" s="74">
        <v>36483</v>
      </c>
    </row>
    <row r="39" spans="2:12" x14ac:dyDescent="0.25">
      <c r="B39" s="58"/>
      <c r="C39" s="58"/>
      <c r="E39" s="60" t="s">
        <v>103</v>
      </c>
      <c r="F39" s="61">
        <f>ROUND(1/SUM(F36:F38),3)</f>
        <v>0.27800000000000002</v>
      </c>
    </row>
    <row r="40" spans="2:12" x14ac:dyDescent="0.25">
      <c r="B40" s="58"/>
      <c r="C40" s="58"/>
    </row>
  </sheetData>
  <mergeCells count="12">
    <mergeCell ref="A1:C1"/>
    <mergeCell ref="A5:C5"/>
    <mergeCell ref="Q7:S7"/>
    <mergeCell ref="V7:X7"/>
    <mergeCell ref="AA7:AC7"/>
    <mergeCell ref="H7:J7"/>
    <mergeCell ref="L7:N7"/>
    <mergeCell ref="B29:F29"/>
    <mergeCell ref="I30:I32"/>
    <mergeCell ref="A2:C2"/>
    <mergeCell ref="A3:C3"/>
    <mergeCell ref="A4:C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8"/>
  <sheetViews>
    <sheetView topLeftCell="A153" workbookViewId="0">
      <selection activeCell="E166" sqref="E166:F166"/>
    </sheetView>
  </sheetViews>
  <sheetFormatPr defaultRowHeight="15" x14ac:dyDescent="0.25"/>
  <cols>
    <col min="1" max="1" width="12.140625" customWidth="1"/>
    <col min="2" max="2" width="19" bestFit="1" customWidth="1"/>
    <col min="4" max="4" width="11.85546875" customWidth="1"/>
    <col min="5" max="5" width="10.7109375" bestFit="1" customWidth="1"/>
  </cols>
  <sheetData>
    <row r="2" spans="1:7" ht="21" x14ac:dyDescent="0.35">
      <c r="B2" s="99" t="s">
        <v>145</v>
      </c>
      <c r="C2" s="100">
        <v>0</v>
      </c>
    </row>
    <row r="5" spans="1:7" ht="50.25" customHeight="1" x14ac:dyDescent="0.25">
      <c r="B5" s="81" t="s">
        <v>6</v>
      </c>
      <c r="C5" s="83" t="s">
        <v>136</v>
      </c>
      <c r="D5" s="84" t="s">
        <v>138</v>
      </c>
      <c r="E5" s="85" t="s">
        <v>135</v>
      </c>
      <c r="F5" s="84" t="s">
        <v>137</v>
      </c>
    </row>
    <row r="6" spans="1:7" ht="20.25" customHeight="1" x14ac:dyDescent="0.25">
      <c r="B6" s="88" t="s">
        <v>139</v>
      </c>
      <c r="C6" s="6">
        <f>9.1*3.25</f>
        <v>29.574999999999999</v>
      </c>
      <c r="D6" s="55">
        <v>0.22</v>
      </c>
      <c r="E6" s="55">
        <f>8-0</f>
        <v>8</v>
      </c>
      <c r="F6" s="55">
        <f>ROUND(PRODUCT(C6:E6),2)</f>
        <v>52.05</v>
      </c>
    </row>
    <row r="7" spans="1:7" ht="20.25" customHeight="1" x14ac:dyDescent="0.25">
      <c r="B7" s="88" t="s">
        <v>140</v>
      </c>
      <c r="C7" s="6">
        <f>9.1*3.25</f>
        <v>29.574999999999999</v>
      </c>
      <c r="D7" s="55">
        <v>0.22</v>
      </c>
      <c r="E7" s="55">
        <f>40-0</f>
        <v>40</v>
      </c>
      <c r="F7" s="55">
        <f t="shared" ref="F6:F11" si="0">ROUND(PRODUCT(C7:E7),2)</f>
        <v>260.26</v>
      </c>
    </row>
    <row r="8" spans="1:7" ht="20.25" customHeight="1" x14ac:dyDescent="0.25">
      <c r="B8" s="88" t="s">
        <v>141</v>
      </c>
      <c r="C8" s="6">
        <f>20.05*3.25</f>
        <v>65.162500000000009</v>
      </c>
      <c r="D8" s="55">
        <v>0.22</v>
      </c>
      <c r="E8" s="55">
        <f>40-0</f>
        <v>40</v>
      </c>
      <c r="F8" s="55">
        <f t="shared" si="0"/>
        <v>573.42999999999995</v>
      </c>
    </row>
    <row r="9" spans="1:7" ht="20.25" customHeight="1" x14ac:dyDescent="0.25">
      <c r="B9" s="88" t="s">
        <v>142</v>
      </c>
      <c r="C9" s="6">
        <f>20.05*3.25</f>
        <v>65.162500000000009</v>
      </c>
      <c r="D9" s="55">
        <v>0.22</v>
      </c>
      <c r="E9" s="55">
        <f>4-0</f>
        <v>4</v>
      </c>
      <c r="F9" s="55">
        <f t="shared" si="0"/>
        <v>57.34</v>
      </c>
    </row>
    <row r="10" spans="1:7" ht="20.25" customHeight="1" x14ac:dyDescent="0.25">
      <c r="B10" s="88" t="s">
        <v>143</v>
      </c>
      <c r="C10" s="6">
        <f>20.05*9.1</f>
        <v>182.45500000000001</v>
      </c>
      <c r="D10" s="55">
        <f>Данни!F39</f>
        <v>0.27800000000000002</v>
      </c>
      <c r="E10" s="55">
        <f>15-0</f>
        <v>15</v>
      </c>
      <c r="F10" s="55">
        <f t="shared" si="0"/>
        <v>760.84</v>
      </c>
    </row>
    <row r="11" spans="1:7" x14ac:dyDescent="0.25">
      <c r="B11" s="89" t="s">
        <v>144</v>
      </c>
      <c r="C11" s="6">
        <f>20.05*9.1</f>
        <v>182.45500000000001</v>
      </c>
      <c r="D11" s="55">
        <v>0.18</v>
      </c>
      <c r="E11" s="55">
        <f>(40-0)+5</f>
        <v>45</v>
      </c>
      <c r="F11" s="55">
        <f t="shared" si="0"/>
        <v>1477.89</v>
      </c>
    </row>
    <row r="12" spans="1:7" x14ac:dyDescent="0.25">
      <c r="E12" s="55" t="s">
        <v>146</v>
      </c>
      <c r="F12" s="90">
        <f>SUM(F6:F11)</f>
        <v>3181.8100000000004</v>
      </c>
    </row>
    <row r="13" spans="1:7" ht="15.75" thickBot="1" x14ac:dyDescent="0.3"/>
    <row r="14" spans="1:7" ht="16.5" thickTop="1" thickBot="1" x14ac:dyDescent="0.3">
      <c r="A14" s="92"/>
      <c r="B14" s="92"/>
      <c r="C14" s="92"/>
      <c r="D14" s="92"/>
      <c r="E14" s="92"/>
      <c r="F14" s="92"/>
      <c r="G14" s="92"/>
    </row>
    <row r="15" spans="1:7" ht="15.75" thickTop="1" x14ac:dyDescent="0.25"/>
    <row r="19" spans="1:6" ht="21.75" thickBot="1" x14ac:dyDescent="0.4">
      <c r="D19" s="97" t="s">
        <v>151</v>
      </c>
      <c r="E19" s="98">
        <v>270</v>
      </c>
    </row>
    <row r="20" spans="1:6" ht="25.5" customHeight="1" x14ac:dyDescent="0.25">
      <c r="A20" s="20" t="s">
        <v>149</v>
      </c>
      <c r="B20" s="20" t="s">
        <v>150</v>
      </c>
    </row>
    <row r="21" spans="1:6" ht="32.25" thickBot="1" x14ac:dyDescent="0.55000000000000004">
      <c r="A21" s="93" t="s">
        <v>147</v>
      </c>
      <c r="B21" s="21" t="s">
        <v>148</v>
      </c>
      <c r="D21" s="105" t="s">
        <v>152</v>
      </c>
      <c r="E21" s="106">
        <f>PRODUCT(1,E19,8)/24</f>
        <v>90</v>
      </c>
      <c r="F21" s="106" t="s">
        <v>148</v>
      </c>
    </row>
    <row r="22" spans="1:6" ht="15.75" x14ac:dyDescent="0.25">
      <c r="A22" s="37">
        <v>20</v>
      </c>
      <c r="B22" s="37">
        <v>180</v>
      </c>
    </row>
    <row r="23" spans="1:6" ht="15.75" x14ac:dyDescent="0.25">
      <c r="A23" s="38">
        <v>15</v>
      </c>
      <c r="B23" s="38">
        <v>200</v>
      </c>
    </row>
    <row r="24" spans="1:6" ht="15.75" x14ac:dyDescent="0.25">
      <c r="A24" s="37">
        <v>10</v>
      </c>
      <c r="B24" s="37">
        <v>210</v>
      </c>
    </row>
    <row r="25" spans="1:6" ht="15.75" x14ac:dyDescent="0.25">
      <c r="A25" s="38">
        <v>5</v>
      </c>
      <c r="B25" s="38">
        <v>240</v>
      </c>
    </row>
    <row r="26" spans="1:6" ht="15.75" x14ac:dyDescent="0.25">
      <c r="A26" s="37">
        <v>0</v>
      </c>
      <c r="B26" s="37">
        <v>270</v>
      </c>
    </row>
    <row r="27" spans="1:6" ht="15.75" x14ac:dyDescent="0.25">
      <c r="A27" s="38">
        <v>-5</v>
      </c>
      <c r="B27" s="38">
        <v>300</v>
      </c>
    </row>
    <row r="28" spans="1:6" ht="15.75" x14ac:dyDescent="0.25">
      <c r="A28" s="37">
        <v>-10</v>
      </c>
      <c r="B28" s="37">
        <v>330</v>
      </c>
    </row>
    <row r="29" spans="1:6" ht="15.75" x14ac:dyDescent="0.25">
      <c r="A29" s="38">
        <v>-15</v>
      </c>
      <c r="B29" s="38">
        <v>360</v>
      </c>
    </row>
    <row r="30" spans="1:6" ht="15.75" x14ac:dyDescent="0.25">
      <c r="A30" s="37">
        <v>-20</v>
      </c>
      <c r="B30" s="37">
        <v>390</v>
      </c>
    </row>
    <row r="31" spans="1:6" ht="16.5" thickBot="1" x14ac:dyDescent="0.3">
      <c r="A31" s="72">
        <v>-25</v>
      </c>
      <c r="B31" s="72">
        <v>420</v>
      </c>
    </row>
    <row r="35" spans="1:7" ht="15.75" thickBot="1" x14ac:dyDescent="0.3"/>
    <row r="36" spans="1:7" ht="16.5" thickTop="1" thickBot="1" x14ac:dyDescent="0.3">
      <c r="A36" s="92"/>
      <c r="B36" s="92"/>
      <c r="C36" s="92"/>
      <c r="D36" s="92"/>
      <c r="E36" s="92"/>
      <c r="F36" s="92"/>
      <c r="G36" s="92"/>
    </row>
    <row r="37" spans="1:7" ht="15.75" thickTop="1" x14ac:dyDescent="0.25"/>
    <row r="40" spans="1:7" x14ac:dyDescent="0.25">
      <c r="C40" s="82"/>
    </row>
    <row r="42" spans="1:7" x14ac:dyDescent="0.25">
      <c r="A42" s="86" t="s">
        <v>153</v>
      </c>
      <c r="B42" s="87">
        <f>ROUND(70/SQRT(593),2)</f>
        <v>2.87</v>
      </c>
    </row>
    <row r="50" spans="1:6" ht="18.75" x14ac:dyDescent="0.25">
      <c r="A50" s="107" t="s">
        <v>154</v>
      </c>
      <c r="E50" s="86" t="s">
        <v>155</v>
      </c>
      <c r="F50" s="87">
        <v>1.2929999999999999</v>
      </c>
    </row>
    <row r="52" spans="1:6" x14ac:dyDescent="0.25">
      <c r="A52" s="86" t="s">
        <v>169</v>
      </c>
      <c r="B52" s="87">
        <v>21.175999999999998</v>
      </c>
    </row>
    <row r="53" spans="1:6" x14ac:dyDescent="0.25">
      <c r="A53" s="86" t="s">
        <v>170</v>
      </c>
      <c r="B53" s="87">
        <v>7.5129999999999999</v>
      </c>
    </row>
    <row r="54" spans="1:6" x14ac:dyDescent="0.25">
      <c r="A54" s="86" t="s">
        <v>171</v>
      </c>
      <c r="B54">
        <f>B52-B53</f>
        <v>13.662999999999998</v>
      </c>
    </row>
    <row r="56" spans="1:6" x14ac:dyDescent="0.25">
      <c r="A56" s="86" t="s">
        <v>134</v>
      </c>
      <c r="B56">
        <f>592.98*B42*B54*F50/86400*1000</f>
        <v>347.97880568777077</v>
      </c>
    </row>
    <row r="74" spans="1:7" ht="15.75" thickBot="1" x14ac:dyDescent="0.3"/>
    <row r="75" spans="1:7" ht="16.5" thickTop="1" thickBot="1" x14ac:dyDescent="0.3">
      <c r="A75" s="92"/>
      <c r="B75" s="92"/>
      <c r="C75" s="92"/>
      <c r="D75" s="92"/>
      <c r="E75" s="92"/>
      <c r="F75" s="92"/>
      <c r="G75" s="92"/>
    </row>
    <row r="76" spans="1:7" ht="15.75" thickTop="1" x14ac:dyDescent="0.25"/>
    <row r="93" spans="1:7" x14ac:dyDescent="0.25">
      <c r="B93">
        <f>9*0.0006</f>
        <v>5.3999999999999994E-3</v>
      </c>
    </row>
    <row r="95" spans="1:7" ht="18.75" x14ac:dyDescent="0.3">
      <c r="A95" s="95" t="s">
        <v>161</v>
      </c>
      <c r="B95" s="96">
        <v>5.5999999999999999E-3</v>
      </c>
    </row>
    <row r="96" spans="1:7" x14ac:dyDescent="0.25">
      <c r="A96" s="86" t="s">
        <v>157</v>
      </c>
      <c r="B96" s="87">
        <v>92</v>
      </c>
      <c r="F96" s="86" t="s">
        <v>169</v>
      </c>
      <c r="G96" s="87">
        <v>21.175999999999998</v>
      </c>
    </row>
    <row r="97" spans="1:8" x14ac:dyDescent="0.25">
      <c r="A97" s="86"/>
      <c r="B97" s="87"/>
      <c r="F97" s="86" t="s">
        <v>170</v>
      </c>
      <c r="G97" s="87">
        <v>7.5129999999999999</v>
      </c>
    </row>
    <row r="98" spans="1:8" x14ac:dyDescent="0.25">
      <c r="A98" s="86" t="s">
        <v>159</v>
      </c>
      <c r="B98" s="87">
        <v>5</v>
      </c>
    </row>
    <row r="99" spans="1:8" x14ac:dyDescent="0.25">
      <c r="A99" s="86" t="s">
        <v>158</v>
      </c>
      <c r="B99" s="87">
        <v>5</v>
      </c>
    </row>
    <row r="100" spans="1:8" ht="23.25" x14ac:dyDescent="0.35">
      <c r="A100" s="86" t="s">
        <v>160</v>
      </c>
      <c r="B100" s="87">
        <v>180</v>
      </c>
      <c r="F100" s="108" t="s">
        <v>175</v>
      </c>
      <c r="G100" s="153">
        <f>ROUND(B95*(1-B102)+B107*B102*B114+B112,3)</f>
        <v>15.444000000000001</v>
      </c>
      <c r="H100" s="153"/>
    </row>
    <row r="101" spans="1:8" x14ac:dyDescent="0.25">
      <c r="A101" s="86" t="s">
        <v>162</v>
      </c>
      <c r="B101" s="87">
        <f>SUM(B97:B100)</f>
        <v>190</v>
      </c>
    </row>
    <row r="102" spans="1:8" ht="21" x14ac:dyDescent="0.35">
      <c r="A102" s="97" t="s">
        <v>156</v>
      </c>
      <c r="B102" s="98">
        <f>ROUND((B96*(0.5*(B99+B98)+B100))/B101,1)</f>
        <v>89.6</v>
      </c>
    </row>
    <row r="103" spans="1:8" ht="23.25" x14ac:dyDescent="0.35">
      <c r="F103" s="108" t="s">
        <v>176</v>
      </c>
      <c r="G103" s="153">
        <f>ROUND(G100*B104*(G96-G97),3)</f>
        <v>272.20499999999998</v>
      </c>
      <c r="H103" s="153"/>
    </row>
    <row r="104" spans="1:8" x14ac:dyDescent="0.25">
      <c r="A104" s="86" t="s">
        <v>163</v>
      </c>
      <c r="B104" s="87">
        <v>1.29</v>
      </c>
      <c r="C104" t="s">
        <v>165</v>
      </c>
      <c r="D104" s="87">
        <f>ROUND(((B104-B105)/B105)^0.5,4)</f>
        <v>0.17419999999999999</v>
      </c>
    </row>
    <row r="105" spans="1:8" x14ac:dyDescent="0.25">
      <c r="A105" s="86" t="s">
        <v>164</v>
      </c>
      <c r="B105" s="87">
        <v>1.252</v>
      </c>
      <c r="C105" t="s">
        <v>166</v>
      </c>
      <c r="D105" s="87">
        <f>ROUND(((2/(1+(B104/B105)^0.333))^1.5),4)</f>
        <v>0.99250000000000005</v>
      </c>
    </row>
    <row r="106" spans="1:8" x14ac:dyDescent="0.25">
      <c r="C106" t="s">
        <v>167</v>
      </c>
      <c r="D106" s="87">
        <f>ROUND((9.8*2.4)^0.5,4)</f>
        <v>4.8497000000000003</v>
      </c>
    </row>
    <row r="107" spans="1:8" ht="21" x14ac:dyDescent="0.35">
      <c r="A107" s="97" t="s">
        <v>168</v>
      </c>
      <c r="B107" s="98">
        <f>ROUND(0.221*2*2.4*D106*D105*D104,4)</f>
        <v>0.88949999999999996</v>
      </c>
    </row>
    <row r="109" spans="1:8" x14ac:dyDescent="0.25">
      <c r="A109" s="86" t="s">
        <v>153</v>
      </c>
      <c r="B109" s="87">
        <v>4</v>
      </c>
    </row>
    <row r="110" spans="1:8" x14ac:dyDescent="0.25">
      <c r="A110" s="86" t="s">
        <v>172</v>
      </c>
      <c r="B110" s="87">
        <f>0.0087*POWER(8,1.76)</f>
        <v>0.33803185581558087</v>
      </c>
    </row>
    <row r="112" spans="1:8" ht="21" x14ac:dyDescent="0.35">
      <c r="A112" s="95" t="s">
        <v>173</v>
      </c>
      <c r="B112" s="98">
        <f>B110*B109/3600*2</f>
        <v>7.5118190181240195E-4</v>
      </c>
    </row>
    <row r="114" spans="1:9" ht="26.25" x14ac:dyDescent="0.4">
      <c r="A114" s="103" t="s">
        <v>174</v>
      </c>
      <c r="B114" s="104">
        <f>1-0.8</f>
        <v>0.19999999999999996</v>
      </c>
    </row>
    <row r="116" spans="1:9" ht="15.75" thickBot="1" x14ac:dyDescent="0.3"/>
    <row r="117" spans="1:9" ht="16.5" thickTop="1" thickBot="1" x14ac:dyDescent="0.3">
      <c r="A117" s="92"/>
      <c r="B117" s="92"/>
      <c r="C117" s="92"/>
      <c r="D117" s="92"/>
      <c r="E117" s="92"/>
      <c r="F117" s="92"/>
      <c r="G117" s="92"/>
      <c r="H117" s="92"/>
    </row>
    <row r="118" spans="1:9" ht="15.75" thickTop="1" x14ac:dyDescent="0.25"/>
    <row r="119" spans="1:9" x14ac:dyDescent="0.25">
      <c r="A119" t="s">
        <v>177</v>
      </c>
    </row>
    <row r="125" spans="1:9" x14ac:dyDescent="0.25">
      <c r="A125" s="86" t="s">
        <v>178</v>
      </c>
      <c r="B125" s="87">
        <v>18392</v>
      </c>
      <c r="D125" s="86" t="s">
        <v>191</v>
      </c>
      <c r="E125" s="87">
        <v>187</v>
      </c>
      <c r="H125" s="86" t="s">
        <v>195</v>
      </c>
      <c r="I125" s="87">
        <v>2.31</v>
      </c>
    </row>
    <row r="126" spans="1:9" x14ac:dyDescent="0.25">
      <c r="A126" s="86" t="s">
        <v>179</v>
      </c>
      <c r="B126" s="109">
        <v>3160</v>
      </c>
      <c r="C126" s="115" t="s">
        <v>194</v>
      </c>
    </row>
    <row r="127" spans="1:9" x14ac:dyDescent="0.25">
      <c r="A127" s="86" t="s">
        <v>180</v>
      </c>
      <c r="B127" s="87">
        <v>4</v>
      </c>
    </row>
    <row r="128" spans="1:9" x14ac:dyDescent="0.25">
      <c r="A128" s="110" t="s">
        <v>181</v>
      </c>
      <c r="B128" s="87">
        <v>0</v>
      </c>
    </row>
    <row r="129" spans="1:9" x14ac:dyDescent="0.25">
      <c r="A129" s="110" t="s">
        <v>182</v>
      </c>
      <c r="B129" s="111">
        <v>3</v>
      </c>
    </row>
    <row r="131" spans="1:9" ht="21" x14ac:dyDescent="0.35">
      <c r="A131" s="112" t="s">
        <v>184</v>
      </c>
      <c r="B131" s="98">
        <f>ROUND((B125*B126*(B127-B128))/(3600*B129),3)</f>
        <v>21525.452000000001</v>
      </c>
      <c r="D131" s="112" t="s">
        <v>193</v>
      </c>
      <c r="E131" s="98">
        <f>ROUND((B125*E125)/(3600*B129),3)*1000</f>
        <v>318454</v>
      </c>
      <c r="H131" s="112" t="s">
        <v>196</v>
      </c>
      <c r="I131" s="98">
        <f>ROUND((B125*I125*(B127-B128))/(3600*B129),3)*1000</f>
        <v>15735</v>
      </c>
    </row>
    <row r="133" spans="1:9" ht="15.75" thickBot="1" x14ac:dyDescent="0.3"/>
    <row r="134" spans="1:9" ht="16.5" thickTop="1" thickBot="1" x14ac:dyDescent="0.3">
      <c r="A134" s="92"/>
      <c r="B134" s="92"/>
      <c r="C134" s="92"/>
      <c r="D134" s="92"/>
      <c r="E134" s="92"/>
      <c r="F134" s="92"/>
      <c r="G134" s="92"/>
      <c r="H134" s="92"/>
    </row>
    <row r="135" spans="1:9" ht="15.75" thickTop="1" x14ac:dyDescent="0.25"/>
    <row r="136" spans="1:9" x14ac:dyDescent="0.25">
      <c r="A136" t="s">
        <v>185</v>
      </c>
    </row>
    <row r="138" spans="1:9" x14ac:dyDescent="0.25">
      <c r="A138" s="86" t="s">
        <v>192</v>
      </c>
      <c r="B138" s="87">
        <v>3000</v>
      </c>
    </row>
    <row r="139" spans="1:9" x14ac:dyDescent="0.25">
      <c r="A139" s="86" t="s">
        <v>186</v>
      </c>
      <c r="B139" s="87">
        <v>2</v>
      </c>
    </row>
    <row r="140" spans="1:9" x14ac:dyDescent="0.25">
      <c r="A140" s="86" t="s">
        <v>187</v>
      </c>
      <c r="B140" s="87">
        <v>24</v>
      </c>
    </row>
    <row r="143" spans="1:9" ht="23.25" x14ac:dyDescent="0.35">
      <c r="A143" s="125" t="s">
        <v>222</v>
      </c>
      <c r="B143" s="102">
        <f>ROUND(B139*B138*B140/24,3)</f>
        <v>6000</v>
      </c>
    </row>
    <row r="149" spans="1:10" x14ac:dyDescent="0.25">
      <c r="A149" s="86" t="s">
        <v>190</v>
      </c>
      <c r="B149" s="113">
        <f>Sheet2!F2</f>
        <v>182.45500000000001</v>
      </c>
    </row>
    <row r="150" spans="1:10" x14ac:dyDescent="0.25">
      <c r="A150" s="86" t="s">
        <v>191</v>
      </c>
      <c r="B150" s="87">
        <v>6</v>
      </c>
    </row>
    <row r="152" spans="1:10" ht="23.25" x14ac:dyDescent="0.35">
      <c r="A152" s="101" t="s">
        <v>189</v>
      </c>
      <c r="B152" s="114">
        <f>PRODUCT(B149:B150)</f>
        <v>1094.73</v>
      </c>
    </row>
    <row r="153" spans="1:10" ht="15.75" thickBot="1" x14ac:dyDescent="0.3"/>
    <row r="154" spans="1:10" ht="16.5" thickTop="1" thickBot="1" x14ac:dyDescent="0.3">
      <c r="A154" s="92"/>
      <c r="B154" s="92"/>
      <c r="C154" s="92"/>
      <c r="D154" s="92"/>
      <c r="E154" s="92"/>
      <c r="F154" s="92"/>
      <c r="G154" s="92"/>
      <c r="H154" s="92"/>
      <c r="I154" s="92"/>
      <c r="J154" s="92"/>
    </row>
    <row r="155" spans="1:10" ht="15.75" thickTop="1" x14ac:dyDescent="0.25"/>
    <row r="157" spans="1:10" ht="21" x14ac:dyDescent="0.35">
      <c r="A157" s="116" t="s">
        <v>197</v>
      </c>
      <c r="B157" s="114">
        <f>F12</f>
        <v>3181.8100000000004</v>
      </c>
    </row>
    <row r="158" spans="1:10" ht="21" x14ac:dyDescent="0.35">
      <c r="A158" s="116" t="s">
        <v>198</v>
      </c>
      <c r="B158" s="114">
        <f>G103</f>
        <v>272.20499999999998</v>
      </c>
    </row>
    <row r="159" spans="1:10" ht="21" x14ac:dyDescent="0.35">
      <c r="A159" s="116" t="s">
        <v>199</v>
      </c>
      <c r="B159" s="114">
        <v>0</v>
      </c>
    </row>
    <row r="160" spans="1:10" ht="21" x14ac:dyDescent="0.35">
      <c r="A160" s="116" t="s">
        <v>183</v>
      </c>
      <c r="B160" s="114">
        <f>B131</f>
        <v>21525.452000000001</v>
      </c>
    </row>
    <row r="161" spans="1:7" ht="21" x14ac:dyDescent="0.35">
      <c r="A161" s="116" t="s">
        <v>200</v>
      </c>
      <c r="B161" s="114">
        <f>E131*0</f>
        <v>0</v>
      </c>
      <c r="D161" s="117" t="s">
        <v>204</v>
      </c>
      <c r="E161" s="152">
        <f>ROUND(SUM(B157:B166),2)</f>
        <v>32164.2</v>
      </c>
      <c r="F161" s="152"/>
      <c r="G161" s="131" t="s">
        <v>148</v>
      </c>
    </row>
    <row r="162" spans="1:7" ht="21" x14ac:dyDescent="0.35">
      <c r="A162" s="116" t="s">
        <v>201</v>
      </c>
      <c r="B162" s="114">
        <f>I131*0</f>
        <v>0</v>
      </c>
      <c r="G162" s="131"/>
    </row>
    <row r="163" spans="1:7" ht="21" x14ac:dyDescent="0.35">
      <c r="A163" s="116" t="s">
        <v>202</v>
      </c>
      <c r="B163" s="114">
        <v>0</v>
      </c>
      <c r="D163" s="118" t="s">
        <v>232</v>
      </c>
      <c r="E163" s="154">
        <f>ROUND(E161*0.2,2)</f>
        <v>6432.84</v>
      </c>
      <c r="F163" s="154"/>
      <c r="G163" s="131" t="s">
        <v>148</v>
      </c>
    </row>
    <row r="164" spans="1:7" ht="21" x14ac:dyDescent="0.35">
      <c r="A164" s="116" t="s">
        <v>203</v>
      </c>
      <c r="B164" s="114">
        <f>E21</f>
        <v>90</v>
      </c>
      <c r="G164" s="131"/>
    </row>
    <row r="165" spans="1:7" ht="21" x14ac:dyDescent="0.35">
      <c r="A165" s="116" t="s">
        <v>221</v>
      </c>
      <c r="B165" s="114">
        <f>B143</f>
        <v>6000</v>
      </c>
      <c r="D165" s="118" t="s">
        <v>206</v>
      </c>
      <c r="E165" s="154">
        <f>ROUND(SUM(E161,E163),2)</f>
        <v>38597.040000000001</v>
      </c>
      <c r="F165" s="154"/>
      <c r="G165" s="131" t="s">
        <v>148</v>
      </c>
    </row>
    <row r="166" spans="1:7" ht="21" x14ac:dyDescent="0.35">
      <c r="A166" s="116" t="s">
        <v>188</v>
      </c>
      <c r="B166" s="114">
        <f>B152</f>
        <v>1094.73</v>
      </c>
      <c r="D166" s="129" t="s">
        <v>233</v>
      </c>
      <c r="E166" s="152">
        <f>E165*24/16</f>
        <v>57895.56</v>
      </c>
      <c r="F166" s="152"/>
      <c r="G166" s="131" t="s">
        <v>148</v>
      </c>
    </row>
    <row r="168" spans="1:7" x14ac:dyDescent="0.25">
      <c r="E168">
        <f>E165/2</f>
        <v>19298.52</v>
      </c>
    </row>
    <row r="169" spans="1:7" ht="15.75" x14ac:dyDescent="0.25">
      <c r="A169" s="116" t="s">
        <v>237</v>
      </c>
      <c r="B169">
        <v>4</v>
      </c>
    </row>
    <row r="170" spans="1:7" ht="21" x14ac:dyDescent="0.35">
      <c r="A170" s="131"/>
      <c r="B170" s="131"/>
      <c r="C170" s="131"/>
    </row>
    <row r="171" spans="1:7" ht="21" x14ac:dyDescent="0.35">
      <c r="A171" s="131" t="s">
        <v>231</v>
      </c>
      <c r="B171" s="131">
        <f>B169*1.05*20/20*1000</f>
        <v>4200</v>
      </c>
      <c r="C171" s="131" t="s">
        <v>148</v>
      </c>
    </row>
    <row r="172" spans="1:7" ht="21" x14ac:dyDescent="0.35">
      <c r="A172" s="131" t="s">
        <v>235</v>
      </c>
      <c r="B172" s="131">
        <f>(5*1.75+2*1.2)*1.33/20*1000</f>
        <v>741.47500000000014</v>
      </c>
      <c r="C172" s="131" t="s">
        <v>148</v>
      </c>
    </row>
    <row r="173" spans="1:7" ht="21" x14ac:dyDescent="0.35">
      <c r="A173" s="131" t="s">
        <v>236</v>
      </c>
      <c r="B173" s="132">
        <f>SUM(B171:B172)+E166</f>
        <v>62837.034999999996</v>
      </c>
      <c r="C173" s="131" t="s">
        <v>234</v>
      </c>
    </row>
    <row r="175" spans="1:7" ht="21" x14ac:dyDescent="0.35">
      <c r="A175" s="131" t="s">
        <v>236</v>
      </c>
      <c r="B175" s="132">
        <f>SUM(B171:B172)+E161</f>
        <v>37105.675000000003</v>
      </c>
      <c r="C175" s="131" t="s">
        <v>234</v>
      </c>
    </row>
    <row r="178" spans="2:2" x14ac:dyDescent="0.25">
      <c r="B178">
        <v>13.6</v>
      </c>
    </row>
  </sheetData>
  <mergeCells count="6">
    <mergeCell ref="E166:F166"/>
    <mergeCell ref="G100:H100"/>
    <mergeCell ref="G103:H103"/>
    <mergeCell ref="E161:F161"/>
    <mergeCell ref="E163:F163"/>
    <mergeCell ref="E165:F16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6"/>
  <sheetViews>
    <sheetView topLeftCell="A151" workbookViewId="0">
      <selection activeCell="B173" sqref="B173"/>
    </sheetView>
  </sheetViews>
  <sheetFormatPr defaultRowHeight="15" x14ac:dyDescent="0.25"/>
  <cols>
    <col min="1" max="1" width="12.140625" customWidth="1"/>
    <col min="2" max="2" width="19" bestFit="1" customWidth="1"/>
    <col min="4" max="4" width="11.85546875" customWidth="1"/>
  </cols>
  <sheetData>
    <row r="2" spans="1:10" ht="21" x14ac:dyDescent="0.35">
      <c r="B2" s="99" t="s">
        <v>145</v>
      </c>
      <c r="C2" s="100">
        <v>4</v>
      </c>
      <c r="E2" s="155" t="s">
        <v>210</v>
      </c>
      <c r="F2" s="155"/>
      <c r="G2" s="96">
        <v>5</v>
      </c>
      <c r="I2" s="86" t="s">
        <v>219</v>
      </c>
      <c r="J2" s="87">
        <v>13010</v>
      </c>
    </row>
    <row r="3" spans="1:10" ht="18.75" x14ac:dyDescent="0.3">
      <c r="B3" s="95" t="s">
        <v>211</v>
      </c>
      <c r="C3" s="96">
        <v>40</v>
      </c>
      <c r="E3" s="95" t="s">
        <v>212</v>
      </c>
      <c r="F3" s="96">
        <v>15</v>
      </c>
    </row>
    <row r="5" spans="1:10" ht="50.25" customHeight="1" x14ac:dyDescent="0.25">
      <c r="B5" s="81" t="s">
        <v>6</v>
      </c>
      <c r="C5" s="83" t="s">
        <v>136</v>
      </c>
      <c r="D5" s="84" t="s">
        <v>138</v>
      </c>
      <c r="E5" s="85" t="s">
        <v>135</v>
      </c>
      <c r="F5" s="84" t="s">
        <v>137</v>
      </c>
    </row>
    <row r="6" spans="1:10" ht="20.25" customHeight="1" x14ac:dyDescent="0.35">
      <c r="B6" s="120" t="s">
        <v>139</v>
      </c>
      <c r="C6" s="121">
        <f>PRODUCT(J6,J8)</f>
        <v>24.114999999999998</v>
      </c>
      <c r="D6" s="122">
        <v>0.22</v>
      </c>
      <c r="E6" s="122">
        <f>8-C2</f>
        <v>4</v>
      </c>
      <c r="F6" s="122">
        <f t="shared" ref="F6:F11" si="0">ROUND(PRODUCT(C6:E6),2)</f>
        <v>21.22</v>
      </c>
      <c r="I6" s="118" t="s">
        <v>207</v>
      </c>
      <c r="J6" s="91">
        <v>7.42</v>
      </c>
    </row>
    <row r="7" spans="1:10" ht="20.25" customHeight="1" x14ac:dyDescent="0.35">
      <c r="B7" s="88" t="s">
        <v>140</v>
      </c>
      <c r="C7" s="6">
        <f>PRODUCT(J6,J8)</f>
        <v>24.114999999999998</v>
      </c>
      <c r="D7" s="55">
        <v>0.22</v>
      </c>
      <c r="E7" s="55">
        <f>C3-C2</f>
        <v>36</v>
      </c>
      <c r="F7" s="55">
        <f t="shared" si="0"/>
        <v>190.99</v>
      </c>
      <c r="I7" s="118" t="s">
        <v>208</v>
      </c>
      <c r="J7" s="91">
        <v>20.05</v>
      </c>
    </row>
    <row r="8" spans="1:10" ht="20.25" customHeight="1" x14ac:dyDescent="0.35">
      <c r="B8" s="120" t="s">
        <v>141</v>
      </c>
      <c r="C8" s="121">
        <f>PRODUCT(J7,J8)</f>
        <v>65.162500000000009</v>
      </c>
      <c r="D8" s="122">
        <v>0.22</v>
      </c>
      <c r="E8" s="122">
        <f>0-C2</f>
        <v>-4</v>
      </c>
      <c r="F8" s="122">
        <f t="shared" si="0"/>
        <v>-57.34</v>
      </c>
      <c r="I8" s="118" t="s">
        <v>209</v>
      </c>
      <c r="J8" s="91">
        <v>3.25</v>
      </c>
    </row>
    <row r="9" spans="1:10" ht="20.25" customHeight="1" x14ac:dyDescent="0.25">
      <c r="B9" s="88" t="s">
        <v>142</v>
      </c>
      <c r="C9" s="6">
        <f>PRODUCT(J7:J8)</f>
        <v>65.162500000000009</v>
      </c>
      <c r="D9" s="55">
        <v>0.22</v>
      </c>
      <c r="E9" s="55">
        <f>C3-C2</f>
        <v>36</v>
      </c>
      <c r="F9" s="55">
        <f t="shared" si="0"/>
        <v>516.09</v>
      </c>
    </row>
    <row r="10" spans="1:10" ht="20.25" customHeight="1" x14ac:dyDescent="0.25">
      <c r="B10" s="120" t="s">
        <v>143</v>
      </c>
      <c r="C10" s="121">
        <f>PRODUCT(J6:J7)</f>
        <v>148.77100000000002</v>
      </c>
      <c r="D10" s="122">
        <f>Данни!F39</f>
        <v>0.27800000000000002</v>
      </c>
      <c r="E10" s="122">
        <f>F3-C2</f>
        <v>11</v>
      </c>
      <c r="F10" s="122">
        <f t="shared" si="0"/>
        <v>454.94</v>
      </c>
    </row>
    <row r="11" spans="1:10" x14ac:dyDescent="0.25">
      <c r="B11" s="89" t="s">
        <v>144</v>
      </c>
      <c r="C11" s="6">
        <f>PRODUCT(J6:J7)</f>
        <v>148.77100000000002</v>
      </c>
      <c r="D11" s="55">
        <v>0.18</v>
      </c>
      <c r="E11" s="55">
        <f>(C3-C2)+G2</f>
        <v>41</v>
      </c>
      <c r="F11" s="55">
        <f t="shared" si="0"/>
        <v>1097.93</v>
      </c>
    </row>
    <row r="12" spans="1:10" ht="15.75" x14ac:dyDescent="0.25">
      <c r="E12" s="124" t="s">
        <v>146</v>
      </c>
      <c r="F12" s="124">
        <f>SUM(F6:F11)</f>
        <v>2223.83</v>
      </c>
    </row>
    <row r="13" spans="1:10" ht="15.75" thickBot="1" x14ac:dyDescent="0.3"/>
    <row r="14" spans="1:10" ht="16.5" thickTop="1" thickBot="1" x14ac:dyDescent="0.3">
      <c r="A14" s="92"/>
      <c r="B14" s="92"/>
      <c r="C14" s="92"/>
      <c r="D14" s="92"/>
      <c r="E14" s="92"/>
      <c r="F14" s="92"/>
      <c r="G14" s="92"/>
    </row>
    <row r="15" spans="1:10" ht="15.75" thickTop="1" x14ac:dyDescent="0.25"/>
    <row r="19" spans="1:7" ht="21.75" thickBot="1" x14ac:dyDescent="0.4">
      <c r="D19" s="97" t="s">
        <v>151</v>
      </c>
      <c r="E19" s="98">
        <f>G25</f>
        <v>246</v>
      </c>
    </row>
    <row r="20" spans="1:7" ht="25.5" customHeight="1" x14ac:dyDescent="0.25">
      <c r="A20" s="20" t="s">
        <v>149</v>
      </c>
      <c r="B20" s="20" t="s">
        <v>150</v>
      </c>
    </row>
    <row r="21" spans="1:7" ht="32.25" thickBot="1" x14ac:dyDescent="0.55000000000000004">
      <c r="A21" s="93" t="s">
        <v>147</v>
      </c>
      <c r="B21" s="21" t="s">
        <v>148</v>
      </c>
      <c r="D21" s="105" t="s">
        <v>152</v>
      </c>
      <c r="E21" s="106">
        <f>PRODUCT(1,E19,8)/24</f>
        <v>82</v>
      </c>
      <c r="F21" s="106" t="s">
        <v>148</v>
      </c>
    </row>
    <row r="22" spans="1:7" ht="15.75" x14ac:dyDescent="0.25">
      <c r="A22" s="37">
        <v>20</v>
      </c>
      <c r="B22" s="37">
        <v>180</v>
      </c>
    </row>
    <row r="23" spans="1:7" ht="15.75" x14ac:dyDescent="0.25">
      <c r="A23" s="38">
        <v>15</v>
      </c>
      <c r="B23" s="38">
        <v>200</v>
      </c>
    </row>
    <row r="24" spans="1:7" ht="15.75" x14ac:dyDescent="0.25">
      <c r="A24" s="37">
        <v>10</v>
      </c>
      <c r="B24" s="37">
        <v>210</v>
      </c>
      <c r="D24" s="86" t="s">
        <v>213</v>
      </c>
      <c r="E24" s="87">
        <v>5</v>
      </c>
      <c r="F24" s="86" t="s">
        <v>216</v>
      </c>
      <c r="G24" s="87">
        <f>B25</f>
        <v>240</v>
      </c>
    </row>
    <row r="25" spans="1:7" ht="15.75" x14ac:dyDescent="0.25">
      <c r="A25" s="38">
        <v>5</v>
      </c>
      <c r="B25" s="38">
        <v>240</v>
      </c>
      <c r="D25" s="86" t="s">
        <v>214</v>
      </c>
      <c r="E25" s="87">
        <v>4</v>
      </c>
      <c r="F25" s="86" t="s">
        <v>217</v>
      </c>
      <c r="G25" s="87">
        <f>(((E25-E24)*(G26-G24))/(E26-E24))+G24</f>
        <v>246</v>
      </c>
    </row>
    <row r="26" spans="1:7" ht="15.75" x14ac:dyDescent="0.25">
      <c r="A26" s="37">
        <v>0</v>
      </c>
      <c r="B26" s="37">
        <v>270</v>
      </c>
      <c r="D26" s="86" t="s">
        <v>215</v>
      </c>
      <c r="E26" s="87">
        <v>0</v>
      </c>
      <c r="F26" s="86" t="s">
        <v>218</v>
      </c>
      <c r="G26" s="87">
        <f>B26</f>
        <v>270</v>
      </c>
    </row>
    <row r="27" spans="1:7" ht="15.75" x14ac:dyDescent="0.25">
      <c r="A27" s="38">
        <v>-5</v>
      </c>
      <c r="B27" s="38">
        <v>300</v>
      </c>
    </row>
    <row r="28" spans="1:7" ht="15.75" x14ac:dyDescent="0.25">
      <c r="A28" s="37">
        <v>-10</v>
      </c>
      <c r="B28" s="37">
        <v>330</v>
      </c>
    </row>
    <row r="29" spans="1:7" ht="15.75" x14ac:dyDescent="0.25">
      <c r="A29" s="38">
        <v>-15</v>
      </c>
      <c r="B29" s="38">
        <v>360</v>
      </c>
    </row>
    <row r="30" spans="1:7" ht="15.75" x14ac:dyDescent="0.25">
      <c r="A30" s="37">
        <v>-20</v>
      </c>
      <c r="B30" s="37">
        <v>390</v>
      </c>
    </row>
    <row r="31" spans="1:7" ht="16.5" thickBot="1" x14ac:dyDescent="0.3">
      <c r="A31" s="72">
        <v>-25</v>
      </c>
      <c r="B31" s="72">
        <v>420</v>
      </c>
    </row>
    <row r="35" spans="1:7" ht="15.75" thickBot="1" x14ac:dyDescent="0.3"/>
    <row r="36" spans="1:7" ht="16.5" thickTop="1" thickBot="1" x14ac:dyDescent="0.3">
      <c r="A36" s="92"/>
      <c r="B36" s="92"/>
      <c r="C36" s="92"/>
      <c r="D36" s="92"/>
      <c r="E36" s="92"/>
      <c r="F36" s="92"/>
      <c r="G36" s="92"/>
    </row>
    <row r="37" spans="1:7" ht="15.75" thickTop="1" x14ac:dyDescent="0.25"/>
    <row r="40" spans="1:7" x14ac:dyDescent="0.25">
      <c r="C40" s="126"/>
    </row>
    <row r="42" spans="1:7" x14ac:dyDescent="0.25">
      <c r="A42" s="86"/>
      <c r="B42" s="87"/>
    </row>
    <row r="50" spans="1:6" ht="15.75" x14ac:dyDescent="0.25">
      <c r="A50" s="107"/>
      <c r="E50" s="86"/>
      <c r="F50" s="87"/>
    </row>
    <row r="52" spans="1:6" x14ac:dyDescent="0.25">
      <c r="A52" s="86"/>
      <c r="B52" s="87"/>
    </row>
    <row r="53" spans="1:6" x14ac:dyDescent="0.25">
      <c r="A53" s="86"/>
      <c r="B53" s="87"/>
    </row>
    <row r="54" spans="1:6" x14ac:dyDescent="0.25">
      <c r="A54" s="86"/>
    </row>
    <row r="56" spans="1:6" x14ac:dyDescent="0.25">
      <c r="A56" s="86"/>
    </row>
    <row r="74" spans="1:7" ht="15.75" thickBot="1" x14ac:dyDescent="0.3"/>
    <row r="75" spans="1:7" ht="16.5" thickTop="1" thickBot="1" x14ac:dyDescent="0.3">
      <c r="A75" s="92"/>
      <c r="B75" s="92"/>
      <c r="C75" s="92"/>
      <c r="D75" s="92"/>
      <c r="E75" s="92"/>
      <c r="F75" s="92"/>
      <c r="G75" s="92"/>
    </row>
    <row r="76" spans="1:7" ht="15.75" thickTop="1" x14ac:dyDescent="0.25"/>
    <row r="95" spans="1:7" ht="18.75" x14ac:dyDescent="0.3">
      <c r="A95" s="95" t="s">
        <v>161</v>
      </c>
      <c r="B95" s="96">
        <v>5.5999999999999999E-3</v>
      </c>
    </row>
    <row r="96" spans="1:7" x14ac:dyDescent="0.25">
      <c r="A96" s="86" t="s">
        <v>157</v>
      </c>
      <c r="B96" s="87">
        <f>ROUND(J2/200,0)</f>
        <v>65</v>
      </c>
      <c r="F96" s="86" t="s">
        <v>169</v>
      </c>
      <c r="G96" s="87">
        <v>21.175999999999998</v>
      </c>
    </row>
    <row r="97" spans="1:8" x14ac:dyDescent="0.25">
      <c r="A97" s="86"/>
      <c r="B97" s="87"/>
      <c r="F97" s="86" t="s">
        <v>170</v>
      </c>
      <c r="G97" s="87">
        <v>13.999000000000001</v>
      </c>
    </row>
    <row r="98" spans="1:8" x14ac:dyDescent="0.25">
      <c r="A98" s="86" t="s">
        <v>159</v>
      </c>
      <c r="B98" s="87">
        <v>5</v>
      </c>
    </row>
    <row r="99" spans="1:8" x14ac:dyDescent="0.25">
      <c r="A99" s="86" t="s">
        <v>158</v>
      </c>
      <c r="B99" s="87">
        <v>5</v>
      </c>
    </row>
    <row r="100" spans="1:8" ht="23.25" x14ac:dyDescent="0.35">
      <c r="A100" s="86" t="s">
        <v>160</v>
      </c>
      <c r="B100" s="87">
        <v>180</v>
      </c>
      <c r="F100" s="108" t="s">
        <v>175</v>
      </c>
      <c r="G100" s="153">
        <f>ROUND(B95*(1-B102)+B107*B102*B114+B112,3)</f>
        <v>7.851</v>
      </c>
      <c r="H100" s="153"/>
    </row>
    <row r="101" spans="1:8" x14ac:dyDescent="0.25">
      <c r="A101" s="86" t="s">
        <v>162</v>
      </c>
      <c r="B101" s="87">
        <f>SUM(B97:B100)</f>
        <v>190</v>
      </c>
    </row>
    <row r="102" spans="1:8" ht="21" x14ac:dyDescent="0.35">
      <c r="A102" s="97" t="s">
        <v>156</v>
      </c>
      <c r="B102" s="98">
        <f>ROUND((B96*(0.5*(B99+B98)+B100))/B101,1)</f>
        <v>63.3</v>
      </c>
    </row>
    <row r="103" spans="1:8" ht="23.25" x14ac:dyDescent="0.35">
      <c r="F103" s="108" t="s">
        <v>176</v>
      </c>
      <c r="G103" s="153">
        <f>ROUND(G100*B104*(G96-G97),3)</f>
        <v>71.617000000000004</v>
      </c>
      <c r="H103" s="153"/>
    </row>
    <row r="104" spans="1:8" x14ac:dyDescent="0.25">
      <c r="A104" s="86" t="s">
        <v>163</v>
      </c>
      <c r="B104" s="87">
        <v>1.2709999999999999</v>
      </c>
      <c r="C104" t="s">
        <v>165</v>
      </c>
      <c r="D104" s="87">
        <f>ROUND(((B104-B105)/B105)^0.5,4)</f>
        <v>0.12640000000000001</v>
      </c>
    </row>
    <row r="105" spans="1:8" x14ac:dyDescent="0.25">
      <c r="A105" s="86" t="s">
        <v>164</v>
      </c>
      <c r="B105" s="87">
        <v>1.2509999999999999</v>
      </c>
      <c r="C105" t="s">
        <v>166</v>
      </c>
      <c r="D105" s="87">
        <f>ROUND(((2/(1+(B104/B105)^0.333))^1.5),4)</f>
        <v>0.996</v>
      </c>
    </row>
    <row r="106" spans="1:8" x14ac:dyDescent="0.25">
      <c r="C106" t="s">
        <v>167</v>
      </c>
      <c r="D106" s="87">
        <f>ROUND((9.8*2.4)^0.5,4)</f>
        <v>4.8497000000000003</v>
      </c>
    </row>
    <row r="107" spans="1:8" ht="21" x14ac:dyDescent="0.35">
      <c r="A107" s="97" t="s">
        <v>168</v>
      </c>
      <c r="B107" s="98">
        <f>ROUND(0.221*2*2.4*D106*D105*D104,4)</f>
        <v>0.64770000000000005</v>
      </c>
    </row>
    <row r="109" spans="1:8" x14ac:dyDescent="0.25">
      <c r="A109" s="86" t="s">
        <v>153</v>
      </c>
      <c r="B109" s="87">
        <f>ROUND(J2/200/24,0)</f>
        <v>3</v>
      </c>
    </row>
    <row r="110" spans="1:8" x14ac:dyDescent="0.25">
      <c r="A110" s="86" t="s">
        <v>172</v>
      </c>
      <c r="B110" s="87">
        <f>0.0087*POWER(8-C2,1.76)</f>
        <v>9.9803285261901575E-2</v>
      </c>
    </row>
    <row r="112" spans="1:8" ht="21" x14ac:dyDescent="0.35">
      <c r="A112" s="95" t="s">
        <v>173</v>
      </c>
      <c r="B112" s="98">
        <f>B110*B109/3600*2</f>
        <v>1.6633880876983597E-4</v>
      </c>
    </row>
    <row r="114" spans="1:9" ht="26.25" x14ac:dyDescent="0.4">
      <c r="A114" s="103" t="s">
        <v>174</v>
      </c>
      <c r="B114" s="104">
        <f>1-0.8</f>
        <v>0.19999999999999996</v>
      </c>
    </row>
    <row r="116" spans="1:9" ht="15.75" thickBot="1" x14ac:dyDescent="0.3"/>
    <row r="117" spans="1:9" ht="16.5" thickTop="1" thickBot="1" x14ac:dyDescent="0.3">
      <c r="A117" s="92"/>
      <c r="B117" s="92"/>
      <c r="C117" s="92"/>
      <c r="D117" s="92"/>
      <c r="E117" s="92"/>
      <c r="F117" s="92"/>
      <c r="G117" s="92"/>
      <c r="H117" s="92"/>
    </row>
    <row r="118" spans="1:9" ht="15.75" thickTop="1" x14ac:dyDescent="0.25"/>
    <row r="119" spans="1:9" x14ac:dyDescent="0.25">
      <c r="A119" t="s">
        <v>177</v>
      </c>
    </row>
    <row r="125" spans="1:9" x14ac:dyDescent="0.25">
      <c r="A125" s="86" t="s">
        <v>178</v>
      </c>
      <c r="B125" s="87">
        <f>J2</f>
        <v>13010</v>
      </c>
      <c r="D125" s="86" t="s">
        <v>191</v>
      </c>
      <c r="E125" s="87">
        <v>227</v>
      </c>
      <c r="H125" s="86" t="s">
        <v>195</v>
      </c>
      <c r="I125" s="87">
        <v>2.19</v>
      </c>
    </row>
    <row r="126" spans="1:9" x14ac:dyDescent="0.25">
      <c r="A126" s="86" t="s">
        <v>179</v>
      </c>
      <c r="B126" s="109">
        <v>3.42</v>
      </c>
      <c r="C126" s="115" t="s">
        <v>220</v>
      </c>
    </row>
    <row r="127" spans="1:9" x14ac:dyDescent="0.25">
      <c r="A127" s="86" t="s">
        <v>180</v>
      </c>
      <c r="B127" s="87">
        <v>10</v>
      </c>
    </row>
    <row r="128" spans="1:9" x14ac:dyDescent="0.25">
      <c r="A128" s="110" t="s">
        <v>181</v>
      </c>
      <c r="B128" s="87">
        <v>4</v>
      </c>
    </row>
    <row r="129" spans="1:9" x14ac:dyDescent="0.25">
      <c r="A129" s="110" t="s">
        <v>182</v>
      </c>
      <c r="B129" s="111">
        <v>6</v>
      </c>
    </row>
    <row r="131" spans="1:9" ht="21" x14ac:dyDescent="0.35">
      <c r="A131" s="112" t="s">
        <v>184</v>
      </c>
      <c r="B131" s="98">
        <f>ROUND((B125*B126*(B127-B128))/(3600*B129),3)</f>
        <v>12.36</v>
      </c>
      <c r="D131" s="112" t="s">
        <v>193</v>
      </c>
      <c r="E131" s="98">
        <f>ROUND((B125*E125)/(3600*B129),3)</f>
        <v>136.72499999999999</v>
      </c>
      <c r="H131" s="112" t="s">
        <v>196</v>
      </c>
      <c r="I131" s="98">
        <f>ROUND((B125*I125*(B127-B128))/(3600*B129),3)</f>
        <v>7.9139999999999997</v>
      </c>
    </row>
    <row r="133" spans="1:9" ht="15.75" thickBot="1" x14ac:dyDescent="0.3"/>
    <row r="134" spans="1:9" ht="16.5" thickTop="1" thickBot="1" x14ac:dyDescent="0.3">
      <c r="A134" s="92"/>
      <c r="B134" s="92"/>
      <c r="C134" s="92"/>
      <c r="D134" s="92"/>
      <c r="E134" s="92"/>
      <c r="F134" s="92"/>
      <c r="G134" s="92"/>
      <c r="H134" s="92"/>
    </row>
    <row r="135" spans="1:9" ht="15.75" thickTop="1" x14ac:dyDescent="0.25"/>
    <row r="136" spans="1:9" x14ac:dyDescent="0.25">
      <c r="A136" t="s">
        <v>185</v>
      </c>
    </row>
    <row r="138" spans="1:9" x14ac:dyDescent="0.25">
      <c r="A138" s="86" t="s">
        <v>192</v>
      </c>
      <c r="B138" s="87">
        <v>3000</v>
      </c>
    </row>
    <row r="139" spans="1:9" x14ac:dyDescent="0.25">
      <c r="A139" s="86" t="s">
        <v>186</v>
      </c>
      <c r="B139" s="87">
        <v>2</v>
      </c>
    </row>
    <row r="140" spans="1:9" x14ac:dyDescent="0.25">
      <c r="A140" s="86" t="s">
        <v>187</v>
      </c>
      <c r="B140" s="87">
        <v>24</v>
      </c>
    </row>
    <row r="143" spans="1:9" ht="23.25" x14ac:dyDescent="0.35">
      <c r="A143" s="94" t="s">
        <v>221</v>
      </c>
      <c r="B143" s="102">
        <f>ROUND(B139*B138*B140/24,3)</f>
        <v>6000</v>
      </c>
    </row>
    <row r="149" spans="1:10" x14ac:dyDescent="0.25">
      <c r="A149" s="86" t="s">
        <v>190</v>
      </c>
      <c r="B149" s="113">
        <f>Sheet2!F3</f>
        <v>148.77100000000002</v>
      </c>
    </row>
    <row r="150" spans="1:10" x14ac:dyDescent="0.25">
      <c r="A150" s="86" t="s">
        <v>191</v>
      </c>
      <c r="B150" s="87">
        <v>6</v>
      </c>
    </row>
    <row r="152" spans="1:10" ht="23.25" x14ac:dyDescent="0.35">
      <c r="A152" s="101" t="s">
        <v>189</v>
      </c>
      <c r="B152" s="114">
        <f>PRODUCT(B149:B150)</f>
        <v>892.62600000000009</v>
      </c>
    </row>
    <row r="153" spans="1:10" ht="15.75" thickBot="1" x14ac:dyDescent="0.3"/>
    <row r="154" spans="1:10" ht="16.5" thickTop="1" thickBot="1" x14ac:dyDescent="0.3">
      <c r="A154" s="92"/>
      <c r="B154" s="92"/>
      <c r="C154" s="92"/>
      <c r="D154" s="92"/>
      <c r="E154" s="92"/>
      <c r="F154" s="92"/>
      <c r="G154" s="92"/>
      <c r="H154" s="92"/>
      <c r="I154" s="92"/>
      <c r="J154" s="92"/>
    </row>
    <row r="155" spans="1:10" ht="15.75" thickTop="1" x14ac:dyDescent="0.25"/>
    <row r="157" spans="1:10" ht="21" x14ac:dyDescent="0.35">
      <c r="A157" s="116" t="s">
        <v>197</v>
      </c>
      <c r="B157" s="114">
        <f>F12</f>
        <v>2223.83</v>
      </c>
    </row>
    <row r="158" spans="1:10" ht="21" x14ac:dyDescent="0.35">
      <c r="A158" s="116" t="s">
        <v>198</v>
      </c>
      <c r="B158" s="114">
        <f>G103</f>
        <v>71.617000000000004</v>
      </c>
    </row>
    <row r="159" spans="1:10" ht="21" x14ac:dyDescent="0.35">
      <c r="A159" s="116" t="s">
        <v>199</v>
      </c>
      <c r="B159" s="114">
        <v>0</v>
      </c>
    </row>
    <row r="160" spans="1:10" ht="21" x14ac:dyDescent="0.35">
      <c r="A160" s="116" t="s">
        <v>183</v>
      </c>
      <c r="B160" s="114">
        <f>B131*1000</f>
        <v>12360</v>
      </c>
    </row>
    <row r="161" spans="1:7" ht="21" x14ac:dyDescent="0.35">
      <c r="A161" s="116" t="s">
        <v>200</v>
      </c>
      <c r="B161" s="114">
        <f>E131*0</f>
        <v>0</v>
      </c>
      <c r="D161" s="117" t="s">
        <v>204</v>
      </c>
      <c r="E161" s="152">
        <f>ROUND(SUM(B157:B166),2)</f>
        <v>21630.07</v>
      </c>
      <c r="F161" s="152"/>
    </row>
    <row r="162" spans="1:7" ht="21" x14ac:dyDescent="0.35">
      <c r="A162" s="116" t="s">
        <v>201</v>
      </c>
      <c r="B162" s="114">
        <f>I131*0</f>
        <v>0</v>
      </c>
    </row>
    <row r="163" spans="1:7" ht="21" x14ac:dyDescent="0.35">
      <c r="A163" s="116" t="s">
        <v>202</v>
      </c>
      <c r="B163" s="114">
        <v>0</v>
      </c>
      <c r="D163" s="118" t="s">
        <v>232</v>
      </c>
      <c r="E163" s="154">
        <f>ROUND(E161*0.2,2)</f>
        <v>4326.01</v>
      </c>
      <c r="F163" s="154"/>
    </row>
    <row r="164" spans="1:7" ht="21" x14ac:dyDescent="0.35">
      <c r="A164" s="116" t="s">
        <v>203</v>
      </c>
      <c r="B164" s="114">
        <f>E21</f>
        <v>82</v>
      </c>
    </row>
    <row r="165" spans="1:7" ht="21" x14ac:dyDescent="0.35">
      <c r="A165" s="116" t="s">
        <v>221</v>
      </c>
      <c r="B165" s="114">
        <f>B143</f>
        <v>6000</v>
      </c>
      <c r="D165" s="118" t="s">
        <v>206</v>
      </c>
      <c r="E165" s="154">
        <f>ROUND(SUM(E161,E163),2)</f>
        <v>25956.080000000002</v>
      </c>
      <c r="F165" s="154"/>
    </row>
    <row r="166" spans="1:7" ht="21" x14ac:dyDescent="0.35">
      <c r="A166" s="116" t="s">
        <v>188</v>
      </c>
      <c r="B166" s="114">
        <f>B152</f>
        <v>892.62600000000009</v>
      </c>
      <c r="D166" s="129" t="s">
        <v>233</v>
      </c>
      <c r="E166" s="152">
        <f>E165*24/16</f>
        <v>38934.120000000003</v>
      </c>
      <c r="F166" s="152"/>
      <c r="G166" s="131" t="s">
        <v>148</v>
      </c>
    </row>
    <row r="169" spans="1:7" x14ac:dyDescent="0.25">
      <c r="E169">
        <f>E165/2</f>
        <v>12978.04</v>
      </c>
    </row>
    <row r="170" spans="1:7" ht="15.75" x14ac:dyDescent="0.25">
      <c r="A170" s="116" t="s">
        <v>237</v>
      </c>
      <c r="B170">
        <v>4</v>
      </c>
    </row>
    <row r="171" spans="1:7" ht="21" x14ac:dyDescent="0.35">
      <c r="A171" s="131"/>
      <c r="B171" s="131"/>
      <c r="C171" s="131"/>
    </row>
    <row r="172" spans="1:7" ht="21" x14ac:dyDescent="0.35">
      <c r="A172" s="131" t="s">
        <v>231</v>
      </c>
      <c r="B172" s="131">
        <f>B170*1.01*20/20*1000</f>
        <v>4040</v>
      </c>
      <c r="C172" s="131" t="s">
        <v>148</v>
      </c>
    </row>
    <row r="173" spans="1:7" ht="21" x14ac:dyDescent="0.35">
      <c r="A173" s="131" t="s">
        <v>235</v>
      </c>
      <c r="B173" s="131">
        <f>(4*1.5+2*1.15)*1.33/20*1000</f>
        <v>551.95000000000005</v>
      </c>
      <c r="C173" s="131" t="s">
        <v>148</v>
      </c>
    </row>
    <row r="174" spans="1:7" ht="21" x14ac:dyDescent="0.35">
      <c r="A174" s="131" t="s">
        <v>236</v>
      </c>
      <c r="B174" s="132">
        <f>SUM(B172:B173)+E166</f>
        <v>43526.07</v>
      </c>
      <c r="C174" s="131" t="s">
        <v>234</v>
      </c>
    </row>
    <row r="176" spans="1:7" ht="21" x14ac:dyDescent="0.35">
      <c r="A176" s="131" t="s">
        <v>236</v>
      </c>
      <c r="B176" s="132">
        <f>SUM(B172:B173)+E161</f>
        <v>26222.02</v>
      </c>
      <c r="C176" s="131" t="s">
        <v>234</v>
      </c>
    </row>
  </sheetData>
  <mergeCells count="7">
    <mergeCell ref="E166:F166"/>
    <mergeCell ref="E165:F165"/>
    <mergeCell ref="E2:F2"/>
    <mergeCell ref="G100:H100"/>
    <mergeCell ref="G103:H103"/>
    <mergeCell ref="E161:F161"/>
    <mergeCell ref="E163:F163"/>
  </mergeCells>
  <pageMargins left="0.7" right="0.7" top="0.75" bottom="0.75" header="0.3" footer="0.3"/>
  <ignoredErrors>
    <ignoredError sqref="C9:C10 C11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6"/>
  <sheetViews>
    <sheetView topLeftCell="A160" workbookViewId="0">
      <selection activeCell="B172" sqref="B172"/>
    </sheetView>
  </sheetViews>
  <sheetFormatPr defaultRowHeight="15" x14ac:dyDescent="0.25"/>
  <cols>
    <col min="1" max="1" width="12.140625" customWidth="1"/>
    <col min="2" max="2" width="20.28515625" bestFit="1" customWidth="1"/>
    <col min="4" max="4" width="11.85546875" customWidth="1"/>
    <col min="5" max="5" width="10.7109375" bestFit="1" customWidth="1"/>
  </cols>
  <sheetData>
    <row r="2" spans="1:10" ht="21" x14ac:dyDescent="0.35">
      <c r="B2" s="99" t="s">
        <v>145</v>
      </c>
      <c r="C2" s="127">
        <v>6</v>
      </c>
      <c r="E2" s="155" t="s">
        <v>210</v>
      </c>
      <c r="F2" s="155"/>
      <c r="G2" s="127">
        <v>5</v>
      </c>
      <c r="I2" s="86" t="s">
        <v>219</v>
      </c>
      <c r="J2" s="127">
        <v>29382</v>
      </c>
    </row>
    <row r="3" spans="1:10" ht="18.75" x14ac:dyDescent="0.3">
      <c r="B3" s="95" t="s">
        <v>211</v>
      </c>
      <c r="C3" s="127">
        <v>40</v>
      </c>
      <c r="E3" s="95" t="s">
        <v>212</v>
      </c>
      <c r="F3" s="127">
        <v>15</v>
      </c>
    </row>
    <row r="5" spans="1:10" ht="50.25" customHeight="1" x14ac:dyDescent="0.25">
      <c r="B5" s="81" t="s">
        <v>6</v>
      </c>
      <c r="C5" s="83" t="s">
        <v>136</v>
      </c>
      <c r="D5" s="84" t="s">
        <v>138</v>
      </c>
      <c r="E5" s="85" t="s">
        <v>135</v>
      </c>
      <c r="F5" s="84" t="s">
        <v>137</v>
      </c>
    </row>
    <row r="6" spans="1:10" ht="20.25" customHeight="1" x14ac:dyDescent="0.35">
      <c r="B6" s="120" t="s">
        <v>139</v>
      </c>
      <c r="C6" s="121">
        <f>PRODUCT(J6,J8)</f>
        <v>29.574999999999999</v>
      </c>
      <c r="D6" s="122">
        <v>0.22</v>
      </c>
      <c r="E6" s="122">
        <f>C3-C2</f>
        <v>34</v>
      </c>
      <c r="F6" s="122">
        <f t="shared" ref="F6:F11" si="0">ROUND(PRODUCT(C6:E6),2)</f>
        <v>221.22</v>
      </c>
      <c r="I6" s="118" t="s">
        <v>207</v>
      </c>
      <c r="J6" s="91">
        <v>9.1</v>
      </c>
    </row>
    <row r="7" spans="1:10" ht="20.25" customHeight="1" x14ac:dyDescent="0.35">
      <c r="B7" s="88" t="s">
        <v>140</v>
      </c>
      <c r="C7" s="6">
        <f>PRODUCT(J6,J8)</f>
        <v>29.574999999999999</v>
      </c>
      <c r="D7" s="55">
        <v>0.22</v>
      </c>
      <c r="E7" s="55">
        <f>8-C2</f>
        <v>2</v>
      </c>
      <c r="F7" s="55">
        <f t="shared" si="0"/>
        <v>13.01</v>
      </c>
      <c r="I7" s="118" t="s">
        <v>208</v>
      </c>
      <c r="J7" s="91">
        <v>20.05</v>
      </c>
    </row>
    <row r="8" spans="1:10" ht="20.25" customHeight="1" x14ac:dyDescent="0.35">
      <c r="B8" s="120" t="s">
        <v>141</v>
      </c>
      <c r="C8" s="121">
        <f>PRODUCT(J7,J8)</f>
        <v>65.162500000000009</v>
      </c>
      <c r="D8" s="122">
        <v>0.22</v>
      </c>
      <c r="E8" s="122">
        <f>C3-C2</f>
        <v>34</v>
      </c>
      <c r="F8" s="122">
        <f t="shared" si="0"/>
        <v>487.42</v>
      </c>
      <c r="I8" s="118" t="s">
        <v>209</v>
      </c>
      <c r="J8" s="91">
        <v>3.25</v>
      </c>
    </row>
    <row r="9" spans="1:10" ht="20.25" customHeight="1" x14ac:dyDescent="0.25">
      <c r="B9" s="88" t="s">
        <v>142</v>
      </c>
      <c r="C9" s="6">
        <f>PRODUCT(J7:J8)</f>
        <v>65.162500000000009</v>
      </c>
      <c r="D9" s="55">
        <v>0.22</v>
      </c>
      <c r="E9" s="55">
        <f>-27-C2</f>
        <v>-33</v>
      </c>
      <c r="F9" s="55">
        <f t="shared" si="0"/>
        <v>-473.08</v>
      </c>
    </row>
    <row r="10" spans="1:10" ht="20.25" customHeight="1" x14ac:dyDescent="0.25">
      <c r="B10" s="120" t="s">
        <v>143</v>
      </c>
      <c r="C10" s="121">
        <f>PRODUCT(J6:J7)</f>
        <v>182.45500000000001</v>
      </c>
      <c r="D10" s="122">
        <f>Данни!F39</f>
        <v>0.27800000000000002</v>
      </c>
      <c r="E10" s="122">
        <f>F3-C2</f>
        <v>9</v>
      </c>
      <c r="F10" s="122">
        <f t="shared" si="0"/>
        <v>456.5</v>
      </c>
    </row>
    <row r="11" spans="1:10" x14ac:dyDescent="0.25">
      <c r="B11" s="89" t="s">
        <v>144</v>
      </c>
      <c r="C11" s="6">
        <f>PRODUCT(J6:J7)</f>
        <v>182.45500000000001</v>
      </c>
      <c r="D11" s="55">
        <v>0.18</v>
      </c>
      <c r="E11" s="55">
        <f>(C3-C2)+G2</f>
        <v>39</v>
      </c>
      <c r="F11" s="55">
        <f t="shared" si="0"/>
        <v>1280.83</v>
      </c>
    </row>
    <row r="12" spans="1:10" ht="15.75" x14ac:dyDescent="0.25">
      <c r="E12" s="124" t="s">
        <v>146</v>
      </c>
      <c r="F12" s="123">
        <f>SUM(F6:F11)</f>
        <v>1985.8999999999999</v>
      </c>
    </row>
    <row r="13" spans="1:10" ht="15.75" thickBot="1" x14ac:dyDescent="0.3"/>
    <row r="14" spans="1:10" ht="16.5" thickTop="1" thickBot="1" x14ac:dyDescent="0.3">
      <c r="A14" s="92"/>
      <c r="B14" s="92"/>
      <c r="C14" s="92"/>
      <c r="D14" s="92"/>
      <c r="E14" s="92"/>
      <c r="F14" s="92"/>
      <c r="G14" s="92"/>
    </row>
    <row r="15" spans="1:10" ht="15.75" thickTop="1" x14ac:dyDescent="0.25"/>
    <row r="19" spans="1:7" ht="21.75" thickBot="1" x14ac:dyDescent="0.4">
      <c r="D19" s="97" t="s">
        <v>151</v>
      </c>
      <c r="E19" s="98">
        <f>G25</f>
        <v>264</v>
      </c>
    </row>
    <row r="20" spans="1:7" ht="25.5" customHeight="1" x14ac:dyDescent="0.25">
      <c r="A20" s="20" t="s">
        <v>149</v>
      </c>
      <c r="B20" s="20" t="s">
        <v>150</v>
      </c>
    </row>
    <row r="21" spans="1:7" ht="32.25" thickBot="1" x14ac:dyDescent="0.55000000000000004">
      <c r="A21" s="93" t="s">
        <v>147</v>
      </c>
      <c r="B21" s="21" t="s">
        <v>148</v>
      </c>
      <c r="D21" s="105" t="s">
        <v>152</v>
      </c>
      <c r="E21" s="106">
        <f>PRODUCT(3,E19,8)/24</f>
        <v>264</v>
      </c>
      <c r="F21" s="106" t="s">
        <v>148</v>
      </c>
    </row>
    <row r="22" spans="1:7" ht="15.75" x14ac:dyDescent="0.25">
      <c r="A22" s="37">
        <v>20</v>
      </c>
      <c r="B22" s="37">
        <v>180</v>
      </c>
    </row>
    <row r="23" spans="1:7" ht="15.75" x14ac:dyDescent="0.25">
      <c r="A23" s="38">
        <v>15</v>
      </c>
      <c r="B23" s="38">
        <v>200</v>
      </c>
    </row>
    <row r="24" spans="1:7" ht="15.75" x14ac:dyDescent="0.25">
      <c r="A24" s="37">
        <v>10</v>
      </c>
      <c r="B24" s="37">
        <v>210</v>
      </c>
      <c r="D24" s="86" t="s">
        <v>213</v>
      </c>
      <c r="E24" s="87">
        <v>10</v>
      </c>
      <c r="F24" s="86" t="s">
        <v>216</v>
      </c>
      <c r="G24" s="87">
        <f>B25</f>
        <v>240</v>
      </c>
    </row>
    <row r="25" spans="1:7" ht="15.75" x14ac:dyDescent="0.25">
      <c r="A25" s="38">
        <v>5</v>
      </c>
      <c r="B25" s="38">
        <v>240</v>
      </c>
      <c r="D25" s="86" t="s">
        <v>214</v>
      </c>
      <c r="E25" s="87">
        <v>6</v>
      </c>
      <c r="F25" s="86" t="s">
        <v>217</v>
      </c>
      <c r="G25" s="87">
        <f>(((E25-E24)*(G26-G24))/(E26-E24))+G24</f>
        <v>264</v>
      </c>
    </row>
    <row r="26" spans="1:7" ht="15.75" x14ac:dyDescent="0.25">
      <c r="A26" s="37">
        <v>0</v>
      </c>
      <c r="B26" s="37">
        <v>270</v>
      </c>
      <c r="D26" s="86" t="s">
        <v>215</v>
      </c>
      <c r="E26" s="87">
        <v>5</v>
      </c>
      <c r="F26" s="86" t="s">
        <v>218</v>
      </c>
      <c r="G26" s="87">
        <f>B26</f>
        <v>270</v>
      </c>
    </row>
    <row r="27" spans="1:7" ht="15.75" x14ac:dyDescent="0.25">
      <c r="A27" s="38">
        <v>-5</v>
      </c>
      <c r="B27" s="38">
        <v>300</v>
      </c>
    </row>
    <row r="28" spans="1:7" ht="15.75" x14ac:dyDescent="0.25">
      <c r="A28" s="37">
        <v>-10</v>
      </c>
      <c r="B28" s="37">
        <v>330</v>
      </c>
    </row>
    <row r="29" spans="1:7" ht="15.75" x14ac:dyDescent="0.25">
      <c r="A29" s="38">
        <v>-15</v>
      </c>
      <c r="B29" s="38">
        <v>360</v>
      </c>
    </row>
    <row r="30" spans="1:7" ht="15.75" x14ac:dyDescent="0.25">
      <c r="A30" s="37">
        <v>-20</v>
      </c>
      <c r="B30" s="37">
        <v>390</v>
      </c>
    </row>
    <row r="31" spans="1:7" ht="16.5" thickBot="1" x14ac:dyDescent="0.3">
      <c r="A31" s="72">
        <v>-25</v>
      </c>
      <c r="B31" s="72">
        <v>420</v>
      </c>
    </row>
    <row r="35" spans="1:7" ht="15.75" thickBot="1" x14ac:dyDescent="0.3"/>
    <row r="36" spans="1:7" ht="16.5" thickTop="1" thickBot="1" x14ac:dyDescent="0.3">
      <c r="A36" s="92"/>
      <c r="B36" s="92"/>
      <c r="C36" s="92"/>
      <c r="D36" s="92"/>
      <c r="E36" s="92"/>
      <c r="F36" s="92"/>
      <c r="G36" s="92"/>
    </row>
    <row r="37" spans="1:7" ht="15.75" thickTop="1" x14ac:dyDescent="0.25"/>
    <row r="40" spans="1:7" x14ac:dyDescent="0.25">
      <c r="C40" s="126"/>
    </row>
    <row r="42" spans="1:7" x14ac:dyDescent="0.25">
      <c r="A42" s="86"/>
      <c r="B42" s="87"/>
    </row>
    <row r="50" spans="1:6" ht="15.75" x14ac:dyDescent="0.25">
      <c r="A50" s="107"/>
      <c r="E50" s="86"/>
      <c r="F50" s="87"/>
    </row>
    <row r="52" spans="1:6" x14ac:dyDescent="0.25">
      <c r="A52" s="86"/>
      <c r="B52" s="87"/>
    </row>
    <row r="53" spans="1:6" x14ac:dyDescent="0.25">
      <c r="A53" s="86"/>
      <c r="B53" s="87"/>
    </row>
    <row r="54" spans="1:6" x14ac:dyDescent="0.25">
      <c r="A54" s="86"/>
    </row>
    <row r="56" spans="1:6" x14ac:dyDescent="0.25">
      <c r="A56" s="86"/>
    </row>
    <row r="74" spans="1:7" ht="15.75" thickBot="1" x14ac:dyDescent="0.3"/>
    <row r="75" spans="1:7" ht="16.5" thickTop="1" thickBot="1" x14ac:dyDescent="0.3">
      <c r="A75" s="92"/>
      <c r="B75" s="92"/>
      <c r="C75" s="92"/>
      <c r="D75" s="92"/>
      <c r="E75" s="92"/>
      <c r="F75" s="92"/>
      <c r="G75" s="92"/>
    </row>
    <row r="76" spans="1:7" ht="15.75" thickTop="1" x14ac:dyDescent="0.25"/>
    <row r="95" spans="1:7" ht="18.75" x14ac:dyDescent="0.3">
      <c r="A95" s="95" t="s">
        <v>161</v>
      </c>
      <c r="B95" s="96">
        <v>5.5999999999999999E-3</v>
      </c>
    </row>
    <row r="96" spans="1:7" x14ac:dyDescent="0.25">
      <c r="A96" s="86" t="s">
        <v>157</v>
      </c>
      <c r="B96" s="87">
        <f>ROUND(J2/200,0)</f>
        <v>147</v>
      </c>
      <c r="F96" s="86" t="s">
        <v>169</v>
      </c>
      <c r="G96" s="87">
        <v>21.175999999999998</v>
      </c>
    </row>
    <row r="97" spans="1:8" x14ac:dyDescent="0.25">
      <c r="A97" s="86"/>
      <c r="B97" s="87"/>
      <c r="F97" s="86" t="s">
        <v>170</v>
      </c>
      <c r="G97" s="87">
        <v>17.492000000000001</v>
      </c>
    </row>
    <row r="98" spans="1:8" x14ac:dyDescent="0.25">
      <c r="A98" s="86" t="s">
        <v>159</v>
      </c>
      <c r="B98" s="87">
        <v>5</v>
      </c>
    </row>
    <row r="99" spans="1:8" x14ac:dyDescent="0.25">
      <c r="A99" s="86" t="s">
        <v>158</v>
      </c>
      <c r="B99" s="87">
        <v>5</v>
      </c>
    </row>
    <row r="100" spans="1:8" ht="23.25" x14ac:dyDescent="0.35">
      <c r="A100" s="86" t="s">
        <v>160</v>
      </c>
      <c r="B100" s="87">
        <v>180</v>
      </c>
      <c r="F100" s="108" t="s">
        <v>175</v>
      </c>
      <c r="G100" s="153">
        <f>ROUND(B95*(1-B102)+B107*B102*B114+B112,3)</f>
        <v>12.340999999999999</v>
      </c>
      <c r="H100" s="153"/>
    </row>
    <row r="101" spans="1:8" x14ac:dyDescent="0.25">
      <c r="A101" s="86" t="s">
        <v>162</v>
      </c>
      <c r="B101" s="87">
        <f>SUM(B97:B100)</f>
        <v>190</v>
      </c>
    </row>
    <row r="102" spans="1:8" ht="21" x14ac:dyDescent="0.35">
      <c r="A102" s="97" t="s">
        <v>156</v>
      </c>
      <c r="B102" s="98">
        <f>ROUND((B96*(0.5*(B99+B98)+B100))/B101,1)</f>
        <v>143.1</v>
      </c>
    </row>
    <row r="103" spans="1:8" ht="23.25" x14ac:dyDescent="0.35">
      <c r="F103" s="108" t="s">
        <v>176</v>
      </c>
      <c r="G103" s="153">
        <f>ROUND(G100*B104*(G96-G97),3)</f>
        <v>57.33</v>
      </c>
      <c r="H103" s="153"/>
    </row>
    <row r="104" spans="1:8" x14ac:dyDescent="0.25">
      <c r="A104" s="86" t="s">
        <v>163</v>
      </c>
      <c r="B104" s="87">
        <v>1.2609999999999999</v>
      </c>
      <c r="C104" t="s">
        <v>165</v>
      </c>
      <c r="D104" s="87">
        <f>ROUND(((B104-B105)/B105)^0.5,4)</f>
        <v>8.9399999999999993E-2</v>
      </c>
    </row>
    <row r="105" spans="1:8" x14ac:dyDescent="0.25">
      <c r="A105" s="86" t="s">
        <v>164</v>
      </c>
      <c r="B105" s="87">
        <v>1.2509999999999999</v>
      </c>
      <c r="C105" t="s">
        <v>166</v>
      </c>
      <c r="D105" s="87">
        <f>ROUND(((2/(1+(B104/B105)^0.333))^1.5),4)</f>
        <v>0.998</v>
      </c>
    </row>
    <row r="106" spans="1:8" x14ac:dyDescent="0.25">
      <c r="C106" t="s">
        <v>167</v>
      </c>
      <c r="D106" s="87">
        <f>ROUND((9.8*2.4)^0.5,4)</f>
        <v>4.8497000000000003</v>
      </c>
    </row>
    <row r="107" spans="1:8" ht="21" x14ac:dyDescent="0.35">
      <c r="A107" s="97" t="s">
        <v>168</v>
      </c>
      <c r="B107" s="98">
        <f>ROUND(0.221*2*2.4*D106*D105*D104,4)</f>
        <v>0.45900000000000002</v>
      </c>
    </row>
    <row r="109" spans="1:8" x14ac:dyDescent="0.25">
      <c r="A109" s="86" t="s">
        <v>153</v>
      </c>
      <c r="B109" s="87">
        <f>ROUND(J2/200/24,0)</f>
        <v>6</v>
      </c>
    </row>
    <row r="110" spans="1:8" x14ac:dyDescent="0.25">
      <c r="A110" s="86" t="s">
        <v>172</v>
      </c>
      <c r="B110" s="87">
        <f>0.0087*POWER(8-C2,1.76)</f>
        <v>2.9466736870215941E-2</v>
      </c>
    </row>
    <row r="112" spans="1:8" ht="21" x14ac:dyDescent="0.35">
      <c r="A112" s="95" t="s">
        <v>173</v>
      </c>
      <c r="B112" s="156">
        <f>B110*B109/3600*2</f>
        <v>9.8222456234053137E-5</v>
      </c>
    </row>
    <row r="114" spans="1:9" ht="26.25" x14ac:dyDescent="0.4">
      <c r="A114" s="103" t="s">
        <v>174</v>
      </c>
      <c r="B114" s="104">
        <f>1-0.8</f>
        <v>0.19999999999999996</v>
      </c>
    </row>
    <row r="116" spans="1:9" ht="15.75" thickBot="1" x14ac:dyDescent="0.3"/>
    <row r="117" spans="1:9" ht="16.5" thickTop="1" thickBot="1" x14ac:dyDescent="0.3">
      <c r="A117" s="92"/>
      <c r="B117" s="92"/>
      <c r="C117" s="92"/>
      <c r="D117" s="92"/>
      <c r="E117" s="92"/>
      <c r="F117" s="92"/>
      <c r="G117" s="92"/>
      <c r="H117" s="92"/>
    </row>
    <row r="118" spans="1:9" ht="15.75" thickTop="1" x14ac:dyDescent="0.25"/>
    <row r="119" spans="1:9" x14ac:dyDescent="0.25">
      <c r="A119" t="s">
        <v>177</v>
      </c>
    </row>
    <row r="125" spans="1:9" x14ac:dyDescent="0.25">
      <c r="A125" s="86" t="s">
        <v>178</v>
      </c>
      <c r="B125" s="87">
        <f>J2</f>
        <v>29382</v>
      </c>
      <c r="D125" s="86" t="s">
        <v>191</v>
      </c>
      <c r="E125" s="87">
        <v>293</v>
      </c>
      <c r="H125" s="86" t="s">
        <v>195</v>
      </c>
      <c r="I125" s="87">
        <v>1.81</v>
      </c>
    </row>
    <row r="126" spans="1:9" x14ac:dyDescent="0.25">
      <c r="A126" s="86" t="s">
        <v>179</v>
      </c>
      <c r="B126" s="109">
        <v>3.42</v>
      </c>
      <c r="C126" s="115" t="s">
        <v>223</v>
      </c>
    </row>
    <row r="127" spans="1:9" x14ac:dyDescent="0.25">
      <c r="A127" s="86" t="s">
        <v>180</v>
      </c>
      <c r="B127" s="87">
        <v>8</v>
      </c>
    </row>
    <row r="128" spans="1:9" x14ac:dyDescent="0.25">
      <c r="A128" s="110" t="s">
        <v>181</v>
      </c>
      <c r="B128" s="87">
        <v>6</v>
      </c>
    </row>
    <row r="129" spans="1:9" x14ac:dyDescent="0.25">
      <c r="A129" s="110" t="s">
        <v>182</v>
      </c>
      <c r="B129" s="111">
        <v>4</v>
      </c>
    </row>
    <row r="131" spans="1:9" ht="21" x14ac:dyDescent="0.35">
      <c r="A131" s="112" t="s">
        <v>184</v>
      </c>
      <c r="B131" s="98">
        <f>ROUND((B125*B126*(B127-B128))/(3600*B129),3)</f>
        <v>13.956</v>
      </c>
      <c r="D131" s="112" t="s">
        <v>193</v>
      </c>
      <c r="E131" s="98">
        <f>ROUND((B125*E125)/(3600*B129),3)</f>
        <v>597.84199999999998</v>
      </c>
      <c r="H131" s="112" t="s">
        <v>196</v>
      </c>
      <c r="I131" s="98">
        <f>ROUND((B125*I125*(B127-B128))/(3600*B129),3)</f>
        <v>7.3860000000000001</v>
      </c>
    </row>
    <row r="133" spans="1:9" ht="15.75" thickBot="1" x14ac:dyDescent="0.3"/>
    <row r="134" spans="1:9" ht="16.5" thickTop="1" thickBot="1" x14ac:dyDescent="0.3">
      <c r="A134" s="92"/>
      <c r="B134" s="92"/>
      <c r="C134" s="92"/>
      <c r="D134" s="92"/>
      <c r="E134" s="92"/>
      <c r="F134" s="92"/>
      <c r="G134" s="92"/>
      <c r="H134" s="92"/>
    </row>
    <row r="135" spans="1:9" ht="15.75" thickTop="1" x14ac:dyDescent="0.25"/>
    <row r="136" spans="1:9" x14ac:dyDescent="0.25">
      <c r="A136" t="s">
        <v>185</v>
      </c>
    </row>
    <row r="138" spans="1:9" x14ac:dyDescent="0.25">
      <c r="A138" s="86" t="s">
        <v>192</v>
      </c>
      <c r="B138" s="87">
        <v>3000</v>
      </c>
    </row>
    <row r="139" spans="1:9" x14ac:dyDescent="0.25">
      <c r="A139" s="86" t="s">
        <v>186</v>
      </c>
      <c r="B139" s="87">
        <v>2</v>
      </c>
    </row>
    <row r="140" spans="1:9" x14ac:dyDescent="0.25">
      <c r="A140" s="86" t="s">
        <v>187</v>
      </c>
      <c r="B140" s="87">
        <v>24</v>
      </c>
    </row>
    <row r="143" spans="1:9" ht="23.25" x14ac:dyDescent="0.35">
      <c r="A143" s="94" t="s">
        <v>221</v>
      </c>
      <c r="B143" s="102">
        <f>ROUND(B139*B138*B140/24,3)</f>
        <v>6000</v>
      </c>
    </row>
    <row r="149" spans="1:10" x14ac:dyDescent="0.25">
      <c r="A149" s="86" t="s">
        <v>190</v>
      </c>
      <c r="B149" s="113">
        <f>Sheet2!F4</f>
        <v>182.45500000000001</v>
      </c>
    </row>
    <row r="150" spans="1:10" x14ac:dyDescent="0.25">
      <c r="A150" s="86" t="s">
        <v>191</v>
      </c>
      <c r="B150" s="87">
        <v>6</v>
      </c>
    </row>
    <row r="152" spans="1:10" ht="23.25" x14ac:dyDescent="0.35">
      <c r="A152" s="101" t="s">
        <v>189</v>
      </c>
      <c r="B152" s="114">
        <f>PRODUCT(B149:B150)</f>
        <v>1094.73</v>
      </c>
    </row>
    <row r="153" spans="1:10" ht="15.75" thickBot="1" x14ac:dyDescent="0.3"/>
    <row r="154" spans="1:10" ht="16.5" thickTop="1" thickBot="1" x14ac:dyDescent="0.3">
      <c r="A154" s="92"/>
      <c r="B154" s="92"/>
      <c r="C154" s="92"/>
      <c r="D154" s="92"/>
      <c r="E154" s="92"/>
      <c r="F154" s="92"/>
      <c r="G154" s="92"/>
      <c r="H154" s="92"/>
      <c r="I154" s="92"/>
      <c r="J154" s="92"/>
    </row>
    <row r="155" spans="1:10" ht="15.75" thickTop="1" x14ac:dyDescent="0.25"/>
    <row r="157" spans="1:10" ht="21" x14ac:dyDescent="0.35">
      <c r="A157" s="116" t="s">
        <v>197</v>
      </c>
      <c r="B157" s="114">
        <f>F12</f>
        <v>1985.8999999999999</v>
      </c>
    </row>
    <row r="158" spans="1:10" ht="21" x14ac:dyDescent="0.35">
      <c r="A158" s="116" t="s">
        <v>198</v>
      </c>
      <c r="B158" s="114">
        <f>G103</f>
        <v>57.33</v>
      </c>
    </row>
    <row r="159" spans="1:10" ht="21" x14ac:dyDescent="0.35">
      <c r="A159" s="116" t="s">
        <v>199</v>
      </c>
      <c r="B159" s="114">
        <v>0</v>
      </c>
    </row>
    <row r="160" spans="1:10" ht="21" x14ac:dyDescent="0.35">
      <c r="A160" s="116" t="s">
        <v>183</v>
      </c>
      <c r="B160" s="114">
        <f>B131*1000</f>
        <v>13956</v>
      </c>
    </row>
    <row r="161" spans="1:7" ht="21" x14ac:dyDescent="0.35">
      <c r="A161" s="116" t="s">
        <v>200</v>
      </c>
      <c r="B161" s="114">
        <f>E131*0</f>
        <v>0</v>
      </c>
      <c r="D161" s="117" t="s">
        <v>204</v>
      </c>
      <c r="E161" s="152">
        <f>ROUND(SUM(B157:B166),2)</f>
        <v>23357.96</v>
      </c>
      <c r="F161" s="152"/>
    </row>
    <row r="162" spans="1:7" ht="21" x14ac:dyDescent="0.35">
      <c r="A162" s="116" t="s">
        <v>201</v>
      </c>
      <c r="B162" s="114">
        <f>I131*0</f>
        <v>0</v>
      </c>
    </row>
    <row r="163" spans="1:7" ht="21" x14ac:dyDescent="0.35">
      <c r="A163" s="116" t="s">
        <v>202</v>
      </c>
      <c r="B163" s="114">
        <v>0</v>
      </c>
      <c r="D163" s="118" t="s">
        <v>205</v>
      </c>
      <c r="E163" s="154">
        <f>ROUND(E161*0.2,2)</f>
        <v>4671.59</v>
      </c>
      <c r="F163" s="154"/>
    </row>
    <row r="164" spans="1:7" ht="21" x14ac:dyDescent="0.35">
      <c r="A164" s="116" t="s">
        <v>203</v>
      </c>
      <c r="B164" s="114">
        <f>E21</f>
        <v>264</v>
      </c>
    </row>
    <row r="165" spans="1:7" ht="21" x14ac:dyDescent="0.35">
      <c r="A165" s="116" t="s">
        <v>221</v>
      </c>
      <c r="B165" s="114">
        <f>B143</f>
        <v>6000</v>
      </c>
      <c r="D165" s="118" t="s">
        <v>206</v>
      </c>
      <c r="E165" s="154">
        <f>ROUND(SUM(E161,E163),2)</f>
        <v>28029.55</v>
      </c>
      <c r="F165" s="154"/>
    </row>
    <row r="166" spans="1:7" ht="21" x14ac:dyDescent="0.35">
      <c r="A166" s="116" t="s">
        <v>188</v>
      </c>
      <c r="B166" s="114">
        <f>B152</f>
        <v>1094.73</v>
      </c>
      <c r="D166" s="129" t="s">
        <v>233</v>
      </c>
      <c r="E166" s="152">
        <f>E165*24/16</f>
        <v>42044.324999999997</v>
      </c>
      <c r="F166" s="152"/>
      <c r="G166" s="131" t="s">
        <v>148</v>
      </c>
    </row>
    <row r="169" spans="1:7" x14ac:dyDescent="0.25">
      <c r="E169">
        <f>E165/2</f>
        <v>14014.775</v>
      </c>
    </row>
    <row r="170" spans="1:7" ht="15.75" x14ac:dyDescent="0.25">
      <c r="A170" s="116" t="s">
        <v>237</v>
      </c>
      <c r="B170">
        <v>4</v>
      </c>
    </row>
    <row r="171" spans="1:7" ht="21" x14ac:dyDescent="0.35">
      <c r="A171" s="131"/>
      <c r="B171" s="131"/>
      <c r="C171" s="131"/>
    </row>
    <row r="172" spans="1:7" ht="21" x14ac:dyDescent="0.35">
      <c r="A172" s="131" t="s">
        <v>231</v>
      </c>
      <c r="B172" s="131">
        <f>B170*1.01*20/20*1000</f>
        <v>4040</v>
      </c>
      <c r="C172" s="131" t="s">
        <v>148</v>
      </c>
    </row>
    <row r="173" spans="1:7" ht="21" x14ac:dyDescent="0.35">
      <c r="A173" s="131" t="s">
        <v>235</v>
      </c>
      <c r="B173" s="131">
        <f>(4*1.5+2*1.15)*2.37/20*1000</f>
        <v>983.55000000000018</v>
      </c>
      <c r="C173" s="131" t="s">
        <v>148</v>
      </c>
    </row>
    <row r="174" spans="1:7" ht="21" x14ac:dyDescent="0.35">
      <c r="A174" s="131" t="s">
        <v>236</v>
      </c>
      <c r="B174" s="132">
        <f>SUM(B172:B173)+E166</f>
        <v>47067.875</v>
      </c>
      <c r="C174" s="131" t="s">
        <v>234</v>
      </c>
    </row>
    <row r="176" spans="1:7" ht="21" x14ac:dyDescent="0.35">
      <c r="A176" s="131" t="s">
        <v>236</v>
      </c>
      <c r="B176" s="132">
        <f>SUM(B172:B173)+E161</f>
        <v>28381.51</v>
      </c>
      <c r="C176" s="131" t="s">
        <v>234</v>
      </c>
    </row>
  </sheetData>
  <mergeCells count="7">
    <mergeCell ref="E166:F166"/>
    <mergeCell ref="E165:F165"/>
    <mergeCell ref="E2:F2"/>
    <mergeCell ref="G100:H100"/>
    <mergeCell ref="G103:H103"/>
    <mergeCell ref="E161:F161"/>
    <mergeCell ref="E163:F16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8"/>
  <sheetViews>
    <sheetView topLeftCell="A137" workbookViewId="0">
      <selection activeCell="B173" sqref="B173"/>
    </sheetView>
  </sheetViews>
  <sheetFormatPr defaultRowHeight="15" x14ac:dyDescent="0.25"/>
  <cols>
    <col min="1" max="1" width="12.140625" customWidth="1"/>
    <col min="2" max="2" width="19" bestFit="1" customWidth="1"/>
    <col min="4" max="4" width="11.85546875" customWidth="1"/>
    <col min="5" max="5" width="10.7109375" bestFit="1" customWidth="1"/>
  </cols>
  <sheetData>
    <row r="2" spans="1:10" ht="21" x14ac:dyDescent="0.35">
      <c r="B2" s="99" t="s">
        <v>145</v>
      </c>
      <c r="C2" s="127">
        <v>-27</v>
      </c>
      <c r="E2" s="155" t="s">
        <v>210</v>
      </c>
      <c r="F2" s="155"/>
      <c r="G2" s="127">
        <v>5</v>
      </c>
      <c r="I2" s="86" t="s">
        <v>219</v>
      </c>
      <c r="J2" s="127">
        <v>20705</v>
      </c>
    </row>
    <row r="3" spans="1:10" ht="18.75" x14ac:dyDescent="0.3">
      <c r="B3" s="95" t="s">
        <v>211</v>
      </c>
      <c r="C3" s="127">
        <v>40</v>
      </c>
      <c r="E3" s="95" t="s">
        <v>212</v>
      </c>
      <c r="F3" s="127">
        <v>15</v>
      </c>
    </row>
    <row r="5" spans="1:10" ht="50.25" customHeight="1" x14ac:dyDescent="0.25">
      <c r="B5" s="81" t="s">
        <v>6</v>
      </c>
      <c r="C5" s="83" t="s">
        <v>136</v>
      </c>
      <c r="D5" s="84" t="s">
        <v>138</v>
      </c>
      <c r="E5" s="85" t="s">
        <v>135</v>
      </c>
      <c r="F5" s="84" t="s">
        <v>137</v>
      </c>
    </row>
    <row r="6" spans="1:10" ht="20.25" customHeight="1" x14ac:dyDescent="0.35">
      <c r="B6" s="120" t="s">
        <v>139</v>
      </c>
      <c r="C6" s="121">
        <f>PRODUCT(J6,J8)</f>
        <v>24.114999999999998</v>
      </c>
      <c r="D6" s="122">
        <v>0.15</v>
      </c>
      <c r="E6" s="122">
        <f>C3-C2</f>
        <v>67</v>
      </c>
      <c r="F6" s="122">
        <f t="shared" ref="F6:F11" si="0">ROUND(PRODUCT(C6:E6),2)</f>
        <v>242.36</v>
      </c>
      <c r="I6" s="118" t="s">
        <v>207</v>
      </c>
      <c r="J6" s="91">
        <v>7.42</v>
      </c>
    </row>
    <row r="7" spans="1:10" ht="20.25" customHeight="1" x14ac:dyDescent="0.35">
      <c r="B7" s="88" t="s">
        <v>140</v>
      </c>
      <c r="C7" s="6">
        <f>PRODUCT(J6,J8)</f>
        <v>24.114999999999998</v>
      </c>
      <c r="D7" s="55">
        <v>0.15</v>
      </c>
      <c r="E7" s="55">
        <f>8-C2</f>
        <v>35</v>
      </c>
      <c r="F7" s="55">
        <f t="shared" si="0"/>
        <v>126.6</v>
      </c>
      <c r="I7" s="118" t="s">
        <v>208</v>
      </c>
      <c r="J7" s="91">
        <v>20.05</v>
      </c>
    </row>
    <row r="8" spans="1:10" ht="20.25" customHeight="1" x14ac:dyDescent="0.35">
      <c r="B8" s="120" t="s">
        <v>141</v>
      </c>
      <c r="C8" s="121">
        <f>PRODUCT(J7,J8)</f>
        <v>65.162500000000009</v>
      </c>
      <c r="D8" s="122">
        <v>0.15</v>
      </c>
      <c r="E8" s="122">
        <f>6-C2</f>
        <v>33</v>
      </c>
      <c r="F8" s="122">
        <f t="shared" si="0"/>
        <v>322.55</v>
      </c>
      <c r="I8" s="118" t="s">
        <v>209</v>
      </c>
      <c r="J8" s="91">
        <v>3.25</v>
      </c>
    </row>
    <row r="9" spans="1:10" ht="20.25" customHeight="1" x14ac:dyDescent="0.25">
      <c r="B9" s="88" t="s">
        <v>142</v>
      </c>
      <c r="C9" s="6">
        <f>PRODUCT(J7:J8)</f>
        <v>65.162500000000009</v>
      </c>
      <c r="D9" s="55">
        <v>0.15</v>
      </c>
      <c r="E9" s="55">
        <f>C3-C2</f>
        <v>67</v>
      </c>
      <c r="F9" s="55">
        <f t="shared" si="0"/>
        <v>654.88</v>
      </c>
    </row>
    <row r="10" spans="1:10" ht="20.25" customHeight="1" x14ac:dyDescent="0.25">
      <c r="B10" s="120" t="s">
        <v>143</v>
      </c>
      <c r="C10" s="121">
        <f>PRODUCT(J6:J7)</f>
        <v>148.77100000000002</v>
      </c>
      <c r="D10" s="122">
        <f>Данни!F39</f>
        <v>0.27800000000000002</v>
      </c>
      <c r="E10" s="122">
        <f>F3-C2</f>
        <v>42</v>
      </c>
      <c r="F10" s="122">
        <f t="shared" si="0"/>
        <v>1737.05</v>
      </c>
    </row>
    <row r="11" spans="1:10" x14ac:dyDescent="0.25">
      <c r="B11" s="89" t="s">
        <v>144</v>
      </c>
      <c r="C11" s="6">
        <f>PRODUCT(J6:J7)</f>
        <v>148.77100000000002</v>
      </c>
      <c r="D11" s="55">
        <v>0.12</v>
      </c>
      <c r="E11" s="55">
        <f>(C3-C2)+G2</f>
        <v>72</v>
      </c>
      <c r="F11" s="55">
        <f t="shared" si="0"/>
        <v>1285.3800000000001</v>
      </c>
    </row>
    <row r="12" spans="1:10" ht="15.75" x14ac:dyDescent="0.25">
      <c r="E12" s="124" t="s">
        <v>146</v>
      </c>
      <c r="F12" s="123">
        <f>SUM(F6:F11)</f>
        <v>4368.82</v>
      </c>
    </row>
    <row r="13" spans="1:10" ht="15.75" thickBot="1" x14ac:dyDescent="0.3"/>
    <row r="14" spans="1:10" ht="16.5" thickTop="1" thickBot="1" x14ac:dyDescent="0.3">
      <c r="A14" s="92"/>
      <c r="B14" s="92"/>
      <c r="C14" s="92"/>
      <c r="D14" s="92"/>
      <c r="E14" s="92"/>
      <c r="F14" s="92"/>
      <c r="G14" s="92"/>
    </row>
    <row r="15" spans="1:10" ht="15.75" thickTop="1" x14ac:dyDescent="0.25"/>
    <row r="19" spans="1:7" ht="21.75" thickBot="1" x14ac:dyDescent="0.4">
      <c r="D19" s="97" t="s">
        <v>151</v>
      </c>
      <c r="E19" s="98">
        <f>G25</f>
        <v>432</v>
      </c>
    </row>
    <row r="20" spans="1:7" ht="25.5" customHeight="1" x14ac:dyDescent="0.25">
      <c r="A20" s="20" t="s">
        <v>149</v>
      </c>
      <c r="B20" s="20" t="s">
        <v>150</v>
      </c>
    </row>
    <row r="21" spans="1:7" ht="32.25" thickBot="1" x14ac:dyDescent="0.55000000000000004">
      <c r="A21" s="93" t="s">
        <v>147</v>
      </c>
      <c r="B21" s="21" t="s">
        <v>148</v>
      </c>
      <c r="D21" s="105" t="s">
        <v>152</v>
      </c>
      <c r="E21" s="106">
        <f>PRODUCT(3,E19,8)/24</f>
        <v>432</v>
      </c>
      <c r="F21" s="106" t="s">
        <v>148</v>
      </c>
    </row>
    <row r="22" spans="1:7" ht="15.75" x14ac:dyDescent="0.25">
      <c r="A22" s="37">
        <v>20</v>
      </c>
      <c r="B22" s="37">
        <v>180</v>
      </c>
    </row>
    <row r="23" spans="1:7" ht="15.75" x14ac:dyDescent="0.25">
      <c r="A23" s="38">
        <v>15</v>
      </c>
      <c r="B23" s="38">
        <v>200</v>
      </c>
    </row>
    <row r="24" spans="1:7" ht="15.75" x14ac:dyDescent="0.25">
      <c r="A24" s="37">
        <v>10</v>
      </c>
      <c r="B24" s="37">
        <v>210</v>
      </c>
      <c r="D24" s="86" t="s">
        <v>213</v>
      </c>
      <c r="E24" s="87">
        <v>-25</v>
      </c>
      <c r="F24" s="86" t="s">
        <v>216</v>
      </c>
      <c r="G24" s="87">
        <v>420</v>
      </c>
    </row>
    <row r="25" spans="1:7" ht="15.75" x14ac:dyDescent="0.25">
      <c r="A25" s="38">
        <v>5</v>
      </c>
      <c r="B25" s="38">
        <v>240</v>
      </c>
      <c r="D25" s="86" t="s">
        <v>214</v>
      </c>
      <c r="E25" s="87">
        <v>-27</v>
      </c>
      <c r="F25" s="86" t="s">
        <v>217</v>
      </c>
      <c r="G25" s="87">
        <f>(((E25-E24)*(G26-G24))/(E26-E24))+G24</f>
        <v>432</v>
      </c>
    </row>
    <row r="26" spans="1:7" ht="15.75" x14ac:dyDescent="0.25">
      <c r="A26" s="37">
        <v>0</v>
      </c>
      <c r="B26" s="37">
        <v>270</v>
      </c>
      <c r="D26" s="86" t="s">
        <v>215</v>
      </c>
      <c r="E26" s="87">
        <v>-30</v>
      </c>
      <c r="F26" s="86" t="s">
        <v>218</v>
      </c>
      <c r="G26" s="87">
        <v>450</v>
      </c>
    </row>
    <row r="27" spans="1:7" ht="15.75" x14ac:dyDescent="0.25">
      <c r="A27" s="38">
        <v>-5</v>
      </c>
      <c r="B27" s="38">
        <v>300</v>
      </c>
    </row>
    <row r="28" spans="1:7" ht="15.75" x14ac:dyDescent="0.25">
      <c r="A28" s="37">
        <v>-10</v>
      </c>
      <c r="B28" s="37">
        <v>330</v>
      </c>
    </row>
    <row r="29" spans="1:7" ht="15.75" x14ac:dyDescent="0.25">
      <c r="A29" s="38">
        <v>-15</v>
      </c>
      <c r="B29" s="38">
        <v>360</v>
      </c>
    </row>
    <row r="30" spans="1:7" ht="15.75" x14ac:dyDescent="0.25">
      <c r="A30" s="37">
        <v>-20</v>
      </c>
      <c r="B30" s="37">
        <v>390</v>
      </c>
    </row>
    <row r="31" spans="1:7" ht="16.5" thickBot="1" x14ac:dyDescent="0.3">
      <c r="A31" s="72">
        <v>-25</v>
      </c>
      <c r="B31" s="72">
        <v>420</v>
      </c>
    </row>
    <row r="35" spans="1:7" ht="15.75" thickBot="1" x14ac:dyDescent="0.3"/>
    <row r="36" spans="1:7" ht="16.5" thickTop="1" thickBot="1" x14ac:dyDescent="0.3">
      <c r="A36" s="92"/>
      <c r="B36" s="92"/>
      <c r="C36" s="92"/>
      <c r="D36" s="92"/>
      <c r="E36" s="92"/>
      <c r="F36" s="92"/>
      <c r="G36" s="92"/>
    </row>
    <row r="37" spans="1:7" ht="15.75" thickTop="1" x14ac:dyDescent="0.25"/>
    <row r="40" spans="1:7" x14ac:dyDescent="0.25">
      <c r="C40" s="126"/>
    </row>
    <row r="42" spans="1:7" x14ac:dyDescent="0.25">
      <c r="A42" s="86"/>
      <c r="B42" s="87"/>
    </row>
    <row r="50" spans="1:6" ht="15.75" x14ac:dyDescent="0.25">
      <c r="A50" s="107"/>
      <c r="E50" s="86"/>
      <c r="F50" s="87"/>
    </row>
    <row r="52" spans="1:6" x14ac:dyDescent="0.25">
      <c r="A52" s="86"/>
      <c r="B52" s="87"/>
    </row>
    <row r="53" spans="1:6" x14ac:dyDescent="0.25">
      <c r="A53" s="86"/>
      <c r="B53" s="87"/>
    </row>
    <row r="54" spans="1:6" x14ac:dyDescent="0.25">
      <c r="A54" s="86"/>
    </row>
    <row r="56" spans="1:6" x14ac:dyDescent="0.25">
      <c r="A56" s="86"/>
    </row>
    <row r="74" spans="1:7" ht="15.75" thickBot="1" x14ac:dyDescent="0.3"/>
    <row r="75" spans="1:7" ht="16.5" thickTop="1" thickBot="1" x14ac:dyDescent="0.3">
      <c r="A75" s="92"/>
      <c r="B75" s="92"/>
      <c r="C75" s="92"/>
      <c r="D75" s="92"/>
      <c r="E75" s="92"/>
      <c r="F75" s="92"/>
      <c r="G75" s="92"/>
    </row>
    <row r="76" spans="1:7" ht="15.75" thickTop="1" x14ac:dyDescent="0.25"/>
    <row r="95" spans="1:7" ht="18.75" x14ac:dyDescent="0.3">
      <c r="A95" s="95" t="s">
        <v>161</v>
      </c>
      <c r="B95" s="96">
        <v>2.8160000000000001E-2</v>
      </c>
    </row>
    <row r="96" spans="1:7" x14ac:dyDescent="0.25">
      <c r="A96" s="86" t="s">
        <v>157</v>
      </c>
      <c r="B96" s="87">
        <f>ROUND(J2/200,0)</f>
        <v>104</v>
      </c>
      <c r="F96" s="86" t="s">
        <v>169</v>
      </c>
      <c r="G96" s="87">
        <v>21.175999999999998</v>
      </c>
    </row>
    <row r="97" spans="1:8" x14ac:dyDescent="0.25">
      <c r="A97" s="86"/>
      <c r="B97" s="87"/>
      <c r="F97" s="86" t="s">
        <v>170</v>
      </c>
      <c r="G97" s="87">
        <v>-26.501999999999999</v>
      </c>
    </row>
    <row r="98" spans="1:8" x14ac:dyDescent="0.25">
      <c r="A98" s="86" t="s">
        <v>159</v>
      </c>
      <c r="B98" s="87">
        <v>2</v>
      </c>
    </row>
    <row r="99" spans="1:8" x14ac:dyDescent="0.25">
      <c r="A99" s="86" t="s">
        <v>158</v>
      </c>
      <c r="B99" s="87">
        <v>2</v>
      </c>
    </row>
    <row r="100" spans="1:8" ht="23.25" x14ac:dyDescent="0.35">
      <c r="A100" s="86" t="s">
        <v>160</v>
      </c>
      <c r="B100" s="87">
        <v>20</v>
      </c>
      <c r="F100" s="108" t="s">
        <v>175</v>
      </c>
      <c r="G100" s="153">
        <f>ROUND(B95*(1-B102)+B107*B102*B114+B112,3)</f>
        <v>33.590000000000003</v>
      </c>
      <c r="H100" s="153"/>
    </row>
    <row r="101" spans="1:8" x14ac:dyDescent="0.25">
      <c r="A101" s="86" t="s">
        <v>162</v>
      </c>
      <c r="B101" s="87">
        <f>SUM(B97:B100)</f>
        <v>24</v>
      </c>
    </row>
    <row r="102" spans="1:8" ht="21" x14ac:dyDescent="0.35">
      <c r="A102" s="97" t="s">
        <v>156</v>
      </c>
      <c r="B102" s="98">
        <f>ROUND((B96*(0.5*(B99+B98)+B100))/B101,1)</f>
        <v>95.3</v>
      </c>
    </row>
    <row r="103" spans="1:8" ht="23.25" x14ac:dyDescent="0.35">
      <c r="F103" s="108" t="s">
        <v>176</v>
      </c>
      <c r="G103" s="153">
        <f>ROUND(G100*B104*(G96-G97),3)</f>
        <v>2296.5569999999998</v>
      </c>
      <c r="H103" s="153"/>
    </row>
    <row r="104" spans="1:8" x14ac:dyDescent="0.25">
      <c r="A104" s="86" t="s">
        <v>163</v>
      </c>
      <c r="B104" s="87">
        <v>1.4339999999999999</v>
      </c>
      <c r="C104" t="s">
        <v>165</v>
      </c>
      <c r="D104" s="87">
        <f>ROUND(((B104-B105)/B105)^0.5,4)</f>
        <v>0.38250000000000001</v>
      </c>
    </row>
    <row r="105" spans="1:8" x14ac:dyDescent="0.25">
      <c r="A105" s="86" t="s">
        <v>164</v>
      </c>
      <c r="B105" s="87">
        <v>1.2509999999999999</v>
      </c>
      <c r="C105" t="s">
        <v>166</v>
      </c>
      <c r="D105" s="87">
        <f>ROUND(((2/(1+(B104/B105)^0.333))^1.5),4)</f>
        <v>0.96609999999999996</v>
      </c>
    </row>
    <row r="106" spans="1:8" x14ac:dyDescent="0.25">
      <c r="C106" t="s">
        <v>167</v>
      </c>
      <c r="D106" s="87">
        <f>ROUND((9.8*2.4)^0.5,4)</f>
        <v>4.8497000000000003</v>
      </c>
    </row>
    <row r="107" spans="1:8" ht="21" x14ac:dyDescent="0.35">
      <c r="A107" s="97" t="s">
        <v>168</v>
      </c>
      <c r="B107" s="98">
        <f>ROUND(0.221*2*2.4*D106*D105*D104,4)</f>
        <v>1.9011</v>
      </c>
    </row>
    <row r="109" spans="1:8" x14ac:dyDescent="0.25">
      <c r="A109" s="86" t="s">
        <v>153</v>
      </c>
      <c r="B109" s="87">
        <f>ROUND(J2/200/24,0)</f>
        <v>4</v>
      </c>
    </row>
    <row r="110" spans="1:8" x14ac:dyDescent="0.25">
      <c r="A110" s="86" t="s">
        <v>172</v>
      </c>
      <c r="B110" s="87">
        <f>0.0087*POWER(8-C2,1.76)</f>
        <v>4.540242092177631</v>
      </c>
    </row>
    <row r="112" spans="1:8" ht="21" x14ac:dyDescent="0.35">
      <c r="A112" s="95" t="s">
        <v>173</v>
      </c>
      <c r="B112" s="98">
        <f>B110*B109/3600*2</f>
        <v>1.0089426871505847E-2</v>
      </c>
    </row>
    <row r="114" spans="1:9" ht="26.25" x14ac:dyDescent="0.4">
      <c r="A114" s="103" t="s">
        <v>174</v>
      </c>
      <c r="B114" s="104">
        <f>1-0.8</f>
        <v>0.19999999999999996</v>
      </c>
    </row>
    <row r="116" spans="1:9" ht="15.75" thickBot="1" x14ac:dyDescent="0.3"/>
    <row r="117" spans="1:9" ht="16.5" thickTop="1" thickBot="1" x14ac:dyDescent="0.3">
      <c r="A117" s="92"/>
      <c r="B117" s="92"/>
      <c r="C117" s="92"/>
      <c r="D117" s="92"/>
      <c r="E117" s="92"/>
      <c r="F117" s="92"/>
      <c r="G117" s="92"/>
      <c r="H117" s="92"/>
    </row>
    <row r="118" spans="1:9" ht="15.75" thickTop="1" x14ac:dyDescent="0.25"/>
    <row r="119" spans="1:9" x14ac:dyDescent="0.25">
      <c r="A119" t="s">
        <v>177</v>
      </c>
    </row>
    <row r="125" spans="1:9" x14ac:dyDescent="0.25">
      <c r="A125" s="86" t="s">
        <v>178</v>
      </c>
      <c r="B125" s="87">
        <f>J2</f>
        <v>20705</v>
      </c>
      <c r="D125" s="86" t="s">
        <v>191</v>
      </c>
      <c r="E125" s="87">
        <v>0</v>
      </c>
      <c r="H125" s="86" t="s">
        <v>195</v>
      </c>
      <c r="I125" s="87">
        <v>1.8</v>
      </c>
    </row>
    <row r="126" spans="1:9" x14ac:dyDescent="0.25">
      <c r="A126" s="86" t="s">
        <v>179</v>
      </c>
      <c r="B126" s="109">
        <v>1.8</v>
      </c>
      <c r="C126" s="115" t="s">
        <v>224</v>
      </c>
      <c r="D126" s="115"/>
    </row>
    <row r="127" spans="1:9" x14ac:dyDescent="0.25">
      <c r="A127" s="86" t="s">
        <v>180</v>
      </c>
      <c r="B127" s="87">
        <v>-20</v>
      </c>
    </row>
    <row r="128" spans="1:9" x14ac:dyDescent="0.25">
      <c r="A128" s="110" t="s">
        <v>181</v>
      </c>
      <c r="B128" s="87">
        <v>-27</v>
      </c>
    </row>
    <row r="129" spans="1:9" x14ac:dyDescent="0.25">
      <c r="A129" s="110" t="s">
        <v>182</v>
      </c>
      <c r="B129" s="111">
        <v>6</v>
      </c>
    </row>
    <row r="131" spans="1:9" ht="21" x14ac:dyDescent="0.35">
      <c r="A131" s="112" t="s">
        <v>184</v>
      </c>
      <c r="B131" s="98">
        <f>ROUND((B125*B126*(B127-B128))/(3600*B129),3)</f>
        <v>12.077999999999999</v>
      </c>
      <c r="D131" s="112" t="s">
        <v>193</v>
      </c>
      <c r="E131" s="98">
        <f>ROUND((B125*E125)/(3600*B129),3)</f>
        <v>0</v>
      </c>
      <c r="H131" s="112" t="s">
        <v>196</v>
      </c>
      <c r="I131" s="98">
        <f>ROUND((B125*I125*(B127-B128))/(3600*B129),3)</f>
        <v>12.077999999999999</v>
      </c>
    </row>
    <row r="133" spans="1:9" ht="15.75" thickBot="1" x14ac:dyDescent="0.3"/>
    <row r="134" spans="1:9" ht="16.5" thickTop="1" thickBot="1" x14ac:dyDescent="0.3">
      <c r="A134" s="92"/>
      <c r="B134" s="92"/>
      <c r="C134" s="92"/>
      <c r="D134" s="92"/>
      <c r="E134" s="92"/>
      <c r="F134" s="92"/>
      <c r="G134" s="92"/>
      <c r="H134" s="92"/>
    </row>
    <row r="135" spans="1:9" ht="15.75" thickTop="1" x14ac:dyDescent="0.25"/>
    <row r="136" spans="1:9" x14ac:dyDescent="0.25">
      <c r="A136" t="s">
        <v>185</v>
      </c>
    </row>
    <row r="138" spans="1:9" x14ac:dyDescent="0.25">
      <c r="A138" s="86" t="s">
        <v>192</v>
      </c>
      <c r="B138" s="87">
        <v>3000</v>
      </c>
    </row>
    <row r="139" spans="1:9" x14ac:dyDescent="0.25">
      <c r="A139" s="86" t="s">
        <v>186</v>
      </c>
      <c r="B139" s="87">
        <v>2</v>
      </c>
    </row>
    <row r="140" spans="1:9" x14ac:dyDescent="0.25">
      <c r="A140" s="86" t="s">
        <v>187</v>
      </c>
      <c r="B140" s="87">
        <v>24</v>
      </c>
    </row>
    <row r="143" spans="1:9" ht="23.25" x14ac:dyDescent="0.35">
      <c r="A143" s="94" t="s">
        <v>221</v>
      </c>
      <c r="B143" s="102">
        <f>ROUND(B139*B138*B140/24,3)</f>
        <v>6000</v>
      </c>
    </row>
    <row r="149" spans="1:10" x14ac:dyDescent="0.25">
      <c r="A149" s="86" t="s">
        <v>190</v>
      </c>
      <c r="B149" s="113">
        <f>Sheet2!F5</f>
        <v>148.77100000000002</v>
      </c>
    </row>
    <row r="150" spans="1:10" x14ac:dyDescent="0.25">
      <c r="A150" s="86" t="s">
        <v>191</v>
      </c>
      <c r="B150" s="87">
        <v>6</v>
      </c>
    </row>
    <row r="152" spans="1:10" ht="23.25" x14ac:dyDescent="0.35">
      <c r="A152" s="101" t="s">
        <v>189</v>
      </c>
      <c r="B152" s="114">
        <f>PRODUCT(B149:B150)</f>
        <v>892.62600000000009</v>
      </c>
    </row>
    <row r="153" spans="1:10" ht="15.75" thickBot="1" x14ac:dyDescent="0.3"/>
    <row r="154" spans="1:10" ht="16.5" thickTop="1" thickBot="1" x14ac:dyDescent="0.3">
      <c r="A154" s="92"/>
      <c r="B154" s="92"/>
      <c r="C154" s="92"/>
      <c r="D154" s="92"/>
      <c r="E154" s="92"/>
      <c r="F154" s="92"/>
      <c r="G154" s="92"/>
      <c r="H154" s="92"/>
      <c r="I154" s="92"/>
      <c r="J154" s="92"/>
    </row>
    <row r="155" spans="1:10" ht="15.75" thickTop="1" x14ac:dyDescent="0.25"/>
    <row r="157" spans="1:10" ht="21" x14ac:dyDescent="0.35">
      <c r="A157" s="116" t="s">
        <v>197</v>
      </c>
      <c r="B157" s="114">
        <f>F12</f>
        <v>4368.82</v>
      </c>
    </row>
    <row r="158" spans="1:10" ht="21" x14ac:dyDescent="0.35">
      <c r="A158" s="116" t="s">
        <v>198</v>
      </c>
      <c r="B158" s="114">
        <f>G103</f>
        <v>2296.5569999999998</v>
      </c>
    </row>
    <row r="159" spans="1:10" ht="21" x14ac:dyDescent="0.35">
      <c r="A159" s="116" t="s">
        <v>199</v>
      </c>
      <c r="B159" s="114">
        <v>0</v>
      </c>
    </row>
    <row r="160" spans="1:10" ht="21" x14ac:dyDescent="0.35">
      <c r="A160" s="116" t="s">
        <v>183</v>
      </c>
      <c r="B160" s="114">
        <f>B131*0</f>
        <v>0</v>
      </c>
    </row>
    <row r="161" spans="1:7" ht="21" x14ac:dyDescent="0.35">
      <c r="A161" s="116" t="s">
        <v>200</v>
      </c>
      <c r="B161" s="114">
        <f>E131</f>
        <v>0</v>
      </c>
      <c r="D161" s="117" t="s">
        <v>204</v>
      </c>
      <c r="E161" s="152">
        <f>ROUND(SUM(B157:B166),2)</f>
        <v>26068</v>
      </c>
      <c r="F161" s="152"/>
    </row>
    <row r="162" spans="1:7" ht="21" x14ac:dyDescent="0.35">
      <c r="A162" s="116" t="s">
        <v>201</v>
      </c>
      <c r="B162" s="114">
        <f>I131*1000</f>
        <v>12078</v>
      </c>
    </row>
    <row r="163" spans="1:7" ht="21" x14ac:dyDescent="0.35">
      <c r="A163" s="116" t="s">
        <v>202</v>
      </c>
      <c r="B163" s="114">
        <v>0</v>
      </c>
      <c r="D163" s="118" t="s">
        <v>205</v>
      </c>
      <c r="E163" s="154">
        <f>ROUND(E161*0.2,2)</f>
        <v>5213.6000000000004</v>
      </c>
      <c r="F163" s="154"/>
    </row>
    <row r="164" spans="1:7" ht="21" x14ac:dyDescent="0.35">
      <c r="A164" s="116" t="s">
        <v>203</v>
      </c>
      <c r="B164" s="114">
        <f>E21</f>
        <v>432</v>
      </c>
    </row>
    <row r="165" spans="1:7" ht="21" x14ac:dyDescent="0.35">
      <c r="A165" s="116" t="s">
        <v>221</v>
      </c>
      <c r="B165" s="114">
        <f>B143</f>
        <v>6000</v>
      </c>
      <c r="D165" s="118" t="s">
        <v>206</v>
      </c>
      <c r="E165" s="154">
        <f>ROUND(SUM(E161,E163),2)</f>
        <v>31281.599999999999</v>
      </c>
      <c r="F165" s="154"/>
    </row>
    <row r="166" spans="1:7" ht="21" x14ac:dyDescent="0.35">
      <c r="A166" s="116" t="s">
        <v>188</v>
      </c>
      <c r="B166" s="114">
        <f>B152</f>
        <v>892.62600000000009</v>
      </c>
      <c r="D166" s="129" t="s">
        <v>233</v>
      </c>
      <c r="E166" s="152">
        <f>E165*24/16</f>
        <v>46922.399999999994</v>
      </c>
      <c r="F166" s="152"/>
      <c r="G166" s="131" t="s">
        <v>148</v>
      </c>
    </row>
    <row r="170" spans="1:7" ht="15.75" x14ac:dyDescent="0.25">
      <c r="A170" s="116" t="s">
        <v>237</v>
      </c>
      <c r="B170">
        <v>2</v>
      </c>
    </row>
    <row r="171" spans="1:7" ht="21" x14ac:dyDescent="0.35">
      <c r="A171" s="131"/>
      <c r="B171" s="131"/>
      <c r="C171" s="131"/>
    </row>
    <row r="172" spans="1:7" ht="21" x14ac:dyDescent="0.35">
      <c r="A172" s="131" t="s">
        <v>231</v>
      </c>
      <c r="B172" s="131">
        <f>B170*0.53*20/20*1000</f>
        <v>1060</v>
      </c>
      <c r="C172" s="131" t="s">
        <v>148</v>
      </c>
    </row>
    <row r="173" spans="1:7" ht="21" x14ac:dyDescent="0.35">
      <c r="A173" s="131" t="s">
        <v>235</v>
      </c>
      <c r="B173" s="131">
        <f>(9*0.75+3*0.65)*2.37/20*1000</f>
        <v>1030.95</v>
      </c>
      <c r="C173" s="131" t="s">
        <v>148</v>
      </c>
    </row>
    <row r="174" spans="1:7" ht="21" x14ac:dyDescent="0.35">
      <c r="A174" s="131" t="s">
        <v>236</v>
      </c>
      <c r="B174" s="132">
        <f>SUM(B172:B173)+E166</f>
        <v>49013.349999999991</v>
      </c>
      <c r="C174" s="131" t="s">
        <v>234</v>
      </c>
    </row>
    <row r="176" spans="1:7" ht="21" x14ac:dyDescent="0.35">
      <c r="A176" s="131" t="s">
        <v>236</v>
      </c>
      <c r="B176" s="132">
        <f>SUM(B172:B173)+E161</f>
        <v>28158.95</v>
      </c>
    </row>
    <row r="178" spans="1:2" ht="21" x14ac:dyDescent="0.35">
      <c r="A178" s="131" t="s">
        <v>236</v>
      </c>
      <c r="B178" s="132">
        <f>SUM(B172:B173)+E161</f>
        <v>28158.95</v>
      </c>
    </row>
  </sheetData>
  <mergeCells count="7">
    <mergeCell ref="E166:F166"/>
    <mergeCell ref="E165:F165"/>
    <mergeCell ref="E2:F2"/>
    <mergeCell ref="G100:H100"/>
    <mergeCell ref="G103:H103"/>
    <mergeCell ref="E161:F161"/>
    <mergeCell ref="E163:F16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5"/>
  <sheetViews>
    <sheetView topLeftCell="A149" workbookViewId="0">
      <selection activeCell="B172" sqref="B172"/>
    </sheetView>
  </sheetViews>
  <sheetFormatPr defaultRowHeight="15" x14ac:dyDescent="0.25"/>
  <cols>
    <col min="1" max="1" width="12.140625" customWidth="1"/>
    <col min="2" max="2" width="19" bestFit="1" customWidth="1"/>
    <col min="4" max="4" width="11.85546875" customWidth="1"/>
    <col min="5" max="5" width="10.7109375" bestFit="1" customWidth="1"/>
  </cols>
  <sheetData>
    <row r="2" spans="2:10" ht="21" x14ac:dyDescent="0.35">
      <c r="B2" s="99" t="s">
        <v>145</v>
      </c>
      <c r="C2" s="127">
        <v>8</v>
      </c>
      <c r="E2" s="155" t="s">
        <v>210</v>
      </c>
      <c r="F2" s="155"/>
      <c r="G2" s="127">
        <v>5</v>
      </c>
      <c r="I2" s="86" t="s">
        <v>219</v>
      </c>
      <c r="J2" s="127">
        <v>81489</v>
      </c>
    </row>
    <row r="3" spans="2:10" ht="18.75" x14ac:dyDescent="0.3">
      <c r="B3" s="95" t="s">
        <v>211</v>
      </c>
      <c r="C3" s="127">
        <v>36</v>
      </c>
      <c r="E3" s="95" t="s">
        <v>212</v>
      </c>
      <c r="F3" s="127">
        <v>15</v>
      </c>
    </row>
    <row r="5" spans="2:10" ht="50.25" customHeight="1" x14ac:dyDescent="0.25">
      <c r="B5" s="81" t="s">
        <v>6</v>
      </c>
      <c r="C5" s="83" t="s">
        <v>136</v>
      </c>
      <c r="D5" s="84" t="s">
        <v>138</v>
      </c>
      <c r="E5" s="85" t="s">
        <v>135</v>
      </c>
      <c r="F5" s="84" t="s">
        <v>137</v>
      </c>
    </row>
    <row r="6" spans="2:10" ht="20.25" customHeight="1" x14ac:dyDescent="0.35">
      <c r="B6" s="128" t="s">
        <v>225</v>
      </c>
      <c r="C6" s="121">
        <f>PRODUCT(J6,J8)/2</f>
        <v>26.844999999999999</v>
      </c>
      <c r="D6" s="122">
        <v>0.22</v>
      </c>
      <c r="E6" s="122">
        <f>6-C2</f>
        <v>-2</v>
      </c>
      <c r="F6" s="122">
        <f t="shared" ref="F6:F13" si="0">ROUND(PRODUCT(C6:E6),2)</f>
        <v>-11.81</v>
      </c>
      <c r="I6" s="118" t="s">
        <v>207</v>
      </c>
      <c r="J6" s="91">
        <v>16.52</v>
      </c>
    </row>
    <row r="7" spans="2:10" ht="20.25" customHeight="1" x14ac:dyDescent="0.35">
      <c r="B7" s="128" t="s">
        <v>226</v>
      </c>
      <c r="C7" s="121">
        <f>PRODUCT(J6,J8)/2</f>
        <v>26.844999999999999</v>
      </c>
      <c r="D7" s="122">
        <v>0.22</v>
      </c>
      <c r="E7" s="122">
        <f>-27-C2</f>
        <v>-35</v>
      </c>
      <c r="F7" s="122">
        <f t="shared" si="0"/>
        <v>-206.71</v>
      </c>
      <c r="I7" s="118" t="s">
        <v>208</v>
      </c>
      <c r="J7" s="91">
        <v>19.21</v>
      </c>
    </row>
    <row r="8" spans="2:10" ht="20.25" customHeight="1" x14ac:dyDescent="0.35">
      <c r="B8" s="88" t="s">
        <v>227</v>
      </c>
      <c r="C8" s="6">
        <f>PRODUCT(J6,J8)/2</f>
        <v>26.844999999999999</v>
      </c>
      <c r="D8" s="55">
        <v>0.22</v>
      </c>
      <c r="E8" s="55">
        <f>0-C2</f>
        <v>-8</v>
      </c>
      <c r="F8" s="55">
        <f t="shared" si="0"/>
        <v>-47.25</v>
      </c>
      <c r="I8" s="118" t="s">
        <v>209</v>
      </c>
      <c r="J8" s="91">
        <v>3.25</v>
      </c>
    </row>
    <row r="9" spans="2:10" ht="20.25" customHeight="1" x14ac:dyDescent="0.25">
      <c r="B9" s="88" t="s">
        <v>228</v>
      </c>
      <c r="C9" s="6">
        <f>PRODUCT(J6,J8)/2</f>
        <v>26.844999999999999</v>
      </c>
      <c r="D9" s="55">
        <v>0.22</v>
      </c>
      <c r="E9" s="55">
        <f>4-C2</f>
        <v>-4</v>
      </c>
      <c r="F9" s="55">
        <f t="shared" si="0"/>
        <v>-23.62</v>
      </c>
    </row>
    <row r="10" spans="2:10" ht="20.25" customHeight="1" x14ac:dyDescent="0.25">
      <c r="B10" s="120" t="s">
        <v>141</v>
      </c>
      <c r="C10" s="121">
        <f>PRODUCT(J7,J8)</f>
        <v>62.432500000000005</v>
      </c>
      <c r="D10" s="122">
        <v>0.22</v>
      </c>
      <c r="E10" s="122">
        <f>C3-C2</f>
        <v>28</v>
      </c>
      <c r="F10" s="122">
        <f t="shared" si="0"/>
        <v>384.58</v>
      </c>
    </row>
    <row r="11" spans="2:10" x14ac:dyDescent="0.25">
      <c r="B11" s="88" t="s">
        <v>142</v>
      </c>
      <c r="C11" s="6">
        <f>PRODUCT(J7:J8)</f>
        <v>62.432500000000005</v>
      </c>
      <c r="D11" s="55">
        <v>0.22</v>
      </c>
      <c r="E11" s="55">
        <f>C3-C2</f>
        <v>28</v>
      </c>
      <c r="F11" s="55">
        <f t="shared" si="0"/>
        <v>384.58</v>
      </c>
    </row>
    <row r="12" spans="2:10" x14ac:dyDescent="0.25">
      <c r="B12" s="120" t="s">
        <v>143</v>
      </c>
      <c r="C12" s="121">
        <f>PRODUCT(J6:J7)</f>
        <v>317.3492</v>
      </c>
      <c r="D12" s="122">
        <f>Данни!F39</f>
        <v>0.27800000000000002</v>
      </c>
      <c r="E12" s="122">
        <f>F3-C2</f>
        <v>7</v>
      </c>
      <c r="F12" s="122">
        <f t="shared" si="0"/>
        <v>617.55999999999995</v>
      </c>
    </row>
    <row r="13" spans="2:10" x14ac:dyDescent="0.25">
      <c r="B13" s="89" t="s">
        <v>144</v>
      </c>
      <c r="C13" s="6">
        <f>PRODUCT(J6:J7)</f>
        <v>317.3492</v>
      </c>
      <c r="D13" s="55">
        <v>0.18</v>
      </c>
      <c r="E13" s="55">
        <f>(C3-C2)+G2</f>
        <v>33</v>
      </c>
      <c r="F13" s="55">
        <f t="shared" si="0"/>
        <v>1885.05</v>
      </c>
    </row>
    <row r="14" spans="2:10" ht="15.75" x14ac:dyDescent="0.25">
      <c r="E14" s="124" t="s">
        <v>146</v>
      </c>
      <c r="F14" s="123">
        <f>SUM(F6:F13)</f>
        <v>2982.38</v>
      </c>
    </row>
    <row r="20" ht="25.5" customHeight="1" x14ac:dyDescent="0.25"/>
    <row r="36" spans="1:7" ht="15.75" thickBot="1" x14ac:dyDescent="0.3"/>
    <row r="37" spans="1:7" ht="16.5" thickTop="1" thickBot="1" x14ac:dyDescent="0.3">
      <c r="A37" s="92"/>
      <c r="B37" s="92"/>
      <c r="C37" s="92"/>
      <c r="D37" s="92"/>
      <c r="E37" s="92"/>
      <c r="F37" s="92"/>
      <c r="G37" s="92"/>
    </row>
    <row r="38" spans="1:7" ht="15.75" thickTop="1" x14ac:dyDescent="0.25"/>
    <row r="42" spans="1:7" ht="21.75" thickBot="1" x14ac:dyDescent="0.4">
      <c r="D42" s="97" t="s">
        <v>151</v>
      </c>
      <c r="E42" s="98">
        <f>G48</f>
        <v>222</v>
      </c>
    </row>
    <row r="43" spans="1:7" ht="15.75" x14ac:dyDescent="0.25">
      <c r="A43" s="20" t="s">
        <v>149</v>
      </c>
      <c r="B43" s="20" t="s">
        <v>150</v>
      </c>
    </row>
    <row r="44" spans="1:7" ht="32.25" thickBot="1" x14ac:dyDescent="0.55000000000000004">
      <c r="A44" s="93" t="s">
        <v>147</v>
      </c>
      <c r="B44" s="21" t="s">
        <v>148</v>
      </c>
      <c r="D44" s="105" t="s">
        <v>152</v>
      </c>
      <c r="E44" s="106">
        <f>PRODUCT(5,E42,8)/24</f>
        <v>370</v>
      </c>
      <c r="F44" s="106" t="s">
        <v>148</v>
      </c>
    </row>
    <row r="45" spans="1:7" ht="15.75" x14ac:dyDescent="0.25">
      <c r="A45" s="37">
        <v>20</v>
      </c>
      <c r="B45" s="37">
        <v>180</v>
      </c>
    </row>
    <row r="46" spans="1:7" ht="15.75" x14ac:dyDescent="0.25">
      <c r="A46" s="38">
        <v>15</v>
      </c>
      <c r="B46" s="38">
        <v>200</v>
      </c>
    </row>
    <row r="47" spans="1:7" ht="15.75" x14ac:dyDescent="0.25">
      <c r="A47" s="37">
        <v>10</v>
      </c>
      <c r="B47" s="37">
        <v>210</v>
      </c>
      <c r="D47" s="86" t="s">
        <v>213</v>
      </c>
      <c r="E47" s="87">
        <v>0</v>
      </c>
      <c r="F47" s="86" t="s">
        <v>216</v>
      </c>
      <c r="G47" s="87">
        <v>270</v>
      </c>
    </row>
    <row r="48" spans="1:7" ht="15.75" x14ac:dyDescent="0.25">
      <c r="A48" s="38">
        <v>5</v>
      </c>
      <c r="B48" s="38">
        <v>240</v>
      </c>
      <c r="D48" s="86" t="s">
        <v>214</v>
      </c>
      <c r="E48" s="87">
        <v>8</v>
      </c>
      <c r="F48" s="86" t="s">
        <v>217</v>
      </c>
      <c r="G48" s="87">
        <f>(((E48-E47)*(G49-G47))/(E49-E47))+G47</f>
        <v>222</v>
      </c>
    </row>
    <row r="49" spans="1:7" ht="15.75" x14ac:dyDescent="0.25">
      <c r="A49" s="37">
        <v>0</v>
      </c>
      <c r="B49" s="37">
        <v>270</v>
      </c>
      <c r="D49" s="86" t="s">
        <v>215</v>
      </c>
      <c r="E49" s="87">
        <v>10</v>
      </c>
      <c r="F49" s="86" t="s">
        <v>218</v>
      </c>
      <c r="G49" s="87">
        <v>210</v>
      </c>
    </row>
    <row r="50" spans="1:7" ht="15.75" x14ac:dyDescent="0.25">
      <c r="A50" s="38">
        <v>-5</v>
      </c>
      <c r="B50" s="38">
        <v>300</v>
      </c>
    </row>
    <row r="51" spans="1:7" ht="15.75" x14ac:dyDescent="0.25">
      <c r="A51" s="37">
        <v>-10</v>
      </c>
      <c r="B51" s="37">
        <v>330</v>
      </c>
    </row>
    <row r="52" spans="1:7" ht="15.75" x14ac:dyDescent="0.25">
      <c r="A52" s="38">
        <v>-15</v>
      </c>
      <c r="B52" s="38">
        <v>360</v>
      </c>
    </row>
    <row r="53" spans="1:7" ht="15.75" x14ac:dyDescent="0.25">
      <c r="A53" s="37">
        <v>-20</v>
      </c>
      <c r="B53" s="37">
        <v>390</v>
      </c>
    </row>
    <row r="54" spans="1:7" ht="16.5" thickBot="1" x14ac:dyDescent="0.3">
      <c r="A54" s="72">
        <v>-25</v>
      </c>
      <c r="B54" s="72">
        <v>420</v>
      </c>
    </row>
    <row r="58" spans="1:7" ht="15.75" thickBot="1" x14ac:dyDescent="0.3"/>
    <row r="59" spans="1:7" ht="16.5" thickTop="1" thickBot="1" x14ac:dyDescent="0.3">
      <c r="A59" s="92"/>
      <c r="B59" s="92"/>
      <c r="C59" s="92"/>
      <c r="D59" s="92"/>
      <c r="E59" s="92"/>
      <c r="F59" s="92"/>
      <c r="G59" s="92"/>
    </row>
    <row r="60" spans="1:7" ht="15.75" thickTop="1" x14ac:dyDescent="0.25"/>
    <row r="74" spans="1:7" ht="15.75" thickBot="1" x14ac:dyDescent="0.3"/>
    <row r="75" spans="1:7" ht="16.5" thickTop="1" thickBot="1" x14ac:dyDescent="0.3">
      <c r="A75" s="92"/>
      <c r="B75" s="92"/>
      <c r="C75" s="92"/>
      <c r="D75" s="92"/>
      <c r="E75" s="92"/>
      <c r="F75" s="92"/>
      <c r="G75" s="92"/>
    </row>
    <row r="76" spans="1:7" ht="15.75" thickTop="1" x14ac:dyDescent="0.25"/>
    <row r="95" spans="1:7" ht="18.75" x14ac:dyDescent="0.3">
      <c r="A95" s="95" t="s">
        <v>161</v>
      </c>
      <c r="B95" s="96">
        <v>2.1600000000000001E-2</v>
      </c>
    </row>
    <row r="96" spans="1:7" x14ac:dyDescent="0.25">
      <c r="A96" s="86" t="s">
        <v>157</v>
      </c>
      <c r="B96" s="87">
        <v>9</v>
      </c>
      <c r="F96" s="86" t="s">
        <v>169</v>
      </c>
      <c r="G96" s="87">
        <v>68.459000000000003</v>
      </c>
    </row>
    <row r="97" spans="1:8" x14ac:dyDescent="0.25">
      <c r="A97" s="86"/>
      <c r="B97" s="87"/>
      <c r="F97" s="86" t="s">
        <v>170</v>
      </c>
      <c r="G97" s="87">
        <v>21.175999999999998</v>
      </c>
    </row>
    <row r="98" spans="1:8" x14ac:dyDescent="0.25">
      <c r="A98" s="86" t="s">
        <v>159</v>
      </c>
      <c r="B98" s="87">
        <v>30</v>
      </c>
    </row>
    <row r="99" spans="1:8" x14ac:dyDescent="0.25">
      <c r="A99" s="86" t="s">
        <v>158</v>
      </c>
      <c r="B99" s="87">
        <v>30</v>
      </c>
    </row>
    <row r="100" spans="1:8" ht="23.25" x14ac:dyDescent="0.35">
      <c r="A100" s="86" t="s">
        <v>160</v>
      </c>
      <c r="B100" s="87">
        <f>40*60</f>
        <v>2400</v>
      </c>
      <c r="F100" s="108" t="s">
        <v>175</v>
      </c>
      <c r="G100" s="153">
        <f>ROUND(B95*(1-B102)+B107*B102*B114+B112,3)</f>
        <v>13.698</v>
      </c>
      <c r="H100" s="153"/>
    </row>
    <row r="101" spans="1:8" x14ac:dyDescent="0.25">
      <c r="A101" s="86" t="s">
        <v>162</v>
      </c>
      <c r="B101" s="87">
        <f>SUM(B97:B100)</f>
        <v>2460</v>
      </c>
    </row>
    <row r="102" spans="1:8" ht="21" x14ac:dyDescent="0.35">
      <c r="A102" s="97" t="s">
        <v>156</v>
      </c>
      <c r="B102" s="98">
        <f>ROUND((B96*(0.5*(B99+B98)+B100))/B101,1)</f>
        <v>8.9</v>
      </c>
    </row>
    <row r="103" spans="1:8" ht="23.25" x14ac:dyDescent="0.35">
      <c r="F103" s="108" t="s">
        <v>176</v>
      </c>
      <c r="G103" s="153">
        <f>ROUND(G100*B104*(G96-G97),3)</f>
        <v>795.35400000000004</v>
      </c>
      <c r="H103" s="153"/>
    </row>
    <row r="104" spans="1:8" x14ac:dyDescent="0.25">
      <c r="A104" s="86" t="s">
        <v>163</v>
      </c>
      <c r="B104" s="87">
        <v>1.228</v>
      </c>
      <c r="C104" t="s">
        <v>165</v>
      </c>
      <c r="D104" s="87">
        <f>ROUND(((B104-B105)/B105)^0.5,4)</f>
        <v>0.32450000000000001</v>
      </c>
    </row>
    <row r="105" spans="1:8" x14ac:dyDescent="0.25">
      <c r="A105" s="86" t="s">
        <v>164</v>
      </c>
      <c r="B105" s="87">
        <v>1.111</v>
      </c>
      <c r="C105" t="s">
        <v>166</v>
      </c>
      <c r="D105" s="87">
        <f>ROUND(((2/(1+(B104/B105)^0.333))^1.5),4)</f>
        <v>0.97509999999999997</v>
      </c>
    </row>
    <row r="106" spans="1:8" x14ac:dyDescent="0.25">
      <c r="C106" t="s">
        <v>167</v>
      </c>
      <c r="D106" s="87">
        <f>ROUND((9.8*2.5)^0.5,4)</f>
        <v>4.9497</v>
      </c>
    </row>
    <row r="107" spans="1:8" ht="21" x14ac:dyDescent="0.35">
      <c r="A107" s="97" t="s">
        <v>168</v>
      </c>
      <c r="B107" s="98">
        <f>ROUND(0.221*2*2.5*D106*D105*D104,4)</f>
        <v>1.7305999999999999</v>
      </c>
    </row>
    <row r="109" spans="1:8" x14ac:dyDescent="0.25">
      <c r="A109" s="86" t="s">
        <v>153</v>
      </c>
      <c r="B109" s="87">
        <v>4</v>
      </c>
    </row>
    <row r="110" spans="1:8" x14ac:dyDescent="0.25">
      <c r="A110" s="86" t="s">
        <v>172</v>
      </c>
      <c r="B110" s="87">
        <f>0.0087*POWER(36-C2,1.76)</f>
        <v>3.0656134144583937</v>
      </c>
    </row>
    <row r="112" spans="1:8" ht="21" x14ac:dyDescent="0.35">
      <c r="A112" s="95" t="s">
        <v>173</v>
      </c>
      <c r="B112" s="98">
        <f>B110*B109/3600*2</f>
        <v>6.8124742543519863E-3</v>
      </c>
    </row>
    <row r="114" spans="1:9" ht="26.25" x14ac:dyDescent="0.4">
      <c r="A114" s="103" t="s">
        <v>174</v>
      </c>
      <c r="B114" s="104">
        <v>0.9</v>
      </c>
    </row>
    <row r="116" spans="1:9" ht="15.75" thickBot="1" x14ac:dyDescent="0.3"/>
    <row r="117" spans="1:9" ht="16.5" thickTop="1" thickBot="1" x14ac:dyDescent="0.3">
      <c r="A117" s="92"/>
      <c r="B117" s="92"/>
      <c r="C117" s="92"/>
      <c r="D117" s="92"/>
      <c r="E117" s="92"/>
      <c r="F117" s="92"/>
      <c r="G117" s="92"/>
      <c r="H117" s="92"/>
    </row>
    <row r="118" spans="1:9" ht="15.75" thickTop="1" x14ac:dyDescent="0.25"/>
    <row r="119" spans="1:9" x14ac:dyDescent="0.25">
      <c r="A119" t="s">
        <v>177</v>
      </c>
    </row>
    <row r="125" spans="1:9" x14ac:dyDescent="0.25">
      <c r="A125" s="86" t="s">
        <v>178</v>
      </c>
      <c r="B125" s="87">
        <f>J2</f>
        <v>81489</v>
      </c>
      <c r="D125" s="86" t="s">
        <v>191</v>
      </c>
      <c r="E125" s="87">
        <f>(18392*'хладилна камера 1'!E125+13010*'хладилна камера 2'!E125+29382*'хладилна камера 3'!E125+20705*'хладилна камера 4'!E125)/B125</f>
        <v>184.09233148032249</v>
      </c>
      <c r="H125" s="86" t="s">
        <v>195</v>
      </c>
      <c r="I125" s="87">
        <f>(18392*'хладилна камера 1'!I125+13010*'хладилна камера 2'!I125+29382*'хладилна камера 3'!I125+20705*'хладилна камера 4'!I125)/B125</f>
        <v>1.9809770643890585</v>
      </c>
    </row>
    <row r="126" spans="1:9" x14ac:dyDescent="0.25">
      <c r="A126" s="86" t="s">
        <v>179</v>
      </c>
      <c r="B126" s="87">
        <f>2.86</f>
        <v>2.86</v>
      </c>
      <c r="C126" s="115"/>
      <c r="D126" s="115"/>
    </row>
    <row r="127" spans="1:9" x14ac:dyDescent="0.25">
      <c r="A127" s="86" t="s">
        <v>180</v>
      </c>
      <c r="B127" s="87">
        <v>10</v>
      </c>
    </row>
    <row r="128" spans="1:9" x14ac:dyDescent="0.25">
      <c r="A128" s="110" t="s">
        <v>181</v>
      </c>
      <c r="B128" s="87">
        <v>8</v>
      </c>
    </row>
    <row r="129" spans="1:9" x14ac:dyDescent="0.25">
      <c r="A129" s="110" t="s">
        <v>182</v>
      </c>
      <c r="B129" s="111">
        <v>24</v>
      </c>
    </row>
    <row r="131" spans="1:9" ht="21" x14ac:dyDescent="0.35">
      <c r="A131" s="112" t="s">
        <v>184</v>
      </c>
      <c r="B131" s="98">
        <f>ROUND((B125*B126*(B127-B128))/(3600*B129),3)</f>
        <v>5.3949999999999996</v>
      </c>
      <c r="D131" s="112" t="s">
        <v>193</v>
      </c>
      <c r="E131" s="98">
        <f>ROUND((B125*E125)/(3600*B129),3)*0</f>
        <v>0</v>
      </c>
      <c r="H131" s="112" t="s">
        <v>196</v>
      </c>
      <c r="I131" s="98">
        <f>ROUND((B125*I125*(B127-B128))/(3600*B129),3)*0</f>
        <v>0</v>
      </c>
    </row>
    <row r="133" spans="1:9" ht="15.75" thickBot="1" x14ac:dyDescent="0.3"/>
    <row r="134" spans="1:9" ht="16.5" thickTop="1" thickBot="1" x14ac:dyDescent="0.3">
      <c r="A134" s="92"/>
      <c r="B134" s="92"/>
      <c r="C134" s="92"/>
      <c r="D134" s="92"/>
      <c r="E134" s="92"/>
      <c r="F134" s="92"/>
      <c r="G134" s="92"/>
      <c r="H134" s="92"/>
    </row>
    <row r="135" spans="1:9" ht="15.75" thickTop="1" x14ac:dyDescent="0.25"/>
    <row r="136" spans="1:9" x14ac:dyDescent="0.25">
      <c r="A136" t="s">
        <v>185</v>
      </c>
    </row>
    <row r="138" spans="1:9" x14ac:dyDescent="0.25">
      <c r="A138" s="86" t="s">
        <v>192</v>
      </c>
      <c r="B138" s="87">
        <v>3000</v>
      </c>
      <c r="G138" s="86" t="s">
        <v>192</v>
      </c>
      <c r="H138">
        <f>3.6*1000</f>
        <v>3600</v>
      </c>
    </row>
    <row r="139" spans="1:9" x14ac:dyDescent="0.25">
      <c r="A139" s="86" t="s">
        <v>186</v>
      </c>
      <c r="B139" s="87">
        <v>2</v>
      </c>
      <c r="G139" s="86" t="s">
        <v>186</v>
      </c>
      <c r="H139">
        <v>4</v>
      </c>
    </row>
    <row r="140" spans="1:9" x14ac:dyDescent="0.25">
      <c r="A140" s="86" t="s">
        <v>187</v>
      </c>
      <c r="B140" s="87">
        <v>24</v>
      </c>
      <c r="G140" s="86" t="s">
        <v>187</v>
      </c>
      <c r="H140">
        <v>24</v>
      </c>
    </row>
    <row r="143" spans="1:9" ht="23.25" x14ac:dyDescent="0.35">
      <c r="A143" s="94" t="s">
        <v>221</v>
      </c>
      <c r="B143" s="102">
        <f>ROUND(B139*B138*B140/24,3)</f>
        <v>6000</v>
      </c>
      <c r="G143" s="119" t="s">
        <v>229</v>
      </c>
      <c r="H143" s="129">
        <f>ROUND(H139*H138*H140/24,3)</f>
        <v>14400</v>
      </c>
    </row>
    <row r="149" spans="1:10" x14ac:dyDescent="0.25">
      <c r="A149" s="86" t="s">
        <v>190</v>
      </c>
      <c r="B149" s="113">
        <f>Sheet2!F5</f>
        <v>148.77100000000002</v>
      </c>
    </row>
    <row r="150" spans="1:10" x14ac:dyDescent="0.25">
      <c r="A150" s="86" t="s">
        <v>191</v>
      </c>
      <c r="B150" s="87">
        <v>6</v>
      </c>
    </row>
    <row r="152" spans="1:10" ht="23.25" x14ac:dyDescent="0.35">
      <c r="A152" s="101" t="s">
        <v>189</v>
      </c>
      <c r="B152" s="114">
        <f>PRODUCT(B149:B150)</f>
        <v>892.62600000000009</v>
      </c>
    </row>
    <row r="153" spans="1:10" ht="15.75" thickBot="1" x14ac:dyDescent="0.3"/>
    <row r="154" spans="1:10" ht="16.5" thickTop="1" thickBot="1" x14ac:dyDescent="0.3">
      <c r="A154" s="92"/>
      <c r="B154" s="92"/>
      <c r="C154" s="92"/>
      <c r="D154" s="92"/>
      <c r="E154" s="92"/>
      <c r="F154" s="92"/>
      <c r="G154" s="92"/>
      <c r="H154" s="92"/>
      <c r="I154" s="92"/>
      <c r="J154" s="92"/>
    </row>
    <row r="155" spans="1:10" ht="15.75" thickTop="1" x14ac:dyDescent="0.25"/>
    <row r="157" spans="1:10" ht="21" x14ac:dyDescent="0.35">
      <c r="A157" s="116" t="s">
        <v>197</v>
      </c>
      <c r="B157" s="114">
        <f>F14</f>
        <v>2982.38</v>
      </c>
    </row>
    <row r="158" spans="1:10" ht="21" x14ac:dyDescent="0.35">
      <c r="A158" s="116" t="s">
        <v>198</v>
      </c>
      <c r="B158" s="114">
        <f>G103</f>
        <v>795.35400000000004</v>
      </c>
    </row>
    <row r="159" spans="1:10" ht="21" x14ac:dyDescent="0.35">
      <c r="A159" s="116" t="s">
        <v>199</v>
      </c>
      <c r="B159" s="114">
        <v>0</v>
      </c>
    </row>
    <row r="160" spans="1:10" ht="21" x14ac:dyDescent="0.35">
      <c r="A160" s="116" t="s">
        <v>183</v>
      </c>
      <c r="B160" s="114">
        <f>B131*1000</f>
        <v>5395</v>
      </c>
    </row>
    <row r="161" spans="1:7" ht="21" x14ac:dyDescent="0.35">
      <c r="A161" s="116" t="s">
        <v>200</v>
      </c>
      <c r="B161" s="114">
        <f>E131</f>
        <v>0</v>
      </c>
      <c r="D161" s="117" t="s">
        <v>204</v>
      </c>
      <c r="E161" s="152">
        <f>ROUND(SUM(B157:B167),2)</f>
        <v>30835.360000000001</v>
      </c>
      <c r="F161" s="152"/>
    </row>
    <row r="162" spans="1:7" ht="21" x14ac:dyDescent="0.35">
      <c r="A162" s="116" t="s">
        <v>201</v>
      </c>
      <c r="B162" s="114">
        <f>I131</f>
        <v>0</v>
      </c>
    </row>
    <row r="163" spans="1:7" ht="21" x14ac:dyDescent="0.35">
      <c r="A163" s="116" t="s">
        <v>202</v>
      </c>
      <c r="B163" s="114">
        <v>0</v>
      </c>
      <c r="D163" s="118" t="s">
        <v>205</v>
      </c>
      <c r="E163" s="154">
        <f>ROUND(E161*0.2,2)</f>
        <v>6167.07</v>
      </c>
      <c r="F163" s="154"/>
    </row>
    <row r="164" spans="1:7" ht="21" x14ac:dyDescent="0.35">
      <c r="A164" s="116" t="s">
        <v>203</v>
      </c>
      <c r="B164" s="114">
        <f>E44</f>
        <v>370</v>
      </c>
    </row>
    <row r="165" spans="1:7" ht="21" x14ac:dyDescent="0.35">
      <c r="A165" s="116" t="s">
        <v>221</v>
      </c>
      <c r="B165" s="114">
        <f>B143</f>
        <v>6000</v>
      </c>
      <c r="D165" s="118" t="s">
        <v>206</v>
      </c>
      <c r="E165" s="154">
        <f>ROUND(SUM(E161,E163),2)</f>
        <v>37002.43</v>
      </c>
      <c r="F165" s="154"/>
    </row>
    <row r="166" spans="1:7" ht="21" x14ac:dyDescent="0.35">
      <c r="A166" s="116" t="s">
        <v>188</v>
      </c>
      <c r="B166" s="114">
        <f>B152</f>
        <v>892.62600000000009</v>
      </c>
      <c r="D166" s="129" t="s">
        <v>233</v>
      </c>
      <c r="E166" s="152">
        <f>E165*24/16</f>
        <v>55503.645000000004</v>
      </c>
      <c r="F166" s="152"/>
      <c r="G166" s="131" t="s">
        <v>148</v>
      </c>
    </row>
    <row r="167" spans="1:7" ht="18.75" x14ac:dyDescent="0.3">
      <c r="A167" s="116" t="s">
        <v>230</v>
      </c>
      <c r="B167" s="130">
        <f>H143</f>
        <v>14400</v>
      </c>
    </row>
    <row r="168" spans="1:7" x14ac:dyDescent="0.25">
      <c r="E168">
        <f>E165/3</f>
        <v>12334.143333333333</v>
      </c>
    </row>
    <row r="170" spans="1:7" ht="15.75" x14ac:dyDescent="0.25">
      <c r="A170" s="116" t="s">
        <v>237</v>
      </c>
      <c r="B170">
        <v>12</v>
      </c>
    </row>
    <row r="171" spans="1:7" ht="21" x14ac:dyDescent="0.35">
      <c r="A171" s="131"/>
      <c r="B171" s="131"/>
      <c r="C171" s="131"/>
    </row>
    <row r="172" spans="1:7" ht="21" x14ac:dyDescent="0.35">
      <c r="A172" s="131" t="s">
        <v>231</v>
      </c>
      <c r="B172" s="131">
        <f>B170*0.63*20/20*1000</f>
        <v>7560.0000000000009</v>
      </c>
      <c r="C172" s="131" t="s">
        <v>148</v>
      </c>
    </row>
    <row r="173" spans="1:7" ht="21" x14ac:dyDescent="0.35">
      <c r="A173" s="131" t="s">
        <v>235</v>
      </c>
      <c r="B173" s="131">
        <f>9.7*1.33/20*1000</f>
        <v>645.05000000000007</v>
      </c>
      <c r="C173" s="131" t="s">
        <v>148</v>
      </c>
    </row>
    <row r="174" spans="1:7" ht="21" x14ac:dyDescent="0.35">
      <c r="A174" s="131" t="s">
        <v>236</v>
      </c>
      <c r="B174" s="132">
        <f>SUM(B172:B173)+E161</f>
        <v>39040.410000000003</v>
      </c>
      <c r="C174" s="131" t="s">
        <v>234</v>
      </c>
    </row>
    <row r="175" spans="1:7" ht="21" x14ac:dyDescent="0.35">
      <c r="A175" s="131"/>
      <c r="B175" s="132"/>
      <c r="C175" s="131"/>
    </row>
  </sheetData>
  <mergeCells count="7">
    <mergeCell ref="E166:F166"/>
    <mergeCell ref="E165:F165"/>
    <mergeCell ref="E2:F2"/>
    <mergeCell ref="G100:H100"/>
    <mergeCell ref="G103:H103"/>
    <mergeCell ref="E161:F161"/>
    <mergeCell ref="E163:F16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Външни параметри</vt:lpstr>
      <vt:lpstr>Sheet2</vt:lpstr>
      <vt:lpstr>Т.Конструкция</vt:lpstr>
      <vt:lpstr>Данни</vt:lpstr>
      <vt:lpstr>хладилна камера 1</vt:lpstr>
      <vt:lpstr>хладилна камера 2</vt:lpstr>
      <vt:lpstr>хладилна камера 3</vt:lpstr>
      <vt:lpstr>хладилна камера 4</vt:lpstr>
      <vt:lpstr>Приемно помещение 1</vt:lpstr>
      <vt:lpstr>Sheet1</vt:lpstr>
      <vt:lpstr>Burnout filters</vt:lpstr>
      <vt:lpstr>Liquid Line</vt:lpstr>
      <vt:lpstr>Sheet8</vt:lpstr>
      <vt:lpstr>Suc.Line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2019-10-20T09:56:25Z</dcterms:created>
  <dcterms:modified xsi:type="dcterms:W3CDTF">2020-02-06T12:36:42Z</dcterms:modified>
</cp:coreProperties>
</file>