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Sheet" sheetId="1" state="visible" r:id="rId1"/>
    <sheet name="СВЯЗ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Arial"/>
      <color theme="1"/>
      <sz val="10"/>
    </font>
    <font>
      <name val="Arial"/>
      <b val="1"/>
      <color theme="1"/>
      <sz val="12"/>
    </font>
    <font>
      <name val="Arial"/>
      <b val="1"/>
      <color theme="1"/>
      <sz val="10"/>
    </font>
    <font>
      <name val="Arial"/>
      <b val="1"/>
      <color rgb="FF532437"/>
      <sz val="10"/>
    </font>
    <font>
      <name val="Arial"/>
      <b val="1"/>
      <color rgb="FFFFFFFF"/>
      <sz val="10"/>
    </font>
    <font>
      <name val="Arial"/>
      <b val="1"/>
      <color rgb="FFFE9C18"/>
      <sz val="10"/>
    </font>
    <font>
      <name val="Arial"/>
      <color rgb="FFFFFFFF"/>
      <sz val="10"/>
    </font>
    <font>
      <name val="Arial"/>
      <b val="1"/>
      <i val="1"/>
      <color rgb="FF532437"/>
      <sz val="10"/>
    </font>
    <font>
      <name val="Arial"/>
      <b val="1"/>
      <i val="1"/>
      <color theme="1"/>
      <sz val="10"/>
    </font>
    <font>
      <name val="Arial"/>
      <color rgb="FF0000FF"/>
      <sz val="10"/>
      <u val="single"/>
    </font>
    <font>
      <name val="Calibri"/>
      <color theme="1"/>
      <sz val="10"/>
      <scheme val="minor"/>
    </font>
    <font>
      <name val="Calibri"/>
      <charset val="204"/>
      <family val="2"/>
      <color theme="1"/>
      <sz val="22"/>
      <scheme val="minor"/>
    </font>
  </fonts>
  <fills count="2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8E1FF"/>
        <bgColor rgb="FFA8E1FF"/>
      </patternFill>
    </fill>
    <fill>
      <patternFill patternType="solid">
        <fgColor rgb="FFFF7875"/>
        <bgColor rgb="FFFF7875"/>
      </patternFill>
    </fill>
    <fill>
      <patternFill patternType="solid">
        <fgColor rgb="FFCC4125"/>
        <bgColor rgb="FFCC4125"/>
      </patternFill>
    </fill>
    <fill>
      <patternFill patternType="solid">
        <fgColor rgb="FFE0F7FA"/>
        <bgColor rgb="FFE0F7FA"/>
      </patternFill>
    </fill>
    <fill>
      <patternFill patternType="solid">
        <fgColor rgb="FFB7E1CD"/>
        <bgColor rgb="FFB7E1CD"/>
      </patternFill>
    </fill>
    <fill>
      <patternFill patternType="solid">
        <fgColor rgb="FFFFF4A8"/>
        <bgColor rgb="FFFFF4A8"/>
      </patternFill>
    </fill>
    <fill>
      <patternFill patternType="solid">
        <fgColor rgb="FFFFDF00"/>
        <bgColor rgb="FFFFD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08305C"/>
        <bgColor rgb="FF08305C"/>
      </patternFill>
    </fill>
    <fill>
      <patternFill patternType="solid">
        <fgColor rgb="FFCEFFCC"/>
        <bgColor rgb="FFCEFFCC"/>
      </patternFill>
    </fill>
    <fill>
      <patternFill patternType="solid">
        <fgColor rgb="FFFFE8A8"/>
        <bgColor rgb="FFFFE8A8"/>
      </patternFill>
    </fill>
    <fill>
      <patternFill patternType="solid">
        <fgColor rgb="FFBDBED5"/>
        <bgColor rgb="FFBDBED5"/>
      </patternFill>
    </fill>
    <fill>
      <patternFill patternType="solid">
        <fgColor rgb="FFF9D6A6"/>
        <bgColor rgb="FFF9D6A6"/>
      </patternFill>
    </fill>
    <fill>
      <patternFill patternType="solid">
        <fgColor rgb="FFFFA8D5"/>
        <bgColor rgb="FFFFA8D5"/>
      </patternFill>
    </fill>
    <fill>
      <patternFill patternType="solid">
        <fgColor rgb="FF424746"/>
        <bgColor rgb="FF424746"/>
      </patternFill>
    </fill>
    <fill>
      <patternFill patternType="solid">
        <fgColor rgb="FFEBEFF1"/>
        <bgColor rgb="FFEBEFF1"/>
      </patternFill>
    </fill>
    <fill>
      <patternFill patternType="solid">
        <fgColor rgb="FF9143FF"/>
        <bgColor rgb="FF9143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1"/>
  </cellStyleXfs>
  <cellXfs count="81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vertical="center"/>
    </xf>
    <xf numFmtId="0" fontId="5" fillId="6" borderId="0" applyAlignment="1" pivotButton="0" quotePrefix="0" xfId="0">
      <alignment horizontal="center" vertical="center"/>
    </xf>
    <xf numFmtId="0" fontId="5" fillId="6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0" fontId="5" fillId="8" borderId="0" applyAlignment="1" pivotButton="0" quotePrefix="0" xfId="0">
      <alignment horizontal="center" vertical="center"/>
    </xf>
    <xf numFmtId="0" fontId="5" fillId="8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4" fontId="5" fillId="7" borderId="0" applyAlignment="1" pivotButton="0" quotePrefix="0" xfId="0">
      <alignment horizontal="center" vertical="center"/>
    </xf>
    <xf numFmtId="4" fontId="5" fillId="1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0" fontId="5" fillId="11" borderId="0" applyAlignment="1" pivotButton="0" quotePrefix="0" xfId="0">
      <alignment horizontal="center"/>
    </xf>
    <xf numFmtId="0" fontId="7" fillId="12" borderId="0" applyAlignment="1" pivotButton="0" quotePrefix="0" xfId="0">
      <alignment horizontal="center"/>
    </xf>
    <xf numFmtId="4" fontId="5" fillId="13" borderId="0" applyAlignment="1" pivotButton="0" quotePrefix="0" xfId="0">
      <alignment vertical="center"/>
    </xf>
    <xf numFmtId="0" fontId="9" fillId="14" borderId="0" applyAlignment="1" pivotButton="0" quotePrefix="0" xfId="0">
      <alignment horizontal="center"/>
    </xf>
    <xf numFmtId="49" fontId="5" fillId="0" borderId="0" applyAlignment="1" pivotButton="0" quotePrefix="0" xfId="0">
      <alignment vertical="center"/>
    </xf>
    <xf numFmtId="0" fontId="9" fillId="15" borderId="0" applyAlignment="1" pivotButton="0" quotePrefix="0" xfId="0">
      <alignment horizontal="center"/>
    </xf>
    <xf numFmtId="0" fontId="10" fillId="16" borderId="0" applyAlignment="1" pivotButton="0" quotePrefix="0" xfId="0">
      <alignment horizontal="center"/>
    </xf>
    <xf numFmtId="0" fontId="5" fillId="0" borderId="0" pivotButton="0" quotePrefix="0" xfId="0"/>
    <xf numFmtId="49" fontId="7" fillId="17" borderId="0" applyAlignment="1" pivotButton="0" quotePrefix="0" xfId="0">
      <alignment horizontal="center"/>
    </xf>
    <xf numFmtId="0" fontId="5" fillId="17" borderId="0" applyAlignment="1" pivotButton="0" quotePrefix="0" xfId="0">
      <alignment horizontal="center"/>
    </xf>
    <xf numFmtId="4" fontId="5" fillId="17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4" fontId="5" fillId="6" borderId="0" applyAlignment="1" pivotButton="0" quotePrefix="0" xfId="0">
      <alignment horizontal="center"/>
    </xf>
    <xf numFmtId="0" fontId="7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  <xf numFmtId="4" fontId="5" fillId="18" borderId="0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5" fillId="19" borderId="0" applyAlignment="1" pivotButton="0" quotePrefix="0" xfId="0">
      <alignment horizontal="center"/>
    </xf>
    <xf numFmtId="4" fontId="5" fillId="19" borderId="0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5" fillId="20" borderId="0" applyAlignment="1" pivotButton="0" quotePrefix="0" xfId="0">
      <alignment horizontal="center"/>
    </xf>
    <xf numFmtId="4" fontId="5" fillId="20" borderId="0" applyAlignment="1" pivotButton="0" quotePrefix="0" xfId="0">
      <alignment horizontal="center"/>
    </xf>
    <xf numFmtId="0" fontId="7" fillId="21" borderId="0" applyAlignment="1" pivotButton="0" quotePrefix="0" xfId="0">
      <alignment horizontal="center"/>
    </xf>
    <xf numFmtId="0" fontId="5" fillId="21" borderId="0" applyAlignment="1" pivotButton="0" quotePrefix="0" xfId="0">
      <alignment horizontal="center"/>
    </xf>
    <xf numFmtId="4" fontId="5" fillId="21" borderId="0" applyAlignment="1" pivotButton="0" quotePrefix="0" xfId="0">
      <alignment horizontal="center"/>
    </xf>
    <xf numFmtId="0" fontId="9" fillId="22" borderId="0" applyAlignment="1" pivotButton="0" quotePrefix="0" xfId="0">
      <alignment horizontal="center"/>
    </xf>
    <xf numFmtId="0" fontId="8" fillId="9" borderId="0" applyAlignment="1" pivotButton="0" quotePrefix="0" xfId="0">
      <alignment horizontal="center"/>
    </xf>
    <xf numFmtId="0" fontId="5" fillId="13" borderId="0" pivotButton="0" quotePrefix="0" xfId="0"/>
    <xf numFmtId="0" fontId="5" fillId="23" borderId="0" applyAlignment="1" pivotButton="0" quotePrefix="0" xfId="0">
      <alignment horizontal="center"/>
    </xf>
    <xf numFmtId="4" fontId="5" fillId="23" borderId="0" applyAlignment="1" pivotButton="0" quotePrefix="0" xfId="0">
      <alignment horizontal="center"/>
    </xf>
    <xf numFmtId="0" fontId="9" fillId="22" borderId="0" applyAlignment="1" pivotButton="0" quotePrefix="0" xfId="0">
      <alignment horizontal="center" vertical="center"/>
    </xf>
    <xf numFmtId="0" fontId="11" fillId="24" borderId="0" applyAlignment="1" pivotButton="0" quotePrefix="0" xfId="0">
      <alignment horizontal="center" vertical="center"/>
    </xf>
    <xf numFmtId="0" fontId="11" fillId="16" borderId="0" applyAlignment="1" pivotButton="0" quotePrefix="0" xfId="0">
      <alignment horizontal="center" vertical="center"/>
    </xf>
    <xf numFmtId="0" fontId="11" fillId="16" borderId="2" applyAlignment="1" pivotButton="0" quotePrefix="0" xfId="0">
      <alignment horizontal="center" vertical="center"/>
    </xf>
    <xf numFmtId="0" fontId="5" fillId="25" borderId="3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/>
    </xf>
    <xf numFmtId="0" fontId="5" fillId="23" borderId="0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vertical="center"/>
    </xf>
    <xf numFmtId="4" fontId="7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 vertical="center"/>
    </xf>
    <xf numFmtId="0" fontId="5" fillId="25" borderId="0" applyAlignment="1" pivotButton="0" quotePrefix="0" xfId="0">
      <alignment vertical="center"/>
    </xf>
    <xf numFmtId="0" fontId="5" fillId="25" borderId="0" applyAlignment="1" pivotButton="0" quotePrefix="0" xfId="0">
      <alignment horizontal="center" vertical="center"/>
    </xf>
    <xf numFmtId="0" fontId="7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left" vertical="center"/>
    </xf>
    <xf numFmtId="0" fontId="13" fillId="25" borderId="0" applyAlignment="1" pivotButton="0" quotePrefix="0" xfId="0">
      <alignment horizontal="center" vertical="center"/>
    </xf>
    <xf numFmtId="4" fontId="15" fillId="25" borderId="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0" fontId="3" fillId="4" borderId="0" pivotButton="0" quotePrefix="0" xfId="3"/>
    <xf numFmtId="2" fontId="4" fillId="5" borderId="1" pivotButton="0" quotePrefix="0" xfId="4"/>
    <xf numFmtId="2" fontId="0" fillId="0" borderId="0" applyAlignment="1" pivotButton="0" quotePrefix="0" xfId="0">
      <alignment horizontal="center"/>
    </xf>
    <xf numFmtId="2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2" fontId="1" fillId="2" borderId="0" applyAlignment="1" pivotButton="0" quotePrefix="0" xfId="1">
      <alignment horizont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2" fontId="2" fillId="3" borderId="0" applyAlignment="1" pivotButton="0" quotePrefix="0" xfId="2">
      <alignment horizontal="center"/>
    </xf>
  </cellXfs>
  <cellStyles count="5">
    <cellStyle name="Обычный" xfId="0" builtinId="0"/>
    <cellStyle name="Хороший" xfId="1" builtinId="26"/>
    <cellStyle name="Плохой" xfId="2" builtinId="27"/>
    <cellStyle name="Нейтральный" xfId="3" builtinId="28"/>
    <cellStyle name="Вывод" xfId="4" builtinId="21"/>
  </cellStyles>
  <dxfs count="88"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6"/>
  <sheetViews>
    <sheetView tabSelected="1" zoomScale="40" zoomScaleNormal="40" workbookViewId="0">
      <selection activeCell="B21" activeCellId="1" sqref="B3:M14 B21:G26"/>
    </sheetView>
  </sheetViews>
  <sheetFormatPr baseColWidth="8" defaultRowHeight="15"/>
  <cols>
    <col width="35.42578125" customWidth="1" style="78" min="1" max="1"/>
    <col width="17.42578125" customWidth="1" style="78" min="2" max="2"/>
    <col width="22.7109375" customWidth="1" style="78" min="3" max="3"/>
    <col width="16.85546875" customWidth="1" style="78" min="4" max="4"/>
    <col width="17.85546875" customWidth="1" style="78" min="5" max="5"/>
    <col width="20.140625" customWidth="1" style="78" min="6" max="6"/>
    <col width="26" customWidth="1" style="78" min="7" max="7"/>
    <col width="26.28515625" customWidth="1" style="78" min="8" max="8"/>
    <col width="20.42578125" customWidth="1" style="78" min="9" max="9"/>
    <col width="21.42578125" customWidth="1" style="78" min="10" max="10"/>
    <col width="20.85546875" customWidth="1" style="78" min="11" max="11"/>
    <col width="10.5703125" customWidth="1" style="78" min="12" max="12"/>
    <col width="28.28515625" customWidth="1" style="78" min="13" max="13"/>
    <col width="22" customWidth="1" style="78" min="14" max="14"/>
    <col width="19.140625" customWidth="1" style="78" min="15" max="15"/>
    <col width="20.5703125" customWidth="1" style="78" min="16" max="16"/>
    <col width="16.5703125" customWidth="1" style="78" min="17" max="17"/>
    <col width="16.28515625" customWidth="1" style="78" min="18" max="18"/>
  </cols>
  <sheetData>
    <row r="1">
      <c r="A1" s="73" t="n"/>
      <c r="B1" s="77" t="inlineStr">
        <is>
          <t>ПОКУПКА</t>
        </is>
      </c>
      <c r="I1" s="80" t="inlineStr">
        <is>
          <t>ПРОДАЖА</t>
        </is>
      </c>
      <c r="P1" s="70" t="inlineStr">
        <is>
          <t xml:space="preserve">СУММА НА КАРТЕ = </t>
        </is>
      </c>
      <c r="Q1" s="71" t="n">
        <v>100000</v>
      </c>
    </row>
    <row r="2">
      <c r="A2" s="73" t="n"/>
      <c r="B2" s="72" t="inlineStr">
        <is>
          <t>USDT</t>
        </is>
      </c>
      <c r="C2" s="72" t="inlineStr">
        <is>
          <t>BTC</t>
        </is>
      </c>
      <c r="D2" s="72" t="inlineStr">
        <is>
          <t>ETH</t>
        </is>
      </c>
      <c r="E2" s="72" t="inlineStr">
        <is>
          <t>BUSD</t>
        </is>
      </c>
      <c r="F2" s="72" t="inlineStr">
        <is>
          <t>BNB</t>
        </is>
      </c>
      <c r="G2" s="72" t="inlineStr">
        <is>
          <t>SHIB</t>
        </is>
      </c>
      <c r="H2" s="72" t="inlineStr">
        <is>
          <t>RUB</t>
        </is>
      </c>
      <c r="I2" s="72" t="inlineStr">
        <is>
          <t>BTC</t>
        </is>
      </c>
      <c r="J2" s="72" t="inlineStr">
        <is>
          <t>ETH</t>
        </is>
      </c>
      <c r="K2" s="72" t="inlineStr">
        <is>
          <t>BUSD</t>
        </is>
      </c>
      <c r="L2" s="72" t="inlineStr">
        <is>
          <t>BNB</t>
        </is>
      </c>
      <c r="M2" s="72" t="inlineStr">
        <is>
          <t>SHIB</t>
        </is>
      </c>
    </row>
    <row r="3">
      <c r="A3" s="73" t="inlineStr">
        <is>
          <t>TINKOFF</t>
        </is>
      </c>
      <c r="B3" s="71" t="n">
        <v>63.33</v>
      </c>
      <c r="C3" s="71" t="n">
        <v>1379009</v>
      </c>
      <c r="D3" s="71" t="n">
        <v>108490</v>
      </c>
      <c r="E3" s="71" t="n">
        <v>63.53</v>
      </c>
      <c r="F3" s="71" t="n">
        <v>19250</v>
      </c>
      <c r="G3" s="71" t="n">
        <v>0.000935</v>
      </c>
      <c r="H3" s="71" t="n">
        <v>63.4</v>
      </c>
      <c r="I3" s="71" t="n">
        <v>1370464</v>
      </c>
      <c r="J3" s="71" t="n">
        <v>108025</v>
      </c>
      <c r="K3" s="71" t="n">
        <v>63.3</v>
      </c>
      <c r="L3" s="71" t="n">
        <v>19161.62</v>
      </c>
      <c r="M3" s="71" t="n">
        <v>0.0008899999999999999</v>
      </c>
      <c r="P3" t="inlineStr">
        <is>
          <t>usdt =</t>
        </is>
      </c>
      <c r="Q3">
        <f>Q1/B3</f>
        <v/>
      </c>
    </row>
    <row r="4">
      <c r="A4" s="73" t="inlineStr">
        <is>
          <t>РОСБАНК</t>
        </is>
      </c>
      <c r="B4" s="71" t="inlineStr">
        <is>
          <t>63.77</t>
        </is>
      </c>
      <c r="C4" s="71" t="inlineStr">
        <is>
          <t>1270000.00</t>
        </is>
      </c>
      <c r="D4" s="71" t="inlineStr">
        <is>
          <t>99000.00</t>
        </is>
      </c>
      <c r="E4" s="71" t="inlineStr">
        <is>
          <t>63.89</t>
        </is>
      </c>
      <c r="F4" s="71" t="inlineStr">
        <is>
          <t>17719.00</t>
        </is>
      </c>
      <c r="G4" s="71" t="inlineStr">
        <is>
          <t>0.000999</t>
        </is>
      </c>
      <c r="H4" s="71" t="inlineStr">
        <is>
          <t>63.64</t>
        </is>
      </c>
      <c r="I4" s="71" t="inlineStr">
        <is>
          <t>1266001.00</t>
        </is>
      </c>
      <c r="J4" s="71" t="inlineStr">
        <is>
          <t>97962.51</t>
        </is>
      </c>
      <c r="K4" s="71" t="inlineStr">
        <is>
          <t>63.62</t>
        </is>
      </c>
      <c r="L4" s="71" t="inlineStr">
        <is>
          <t>17494.58</t>
        </is>
      </c>
      <c r="M4" s="71" t="inlineStr">
        <is>
          <t>0.000753</t>
        </is>
      </c>
    </row>
    <row r="5">
      <c r="A5" s="73" t="inlineStr">
        <is>
          <t>QIWI</t>
        </is>
      </c>
      <c r="B5" s="71" t="n">
        <v>64.13</v>
      </c>
      <c r="C5" s="71" t="n">
        <v>1264737.78</v>
      </c>
      <c r="D5" s="71" t="n">
        <v>99888</v>
      </c>
      <c r="E5" s="71" t="n">
        <v>64.55</v>
      </c>
      <c r="F5" s="71" t="n">
        <v>17953</v>
      </c>
      <c r="G5" s="71" t="inlineStr">
        <is>
          <t>0.000819</t>
        </is>
      </c>
      <c r="H5" s="71" t="n">
        <v>63.8</v>
      </c>
      <c r="I5" s="71" t="n">
        <v>1264158.42</v>
      </c>
      <c r="J5" s="71" t="n">
        <v>99836.50999999999</v>
      </c>
      <c r="K5" s="71" t="n">
        <v>63.59</v>
      </c>
      <c r="L5" s="71" t="n">
        <v>17489.97</v>
      </c>
      <c r="M5" s="71" t="inlineStr">
        <is>
          <t>0.000781</t>
        </is>
      </c>
    </row>
    <row r="6">
      <c r="A6" s="73" t="inlineStr">
        <is>
          <t>ЮМАНИ</t>
        </is>
      </c>
      <c r="B6" s="71" t="n">
        <v>64.44</v>
      </c>
      <c r="C6" s="71" t="n">
        <v>1275000</v>
      </c>
      <c r="D6" s="71" t="n">
        <v>101550</v>
      </c>
      <c r="E6" s="71" t="n">
        <v>64.58</v>
      </c>
      <c r="F6" s="71" t="n">
        <v>18100</v>
      </c>
      <c r="G6" s="71" t="inlineStr">
        <is>
          <t>0.000830</t>
        </is>
      </c>
      <c r="H6" s="71" t="n">
        <v>63.8</v>
      </c>
      <c r="I6" s="71" t="n">
        <v>1250000</v>
      </c>
      <c r="J6" s="71" t="n">
        <v>98876.96000000001</v>
      </c>
      <c r="K6" s="71" t="n">
        <v>63.27</v>
      </c>
      <c r="L6" s="71" t="n">
        <v>17500</v>
      </c>
      <c r="M6" s="71" t="inlineStr">
        <is>
          <t>0.000781</t>
        </is>
      </c>
    </row>
    <row r="7">
      <c r="A7" s="73" t="inlineStr">
        <is>
          <t>РАЙФВАЙЗЕН</t>
        </is>
      </c>
      <c r="B7" s="71" t="n">
        <v>63.9</v>
      </c>
      <c r="C7" s="71" t="n">
        <v>1266800</v>
      </c>
      <c r="D7" s="71" t="n">
        <v>100150</v>
      </c>
      <c r="E7" s="71" t="n">
        <v>63.99</v>
      </c>
      <c r="F7" s="71" t="n">
        <v>17689</v>
      </c>
      <c r="G7" s="71" t="inlineStr">
        <is>
          <t>0.000821</t>
        </is>
      </c>
      <c r="H7" s="71" t="n">
        <v>63.75</v>
      </c>
      <c r="I7" s="71" t="n">
        <v>1265415.67</v>
      </c>
      <c r="J7" s="71" t="n">
        <v>100222.26</v>
      </c>
      <c r="K7" s="71" t="n">
        <v>64.02</v>
      </c>
      <c r="L7" s="71" t="n">
        <v>17611.47</v>
      </c>
      <c r="M7" s="71" t="inlineStr">
        <is>
          <t>0.000771</t>
        </is>
      </c>
    </row>
    <row r="8">
      <c r="A8" s="73" t="inlineStr">
        <is>
          <t>ПОЧТА БАНК</t>
        </is>
      </c>
      <c r="B8" s="71" t="n">
        <v>64.03</v>
      </c>
      <c r="C8" s="71" t="n">
        <v>1267500</v>
      </c>
      <c r="D8" s="71" t="n">
        <v>100500</v>
      </c>
      <c r="E8" s="71" t="n">
        <v>64.19</v>
      </c>
      <c r="F8" s="71" t="n">
        <v>17765</v>
      </c>
      <c r="G8" s="71" t="inlineStr">
        <is>
          <t>0.000821</t>
        </is>
      </c>
      <c r="H8" s="71" t="n">
        <v>63.78</v>
      </c>
      <c r="I8" s="71" t="n">
        <v>1261775.93</v>
      </c>
      <c r="J8" s="71" t="n">
        <v>99838.25999999999</v>
      </c>
      <c r="K8" s="71" t="n">
        <v>63.37</v>
      </c>
      <c r="L8" s="71" t="n">
        <v>17459.12</v>
      </c>
      <c r="M8" s="71" t="inlineStr">
        <is>
          <t>0.000770</t>
        </is>
      </c>
    </row>
    <row r="9">
      <c r="A9" s="73" t="inlineStr">
        <is>
          <t>МТС-БАНК</t>
        </is>
      </c>
      <c r="B9" s="71" t="n">
        <v>64</v>
      </c>
      <c r="C9" s="71" t="n">
        <v>1270142</v>
      </c>
      <c r="D9" s="71" t="n">
        <v>101000</v>
      </c>
      <c r="E9" s="71" t="n">
        <v>64.68000000000001</v>
      </c>
      <c r="F9" s="71" t="n">
        <v>18422.75</v>
      </c>
      <c r="G9" s="71" t="inlineStr">
        <is>
          <t>0.000821</t>
        </is>
      </c>
      <c r="H9" s="71" t="n">
        <v>63.78</v>
      </c>
      <c r="I9" s="71" t="n">
        <v>1250717.43</v>
      </c>
      <c r="J9" s="71" t="n">
        <v>98972.89999999999</v>
      </c>
      <c r="K9" s="71" t="n">
        <v>63.2</v>
      </c>
      <c r="L9" s="71" t="n">
        <v>17425.07</v>
      </c>
      <c r="M9" s="71" t="inlineStr">
        <is>
          <t>0.000725</t>
        </is>
      </c>
    </row>
    <row r="10">
      <c r="A10" s="73" t="inlineStr">
        <is>
          <t>ХОУМ КРЕДИТ БАНК</t>
        </is>
      </c>
      <c r="B10" s="71" t="n">
        <v>64.04000000000001</v>
      </c>
      <c r="C10" s="71" t="n">
        <v>1267100</v>
      </c>
      <c r="D10" s="71" t="n">
        <v>102700</v>
      </c>
      <c r="E10" s="71" t="n">
        <v>64.04000000000001</v>
      </c>
      <c r="F10" s="71" t="n">
        <v>18000</v>
      </c>
      <c r="G10" s="71" t="inlineStr">
        <is>
          <t>0.000882</t>
        </is>
      </c>
      <c r="H10" s="71" t="n">
        <v>63.78</v>
      </c>
      <c r="I10" s="71" t="n">
        <v>1258136.19</v>
      </c>
      <c r="J10" s="71" t="n">
        <v>99145.75</v>
      </c>
      <c r="K10" s="71" t="n">
        <v>63.2</v>
      </c>
      <c r="L10" s="71" t="n">
        <v>17500</v>
      </c>
      <c r="M10" s="71" t="inlineStr">
        <is>
          <t>0.000747</t>
        </is>
      </c>
    </row>
    <row r="11">
      <c r="A11" s="73" t="inlineStr">
        <is>
          <t>А-БАНК</t>
        </is>
      </c>
      <c r="B11" s="71" t="n"/>
      <c r="C11" s="71" t="n"/>
      <c r="D11" s="71" t="n"/>
      <c r="E11" s="71" t="n"/>
      <c r="F11" s="71" t="n"/>
      <c r="G11" s="71" t="n"/>
      <c r="H11" s="71" t="n"/>
      <c r="I11" s="71" t="n"/>
      <c r="J11" s="71" t="n"/>
      <c r="K11" s="71" t="n"/>
      <c r="L11" s="71" t="n"/>
      <c r="M11" s="71" t="n"/>
    </row>
    <row r="12">
      <c r="A12" s="73" t="inlineStr">
        <is>
          <t>ФИАТНЫЙ БАЛАНС</t>
        </is>
      </c>
      <c r="B12" s="71" t="n">
        <v>60.38</v>
      </c>
      <c r="C12" s="71" t="n">
        <v>1199998</v>
      </c>
      <c r="D12" s="71" t="n">
        <v>96394</v>
      </c>
      <c r="E12" s="71" t="n">
        <v>60.94</v>
      </c>
      <c r="F12" s="71" t="n">
        <v>17000</v>
      </c>
      <c r="G12" s="71" t="inlineStr">
        <is>
          <t>0.000820</t>
        </is>
      </c>
      <c r="H12" s="71" t="n">
        <v>60.72</v>
      </c>
      <c r="I12" s="71" t="n">
        <v>1201071.82</v>
      </c>
      <c r="J12" s="71" t="n">
        <v>95037.36</v>
      </c>
      <c r="K12" s="71" t="n">
        <v>59.9</v>
      </c>
      <c r="L12" s="71" t="n">
        <v>16733.14</v>
      </c>
      <c r="M12" s="71" t="inlineStr">
        <is>
          <t>0.000725</t>
        </is>
      </c>
    </row>
    <row r="13">
      <c r="A13" s="73" t="inlineStr">
        <is>
          <t>PAYER</t>
        </is>
      </c>
      <c r="B13" s="71" t="n">
        <v>60.15</v>
      </c>
      <c r="C13" s="71" t="n">
        <v>1202900</v>
      </c>
      <c r="D13" s="71" t="n">
        <v>96958.31</v>
      </c>
      <c r="E13" s="71" t="n">
        <v>60.94</v>
      </c>
      <c r="F13" s="71" t="n">
        <v>17180</v>
      </c>
      <c r="G13" s="71" t="inlineStr">
        <is>
          <t>0.000774</t>
        </is>
      </c>
      <c r="H13" s="71" t="n">
        <v>59.6</v>
      </c>
      <c r="I13" s="71" t="n">
        <v>1100414.2</v>
      </c>
      <c r="J13" s="71" t="n">
        <v>89972.47</v>
      </c>
      <c r="K13" s="71" t="n">
        <v>58.26</v>
      </c>
      <c r="L13" s="71" t="n">
        <v>15460.55</v>
      </c>
      <c r="M13" s="71" t="inlineStr">
        <is>
          <t>0.000660</t>
        </is>
      </c>
    </row>
    <row r="14">
      <c r="A14" s="73" t="inlineStr">
        <is>
          <t>AdvCash</t>
        </is>
      </c>
      <c r="B14" s="71" t="n">
        <v>60.39</v>
      </c>
      <c r="C14" s="71" t="n">
        <v>1202900</v>
      </c>
      <c r="D14" s="71" t="n">
        <v>97918.19</v>
      </c>
      <c r="E14" s="71" t="n">
        <v>60.94</v>
      </c>
      <c r="F14" s="71" t="n">
        <v>17278.22</v>
      </c>
      <c r="G14" s="71" t="inlineStr">
        <is>
          <t>0.000877</t>
        </is>
      </c>
      <c r="H14" s="71" t="n">
        <v>59.5</v>
      </c>
      <c r="I14" s="71" t="n">
        <v>1180061.64</v>
      </c>
      <c r="J14" s="71" t="n">
        <v>90950.42</v>
      </c>
      <c r="K14" s="71" t="n">
        <v>59.5</v>
      </c>
      <c r="L14" s="71" t="n">
        <v>16386.9</v>
      </c>
      <c r="M14" s="71" t="inlineStr">
        <is>
          <t>0.000651</t>
        </is>
      </c>
    </row>
    <row r="20">
      <c r="A20" s="71" t="inlineStr">
        <is>
          <t>КУРСЫ КРИПТЫ ПО МАРКЕТУ</t>
        </is>
      </c>
      <c r="B20" s="71" t="inlineStr">
        <is>
          <t>USDT</t>
        </is>
      </c>
      <c r="C20" s="71" t="inlineStr">
        <is>
          <t>BTC</t>
        </is>
      </c>
      <c r="D20" s="71" t="inlineStr">
        <is>
          <t>BUSD</t>
        </is>
      </c>
      <c r="E20" s="71" t="inlineStr">
        <is>
          <t>BNB</t>
        </is>
      </c>
      <c r="F20" s="71" t="inlineStr">
        <is>
          <t>ETH</t>
        </is>
      </c>
      <c r="G20" s="71" t="inlineStr">
        <is>
          <t>RUB</t>
        </is>
      </c>
      <c r="H20" s="71" t="inlineStr">
        <is>
          <t>SHIB</t>
        </is>
      </c>
    </row>
    <row r="21">
      <c r="A21" s="71" t="inlineStr">
        <is>
          <t>USDT</t>
        </is>
      </c>
      <c r="B21" s="71" t="n"/>
      <c r="C21" s="71" t="n">
        <v>19784.67</v>
      </c>
      <c r="D21" s="71" t="n">
        <v>1</v>
      </c>
      <c r="E21" s="71" t="n">
        <v>275.5</v>
      </c>
      <c r="F21" s="71" t="n">
        <v>1565.31</v>
      </c>
      <c r="G21" s="71" t="n">
        <v>60.42</v>
      </c>
      <c r="H21" s="71" t="n"/>
    </row>
    <row r="22">
      <c r="A22" s="71" t="inlineStr">
        <is>
          <t>BTC</t>
        </is>
      </c>
      <c r="B22" s="71" t="n">
        <v>19784.67</v>
      </c>
      <c r="C22" s="71" t="n"/>
      <c r="D22" s="71" t="n">
        <v>19784.67</v>
      </c>
      <c r="E22" s="71" t="n">
        <v>0.013924</v>
      </c>
      <c r="F22" s="71" t="n">
        <v>0.079113</v>
      </c>
      <c r="G22" s="71" t="n">
        <v>1195421</v>
      </c>
      <c r="H22" s="71" t="n"/>
    </row>
    <row r="23">
      <c r="A23" s="71" t="inlineStr">
        <is>
          <t>BUSD</t>
        </is>
      </c>
      <c r="B23" s="71" t="n">
        <v>1</v>
      </c>
      <c r="C23" s="71" t="n">
        <v>19784.67</v>
      </c>
      <c r="D23" s="71" t="n"/>
      <c r="E23" s="71" t="n">
        <v>275.4</v>
      </c>
      <c r="F23" s="71" t="n">
        <v>1565.65</v>
      </c>
      <c r="G23" s="71" t="n">
        <v>60.43</v>
      </c>
      <c r="H23" s="71" t="n"/>
    </row>
    <row r="24">
      <c r="A24" s="71" t="inlineStr">
        <is>
          <t>BNB</t>
        </is>
      </c>
      <c r="B24" s="71" t="n">
        <v>275.5</v>
      </c>
      <c r="C24" s="71" t="n">
        <v>0.013924</v>
      </c>
      <c r="D24" s="71" t="n">
        <v>275.4</v>
      </c>
      <c r="E24" s="71" t="n"/>
      <c r="F24" s="71" t="n">
        <v>0.176</v>
      </c>
      <c r="G24" s="71" t="n">
        <v>16621.62</v>
      </c>
      <c r="H24" s="71" t="n"/>
    </row>
    <row r="25">
      <c r="A25" s="71" t="inlineStr">
        <is>
          <t>ETH</t>
        </is>
      </c>
      <c r="B25" s="71" t="n">
        <v>1565.31</v>
      </c>
      <c r="C25" s="71" t="n">
        <v>0.079113</v>
      </c>
      <c r="D25" s="71" t="n">
        <v>1565.65</v>
      </c>
      <c r="E25" s="71" t="n">
        <v>0.176</v>
      </c>
      <c r="F25" s="71" t="n"/>
      <c r="G25" s="71" t="n">
        <v>94475.5</v>
      </c>
      <c r="H25" s="71" t="n"/>
    </row>
    <row r="26">
      <c r="A26" s="71" t="inlineStr">
        <is>
          <t>RUB</t>
        </is>
      </c>
      <c r="B26" s="71" t="n">
        <v>60.42</v>
      </c>
      <c r="C26" s="71" t="n">
        <v>1195421</v>
      </c>
      <c r="D26" s="71" t="n">
        <v>60.43</v>
      </c>
      <c r="E26" s="71" t="n">
        <v>16621.62</v>
      </c>
      <c r="F26" s="71" t="n">
        <v>94475.5</v>
      </c>
      <c r="G26" s="71" t="n"/>
      <c r="H26" s="71" t="n"/>
    </row>
    <row r="27">
      <c r="A27" s="71" t="inlineStr">
        <is>
          <t>SHIB</t>
        </is>
      </c>
      <c r="B27" s="71">
        <f>IFERROR(__xludf.DUMMYFUNCTION("""COMPUTED_VALUE"""),0.00001314)</f>
        <v/>
      </c>
      <c r="C27" s="71">
        <f>IFERROR(__xludf.DUMMYFUNCTION("""COMPUTED_VALUE"""),0)</f>
        <v/>
      </c>
      <c r="D27" s="71">
        <f>IFERROR(__xludf.DUMMYFUNCTION("""COMPUTED_VALUE"""),0.00001315)</f>
        <v/>
      </c>
      <c r="E27" s="71">
        <f>IFERROR(__xludf.DUMMYFUNCTION("""COMPUTED_VALUE"""),0)</f>
        <v/>
      </c>
      <c r="F27" s="71">
        <f>IFERROR(__xludf.DUMMYFUNCTION("""COMPUTED_VALUE"""),0)</f>
        <v/>
      </c>
      <c r="G27" s="71">
        <f>IFERROR(__xludf.DUMMYFUNCTION("""COMPUTED_VALUE"""),0)</f>
        <v/>
      </c>
      <c r="H27" s="71" t="n"/>
    </row>
    <row r="29" ht="15" customHeight="1" s="78"/>
    <row r="30" ht="15" customHeight="1" s="78">
      <c r="A30" s="26" t="inlineStr">
        <is>
          <t>4.1. USDT.</t>
        </is>
      </c>
      <c r="B30" s="27" t="inlineStr">
        <is>
          <t>USDT -&gt; BTC</t>
        </is>
      </c>
      <c r="C30" s="27" t="inlineStr">
        <is>
          <t>USDT -&gt; BUSD</t>
        </is>
      </c>
      <c r="D30" s="28" t="inlineStr">
        <is>
          <t>USDT -&gt; BNB</t>
        </is>
      </c>
      <c r="E30" s="27" t="inlineStr">
        <is>
          <t>USDT -&gt; ETH</t>
        </is>
      </c>
      <c r="G30" s="32" t="inlineStr">
        <is>
          <t>4.3. BUSD.</t>
        </is>
      </c>
      <c r="H30" s="33" t="inlineStr">
        <is>
          <t>BUSD -&gt; USDT</t>
        </is>
      </c>
      <c r="I30" s="34" t="inlineStr">
        <is>
          <t>BUSD -&gt; BTC</t>
        </is>
      </c>
      <c r="J30" s="33" t="inlineStr">
        <is>
          <t>BUSD -&gt; BNB</t>
        </is>
      </c>
      <c r="K30" s="33" t="inlineStr">
        <is>
          <t>BUSD -&gt; ETH</t>
        </is>
      </c>
      <c r="M30" s="35" t="inlineStr">
        <is>
          <t>4.4. ETH.</t>
        </is>
      </c>
      <c r="N30" s="36" t="inlineStr">
        <is>
          <t>ETH -&gt; USDT</t>
        </is>
      </c>
      <c r="O30" s="37" t="inlineStr">
        <is>
          <t>ETH -&gt; BTC</t>
        </is>
      </c>
      <c r="P30" s="36" t="inlineStr">
        <is>
          <t>ETH -&gt; BNB</t>
        </is>
      </c>
      <c r="Q30" s="36" t="inlineStr">
        <is>
          <t>ETH -&gt; BUSD</t>
        </is>
      </c>
    </row>
    <row r="31" ht="15" customHeight="1" s="78">
      <c r="A31" s="19" t="inlineStr">
        <is>
          <t>ТИНЬКОФ НА ТИНЬКОФ</t>
        </is>
      </c>
      <c r="B31" s="14">
        <f>Q1/B3/B22*C3-Q1</f>
        <v/>
      </c>
      <c r="C31" s="14">
        <f>Q1/B3/D21*E3-Q1</f>
        <v/>
      </c>
      <c r="D31" s="14">
        <f>Q1/B3/E21*F3-Q1</f>
        <v/>
      </c>
      <c r="E31" s="14">
        <f>Q1/B3/F21*D3-Q1</f>
        <v/>
      </c>
      <c r="G31" s="19" t="inlineStr">
        <is>
          <t>ТИНЬКОФ НА ТИНЬКОФ</t>
        </is>
      </c>
      <c r="H31" s="14">
        <f>Q1/E3*D21*B3-Q1</f>
        <v/>
      </c>
      <c r="I31" s="14">
        <f>Q1/E3/D22*C3-Q1</f>
        <v/>
      </c>
      <c r="J31" s="14">
        <f>Q1/E3/E23*F3-Q1</f>
        <v/>
      </c>
      <c r="K31" s="14">
        <f>Q1/E3/F23*D3-Q1</f>
        <v/>
      </c>
      <c r="M31" s="19" t="inlineStr">
        <is>
          <t>ТИНЬКОФ НА ТИНЬКОФ</t>
        </is>
      </c>
      <c r="N31" s="14">
        <f>Q1/D3*F21*B3-Q1</f>
        <v/>
      </c>
      <c r="O31" s="14">
        <f>Q1/D3*F22*C3-Q1</f>
        <v/>
      </c>
      <c r="P31" s="14">
        <f>Q1/D3/E25*F3-Q1</f>
        <v/>
      </c>
      <c r="Q31" s="14">
        <f>Q1/D3*D25*E3-Q1</f>
        <v/>
      </c>
    </row>
    <row r="32" ht="15" customHeight="1" s="78">
      <c r="A32" s="19" t="inlineStr">
        <is>
          <t>ТИНЬКОФ НА РОСБАНК</t>
        </is>
      </c>
      <c r="B32" s="14">
        <f>Q1/B3/C21*C4-Q1</f>
        <v/>
      </c>
      <c r="C32" s="14">
        <f>Q1/B3/D21*E4-Q1</f>
        <v/>
      </c>
      <c r="D32" s="14">
        <f>Q1/B3/E21*F4-Q1</f>
        <v/>
      </c>
      <c r="E32" s="14">
        <f>Q1/B3/F21*D4-Q1</f>
        <v/>
      </c>
      <c r="G32" s="19" t="inlineStr">
        <is>
          <t>ТИНЬКОФ НА РОСБАНК</t>
        </is>
      </c>
      <c r="H32" s="14">
        <f>Q1/E3*D21*B4-Q1</f>
        <v/>
      </c>
      <c r="I32" s="14">
        <f>Q1/E3/D22*C4-Q1</f>
        <v/>
      </c>
      <c r="J32" s="14">
        <f>Q1/E3/E23*F4-Q1</f>
        <v/>
      </c>
      <c r="K32" s="14">
        <f>Q1/E3/F23*D4-Q1</f>
        <v/>
      </c>
      <c r="M32" s="19" t="inlineStr">
        <is>
          <t>ТИНЬКОФ НА РОСБАНК</t>
        </is>
      </c>
      <c r="N32" s="14">
        <f>Q1/D3*F21*B4-Q1</f>
        <v/>
      </c>
      <c r="O32" s="14">
        <f>Q1/D3*F22*C4-Q1</f>
        <v/>
      </c>
      <c r="P32" s="14">
        <f>Q1/D3/E25*F4-Q1</f>
        <v/>
      </c>
      <c r="Q32" s="14">
        <f>Q1/D3*D25*E4-Q1</f>
        <v/>
      </c>
    </row>
    <row r="33" ht="15" customHeight="1" s="78">
      <c r="A33" s="19" t="inlineStr">
        <is>
          <t xml:space="preserve"> ТИНЬКОФ НА ЮМАНИ</t>
        </is>
      </c>
      <c r="B33" s="14">
        <f>Q1/B3/C21*C6-Q1</f>
        <v/>
      </c>
      <c r="C33" s="14">
        <f>Q1/B3/D21*E6-Q1</f>
        <v/>
      </c>
      <c r="D33" s="14">
        <f>Q1/B3/E21*F6-Q1</f>
        <v/>
      </c>
      <c r="E33" s="14">
        <f>Q1/B3/F21*D6-Q1</f>
        <v/>
      </c>
      <c r="G33" s="19" t="inlineStr">
        <is>
          <t xml:space="preserve"> ТИНЬКОФ НА ЮМАНИ</t>
        </is>
      </c>
      <c r="H33" s="14">
        <f>Q1/E3*D21*B6-Q1</f>
        <v/>
      </c>
      <c r="I33" s="14">
        <f>Q1/E3/D22*C6-Q1</f>
        <v/>
      </c>
      <c r="J33" s="14">
        <f>Q1/E3/E23*F6-Q1</f>
        <v/>
      </c>
      <c r="K33" s="14">
        <f>Q1/E3/F23*D6-Q1</f>
        <v/>
      </c>
      <c r="M33" s="19" t="inlineStr">
        <is>
          <t xml:space="preserve"> ТИНЬКОФ НА ЮМАНИ</t>
        </is>
      </c>
      <c r="N33" s="14">
        <f>Q1/D3*F21*B6-Q1</f>
        <v/>
      </c>
      <c r="O33" s="14">
        <f>Q1/D3*F22*C6-Q1</f>
        <v/>
      </c>
      <c r="P33" s="14">
        <f>Q1/D3/E25*F6-Q1</f>
        <v/>
      </c>
      <c r="Q33" s="14">
        <f>Q1/D3*D25*E6-Q1</f>
        <v/>
      </c>
    </row>
    <row r="34" ht="15" customHeight="1" s="78">
      <c r="A34" s="19" t="inlineStr">
        <is>
          <t>ТИНЬКОФ НА КИВИ</t>
        </is>
      </c>
      <c r="B34" s="14">
        <f>Q1/B3/C21*C5-Q1</f>
        <v/>
      </c>
      <c r="C34" s="14">
        <f>Q1/B3/D21*E5-Q1</f>
        <v/>
      </c>
      <c r="D34" s="14">
        <f>Q1/B3/E21*F5-Q1</f>
        <v/>
      </c>
      <c r="E34" s="14">
        <f>Q1/B3/F21*D5-Q1</f>
        <v/>
      </c>
      <c r="G34" s="19" t="inlineStr">
        <is>
          <t>ТИНЬКОФ НА КИВИ</t>
        </is>
      </c>
      <c r="H34" s="14">
        <f>Q1/E3*D21*B5-Q1</f>
        <v/>
      </c>
      <c r="I34" s="14">
        <f>Q1/E3/D22*C5-Q1</f>
        <v/>
      </c>
      <c r="J34" s="14">
        <f>Q1/E3/E23*F5-Q1</f>
        <v/>
      </c>
      <c r="K34" s="14">
        <f>Q1/E3/F23*D5-Q1</f>
        <v/>
      </c>
      <c r="M34" s="19" t="inlineStr">
        <is>
          <t>ТИНЬКОФ НА КИВИ</t>
        </is>
      </c>
      <c r="N34" s="14">
        <f>Q1/D3*F21*B5-Q1</f>
        <v/>
      </c>
      <c r="O34" s="14">
        <f>Q1/D3*F22*C5-Q1</f>
        <v/>
      </c>
      <c r="P34" s="14">
        <f>Q1/D3/E25*F5-Q1</f>
        <v/>
      </c>
      <c r="Q34" s="14">
        <f>Q1/D3*D25*E5-Q1</f>
        <v/>
      </c>
    </row>
    <row r="35" ht="15" customHeight="1" s="78">
      <c r="A35" s="21" t="inlineStr">
        <is>
          <t>РОСБАНК НА РОСБАНК</t>
        </is>
      </c>
      <c r="B35" s="14">
        <f>Q1/B4/C21*C4-Q1</f>
        <v/>
      </c>
      <c r="C35" s="14">
        <f>Q1/B4/D21*E4-Q1</f>
        <v/>
      </c>
      <c r="D35" s="14">
        <f>Q1/B4/E21*F4-Q1</f>
        <v/>
      </c>
      <c r="E35" s="14">
        <f>Q1/B4/F21*D4-Q1</f>
        <v/>
      </c>
      <c r="G35" s="21" t="inlineStr">
        <is>
          <t>РОСБАНК НА РОСБАНК</t>
        </is>
      </c>
      <c r="H35" s="14">
        <f>Q1/E4*D21*B4-Q1</f>
        <v/>
      </c>
      <c r="I35" s="14">
        <f>Q1/E4/D22*C4-Q1</f>
        <v/>
      </c>
      <c r="J35" s="14">
        <f>Q1/E4/E23*F4-Q1</f>
        <v/>
      </c>
      <c r="K35" s="14">
        <f>Q1/E4/F23*D4-Q1</f>
        <v/>
      </c>
      <c r="M35" s="21" t="inlineStr">
        <is>
          <t>РОСБАНК НА РОСБАНК</t>
        </is>
      </c>
      <c r="N35" s="14">
        <f>Q1/D4*F21*B4-Q1</f>
        <v/>
      </c>
      <c r="O35" s="14">
        <f>Q1/D4*F22*C4-Q1</f>
        <v/>
      </c>
      <c r="P35" s="14">
        <f>Q1/D4/E25*F4-Q1</f>
        <v/>
      </c>
      <c r="Q35" s="14">
        <f>Q1/D4*D25*E4-Q1</f>
        <v/>
      </c>
    </row>
    <row r="36" ht="15" customHeight="1" s="78">
      <c r="A36" s="21" t="inlineStr">
        <is>
          <t>РОСБАНК НА ТИНЬКОФ</t>
        </is>
      </c>
      <c r="B36" s="14">
        <f>Q1/B4/C21*C3-Q1</f>
        <v/>
      </c>
      <c r="C36" s="14">
        <f>Q1/B4/D21*E3-Q1</f>
        <v/>
      </c>
      <c r="D36" s="14">
        <f>Q1/B4/E21*F3-Q1</f>
        <v/>
      </c>
      <c r="E36" s="14">
        <f>Q1/B4/F21*D3-Q1</f>
        <v/>
      </c>
      <c r="G36" s="21" t="inlineStr">
        <is>
          <t>РОСБАНК НА ТИНЬКОФ</t>
        </is>
      </c>
      <c r="H36" s="14">
        <f>Q1/E4*D21*B3-Q1</f>
        <v/>
      </c>
      <c r="I36" s="14">
        <f>Q1/E4/D22*C3-Q1</f>
        <v/>
      </c>
      <c r="J36" s="14">
        <f>Q1/E4/E23*F3-Q1</f>
        <v/>
      </c>
      <c r="K36" s="14">
        <f>Q1/E4/F23*D3-Q1</f>
        <v/>
      </c>
      <c r="M36" s="21" t="inlineStr">
        <is>
          <t>РОСБАНК НА ТИНЬКОФ</t>
        </is>
      </c>
      <c r="N36" s="14">
        <f>Q1/D4*F21*B3-Q1</f>
        <v/>
      </c>
      <c r="O36" s="14">
        <f>Q1/D4*F22*C3-Q1</f>
        <v/>
      </c>
      <c r="P36" s="14">
        <f>Q1/D4/E25*F3-Q1</f>
        <v/>
      </c>
      <c r="Q36" s="14">
        <f>Q1/D4*D25*E3-Q1</f>
        <v/>
      </c>
    </row>
    <row r="37" ht="15" customHeight="1" s="78">
      <c r="A37" s="21" t="inlineStr">
        <is>
          <t>РОСБАНК НА ЮМАНИ</t>
        </is>
      </c>
      <c r="B37" s="14">
        <f>Q1/B4/C21*C6-Q1</f>
        <v/>
      </c>
      <c r="C37" s="14">
        <f>Q1/B4/D21*E6-Q1</f>
        <v/>
      </c>
      <c r="D37" s="14">
        <f>Q1/B4/E21*F6-Q1</f>
        <v/>
      </c>
      <c r="E37" s="14">
        <f>Q1/B4/F21*D6-Q1</f>
        <v/>
      </c>
      <c r="G37" s="21" t="inlineStr">
        <is>
          <t>РОСБАНК НА ЮМАНИ</t>
        </is>
      </c>
      <c r="H37" s="14">
        <f>Q1/E4*D21*B6-Q1</f>
        <v/>
      </c>
      <c r="I37" s="14">
        <f>Q1/E4/D22*C6-Q1</f>
        <v/>
      </c>
      <c r="J37" s="14">
        <f>Q1/E4/E23*F6-Q1</f>
        <v/>
      </c>
      <c r="K37" s="14">
        <f>Q1/E4/F23*D6-Q1</f>
        <v/>
      </c>
      <c r="M37" s="21" t="inlineStr">
        <is>
          <t>РОСБАНК НА ЮМАНИ</t>
        </is>
      </c>
      <c r="N37" s="14">
        <f>Q1/D4*F21*B6-Q1</f>
        <v/>
      </c>
      <c r="O37" s="14">
        <f>Q1/D4*F22*C6-Q1</f>
        <v/>
      </c>
      <c r="P37" s="14">
        <f>Q1/D4/E25*F6-Q1</f>
        <v/>
      </c>
      <c r="Q37" s="14">
        <f>Q1/D4*D25*E6-Q1</f>
        <v/>
      </c>
    </row>
    <row r="38" ht="15" customHeight="1" s="78">
      <c r="A38" s="21" t="inlineStr">
        <is>
          <t>РОСБАНК НА КИВИ</t>
        </is>
      </c>
      <c r="B38" s="14">
        <f>Q1/B4/C21*C5-Q1</f>
        <v/>
      </c>
      <c r="C38" s="14">
        <f>Q1/B4/D21*E5-Q1</f>
        <v/>
      </c>
      <c r="D38" s="14">
        <f>Q1/B4/E21*F5-Q1</f>
        <v/>
      </c>
      <c r="E38" s="14">
        <f>Q1/B4/F21*D5-Q1</f>
        <v/>
      </c>
      <c r="G38" s="21" t="inlineStr">
        <is>
          <t>РОСБАНК НА КИВИ</t>
        </is>
      </c>
      <c r="H38" s="14">
        <f>Q1/E4*D21*B5-Q1</f>
        <v/>
      </c>
      <c r="I38" s="14">
        <f>Q1/E4/D22*C5-Q1</f>
        <v/>
      </c>
      <c r="J38" s="14">
        <f>Q1/E4/E23*F5-Q1</f>
        <v/>
      </c>
      <c r="K38" s="14">
        <f>Q1/E4/F23*D5-Q1</f>
        <v/>
      </c>
      <c r="M38" s="21" t="inlineStr">
        <is>
          <t>РОСБАНК НА КИВИ</t>
        </is>
      </c>
      <c r="N38" s="14">
        <f>Q1/D4*F21*B5-Q1</f>
        <v/>
      </c>
      <c r="O38" s="14">
        <f>Q1/D4*F22*C5-Q1</f>
        <v/>
      </c>
      <c r="P38" s="14">
        <f>Q1/D4/E25*F5-Q1</f>
        <v/>
      </c>
      <c r="Q38" s="14">
        <f>Q1/D4*D25*E5-Q1</f>
        <v/>
      </c>
    </row>
    <row r="39" ht="15" customHeight="1" s="78">
      <c r="A39" s="23" t="inlineStr">
        <is>
          <t>ЮМАНИ НА ЮМАНИ</t>
        </is>
      </c>
      <c r="B39" s="14">
        <f>Q1/B6/C21*C6-Q1</f>
        <v/>
      </c>
      <c r="C39" s="14">
        <f>Q1/B6/D21*E6-Q1</f>
        <v/>
      </c>
      <c r="D39" s="14">
        <f>Q1/B6/E21*F6-Q1</f>
        <v/>
      </c>
      <c r="E39" s="14">
        <f>Q1/B6/F21*D6-Q1</f>
        <v/>
      </c>
      <c r="G39" s="23" t="inlineStr">
        <is>
          <t>ЮМАНИ НА ЮМАНИ</t>
        </is>
      </c>
      <c r="H39" s="14">
        <f>Q1/E6*D21*B6-Q1</f>
        <v/>
      </c>
      <c r="I39" s="14">
        <f>Q1/E6/D22*C6-Q1</f>
        <v/>
      </c>
      <c r="J39" s="14">
        <f>Q1/E6/E23*F6-Q1</f>
        <v/>
      </c>
      <c r="K39" s="14">
        <f>Q1/E6/F23*D6-Q1</f>
        <v/>
      </c>
      <c r="M39" s="23" t="inlineStr">
        <is>
          <t>ЮМАНИ НА ЮМАНИ</t>
        </is>
      </c>
      <c r="N39" s="14">
        <f>Q1/D6*F21*B6-Q1</f>
        <v/>
      </c>
      <c r="O39" s="14">
        <f>Q1/D6*F22*C6-Q1</f>
        <v/>
      </c>
      <c r="P39" s="14">
        <f>Q1/D6/E25*F6-Q1</f>
        <v/>
      </c>
      <c r="Q39" s="14">
        <f>Q1/D6*D25*E6-Q1</f>
        <v/>
      </c>
    </row>
    <row r="40" ht="15" customHeight="1" s="78">
      <c r="A40" s="23" t="inlineStr">
        <is>
          <t>ЮМАНИ НА ТИНЬКОФ</t>
        </is>
      </c>
      <c r="B40" s="14">
        <f>Q1/B6/C21*C3-Q1</f>
        <v/>
      </c>
      <c r="C40" s="14">
        <f>Q1/B6/D21*E3-Q1</f>
        <v/>
      </c>
      <c r="D40" s="14">
        <f>Q1/B6/E21*F3-Q1</f>
        <v/>
      </c>
      <c r="E40" s="14">
        <f>Q1/B6/F21*D3-Q1</f>
        <v/>
      </c>
      <c r="G40" s="23" t="inlineStr">
        <is>
          <t>ЮМАНИ НА ТИНЬКОФ</t>
        </is>
      </c>
      <c r="H40" s="14">
        <f>Q1/E6*D21*B3-Q1</f>
        <v/>
      </c>
      <c r="I40" s="14">
        <f>Q1/E6/D22*C3-Q1</f>
        <v/>
      </c>
      <c r="J40" s="14">
        <f>Q1/E6/E23*F3-Q1</f>
        <v/>
      </c>
      <c r="K40" s="14">
        <f>Q1/E6/F23*D3-Q1</f>
        <v/>
      </c>
      <c r="M40" s="23" t="inlineStr">
        <is>
          <t>ЮМАНИ НА ТИНЬКОФ</t>
        </is>
      </c>
      <c r="N40" s="14">
        <f>Q1/D6*F21*B3-Q1</f>
        <v/>
      </c>
      <c r="O40" s="14">
        <f>Q1/D6*F22*C3-Q1</f>
        <v/>
      </c>
      <c r="P40" s="14">
        <f>Q1/D6/E25*F3-Q1</f>
        <v/>
      </c>
      <c r="Q40" s="14">
        <f>Q1/D6*D25*E3-Q1</f>
        <v/>
      </c>
    </row>
    <row r="41" ht="15" customHeight="1" s="78">
      <c r="A41" s="23" t="inlineStr">
        <is>
          <t>ЮМАНИ НА РОСБАНК</t>
        </is>
      </c>
      <c r="B41" s="14">
        <f>Q1/B6/C21*C4-Q1</f>
        <v/>
      </c>
      <c r="C41" s="14">
        <f>Q1/B6/D21*E4-Q1</f>
        <v/>
      </c>
      <c r="D41" s="14">
        <f>Q1/B6/E21*F4-Q1</f>
        <v/>
      </c>
      <c r="E41" s="14">
        <f>Q1/B6/F21*D4-Q1</f>
        <v/>
      </c>
      <c r="G41" s="23" t="inlineStr">
        <is>
          <t>ЮМАНИ НА РОСБАНК</t>
        </is>
      </c>
      <c r="H41" s="14">
        <f>Q1/E6*D21*B4-Q1</f>
        <v/>
      </c>
      <c r="I41" s="14">
        <f>Q1/E6/D22*C4-Q1</f>
        <v/>
      </c>
      <c r="J41" s="14">
        <f>Q1/E6/E23*F4-Q1</f>
        <v/>
      </c>
      <c r="K41" s="14">
        <f>Q1/E6/F23*D4-Q1</f>
        <v/>
      </c>
      <c r="M41" s="23" t="inlineStr">
        <is>
          <t>ЮМАНИ НА РОСБАНК</t>
        </is>
      </c>
      <c r="N41" s="14">
        <f>Q1/D6*F21*B4-Q1</f>
        <v/>
      </c>
      <c r="O41" s="14">
        <f>Q1/D6*F22*C4-Q1</f>
        <v/>
      </c>
      <c r="P41" s="14">
        <f>Q1/D6/E25*F4-Q1</f>
        <v/>
      </c>
      <c r="Q41" s="14">
        <f>Q1/D6*D25*E4-Q1</f>
        <v/>
      </c>
    </row>
    <row r="42" ht="15" customHeight="1" s="78">
      <c r="A42" s="23" t="inlineStr">
        <is>
          <t>ЮМАНИ НА КИВИ</t>
        </is>
      </c>
      <c r="B42" s="14">
        <f>Q1/B6/C21*C5-Q1</f>
        <v/>
      </c>
      <c r="C42" s="14">
        <f>Q1/B6/D21*E5-Q1</f>
        <v/>
      </c>
      <c r="D42" s="14">
        <f>Q1/B6/E21*F5-Q1</f>
        <v/>
      </c>
      <c r="E42" s="14">
        <f>Q1/B6/F21*D5-Q1</f>
        <v/>
      </c>
      <c r="G42" s="23" t="inlineStr">
        <is>
          <t>ЮМАНИ НА КИВИ</t>
        </is>
      </c>
      <c r="H42" s="14">
        <f>Q1/E6*D21*B5-Q1</f>
        <v/>
      </c>
      <c r="I42" s="14">
        <f>Q1/E6/D22*C5-Q1</f>
        <v/>
      </c>
      <c r="J42" s="14">
        <f>Q1/E6/E23*F5-Q1</f>
        <v/>
      </c>
      <c r="K42" s="14">
        <f>Q1/E6/F23*D5-Q1</f>
        <v/>
      </c>
      <c r="M42" s="23" t="inlineStr">
        <is>
          <t>ЮМАНИ НА КИВИ</t>
        </is>
      </c>
      <c r="N42" s="14">
        <f>Q1/D6*F21*B5-Q1</f>
        <v/>
      </c>
      <c r="O42" s="14">
        <f>Q1/D6*F22*C5-Q1</f>
        <v/>
      </c>
      <c r="P42" s="14">
        <f>Q1/D6/E25*F5-Q1</f>
        <v/>
      </c>
      <c r="Q42" s="14">
        <f>Q1/D6*D25*E5-Q1</f>
        <v/>
      </c>
    </row>
    <row r="43" ht="15" customHeight="1" s="78">
      <c r="A43" s="24" t="inlineStr">
        <is>
          <t>КИВИ НА КИВИ</t>
        </is>
      </c>
      <c r="B43" s="14">
        <f>Q1/B5/C21*C5-Q1</f>
        <v/>
      </c>
      <c r="C43" s="14">
        <f>Q1/B5/D21*E5-Q1</f>
        <v/>
      </c>
      <c r="D43" s="14">
        <f>Q1/B5/E21*F5-Q1</f>
        <v/>
      </c>
      <c r="E43" s="14">
        <f>Q1/B5/F21*D5-Q1</f>
        <v/>
      </c>
      <c r="G43" s="24" t="inlineStr">
        <is>
          <t>КИВИ НА КИВИ</t>
        </is>
      </c>
      <c r="H43" s="14">
        <f>Q1/E5*D21*B5-Q1</f>
        <v/>
      </c>
      <c r="I43" s="14">
        <f>Q1/E5/D22*C5-Q1</f>
        <v/>
      </c>
      <c r="J43" s="14">
        <f>Q1/E5/E23*F5-Q1</f>
        <v/>
      </c>
      <c r="K43" s="14">
        <f>Q1/E5/F23*D5-Q1</f>
        <v/>
      </c>
      <c r="M43" s="24" t="inlineStr">
        <is>
          <t>КИВИ НА КИВИ</t>
        </is>
      </c>
      <c r="N43" s="14">
        <f>Q1/D5*F21*B5-Q1</f>
        <v/>
      </c>
      <c r="O43" s="14">
        <f>Q1/D5*F22*C5-Q1</f>
        <v/>
      </c>
      <c r="P43" s="14">
        <f>Q1/D5/E25*F5-Q1</f>
        <v/>
      </c>
      <c r="Q43" s="14">
        <f>Q1/D5*D25*E5-Q1</f>
        <v/>
      </c>
    </row>
    <row r="44" ht="15" customHeight="1" s="78">
      <c r="A44" s="24" t="inlineStr">
        <is>
          <t>КИВИ НА ТИНЬКОФ</t>
        </is>
      </c>
      <c r="B44" s="14">
        <f>Q1/B5/C21*C3-Q1</f>
        <v/>
      </c>
      <c r="C44" s="14">
        <f>Q1/B5/D21*E3-Q1</f>
        <v/>
      </c>
      <c r="D44" s="14">
        <f>Q1/B5/E21*F3-Q1</f>
        <v/>
      </c>
      <c r="E44" s="14">
        <f>Q1/B5/F21*D3-Q1</f>
        <v/>
      </c>
      <c r="G44" s="24" t="inlineStr">
        <is>
          <t>КИВИ НА ТИНЬКОФ</t>
        </is>
      </c>
      <c r="H44" s="14">
        <f>Q1/E5*D21*B3-Q1</f>
        <v/>
      </c>
      <c r="I44" s="14">
        <f>Q1/E5/D22*C3-Q1</f>
        <v/>
      </c>
      <c r="J44" s="14">
        <f>Q1/E5/E23*F3-Q1</f>
        <v/>
      </c>
      <c r="K44" s="14">
        <f>Q1/E5/F23*D3-Q1</f>
        <v/>
      </c>
      <c r="M44" s="24" t="inlineStr">
        <is>
          <t>КИВИ НА ТИНЬКОФ</t>
        </is>
      </c>
      <c r="N44" s="14">
        <f>Q1/D5*F21*B3-Q1</f>
        <v/>
      </c>
      <c r="O44" s="14">
        <f>Q1/D5*F22*C3-Q1</f>
        <v/>
      </c>
      <c r="P44" s="14">
        <f>Q1/D5/E25*F3-Q1</f>
        <v/>
      </c>
      <c r="Q44" s="14">
        <f>Q1/D5*D25*E3-Q1</f>
        <v/>
      </c>
    </row>
    <row r="45" ht="15" customHeight="1" s="78">
      <c r="A45" s="24" t="inlineStr">
        <is>
          <t>КИВИ НА РОСБАНК</t>
        </is>
      </c>
      <c r="B45" s="14">
        <f>Q1/B5/C21*C4-Q1</f>
        <v/>
      </c>
      <c r="C45" s="14">
        <f>Q1/B5/D21*E4-Q1</f>
        <v/>
      </c>
      <c r="D45" s="14">
        <f>Q1/B5/E21*F4-Q1</f>
        <v/>
      </c>
      <c r="E45" s="14">
        <f>Q1/B5/F21*D4-Q1</f>
        <v/>
      </c>
      <c r="G45" s="24" t="inlineStr">
        <is>
          <t>КИВИ НА РОСБАНК</t>
        </is>
      </c>
      <c r="H45" s="14">
        <f>Q1/E5*D21*B4-Q1</f>
        <v/>
      </c>
      <c r="I45" s="14">
        <f>Q1/E5/D22*C4-Q1</f>
        <v/>
      </c>
      <c r="J45" s="14">
        <f>Q1/E5/E23*F4-Q1</f>
        <v/>
      </c>
      <c r="K45" s="14">
        <f>Q1/E5/F23*D4-Q1</f>
        <v/>
      </c>
      <c r="M45" s="24" t="inlineStr">
        <is>
          <t>КИВИ НА РОСБАНК</t>
        </is>
      </c>
      <c r="N45" s="14">
        <f>Q1/D5*F21*B4-Q1</f>
        <v/>
      </c>
      <c r="O45" s="14">
        <f>Q1/D5*F22*C4-Q1</f>
        <v/>
      </c>
      <c r="P45" s="14">
        <f>Q1/D5/E25*F4-Q1</f>
        <v/>
      </c>
      <c r="Q45" s="14">
        <f>Q1/D5*D25*E4-Q1</f>
        <v/>
      </c>
    </row>
    <row r="46">
      <c r="A46" s="24" t="inlineStr">
        <is>
          <t>КИВИ НА ЮМАНИ</t>
        </is>
      </c>
      <c r="B46" s="14">
        <f>Q1/B5/C21*C6-Q1</f>
        <v/>
      </c>
      <c r="C46" s="14">
        <f>Q1/B5/D21*E6-Q1</f>
        <v/>
      </c>
      <c r="D46" s="14">
        <f>Q1/B5/E21*F6-Q1</f>
        <v/>
      </c>
      <c r="E46" s="14">
        <f>Q1/B5/F21*D6-Q1</f>
        <v/>
      </c>
      <c r="G46" s="24" t="inlineStr">
        <is>
          <t>КИВИ НА ЮМАНИ</t>
        </is>
      </c>
      <c r="H46" s="14">
        <f>Q1/E5*D21*B6-Q1</f>
        <v/>
      </c>
      <c r="I46" s="14">
        <f>Q1/E5/D22*C6-Q1</f>
        <v/>
      </c>
      <c r="J46" s="14">
        <f>Q1/E5/E23*F6-Q1</f>
        <v/>
      </c>
      <c r="K46" s="14">
        <f>Q1/E5/F23*D6-Q1</f>
        <v/>
      </c>
      <c r="M46" s="24" t="inlineStr">
        <is>
          <t>КИВИ НА ЮМАНИ</t>
        </is>
      </c>
      <c r="N46" s="14">
        <f>Q1/D5*F21*B6-Q1</f>
        <v/>
      </c>
      <c r="O46" s="14">
        <f>Q1/D5*F22*C6-Q1</f>
        <v/>
      </c>
      <c r="P46" s="14">
        <f>Q1/D5/E25*F6-Q1</f>
        <v/>
      </c>
      <c r="Q46" s="14">
        <f>Q1/D5*D25*E6-Q1</f>
        <v/>
      </c>
    </row>
    <row r="50">
      <c r="A50" s="17" t="inlineStr">
        <is>
          <t>4.2. BTC.</t>
        </is>
      </c>
      <c r="B50" s="18" t="inlineStr">
        <is>
          <t>BTC -&gt; USDT</t>
        </is>
      </c>
      <c r="C50" s="18" t="inlineStr">
        <is>
          <t>BTC -&gt; BUSD</t>
        </is>
      </c>
      <c r="D50" s="18" t="inlineStr">
        <is>
          <t>BTC -&gt; BNB</t>
        </is>
      </c>
      <c r="E50" s="18" t="inlineStr">
        <is>
          <t>BTC -&gt; ETH</t>
        </is>
      </c>
      <c r="G50" s="79" t="inlineStr">
        <is>
          <t>ПОКУПАЕМ КАК ТЕЙКЕР -&gt; МЕНЯЕМ НА УКАЗАННУЮ МОНЕТУ -&gt; ПРОДАЕМ КАК МЕЙКЕР ПО УКАЗАННОЙ ПЛАТЕЖКЕ</t>
        </is>
      </c>
      <c r="M50" s="38" t="inlineStr">
        <is>
          <t>4.5. BNB.</t>
        </is>
      </c>
      <c r="N50" s="39" t="inlineStr">
        <is>
          <t>BNB -&gt; USDT</t>
        </is>
      </c>
      <c r="O50" s="40" t="inlineStr">
        <is>
          <t>BNB -&gt; BTC</t>
        </is>
      </c>
      <c r="P50" s="39" t="inlineStr">
        <is>
          <t>BNB -&gt; ETH</t>
        </is>
      </c>
      <c r="Q50" s="39" t="inlineStr">
        <is>
          <t>BNB -&gt; BUSD</t>
        </is>
      </c>
    </row>
    <row r="51">
      <c r="A51" s="19" t="inlineStr">
        <is>
          <t>ТИНЬКОФ НА ТИНЬКОФ</t>
        </is>
      </c>
      <c r="B51" s="14">
        <f>(((Q1/C3)*C21)*B3)-Q1</f>
        <v/>
      </c>
      <c r="C51" s="14">
        <f>((Q1/C3)*D22)*E3-Q1</f>
        <v/>
      </c>
      <c r="D51" s="14">
        <f>Q1/C3/E22*F3-Q1</f>
        <v/>
      </c>
      <c r="E51" s="14">
        <f>Q1/C3/F22*D3-Q1</f>
        <v/>
      </c>
      <c r="M51" s="19" t="inlineStr">
        <is>
          <t>ТИНЬКОФ НА ТИНЬКОФ</t>
        </is>
      </c>
      <c r="N51" s="14">
        <f>Q1/F3*E21*B3-Q1</f>
        <v/>
      </c>
      <c r="O51" s="14">
        <f>Q1/F3*E22*C3-Q1</f>
        <v/>
      </c>
      <c r="P51" s="14">
        <f>Q1/F3*E25*D3-Q1</f>
        <v/>
      </c>
      <c r="Q51" s="14">
        <f>Q1/F3*E23*E3-Q1</f>
        <v/>
      </c>
    </row>
    <row r="52">
      <c r="A52" s="19" t="inlineStr">
        <is>
          <t>ТИНЬКОФ НА РОСБАНК</t>
        </is>
      </c>
      <c r="B52" s="14">
        <f>Q1/C3*C21*B4-Q1</f>
        <v/>
      </c>
      <c r="C52" s="14">
        <f>Q1/C3*D22*E4-Q1</f>
        <v/>
      </c>
      <c r="D52" s="14">
        <f>Q1/C3/E22*F4-Q1</f>
        <v/>
      </c>
      <c r="E52" s="14">
        <f>Q1/C3/F22*D4-Q1</f>
        <v/>
      </c>
      <c r="M52" s="19" t="inlineStr">
        <is>
          <t>ТИНЬКОФ НА РОСБАНК</t>
        </is>
      </c>
      <c r="N52" s="14">
        <f>Q1/F3*E21*B4-Q1</f>
        <v/>
      </c>
      <c r="O52" s="14">
        <f>Q1/F3*E22*C4-Q1</f>
        <v/>
      </c>
      <c r="P52" s="14">
        <f>Q1/F3*E25*D4-Q1</f>
        <v/>
      </c>
      <c r="Q52" s="14">
        <f>Q1/F3*E23*E4-Q1</f>
        <v/>
      </c>
    </row>
    <row r="53">
      <c r="A53" s="19" t="inlineStr">
        <is>
          <t xml:space="preserve"> ТИНЬКОФ НА ЮМАНИ</t>
        </is>
      </c>
      <c r="B53" s="14">
        <f>Q1/C3*C21*B6-Q1</f>
        <v/>
      </c>
      <c r="C53" s="14">
        <f>Q1/C3*D22*E6-Q1</f>
        <v/>
      </c>
      <c r="D53" s="14">
        <f>Q1/C3/E22*F6-Q1</f>
        <v/>
      </c>
      <c r="E53" s="14">
        <f>Q1/C3/F22*D6-Q1</f>
        <v/>
      </c>
      <c r="M53" s="19" t="inlineStr">
        <is>
          <t xml:space="preserve"> ТИНЬКОФ НА ЮМАНИ</t>
        </is>
      </c>
      <c r="N53" s="14">
        <f>Q1/F3*E21*B6-Q1</f>
        <v/>
      </c>
      <c r="O53" s="14">
        <f>Q1/F3*E22*C6-Q1</f>
        <v/>
      </c>
      <c r="P53" s="14">
        <f>Q1/F3*E25*D6-Q1</f>
        <v/>
      </c>
      <c r="Q53" s="14">
        <f>Q1/F3*E23*E6-Q1</f>
        <v/>
      </c>
    </row>
    <row r="54">
      <c r="A54" s="19" t="inlineStr">
        <is>
          <t>ТИНЬКОФ НА КИВИ</t>
        </is>
      </c>
      <c r="B54" s="14">
        <f>Q1/C3*C21*B5-Q1</f>
        <v/>
      </c>
      <c r="C54" s="14">
        <f>Q1/C3*D22*E5-Q1</f>
        <v/>
      </c>
      <c r="D54" s="14">
        <f>Q1/C3/E22*F5-Q1</f>
        <v/>
      </c>
      <c r="E54" s="14">
        <f>Q1/C3/F22*D5-Q1</f>
        <v/>
      </c>
      <c r="M54" s="19" t="inlineStr">
        <is>
          <t>ТИНЬКОФ НА КИВИ</t>
        </is>
      </c>
      <c r="N54" s="14">
        <f>Q1/F3*E21*B5-Q1</f>
        <v/>
      </c>
      <c r="O54" s="14">
        <f>Q1/F3*E22*C5-Q1</f>
        <v/>
      </c>
      <c r="P54" s="14">
        <f>Q1/F3*E25*D5-Q1</f>
        <v/>
      </c>
      <c r="Q54" s="14">
        <f>Q1/F3*E23*E5-Q1</f>
        <v/>
      </c>
    </row>
    <row r="55">
      <c r="A55" s="21" t="inlineStr">
        <is>
          <t>РОСБАНК НА РОСБАНК</t>
        </is>
      </c>
      <c r="B55" s="14">
        <f>Q1/C4*C21*B4-Q1</f>
        <v/>
      </c>
      <c r="C55" s="14">
        <f>Q1/C4*D22*E4-Q1</f>
        <v/>
      </c>
      <c r="D55" s="14">
        <f>Q1/C4/E22*F4-Q1</f>
        <v/>
      </c>
      <c r="E55" s="14">
        <f>Q1/C4/F22*D4-Q1</f>
        <v/>
      </c>
      <c r="M55" s="21" t="inlineStr">
        <is>
          <t>РОСБАНК НА РОСБАНК</t>
        </is>
      </c>
      <c r="N55" s="14">
        <f>Q1/F4*E21*B4-Q1</f>
        <v/>
      </c>
      <c r="O55" s="14">
        <f>Q1/F4*E22*C4-Q1</f>
        <v/>
      </c>
      <c r="P55" s="14">
        <f>Q1/F4*E25*D4-Q1</f>
        <v/>
      </c>
      <c r="Q55" s="14">
        <f>Q1/F4*E23*E4-Q1</f>
        <v/>
      </c>
    </row>
    <row r="56">
      <c r="A56" s="21" t="inlineStr">
        <is>
          <t>РОСБАНК НА ТИНЬКОФ</t>
        </is>
      </c>
      <c r="B56" s="14">
        <f>Q1/C4*C21*B3-Q1</f>
        <v/>
      </c>
      <c r="C56" s="14">
        <f>Q1/C4*D22*E3-Q1</f>
        <v/>
      </c>
      <c r="D56" s="14">
        <f>Q1/C4/E22*F3-Q1</f>
        <v/>
      </c>
      <c r="E56" s="14">
        <f>Q1/C4/F22*D3-Q1</f>
        <v/>
      </c>
      <c r="M56" s="21" t="inlineStr">
        <is>
          <t>РОСБАНК НА ТИНЬКОФ</t>
        </is>
      </c>
      <c r="N56" s="14">
        <f>Q1/F4*E21*B3-Q1</f>
        <v/>
      </c>
      <c r="O56" s="14">
        <f>Q1/F4*E22*C3-Q1</f>
        <v/>
      </c>
      <c r="P56" s="14">
        <f>Q1/F4*E25*D3-Q1</f>
        <v/>
      </c>
      <c r="Q56" s="14">
        <f>Q1/F4*E23*E3-Q1</f>
        <v/>
      </c>
    </row>
    <row r="57">
      <c r="A57" s="21" t="inlineStr">
        <is>
          <t>РОСБАНК НА ЮМАНИ</t>
        </is>
      </c>
      <c r="B57" s="14">
        <f>Q1/C4*C21*B6-Q1</f>
        <v/>
      </c>
      <c r="C57" s="14">
        <f>Q1/C4*D22*E6-Q1</f>
        <v/>
      </c>
      <c r="D57" s="14">
        <f>Q1/C4/E22*F6-Q1</f>
        <v/>
      </c>
      <c r="E57" s="14">
        <f>Q1/C4/F22*D6-Q1</f>
        <v/>
      </c>
      <c r="M57" s="21" t="inlineStr">
        <is>
          <t>РОСБАНК НА ЮМАНИ</t>
        </is>
      </c>
      <c r="N57" s="14">
        <f>Q1/F4*E21*B6-Q1</f>
        <v/>
      </c>
      <c r="O57" s="14">
        <f>Q1/F4*E22*C6-Q1</f>
        <v/>
      </c>
      <c r="P57" s="14">
        <f>Q1/F4*E25*D6-Q1</f>
        <v/>
      </c>
      <c r="Q57" s="14">
        <f>Q1/F4*E23*E6-Q1</f>
        <v/>
      </c>
    </row>
    <row r="58">
      <c r="A58" s="21" t="inlineStr">
        <is>
          <t>РОСБАНК НА КИВИ</t>
        </is>
      </c>
      <c r="B58" s="14">
        <f>Q1/C4*C21*B5-Q1</f>
        <v/>
      </c>
      <c r="C58" s="14">
        <f>Q1/C4*D22*E5-Q1</f>
        <v/>
      </c>
      <c r="D58" s="14">
        <f>Q1/C4/E22*F5-Q1</f>
        <v/>
      </c>
      <c r="E58" s="14">
        <f>Q1/C4/F22*D5-Q1</f>
        <v/>
      </c>
      <c r="M58" s="21" t="inlineStr">
        <is>
          <t>РОСБАНК НА КИВИ</t>
        </is>
      </c>
      <c r="N58" s="14">
        <f>Q1/F4*E21*B5-Q1</f>
        <v/>
      </c>
      <c r="O58" s="14">
        <f>Q1/F4*E22*C5-Q1</f>
        <v/>
      </c>
      <c r="P58" s="14">
        <f>Q1/F4*E25*D5-Q1</f>
        <v/>
      </c>
      <c r="Q58" s="14">
        <f>Q1/F4*E23*E5-Q1</f>
        <v/>
      </c>
    </row>
    <row r="59">
      <c r="A59" s="23" t="inlineStr">
        <is>
          <t>ЮМАНИ НА ЮМАНИ</t>
        </is>
      </c>
      <c r="B59" s="14">
        <f>Q1/C6*C21*B6-Q1</f>
        <v/>
      </c>
      <c r="C59" s="14">
        <f>Q1/C6*D22*E6-Q1</f>
        <v/>
      </c>
      <c r="D59" s="14">
        <f>Q1/C6/E22*F6-Q1</f>
        <v/>
      </c>
      <c r="E59" s="14">
        <f>Q1/C6/F22*D6-Q1</f>
        <v/>
      </c>
      <c r="M59" s="23" t="inlineStr">
        <is>
          <t>ЮМАНИ НА ЮМАНИ</t>
        </is>
      </c>
      <c r="N59" s="14">
        <f>Q1/F6*E21*B6-Q1</f>
        <v/>
      </c>
      <c r="O59" s="14">
        <f>Q1/F6*E22*C6-Q1</f>
        <v/>
      </c>
      <c r="P59" s="14">
        <f>Q1/F6*E25*D6-Q1</f>
        <v/>
      </c>
      <c r="Q59" s="14">
        <f>Q1/F6*E23*E6-Q1</f>
        <v/>
      </c>
    </row>
    <row r="60">
      <c r="A60" s="23" t="inlineStr">
        <is>
          <t>ЮМАНИ НА ТИНЬКОФ</t>
        </is>
      </c>
      <c r="B60" s="14">
        <f>Q1/C6*C21*B3-Q1</f>
        <v/>
      </c>
      <c r="C60" s="14">
        <f>Q1/C6*D22*E3-Q1</f>
        <v/>
      </c>
      <c r="D60" s="14">
        <f>Q1/C6/E22*F3-Q1</f>
        <v/>
      </c>
      <c r="E60" s="14">
        <f>Q1/C6/F22*D3-Q1</f>
        <v/>
      </c>
      <c r="M60" s="23" t="inlineStr">
        <is>
          <t>ЮМАНИ НА ТИНЬКОФ</t>
        </is>
      </c>
      <c r="N60" s="14">
        <f>Q1/F6*E21*B3-Q1</f>
        <v/>
      </c>
      <c r="O60" s="14">
        <f>Q1/F6*E22*C3-Q1</f>
        <v/>
      </c>
      <c r="P60" s="14">
        <f>Q1/F6*E25*D3-Q1</f>
        <v/>
      </c>
      <c r="Q60" s="14">
        <f>Q1/F6*E23*E3-Q1</f>
        <v/>
      </c>
    </row>
    <row r="61">
      <c r="A61" s="23" t="inlineStr">
        <is>
          <t>ЮМАНИ НА РОСБАНК</t>
        </is>
      </c>
      <c r="B61" s="14">
        <f>Q1/C6*C21*B4-Q1</f>
        <v/>
      </c>
      <c r="C61" s="14">
        <f>Q1/C6*D22*E4-Q1</f>
        <v/>
      </c>
      <c r="D61" s="14">
        <f>Q1/C6/E22*F4-Q1</f>
        <v/>
      </c>
      <c r="E61" s="14">
        <f>Q1/C6/F22*D4-Q1</f>
        <v/>
      </c>
      <c r="M61" s="23" t="inlineStr">
        <is>
          <t>ЮМАНИ НА РОСБАНК</t>
        </is>
      </c>
      <c r="N61" s="14">
        <f>Q1/F6*E21*B4-Q1</f>
        <v/>
      </c>
      <c r="O61" s="14">
        <f>Q1/F6*E22*C4-Q1</f>
        <v/>
      </c>
      <c r="P61" s="14">
        <f>Q1/F6*E25*D4-Q1</f>
        <v/>
      </c>
      <c r="Q61" s="14">
        <f>Q1/F6*E23*E4-Q1</f>
        <v/>
      </c>
    </row>
    <row r="62">
      <c r="A62" s="23" t="inlineStr">
        <is>
          <t>ЮМАНИ НА КИВИ</t>
        </is>
      </c>
      <c r="B62" s="14">
        <f>Q1/C6*C21*B5-Q1</f>
        <v/>
      </c>
      <c r="C62" s="14">
        <f>Q1/C6*D22*E5-Q1</f>
        <v/>
      </c>
      <c r="D62" s="14">
        <f>Q1/C6/E22*F5-Q1</f>
        <v/>
      </c>
      <c r="E62" s="14">
        <f>Q1/C6/F22*D5-Q1</f>
        <v/>
      </c>
      <c r="M62" s="23" t="inlineStr">
        <is>
          <t>ЮМАНИ НА КИВИ</t>
        </is>
      </c>
      <c r="N62" s="14">
        <f>Q1/F6*E21*B5-Q1</f>
        <v/>
      </c>
      <c r="O62" s="14">
        <f>Q1/F6*E22*C5-Q1</f>
        <v/>
      </c>
      <c r="P62" s="14">
        <f>Q1/F6*E25*D5-Q1</f>
        <v/>
      </c>
      <c r="Q62" s="14">
        <f>Q1/F6*E23*E5-Q1</f>
        <v/>
      </c>
    </row>
    <row r="63">
      <c r="A63" s="24" t="inlineStr">
        <is>
          <t>КИВИ НА КИВИ</t>
        </is>
      </c>
      <c r="B63" s="14">
        <f>Q1/C5*C21*B5-Q1</f>
        <v/>
      </c>
      <c r="C63" s="14">
        <f>Q1/C5*D22*E5-Q1</f>
        <v/>
      </c>
      <c r="D63" s="14">
        <f>Q1/C5/E22*F5-Q1</f>
        <v/>
      </c>
      <c r="E63" s="14">
        <f>Q1/C5/F22*D5-Q1</f>
        <v/>
      </c>
      <c r="M63" s="24" t="inlineStr">
        <is>
          <t>КИВИ НА КИВИ</t>
        </is>
      </c>
      <c r="N63" s="14">
        <f>Q1/F5*E21*B5-Q1</f>
        <v/>
      </c>
      <c r="O63" s="14">
        <f>Q1/F5*E22*C5-Q1</f>
        <v/>
      </c>
      <c r="P63" s="14">
        <f>Q1/F5*E25*D5-Q1</f>
        <v/>
      </c>
      <c r="Q63" s="14">
        <f>Q1/F5*E23*E5-Q1</f>
        <v/>
      </c>
    </row>
    <row r="64">
      <c r="A64" s="24" t="inlineStr">
        <is>
          <t>КИВИ НА ТИНЬКОФ</t>
        </is>
      </c>
      <c r="B64" s="14">
        <f>Q1/C5*C21*B3-Q1</f>
        <v/>
      </c>
      <c r="C64" s="14">
        <f>Q1/C5*D22*E3-Q1</f>
        <v/>
      </c>
      <c r="D64" s="14">
        <f>Q1/C5/E22*F3-Q1</f>
        <v/>
      </c>
      <c r="E64" s="14">
        <f>Q1/C5/F22*D3-Q1</f>
        <v/>
      </c>
      <c r="M64" s="24" t="inlineStr">
        <is>
          <t>КИВИ НА ТИНЬКОФ</t>
        </is>
      </c>
      <c r="N64" s="14">
        <f>Q1/F5*E21*B3-Q1</f>
        <v/>
      </c>
      <c r="O64" s="14">
        <f>Q1/F5*E22*C3-Q1</f>
        <v/>
      </c>
      <c r="P64" s="14">
        <f>Q1/F5*E25*D3-Q1</f>
        <v/>
      </c>
      <c r="Q64" s="14">
        <f>Q1/F5*E23*E3-Q1</f>
        <v/>
      </c>
    </row>
    <row r="65">
      <c r="A65" s="24" t="inlineStr">
        <is>
          <t>КИВИ НА РОСБАНК</t>
        </is>
      </c>
      <c r="B65" s="14">
        <f>Q1/C5*C21*B4-Q1</f>
        <v/>
      </c>
      <c r="C65" s="14">
        <f>Q1/C5*D22*E4-Q1</f>
        <v/>
      </c>
      <c r="D65" s="14">
        <f>Q1/C5/E22*F4-Q1</f>
        <v/>
      </c>
      <c r="E65" s="14">
        <f>Q1/C5/F22*D4-Q1</f>
        <v/>
      </c>
      <c r="M65" s="24" t="inlineStr">
        <is>
          <t>КИВИ НА РОСБАНК</t>
        </is>
      </c>
      <c r="N65" s="14">
        <f>Q1/F5*E21*B4-Q1</f>
        <v/>
      </c>
      <c r="O65" s="14">
        <f>Q1/F5*E22*C4-Q1</f>
        <v/>
      </c>
      <c r="P65" s="14">
        <f>Q1/F5*E25*D4-Q1</f>
        <v/>
      </c>
      <c r="Q65" s="14">
        <f>Q1/F5*E23*E4-Q1</f>
        <v/>
      </c>
    </row>
    <row r="66">
      <c r="A66" s="24" t="inlineStr">
        <is>
          <t>КИВИ НА ЮМАНИ</t>
        </is>
      </c>
      <c r="B66" s="14">
        <f>Q1/C5*C21*B6-Q1</f>
        <v/>
      </c>
      <c r="C66" s="14">
        <f>Q1/C5*D22*E6-Q1</f>
        <v/>
      </c>
      <c r="D66" s="14">
        <f>Q1/C5/E22*F6-Q1</f>
        <v/>
      </c>
      <c r="E66" s="14">
        <f>Q1/C5/F22*D6-Q1</f>
        <v/>
      </c>
      <c r="M66" s="24" t="inlineStr">
        <is>
          <t>КИВИ НА ЮМАНИ</t>
        </is>
      </c>
      <c r="N66" s="14">
        <f>Q1/F5*E21*B6-Q1</f>
        <v/>
      </c>
      <c r="O66" s="14">
        <f>Q1/F5*E22*C6-Q1</f>
        <v/>
      </c>
      <c r="P66" s="14">
        <f>Q1/F5*E25*D6-Q1</f>
        <v/>
      </c>
      <c r="Q66" s="14">
        <f>Q1/F5*E23*E6-Q1</f>
        <v/>
      </c>
    </row>
    <row r="67"/>
    <row r="70" ht="89.25" customHeight="1" s="78">
      <c r="C70" s="75" t="inlineStr">
        <is>
          <t xml:space="preserve"> Покупаем цене 1, продаем
по цене 1 на другие платежки")</t>
        </is>
      </c>
      <c r="D70" s="74">
        <f>IFERROR(__xludf.DUMMYFUNCTION("""COMPUTED_VALUE"""),"С Тинькофф от любой суммы
 на QIWI от любой суммы")</f>
        <v/>
      </c>
      <c r="E70" s="74">
        <f>IFERROR(__xludf.DUMMYFUNCTION("""COMPUTED_VALUE"""),"С Тинькофф от любой суммы
 на Юмани от любой суммы")</f>
        <v/>
      </c>
      <c r="F70" s="74">
        <f>IFERROR(__xludf.DUMMYFUNCTION("""COMPUTED_VALUE"""),"С Тинькофф от любой суммы
 на Росбанк от любой суммы")</f>
        <v/>
      </c>
      <c r="G70" s="74">
        <f>IFERROR(__xludf.DUMMYFUNCTION("""COMPUTED_VALUE"""),"С Росбанк от любой суммы
 на Тинькофф от любой суммы")</f>
        <v/>
      </c>
      <c r="H70" s="74">
        <f>IFERROR(__xludf.DUMMYFUNCTION("""COMPUTED_VALUE"""),"С Росбанк от любой суммы
 на QIWI от любой суммы")</f>
        <v/>
      </c>
      <c r="I70" s="74">
        <f>IFERROR(__xludf.DUMMYFUNCTION("""COMPUTED_VALUE"""),"С Росбанк от любой суммы
 на Юмани от любой суммы")</f>
        <v/>
      </c>
      <c r="J70" s="74">
        <f>IFERROR(__xludf.DUMMYFUNCTION("""COMPUTED_VALUE"""),"С QIWI от любой суммы
 на Тинькофф от любой суммы")</f>
        <v/>
      </c>
      <c r="K70" s="74">
        <f>IFERROR(__xludf.DUMMYFUNCTION("""COMPUTED_VALUE"""),"С QIWI от любой суммы
 на Юмани от любой суммы")</f>
        <v/>
      </c>
      <c r="L70" s="74">
        <f>IFERROR(__xludf.DUMMYFUNCTION("""COMPUTED_VALUE"""),"С QIWI от любой суммы
 на Росбанк от любой суммы")</f>
        <v/>
      </c>
      <c r="M70" s="74">
        <f>IFERROR(__xludf.DUMMYFUNCTION("""COMPUTED_VALUE"""),"С Юмани от любой суммы
 на Тинькофф от любой суммы")</f>
        <v/>
      </c>
      <c r="N70" s="74">
        <f>IFERROR(__xludf.DUMMYFUNCTION("""COMPUTED_VALUE"""),"С Юмани от любой суммы
 на Росбанк от любой суммы")</f>
        <v/>
      </c>
      <c r="O70" s="74">
        <f>IFERROR(__xludf.DUMMYFUNCTION("""COMPUTED_VALUE"""),"С Юмани от любой суммы
 на QIWI от любой суммы")</f>
        <v/>
      </c>
    </row>
    <row r="71">
      <c r="C71" s="12" t="inlineStr">
        <is>
          <t>USDT</t>
        </is>
      </c>
      <c r="D71" s="13">
        <f>Q1/B3*B5-Q1</f>
        <v/>
      </c>
      <c r="E71" s="14">
        <f>Q1/B3*B6-Q1</f>
        <v/>
      </c>
      <c r="F71" s="13">
        <f>Q1/B3*B4-Q1</f>
        <v/>
      </c>
      <c r="G71" s="14">
        <f>Q1/B4*B3-Q1</f>
        <v/>
      </c>
      <c r="H71" s="13">
        <f>Q1/B4*B5-Q1</f>
        <v/>
      </c>
      <c r="I71" s="14">
        <f>Q1/B4*B6-Q1</f>
        <v/>
      </c>
      <c r="J71" s="14">
        <f>Q1/B5*B3-Q1</f>
        <v/>
      </c>
      <c r="K71" s="14">
        <f>Q1/B5*B6-Q1</f>
        <v/>
      </c>
      <c r="L71" s="14">
        <f>Q1/B5*B4-Q1</f>
        <v/>
      </c>
      <c r="M71" s="13">
        <f>Q1/B6*B3-Q1</f>
        <v/>
      </c>
      <c r="N71" s="13">
        <f>Q1/B6*B4-Q1</f>
        <v/>
      </c>
      <c r="O71" s="13">
        <f>Q1/B6*B5-Q1</f>
        <v/>
      </c>
    </row>
    <row r="72">
      <c r="C72" s="12" t="inlineStr">
        <is>
          <t>BTC</t>
        </is>
      </c>
      <c r="D72" s="14">
        <f>Q1/C3*C5-Q1</f>
        <v/>
      </c>
      <c r="E72" s="14">
        <f>Q1/C3*C6-Q1</f>
        <v/>
      </c>
      <c r="F72" s="14">
        <f>Q1/C3*C4-Q1</f>
        <v/>
      </c>
      <c r="G72" s="13">
        <f>Q1/C4*C3-Q1</f>
        <v/>
      </c>
      <c r="H72" s="14">
        <f>Q1/C4*C5-Q1</f>
        <v/>
      </c>
      <c r="I72" s="14">
        <f>Q1/C4*C6-Q1</f>
        <v/>
      </c>
      <c r="J72" s="13">
        <f>Q1/C5*C3-Q1</f>
        <v/>
      </c>
      <c r="K72" s="14">
        <f>Q1/C5*C6-Q1</f>
        <v/>
      </c>
      <c r="L72" s="13">
        <f>Q1/C5*C4-Q1</f>
        <v/>
      </c>
      <c r="M72" s="13">
        <f>Q1/C6*C3-Q1</f>
        <v/>
      </c>
      <c r="N72" s="13">
        <f>Q1/C6*C4-Q1</f>
        <v/>
      </c>
      <c r="O72" s="13">
        <f>Q1/C6*C5-Q1</f>
        <v/>
      </c>
    </row>
    <row r="73">
      <c r="C73" s="12" t="inlineStr">
        <is>
          <t>BUSD</t>
        </is>
      </c>
      <c r="D73" s="14">
        <f>Q1/E3*E5-Q1</f>
        <v/>
      </c>
      <c r="E73" s="14">
        <f>Q1/E3*E6-Q1</f>
        <v/>
      </c>
      <c r="F73" s="13">
        <f>Q1/E3*E4-Q1</f>
        <v/>
      </c>
      <c r="G73" s="13">
        <f>Q1/E4*E3-Q1</f>
        <v/>
      </c>
      <c r="H73" s="14">
        <f>Q1/E4*E5-Q1</f>
        <v/>
      </c>
      <c r="I73" s="14">
        <f>Q1/E4*E6-Q1</f>
        <v/>
      </c>
      <c r="J73" s="13">
        <f>Q1/E5*E3-Q1</f>
        <v/>
      </c>
      <c r="K73" s="14">
        <f>Q1/E5*E6-Q1</f>
        <v/>
      </c>
      <c r="L73" s="13">
        <f>Q1/E5*E4-Q1</f>
        <v/>
      </c>
      <c r="M73" s="13">
        <f>Q1/E6*E3-Q1</f>
        <v/>
      </c>
      <c r="N73" s="13">
        <f>Q1/E6*E4-Q1</f>
        <v/>
      </c>
      <c r="O73" s="13">
        <f>Q1/E6*E5-Q1</f>
        <v/>
      </c>
    </row>
    <row r="74">
      <c r="C74" s="12" t="inlineStr">
        <is>
          <t>BNB</t>
        </is>
      </c>
      <c r="D74" s="14">
        <f>Q1/F3*F5-Q1</f>
        <v/>
      </c>
      <c r="E74" s="14">
        <f>Q1/F3*F6-Q1</f>
        <v/>
      </c>
      <c r="F74" s="14">
        <f>Q1/F3*F4-Q1</f>
        <v/>
      </c>
      <c r="G74" s="13">
        <f>Q1/F4*F3-Q1</f>
        <v/>
      </c>
      <c r="H74" s="14">
        <f>Q1/F4*F5-Q1</f>
        <v/>
      </c>
      <c r="I74" s="14">
        <f>Q1/F4*F6-Q1</f>
        <v/>
      </c>
      <c r="J74" s="13">
        <f>Q1/F5*F3-Q1</f>
        <v/>
      </c>
      <c r="K74" s="14">
        <f>Q1/F5*F6-Q1</f>
        <v/>
      </c>
      <c r="L74" s="13">
        <f>Q1/F5*F4-Q1</f>
        <v/>
      </c>
      <c r="M74" s="13">
        <f>Q1/F6*F3-Q1</f>
        <v/>
      </c>
      <c r="N74" s="13">
        <f>Q1/F6*F4-Q1</f>
        <v/>
      </c>
      <c r="O74" s="13">
        <f>Q1/F6*F5-Q1</f>
        <v/>
      </c>
    </row>
    <row r="75">
      <c r="C75" s="12" t="inlineStr">
        <is>
          <t>ETH</t>
        </is>
      </c>
      <c r="D75" s="14">
        <f>Q1/D3*D5-Q1</f>
        <v/>
      </c>
      <c r="E75" s="14">
        <f>Q1/D3*D6-Q1</f>
        <v/>
      </c>
      <c r="F75" s="14">
        <f>Q1/D3*D4-Q1</f>
        <v/>
      </c>
      <c r="G75" s="13">
        <f>Q1/D4*D3-Q1</f>
        <v/>
      </c>
      <c r="H75" s="14">
        <f>Q1/D4*D5-Q1</f>
        <v/>
      </c>
      <c r="I75" s="14">
        <f>Q1/D4*D6-Q1</f>
        <v/>
      </c>
      <c r="J75" s="13">
        <f>Q1/D5*D3-Q1</f>
        <v/>
      </c>
      <c r="K75" s="14">
        <f>Q1/D5*D6-Q1</f>
        <v/>
      </c>
      <c r="L75" s="13">
        <f>Q1/D5*D4-Q1</f>
        <v/>
      </c>
      <c r="M75" s="13">
        <f>Q1/D6*D3-Q1</f>
        <v/>
      </c>
      <c r="N75" s="13">
        <f>Q1/D6*D4-Q1</f>
        <v/>
      </c>
      <c r="O75" s="13">
        <f>Q1/D6*D5-Q1</f>
        <v/>
      </c>
    </row>
    <row r="76">
      <c r="C76" s="12" t="inlineStr">
        <is>
          <t>S</t>
        </is>
      </c>
    </row>
  </sheetData>
  <mergeCells count="3">
    <mergeCell ref="B1:H1"/>
    <mergeCell ref="G50:K67"/>
    <mergeCell ref="I1:M1"/>
  </mergeCells>
  <conditionalFormatting sqref="B51:E66 H30:K46 N30:Q46 N50:Q66">
    <cfRule type="cellIs" priority="75" operator="greaterThan" dxfId="1">
      <formula>0</formula>
    </cfRule>
    <cfRule type="cellIs" priority="76" operator="lessThanOrEqual" dxfId="0">
      <formula>0</formula>
    </cfRule>
  </conditionalFormatting>
  <conditionalFormatting sqref="A50:A66">
    <cfRule type="beginsWith" priority="77" operator="beginsWith" dxfId="17" text="Тинькофф">
      <formula>LEFT((A50),LEN("Тинькофф"))=("Тинькофф")</formula>
    </cfRule>
    <cfRule type="beginsWith" priority="78" operator="beginsWith" dxfId="16" text="Росбанк">
      <formula>LEFT((A50),LEN("Росбанк"))=("Росбанк")</formula>
    </cfRule>
    <cfRule type="beginsWith" priority="79" operator="beginsWith" dxfId="15" text="Юмани">
      <formula>LEFT((A50),LEN("Юмани"))=("Юмани")</formula>
    </cfRule>
    <cfRule type="beginsWith" priority="80" operator="beginsWith" dxfId="14" text="QIWI">
      <formula>LEFT((A50),LEN("QIWI"))=("QIWI")</formula>
    </cfRule>
    <cfRule type="beginsWith" priority="81" operator="beginsWith" dxfId="13" text="Райфайзенбанк">
      <formula>LEFT((A50),LEN("Райфайзенбанк"))=("Райфайзенбанк")</formula>
    </cfRule>
    <cfRule type="beginsWith" priority="82" operator="beginsWith" dxfId="12" text="Почта Банк">
      <formula>LEFT((A50),LEN("Почта Банк"))=("Почта Банк")</formula>
    </cfRule>
    <cfRule type="beginsWith" priority="83" operator="beginsWith" dxfId="11" text="МТС-Банк">
      <formula>LEFT((A50),LEN("МТС-Банк"))=("МТС-Банк")</formula>
    </cfRule>
    <cfRule type="beginsWith" priority="84" operator="beginsWith" dxfId="10" text="Хоум Кредит Банк">
      <formula>LEFT((A50),LEN("Хоум Кредит Банк"))=("Хоум Кредит Банк")</formula>
    </cfRule>
    <cfRule type="beginsWith" priority="85" operator="beginsWith" dxfId="9" text="A-Bank">
      <formula>LEFT((A50),LEN("A-Bank"))=("A-Bank")</formula>
    </cfRule>
    <cfRule type="beginsWith" priority="86" operator="beginsWith" dxfId="8" text="Payeer">
      <formula>LEFT((A50),LEN("Payeer"))=("Payeer")</formula>
    </cfRule>
    <cfRule type="beginsWith" priority="87" operator="beginsWith" dxfId="7" text="Advcash">
      <formula>LEFT((A50),LEN("Advcash"))=("Advcash")</formula>
    </cfRule>
    <cfRule type="beginsWith" priority="88" operator="beginsWith" dxfId="6" text="Фиатный баланс">
      <formula>LEFT((A50),LEN("Фиатный баланс"))=("Фиатный баланс")</formula>
    </cfRule>
  </conditionalFormatting>
  <conditionalFormatting sqref="B30:E46">
    <cfRule type="cellIs" priority="61" operator="greaterThan" dxfId="1">
      <formula>0</formula>
    </cfRule>
    <cfRule type="cellIs" priority="62" operator="lessThanOrEqual" dxfId="0">
      <formula>0</formula>
    </cfRule>
  </conditionalFormatting>
  <conditionalFormatting sqref="A30:A46">
    <cfRule type="beginsWith" priority="63" operator="beginsWith" dxfId="17" text="Тинькофф">
      <formula>LEFT((A30),LEN("Тинькофф"))=("Тинькофф")</formula>
    </cfRule>
    <cfRule type="beginsWith" priority="64" operator="beginsWith" dxfId="16" text="Росбанк">
      <formula>LEFT((A30),LEN("Росбанк"))=("Росбанк")</formula>
    </cfRule>
    <cfRule type="beginsWith" priority="65" operator="beginsWith" dxfId="15" text="Юмани">
      <formula>LEFT((A30),LEN("Юмани"))=("Юмани")</formula>
    </cfRule>
    <cfRule type="beginsWith" priority="66" operator="beginsWith" dxfId="14" text="QIWI">
      <formula>LEFT((A30),LEN("QIWI"))=("QIWI")</formula>
    </cfRule>
    <cfRule type="beginsWith" priority="67" operator="beginsWith" dxfId="13" text="Райфайзенбанк">
      <formula>LEFT((A30),LEN("Райфайзенбанк"))=("Райфайзенбанк")</formula>
    </cfRule>
    <cfRule type="beginsWith" priority="68" operator="beginsWith" dxfId="12" text="Почта Банк">
      <formula>LEFT((A30),LEN("Почта Банк"))=("Почта Банк")</formula>
    </cfRule>
    <cfRule type="beginsWith" priority="69" operator="beginsWith" dxfId="11" text="МТС-Банк">
      <formula>LEFT((A30),LEN("МТС-Банк"))=("МТС-Банк")</formula>
    </cfRule>
    <cfRule type="beginsWith" priority="70" operator="beginsWith" dxfId="10" text="Хоум Кредит Банк">
      <formula>LEFT((A30),LEN("Хоум Кредит Банк"))=("Хоум Кредит Банк")</formula>
    </cfRule>
    <cfRule type="beginsWith" priority="71" operator="beginsWith" dxfId="9" text="A-Bank">
      <formula>LEFT((A30),LEN("A-Bank"))=("A-Bank")</formula>
    </cfRule>
    <cfRule type="beginsWith" priority="72" operator="beginsWith" dxfId="8" text="Payeer">
      <formula>LEFT((A30),LEN("Payeer"))=("Payeer")</formula>
    </cfRule>
    <cfRule type="beginsWith" priority="73" operator="beginsWith" dxfId="7" text="Advcash">
      <formula>LEFT((A30),LEN("Advcash"))=("Advcash")</formula>
    </cfRule>
    <cfRule type="beginsWith" priority="74" operator="beginsWith" dxfId="6" text="Фиатный баланс">
      <formula>LEFT((A30),LEN("Фиатный баланс"))=("Фиатный баланс")</formula>
    </cfRule>
  </conditionalFormatting>
  <conditionalFormatting sqref="G30:G46">
    <cfRule type="beginsWith" priority="47" operator="beginsWith" dxfId="17" text="Тинькофф">
      <formula>LEFT((G30),LEN("Тинькофф"))=("Тинькофф")</formula>
    </cfRule>
    <cfRule type="beginsWith" priority="48" operator="beginsWith" dxfId="16" text="Росбанк">
      <formula>LEFT((G30),LEN("Росбанк"))=("Росбанк")</formula>
    </cfRule>
    <cfRule type="beginsWith" priority="49" operator="beginsWith" dxfId="15" text="Юмани">
      <formula>LEFT((G30),LEN("Юмани"))=("Юмани")</formula>
    </cfRule>
    <cfRule type="beginsWith" priority="50" operator="beginsWith" dxfId="14" text="QIWI">
      <formula>LEFT((G30),LEN("QIWI"))=("QIWI")</formula>
    </cfRule>
    <cfRule type="beginsWith" priority="51" operator="beginsWith" dxfId="13" text="Райфайзенбанк">
      <formula>LEFT((G30),LEN("Райфайзенбанк"))=("Райфайзенбанк")</formula>
    </cfRule>
    <cfRule type="beginsWith" priority="52" operator="beginsWith" dxfId="12" text="Почта Банк">
      <formula>LEFT((G30),LEN("Почта Банк"))=("Почта Банк")</formula>
    </cfRule>
    <cfRule type="beginsWith" priority="53" operator="beginsWith" dxfId="11" text="МТС-Банк">
      <formula>LEFT((G30),LEN("МТС-Банк"))=("МТС-Банк")</formula>
    </cfRule>
    <cfRule type="beginsWith" priority="54" operator="beginsWith" dxfId="10" text="Хоум Кредит Банк">
      <formula>LEFT((G30),LEN("Хоум Кредит Банк"))=("Хоум Кредит Банк")</formula>
    </cfRule>
    <cfRule type="beginsWith" priority="55" operator="beginsWith" dxfId="9" text="A-Bank">
      <formula>LEFT((G30),LEN("A-Bank"))=("A-Bank")</formula>
    </cfRule>
    <cfRule type="beginsWith" priority="56" operator="beginsWith" dxfId="8" text="Payeer">
      <formula>LEFT((G30),LEN("Payeer"))=("Payeer")</formula>
    </cfRule>
    <cfRule type="beginsWith" priority="57" operator="beginsWith" dxfId="7" text="Advcash">
      <formula>LEFT((G30),LEN("Advcash"))=("Advcash")</formula>
    </cfRule>
    <cfRule type="beginsWith" priority="58" operator="beginsWith" dxfId="6" text="Фиатный баланс">
      <formula>LEFT((G30),LEN("Фиатный баланс"))=("Фиатный баланс")</formula>
    </cfRule>
  </conditionalFormatting>
  <conditionalFormatting sqref="M30:M46">
    <cfRule type="beginsWith" priority="19" operator="beginsWith" dxfId="17" text="Тинькофф">
      <formula>LEFT((M30),LEN("Тинькофф"))=("Тинькофф")</formula>
    </cfRule>
    <cfRule type="beginsWith" priority="20" operator="beginsWith" dxfId="16" text="Росбанк">
      <formula>LEFT((M30),LEN("Росбанк"))=("Росбанк")</formula>
    </cfRule>
    <cfRule type="beginsWith" priority="21" operator="beginsWith" dxfId="15" text="Юмани">
      <formula>LEFT((M30),LEN("Юмани"))=("Юмани")</formula>
    </cfRule>
    <cfRule type="beginsWith" priority="22" operator="beginsWith" dxfId="14" text="QIWI">
      <formula>LEFT((M30),LEN("QIWI"))=("QIWI")</formula>
    </cfRule>
    <cfRule type="beginsWith" priority="23" operator="beginsWith" dxfId="13" text="Райфайзенбанк">
      <formula>LEFT((M30),LEN("Райфайзенбанк"))=("Райфайзенбанк")</formula>
    </cfRule>
    <cfRule type="beginsWith" priority="24" operator="beginsWith" dxfId="12" text="Почта Банк">
      <formula>LEFT((M30),LEN("Почта Банк"))=("Почта Банк")</formula>
    </cfRule>
    <cfRule type="beginsWith" priority="25" operator="beginsWith" dxfId="11" text="МТС-Банк">
      <formula>LEFT((M30),LEN("МТС-Банк"))=("МТС-Банк")</formula>
    </cfRule>
    <cfRule type="beginsWith" priority="26" operator="beginsWith" dxfId="10" text="Хоум Кредит Банк">
      <formula>LEFT((M30),LEN("Хоум Кредит Банк"))=("Хоум Кредит Банк")</formula>
    </cfRule>
    <cfRule type="beginsWith" priority="27" operator="beginsWith" dxfId="9" text="A-Bank">
      <formula>LEFT((M30),LEN("A-Bank"))=("A-Bank")</formula>
    </cfRule>
    <cfRule type="beginsWith" priority="28" operator="beginsWith" dxfId="8" text="Payeer">
      <formula>LEFT((M30),LEN("Payeer"))=("Payeer")</formula>
    </cfRule>
    <cfRule type="beginsWith" priority="29" operator="beginsWith" dxfId="7" text="Advcash">
      <formula>LEFT((M30),LEN("Advcash"))=("Advcash")</formula>
    </cfRule>
    <cfRule type="beginsWith" priority="30" operator="beginsWith" dxfId="6" text="Фиатный баланс">
      <formula>LEFT((M30),LEN("Фиатный баланс"))=("Фиатный баланс")</formula>
    </cfRule>
  </conditionalFormatting>
  <conditionalFormatting sqref="M50:M66">
    <cfRule type="beginsWith" priority="5" operator="beginsWith" dxfId="17" text="Тинькофф">
      <formula>LEFT((M50),LEN("Тинькофф"))=("Тинькофф")</formula>
    </cfRule>
    <cfRule type="beginsWith" priority="6" operator="beginsWith" dxfId="16" text="Росбанк">
      <formula>LEFT((M50),LEN("Росбанк"))=("Росбанк")</formula>
    </cfRule>
    <cfRule type="beginsWith" priority="7" operator="beginsWith" dxfId="15" text="Юмани">
      <formula>LEFT((M50),LEN("Юмани"))=("Юмани")</formula>
    </cfRule>
    <cfRule type="beginsWith" priority="8" operator="beginsWith" dxfId="14" text="QIWI">
      <formula>LEFT((M50),LEN("QIWI"))=("QIWI")</formula>
    </cfRule>
    <cfRule type="beginsWith" priority="9" operator="beginsWith" dxfId="13" text="Райфайзенбанк">
      <formula>LEFT((M50),LEN("Райфайзенбанк"))=("Райфайзенбанк")</formula>
    </cfRule>
    <cfRule type="beginsWith" priority="10" operator="beginsWith" dxfId="12" text="Почта Банк">
      <formula>LEFT((M50),LEN("Почта Банк"))=("Почта Банк")</formula>
    </cfRule>
    <cfRule type="beginsWith" priority="11" operator="beginsWith" dxfId="11" text="МТС-Банк">
      <formula>LEFT((M50),LEN("МТС-Банк"))=("МТС-Банк")</formula>
    </cfRule>
    <cfRule type="beginsWith" priority="12" operator="beginsWith" dxfId="10" text="Хоум Кредит Банк">
      <formula>LEFT((M50),LEN("Хоум Кредит Банк"))=("Хоум Кредит Банк")</formula>
    </cfRule>
    <cfRule type="beginsWith" priority="13" operator="beginsWith" dxfId="9" text="A-Bank">
      <formula>LEFT((M50),LEN("A-Bank"))=("A-Bank")</formula>
    </cfRule>
    <cfRule type="beginsWith" priority="14" operator="beginsWith" dxfId="8" text="Payeer">
      <formula>LEFT((M50),LEN("Payeer"))=("Payeer")</formula>
    </cfRule>
    <cfRule type="beginsWith" priority="15" operator="beginsWith" dxfId="7" text="Advcash">
      <formula>LEFT((M50),LEN("Advcash"))=("Advcash")</formula>
    </cfRule>
    <cfRule type="beginsWith" priority="16" operator="beginsWith" dxfId="6" text="Фиатный баланс">
      <formula>LEFT((M50),LEN("Фиатный баланс"))=("Фиатный баланс")</formula>
    </cfRule>
  </conditionalFormatting>
  <conditionalFormatting sqref="D70:O75">
    <cfRule type="cellIs" priority="1" operator="greaterThan" dxfId="1">
      <formula>0</formula>
    </cfRule>
    <cfRule type="cellIs" priority="2" operator="lessThanOrEqual" dxfId="0">
      <formula>0</formula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5"/>
  <sheetViews>
    <sheetView zoomScale="70" zoomScaleNormal="70" workbookViewId="0">
      <selection activeCell="A24" sqref="A24:M31"/>
    </sheetView>
  </sheetViews>
  <sheetFormatPr baseColWidth="8" defaultRowHeight="15"/>
  <cols>
    <col width="70.5703125" customWidth="1" style="78" min="1" max="1"/>
    <col width="48.42578125" customWidth="1" style="78" min="2" max="2"/>
    <col width="57" customWidth="1" style="78" min="3" max="3"/>
    <col width="64.140625" customWidth="1" style="78" min="4" max="4"/>
    <col width="53.140625" customWidth="1" style="78" min="5" max="5"/>
    <col width="64.5703125" customWidth="1" style="78" min="6" max="6"/>
    <col width="61.28515625" customWidth="1" style="78" min="7" max="7"/>
    <col width="51.7109375" customWidth="1" style="78" min="8" max="8"/>
    <col width="45.140625" customWidth="1" style="78" min="9" max="9"/>
    <col width="50.42578125" customWidth="1" style="78" min="10" max="10"/>
    <col width="46.140625" customWidth="1" style="78" min="11" max="11"/>
    <col width="49" customWidth="1" style="78" min="12" max="12"/>
    <col width="57.28515625" customWidth="1" style="78" min="13" max="13"/>
  </cols>
  <sheetData>
    <row r="1" ht="15.75" customHeight="1" s="78">
      <c r="A1" s="1" t="n"/>
      <c r="B1" s="1" t="n"/>
      <c r="C1" s="1" t="n"/>
      <c r="D1" s="2">
        <f>IFERROR(__xludf.DUMMYFUNCTION("""COMPUTED_VALUE"""),"Варианты обмена:")</f>
        <v/>
      </c>
      <c r="E1" s="1" t="n"/>
      <c r="F1" s="1" t="n"/>
      <c r="G1" s="1" t="n"/>
      <c r="H1" s="1" t="n"/>
      <c r="I1" s="3" t="n"/>
      <c r="J1" s="3" t="n"/>
      <c r="K1" s="3" t="n"/>
      <c r="L1" s="4">
        <f>IFERROR(__xludf.DUMMYFUNCTION("""COMPUTED_VALUE"""),"**")</f>
        <v/>
      </c>
      <c r="M1" s="5">
        <f>IFERROR(__xludf.DUMMYFUNCTION("""COMPUTED_VALUE"""),"Средне")</f>
        <v/>
      </c>
    </row>
    <row r="2">
      <c r="A2" s="1" t="n"/>
      <c r="B2" s="1" t="n"/>
      <c r="C2" s="1" t="n"/>
      <c r="D2" s="6">
        <f>IFERROR(__xludf.DUMMYFUNCTION("""COMPUTED_VALUE"""),"(При покупке в роли Тейкера и
продаже в роли Мейкера)")</f>
        <v/>
      </c>
      <c r="E2" s="1" t="n"/>
      <c r="F2" s="1" t="n"/>
      <c r="G2" s="1" t="n"/>
      <c r="H2" s="1" t="n"/>
      <c r="I2" s="3" t="n"/>
      <c r="J2" s="3" t="n"/>
      <c r="K2" s="3" t="n"/>
      <c r="L2" s="7">
        <f>IFERROR(__xludf.DUMMYFUNCTION("""COMPUTED_VALUE"""),"***")</f>
        <v/>
      </c>
      <c r="M2" s="8">
        <f>IFERROR(__xludf.DUMMYFUNCTION("""COMPUTED_VALUE"""),"Сложно")</f>
        <v/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9">
        <f>IFERROR(__xludf.DUMMYFUNCTION("""COMPUTED_VALUE"""),"****")</f>
        <v/>
      </c>
      <c r="M3" s="10">
        <f>IFERROR(__xludf.DUMMYFUNCTION("""COMPUTED_VALUE"""),"Очень сложно")</f>
        <v/>
      </c>
    </row>
    <row r="4">
      <c r="A4" s="11">
        <f>IFERROR(__xludf.DUMMYFUNCTION("""COMPUTED_VALUE"""),"1. Покупаем по цене 1, продаем 
по цене 2 (1 платежка)")</f>
        <v/>
      </c>
      <c r="B4" s="6">
        <f>IFERROR(__xludf.DUMMYFUNCTION("""COMPUTED_VALUE"""),"С Тинькофф от любой суммы
на Тинькофф от 1000")</f>
        <v/>
      </c>
      <c r="C4" s="6">
        <f>IFERROR(__xludf.DUMMYFUNCTION("""COMPUTED_VALUE"""),"С QIWI от любой суммы
на QIWI от 1000")</f>
        <v/>
      </c>
      <c r="D4" s="6">
        <f>IFERROR(__xludf.DUMMYFUNCTION("""COMPUTED_VALUE"""),"С Юмани от любой суммы
на Юмани от 1000")</f>
        <v/>
      </c>
      <c r="E4" s="6">
        <f>IFERROR(__xludf.DUMMYFUNCTION("""COMPUTED_VALUE"""),"С Росбанк от любой суммы
на Росбанк от 1000")</f>
        <v/>
      </c>
      <c r="F4" s="6">
        <f>IFERROR(__xludf.DUMMYFUNCTION("""COMPUTED_VALUE"""),"С Фиатный баланс от любой суммы
на Фиатный баланс от 1000")</f>
        <v/>
      </c>
      <c r="G4" s="1" t="n"/>
      <c r="H4" s="1" t="n"/>
      <c r="I4" s="1" t="n"/>
      <c r="J4" s="1" t="n"/>
      <c r="K4" s="1" t="n"/>
      <c r="L4" s="1" t="n"/>
      <c r="M4" s="1" t="n"/>
    </row>
    <row r="5">
      <c r="A5" s="12">
        <f>IFERROR(__xludf.DUMMYFUNCTION("""COMPUTED_VALUE"""),"USDT")</f>
        <v/>
      </c>
      <c r="B5" s="13">
        <f>IFERROR(__xludf.DUMMYFUNCTION("""COMPUTED_VALUE"""),268.64728192162)</f>
        <v/>
      </c>
      <c r="C5" s="14">
        <f>IFERROR(__xludf.DUMMYFUNCTION("""COMPUTED_VALUE"""),677.165354330708)</f>
        <v/>
      </c>
      <c r="D5" s="14">
        <f>IFERROR(__xludf.DUMMYFUNCTION("""COMPUTED_VALUE"""),1158.05946791862)</f>
        <v/>
      </c>
      <c r="E5" s="14">
        <f>IFERROR(__xludf.DUMMYFUNCTION("""COMPUTED_VALUE"""),15.8403294788612)</f>
        <v/>
      </c>
      <c r="F5" s="14">
        <f>IFERROR(__xludf.DUMMYFUNCTION("""COMPUTED_VALUE"""),16.8038985044496)</f>
        <v/>
      </c>
      <c r="G5" s="1" t="n"/>
      <c r="H5" s="1" t="n"/>
      <c r="I5" s="1" t="n"/>
      <c r="J5" s="1" t="n"/>
      <c r="K5" s="1" t="n"/>
      <c r="L5" s="1" t="n"/>
      <c r="M5" s="1" t="n"/>
    </row>
    <row r="6">
      <c r="A6" s="12">
        <f>IFERROR(__xludf.DUMMYFUNCTION("""COMPUTED_VALUE"""),"BTC")</f>
        <v/>
      </c>
      <c r="B6" s="14">
        <f>IFERROR(__xludf.DUMMYFUNCTION("""COMPUTED_VALUE"""),200.806142034557)</f>
        <v/>
      </c>
      <c r="C6" s="14">
        <f>IFERROR(__xludf.DUMMYFUNCTION("""COMPUTED_VALUE"""),954.832275701607)</f>
        <v/>
      </c>
      <c r="D6" s="13">
        <f>IFERROR(__xludf.DUMMYFUNCTION("""COMPUTED_VALUE"""),1044.55807158509)</f>
        <v/>
      </c>
      <c r="E6" s="14">
        <f>IFERROR(__xludf.DUMMYFUNCTION("""COMPUTED_VALUE"""),0)</f>
        <v/>
      </c>
      <c r="F6" s="13">
        <f>IFERROR(__xludf.DUMMYFUNCTION("""COMPUTED_VALUE"""),0)</f>
        <v/>
      </c>
      <c r="G6" s="1" t="n"/>
      <c r="H6" s="1" t="n"/>
      <c r="I6" s="1" t="n"/>
      <c r="J6" s="1" t="n"/>
      <c r="K6" s="1" t="n"/>
      <c r="L6" s="1" t="n"/>
      <c r="M6" s="1" t="n"/>
    </row>
    <row r="7">
      <c r="A7" s="12">
        <f>IFERROR(__xludf.DUMMYFUNCTION("""COMPUTED_VALUE"""),"BUSD")</f>
        <v/>
      </c>
      <c r="B7" s="14">
        <f>IFERROR(__xludf.DUMMYFUNCTION("""COMPUTED_VALUE"""),15.7903047528785)</f>
        <v/>
      </c>
      <c r="C7" s="13">
        <f>IFERROR(__xludf.DUMMYFUNCTION("""COMPUTED_VALUE"""),15.6274417877873)</f>
        <v/>
      </c>
      <c r="D7" s="13">
        <f>IFERROR(__xludf.DUMMYFUNCTION("""COMPUTED_VALUE"""),0)</f>
        <v/>
      </c>
      <c r="E7" s="14">
        <f>IFERROR(__xludf.DUMMYFUNCTION("""COMPUTED_VALUE"""),0)</f>
        <v/>
      </c>
      <c r="F7" s="13">
        <f>IFERROR(__xludf.DUMMYFUNCTION("""COMPUTED_VALUE"""),16.6805671392912)</f>
        <v/>
      </c>
      <c r="G7" s="1" t="n"/>
      <c r="H7" s="1" t="n"/>
      <c r="I7" s="1" t="n"/>
      <c r="J7" s="1" t="n"/>
      <c r="K7" s="1" t="n"/>
      <c r="L7" s="1" t="n"/>
      <c r="M7" s="1" t="n"/>
    </row>
    <row r="8">
      <c r="A8" s="12">
        <f>IFERROR(__xludf.DUMMYFUNCTION("""COMPUTED_VALUE"""),"BNB")</f>
        <v/>
      </c>
      <c r="B8" s="14">
        <f>IFERROR(__xludf.DUMMYFUNCTION("""COMPUTED_VALUE"""),0)</f>
        <v/>
      </c>
      <c r="C8" s="13">
        <f>IFERROR(__xludf.DUMMYFUNCTION("""COMPUTED_VALUE"""),822.135069103729)</f>
        <v/>
      </c>
      <c r="D8" s="14">
        <f>IFERROR(__xludf.DUMMYFUNCTION("""COMPUTED_VALUE"""),0)</f>
        <v/>
      </c>
      <c r="E8" s="13">
        <f>IFERROR(__xludf.DUMMYFUNCTION("""COMPUTED_VALUE"""),0)</f>
        <v/>
      </c>
      <c r="F8" s="13">
        <f>IFERROR(__xludf.DUMMYFUNCTION("""COMPUTED_VALUE"""),0)</f>
        <v/>
      </c>
      <c r="G8" s="1" t="n"/>
      <c r="H8" s="1" t="n"/>
      <c r="I8" s="1" t="n"/>
      <c r="J8" s="1" t="n"/>
      <c r="K8" s="1" t="n"/>
      <c r="L8" s="1" t="n"/>
      <c r="M8" s="1" t="n"/>
    </row>
    <row r="9">
      <c r="A9" s="12">
        <f>IFERROR(__xludf.DUMMYFUNCTION("""COMPUTED_VALUE"""),"ETH")</f>
        <v/>
      </c>
      <c r="B9" s="14">
        <f>IFERROR(__xludf.DUMMYFUNCTION("""COMPUTED_VALUE"""),0)</f>
        <v/>
      </c>
      <c r="C9" s="13">
        <f>IFERROR(__xludf.DUMMYFUNCTION("""COMPUTED_VALUE"""),837.794508181561)</f>
        <v/>
      </c>
      <c r="D9" s="13">
        <f>IFERROR(__xludf.DUMMYFUNCTION("""COMPUTED_VALUE"""),0)</f>
        <v/>
      </c>
      <c r="E9" s="14">
        <f>IFERROR(__xludf.DUMMYFUNCTION("""COMPUTED_VALUE"""),0)</f>
        <v/>
      </c>
      <c r="F9" s="13">
        <f>IFERROR(__xludf.DUMMYFUNCTION("""COMPUTED_VALUE"""),9.26813678492071)</f>
        <v/>
      </c>
      <c r="G9" s="1" t="n"/>
      <c r="H9" s="1" t="n"/>
      <c r="I9" s="1" t="n"/>
      <c r="J9" s="1" t="n"/>
      <c r="K9" s="1" t="n"/>
      <c r="L9" s="1" t="n"/>
      <c r="M9" s="1" t="n"/>
    </row>
    <row r="10">
      <c r="A10" s="12">
        <f>IFERROR(__xludf.DUMMYFUNCTION("""COMPUTED_VALUE"""),"RUB")</f>
        <v/>
      </c>
      <c r="B10" s="13">
        <f>IFERROR(__xludf.DUMMYFUNCTION("""COMPUTED_VALUE"""),0)</f>
        <v/>
      </c>
      <c r="C10" s="13">
        <f>IFERROR(__xludf.DUMMYFUNCTION("""COMPUTED_VALUE"""),0)</f>
        <v/>
      </c>
      <c r="D10" s="13">
        <f>IFERROR(__xludf.DUMMYFUNCTION("""COMPUTED_VALUE"""),0)</f>
        <v/>
      </c>
      <c r="E10" s="13">
        <f>IFERROR(__xludf.DUMMYFUNCTION("""COMPUTED_VALUE"""),0)</f>
        <v/>
      </c>
      <c r="F10" s="13">
        <f>IFERROR(__xludf.DUMMYFUNCTION("""COMPUTED_VALUE"""),0)</f>
        <v/>
      </c>
      <c r="G10" s="1" t="n"/>
      <c r="H10" s="1" t="n"/>
      <c r="I10" s="1" t="n"/>
      <c r="J10" s="1" t="n"/>
      <c r="K10" s="1" t="n"/>
      <c r="L10" s="1" t="n"/>
      <c r="M10" s="1" t="n"/>
    </row>
    <row r="11">
      <c r="A11" s="12">
        <f>IFERROR(__xludf.DUMMYFUNCTION("""COMPUTED_VALUE"""),"SHIB")</f>
        <v/>
      </c>
      <c r="B11" s="14">
        <f>IFERROR(__xludf.DUMMYFUNCTION("""COMPUTED_VALUE"""),0)</f>
        <v/>
      </c>
      <c r="C11" s="13">
        <f>IFERROR(__xludf.DUMMYFUNCTION("""COMPUTED_VALUE"""),0)</f>
        <v/>
      </c>
      <c r="D11" s="13">
        <f>IFERROR(__xludf.DUMMYFUNCTION("""COMPUTED_VALUE"""),0)</f>
        <v/>
      </c>
      <c r="E11" s="13">
        <f>IFERROR(__xludf.DUMMYFUNCTION("""COMPUTED_VALUE"""),1162.79069767442)</f>
        <v/>
      </c>
      <c r="F11" s="13">
        <f>IFERROR(__xludf.DUMMYFUNCTION("""COMPUTED_VALUE"""),0)</f>
        <v/>
      </c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1">
        <f>IFERROR(__xludf.DUMMYFUNCTION("""COMPUTED_VALUE"""),"2. Покупаем по цене 1, продаем
цене 2 (2 платежки)")</f>
        <v/>
      </c>
      <c r="B14" s="6">
        <f>IFERROR(__xludf.DUMMYFUNCTION("""COMPUTED_VALUE"""),"С Тинькофф от любой суммы
 на Юмани от 1000")</f>
        <v/>
      </c>
      <c r="C14" s="15">
        <f>IFERROR(__xludf.DUMMYFUNCTION("""COMPUTED_VALUE"""),"С Тинькофф от любой суммы
 на QIWI от 1000")</f>
        <v/>
      </c>
      <c r="D14" s="15">
        <f>IFERROR(__xludf.DUMMYFUNCTION("""COMPUTED_VALUE"""),"С Тинькофф от любой суммы
 на Росбанк от 1000")</f>
        <v/>
      </c>
      <c r="E14" s="15">
        <f>IFERROR(__xludf.DUMMYFUNCTION("""COMPUTED_VALUE"""),"С Росбанк от любой суммы
 на Тинькофф от 1000")</f>
        <v/>
      </c>
      <c r="F14" s="15">
        <f>IFERROR(__xludf.DUMMYFUNCTION("""COMPUTED_VALUE"""),"С Росбанк от любой суммы
 на QIWI от 1000")</f>
        <v/>
      </c>
      <c r="G14" s="15">
        <f>IFERROR(__xludf.DUMMYFUNCTION("""COMPUTED_VALUE"""),"С Росбанк от любой суммы
 на Юмани от 1000")</f>
        <v/>
      </c>
      <c r="H14" s="15">
        <f>IFERROR(__xludf.DUMMYFUNCTION("""COMPUTED_VALUE"""),"С QIWI от любой суммы
 на Юмани от 1000")</f>
        <v/>
      </c>
      <c r="I14" s="16">
        <f>IFERROR(__xludf.DUMMYFUNCTION("""COMPUTED_VALUE"""),"С QIWI от любой суммы
 на Тинькофф от 1000")</f>
        <v/>
      </c>
      <c r="J14" s="16">
        <f>IFERROR(__xludf.DUMMYFUNCTION("""COMPUTED_VALUE"""),"С QIWI от любой суммы
 на Росбанк от 1000")</f>
        <v/>
      </c>
      <c r="K14" s="16">
        <f>IFERROR(__xludf.DUMMYFUNCTION("""COMPUTED_VALUE"""),"С Юмани от любой суммы
 на QIWI от 1000")</f>
        <v/>
      </c>
      <c r="L14" s="15">
        <f>IFERROR(__xludf.DUMMYFUNCTION("""COMPUTED_VALUE"""),"С Юмани от любой суммы
 на Тинькофф от 1000")</f>
        <v/>
      </c>
      <c r="M14" s="15">
        <f>IFERROR(__xludf.DUMMYFUNCTION("""COMPUTED_VALUE"""),"С Юмани от любой суммы
 на Росбанк от 1000")</f>
        <v/>
      </c>
    </row>
    <row r="15">
      <c r="A15" s="12">
        <f>IFERROR(__xludf.DUMMYFUNCTION("""COMPUTED_VALUE"""),"USDT")</f>
        <v/>
      </c>
      <c r="B15" s="14">
        <f>IFERROR(__xludf.DUMMYFUNCTION("""COMPUTED_VALUE"""),1236.30672926447)</f>
        <v/>
      </c>
      <c r="C15" s="13">
        <f>IFERROR(__xludf.DUMMYFUNCTION("""COMPUTED_VALUE"""),614.173228346457)</f>
        <v/>
      </c>
      <c r="D15" s="13">
        <f>IFERROR(__xludf.DUMMYFUNCTION("""COMPUTED_VALUE"""),31.6806589577112)</f>
        <v/>
      </c>
      <c r="E15" s="14">
        <f>IFERROR(__xludf.DUMMYFUNCTION("""COMPUTED_VALUE"""),252.844500632117)</f>
        <v/>
      </c>
      <c r="F15" s="14">
        <f>IFERROR(__xludf.DUMMYFUNCTION("""COMPUTED_VALUE"""),598.425196850397)</f>
        <v/>
      </c>
      <c r="G15" s="14">
        <f>IFERROR(__xludf.DUMMYFUNCTION("""COMPUTED_VALUE"""),1220.6572769953)</f>
        <v/>
      </c>
      <c r="H15" s="14">
        <f>IFERROR(__xludf.DUMMYFUNCTION("""COMPUTED_VALUE"""),1298.90453834115)</f>
        <v/>
      </c>
      <c r="I15" s="14">
        <f>IFERROR(__xludf.DUMMYFUNCTION("""COMPUTED_VALUE"""),331.858407079647)</f>
        <v/>
      </c>
      <c r="J15" s="14">
        <f>IFERROR(__xludf.DUMMYFUNCTION("""COMPUTED_VALUE"""),95.0419768731225)</f>
        <v/>
      </c>
      <c r="K15" s="13">
        <f>IFERROR(__xludf.DUMMYFUNCTION("""COMPUTED_VALUE"""),535.433070866147)</f>
        <v/>
      </c>
      <c r="L15" s="13">
        <f>IFERROR(__xludf.DUMMYFUNCTION("""COMPUTED_VALUE"""),189.63337547409)</f>
        <v/>
      </c>
      <c r="M15" s="13">
        <f>IFERROR(__xludf.DUMMYFUNCTION("""COMPUTED_VALUE"""),-47.52098843655)</f>
        <v/>
      </c>
    </row>
    <row r="16">
      <c r="A16" s="12">
        <f>IFERROR(__xludf.DUMMYFUNCTION("""COMPUTED_VALUE"""),"BTC")</f>
        <v/>
      </c>
      <c r="B16" s="14">
        <f>IFERROR(__xludf.DUMMYFUNCTION("""COMPUTED_VALUE"""),1250.55661066472)</f>
        <v/>
      </c>
      <c r="C16" s="14">
        <f>IFERROR(__xludf.DUMMYFUNCTION("""COMPUTED_VALUE"""),1436.99691856803)</f>
        <v/>
      </c>
      <c r="D16" s="14">
        <f>IFERROR(__xludf.DUMMYFUNCTION("""COMPUTED_VALUE"""),200.806142034557)</f>
        <v/>
      </c>
      <c r="E16" s="14">
        <f>IFERROR(__xludf.DUMMYFUNCTION("""COMPUTED_VALUE"""),0)</f>
        <v/>
      </c>
      <c r="F16" s="14">
        <f>IFERROR(__xludf.DUMMYFUNCTION("""COMPUTED_VALUE"""),1238.678118275)</f>
        <v/>
      </c>
      <c r="G16" s="14">
        <f>IFERROR(__xludf.DUMMYFUNCTION("""COMPUTED_VALUE"""),1051.86267348429)</f>
        <v/>
      </c>
      <c r="H16" s="14">
        <f>IFERROR(__xludf.DUMMYFUNCTION("""COMPUTED_VALUE"""),767.47991234478)</f>
        <v/>
      </c>
      <c r="I16" s="13">
        <f>IFERROR(__xludf.DUMMYFUNCTION("""COMPUTED_VALUE"""),-287.405876273435)</f>
        <v/>
      </c>
      <c r="J16" s="13">
        <f>IFERROR(__xludf.DUMMYFUNCTION("""COMPUTED_VALUE"""),-287.405876273435)</f>
        <v/>
      </c>
      <c r="K16" s="13">
        <f>IFERROR(__xludf.DUMMYFUNCTION("""COMPUTED_VALUE"""),1231.3873075647)</f>
        <v/>
      </c>
      <c r="L16" s="13">
        <f>IFERROR(__xludf.DUMMYFUNCTION("""COMPUTED_VALUE"""),-7.38225306363502)</f>
        <v/>
      </c>
      <c r="M16" s="13">
        <f>IFERROR(__xludf.DUMMYFUNCTION("""COMPUTED_VALUE"""),-7.38225306363502)</f>
        <v/>
      </c>
    </row>
    <row r="17">
      <c r="A17" s="12">
        <f>IFERROR(__xludf.DUMMYFUNCTION("""COMPUTED_VALUE"""),"BUSD")</f>
        <v/>
      </c>
      <c r="B17" s="14">
        <f>IFERROR(__xludf.DUMMYFUNCTION("""COMPUTED_VALUE"""),1047.03859978121)</f>
        <v/>
      </c>
      <c r="C17" s="14">
        <f>IFERROR(__xludf.DUMMYFUNCTION("""COMPUTED_VALUE"""),1047.03859978121)</f>
        <v/>
      </c>
      <c r="D17" s="14">
        <f>IFERROR(__xludf.DUMMYFUNCTION("""COMPUTED_VALUE"""),-63.2111251580264)</f>
        <v/>
      </c>
      <c r="E17" s="14">
        <f>IFERROR(__xludf.DUMMYFUNCTION("""COMPUTED_VALUE"""),78.9515237644041)</f>
        <v/>
      </c>
      <c r="F17" s="14">
        <f>IFERROR(__xludf.DUMMYFUNCTION("""COMPUTED_VALUE"""),1109.54836693233)</f>
        <v/>
      </c>
      <c r="G17" s="14">
        <f>IFERROR(__xludf.DUMMYFUNCTION("""COMPUTED_VALUE"""),1109.54836693233)</f>
        <v/>
      </c>
      <c r="H17" s="14">
        <f>IFERROR(__xludf.DUMMYFUNCTION("""COMPUTED_VALUE"""),15.6274417877873)</f>
        <v/>
      </c>
      <c r="I17" s="13">
        <f>IFERROR(__xludf.DUMMYFUNCTION("""COMPUTED_VALUE"""),-1026.36980893731)</f>
        <v/>
      </c>
      <c r="J17" s="13">
        <f>IFERROR(__xludf.DUMMYFUNCTION("""COMPUTED_VALUE"""),-1106.19469026548)</f>
        <v/>
      </c>
      <c r="K17" s="13">
        <f>IFERROR(__xludf.DUMMYFUNCTION("""COMPUTED_VALUE"""),0)</f>
        <v/>
      </c>
      <c r="L17" s="13">
        <f>IFERROR(__xludf.DUMMYFUNCTION("""COMPUTED_VALUE"""),-1042.1601136902)</f>
        <v/>
      </c>
      <c r="M17" s="13">
        <f>IFERROR(__xludf.DUMMYFUNCTION("""COMPUTED_VALUE"""),-1121.99747155499)</f>
        <v/>
      </c>
    </row>
    <row r="18">
      <c r="A18" s="12">
        <f>IFERROR(__xludf.DUMMYFUNCTION("""COMPUTED_VALUE"""),"BNB")</f>
        <v/>
      </c>
      <c r="B18" s="14">
        <f>IFERROR(__xludf.DUMMYFUNCTION("""COMPUTED_VALUE"""),1623.03664921465)</f>
        <v/>
      </c>
      <c r="C18" s="14">
        <f>IFERROR(__xludf.DUMMYFUNCTION("""COMPUTED_VALUE"""),1190.23955188012)</f>
        <v/>
      </c>
      <c r="D18" s="14">
        <f>IFERROR(__xludf.DUMMYFUNCTION("""COMPUTED_VALUE"""),-106.553010122535)</f>
        <v/>
      </c>
      <c r="E18" s="13">
        <f>IFERROR(__xludf.DUMMYFUNCTION("""COMPUTED_VALUE"""),106.439595529536)</f>
        <v/>
      </c>
      <c r="F18" s="14">
        <f>IFERROR(__xludf.DUMMYFUNCTION("""COMPUTED_VALUE"""),1295.4122612448)</f>
        <v/>
      </c>
      <c r="G18" s="14">
        <f>IFERROR(__xludf.DUMMYFUNCTION("""COMPUTED_VALUE"""),1727.74869109947)</f>
        <v/>
      </c>
      <c r="H18" s="14">
        <f>IFERROR(__xludf.DUMMYFUNCTION("""COMPUTED_VALUE"""),1256.5445026178)</f>
        <v/>
      </c>
      <c r="I18" s="13">
        <f>IFERROR(__xludf.DUMMYFUNCTION("""COMPUTED_VALUE"""),-372.538584353379)</f>
        <v/>
      </c>
      <c r="J18" s="13">
        <f>IFERROR(__xludf.DUMMYFUNCTION("""COMPUTED_VALUE"""),-479.488545551411)</f>
        <v/>
      </c>
      <c r="K18" s="13">
        <f>IFERROR(__xludf.DUMMYFUNCTION("""COMPUTED_VALUE"""),-439.937443272469)</f>
        <v/>
      </c>
      <c r="L18" s="13">
        <f>IFERROR(__xludf.DUMMYFUNCTION("""COMPUTED_VALUE"""),-1649.81373070782)</f>
        <v/>
      </c>
      <c r="M18" s="13">
        <f>IFERROR(__xludf.DUMMYFUNCTION("""COMPUTED_VALUE"""),-1758.12466702184)</f>
        <v/>
      </c>
    </row>
    <row r="19">
      <c r="A19" s="12">
        <f>IFERROR(__xludf.DUMMYFUNCTION("""COMPUTED_VALUE"""),"ETH")</f>
        <v/>
      </c>
      <c r="B19" s="14">
        <f>IFERROR(__xludf.DUMMYFUNCTION("""COMPUTED_VALUE"""),2036.8574199806)</f>
        <v/>
      </c>
      <c r="C19" s="14">
        <f>IFERROR(__xludf.DUMMYFUNCTION("""COMPUTED_VALUE"""),1248.44454078424)</f>
        <v/>
      </c>
      <c r="D19" s="14">
        <f>IFERROR(__xludf.DUMMYFUNCTION("""COMPUTED_VALUE"""),-9.90197049212793)</f>
        <v/>
      </c>
      <c r="E19" s="14">
        <f>IFERROR(__xludf.DUMMYFUNCTION("""COMPUTED_VALUE"""),9.9009900990099)</f>
        <v/>
      </c>
      <c r="F19" s="14">
        <f>IFERROR(__xludf.DUMMYFUNCTION("""COMPUTED_VALUE"""),1258.22192251287)</f>
        <v/>
      </c>
      <c r="G19" s="14">
        <f>IFERROR(__xludf.DUMMYFUNCTION("""COMPUTED_VALUE"""),2046.55674102812)</f>
        <v/>
      </c>
      <c r="H19" s="14">
        <f>IFERROR(__xludf.DUMMYFUNCTION("""COMPUTED_VALUE"""),1629.48593598448)</f>
        <v/>
      </c>
      <c r="I19" s="13">
        <f>IFERROR(__xludf.DUMMYFUNCTION("""COMPUTED_VALUE"""),-415.841584158415)</f>
        <v/>
      </c>
      <c r="J19" s="13">
        <f>IFERROR(__xludf.DUMMYFUNCTION("""COMPUTED_VALUE"""),-425.784731161501)</f>
        <v/>
      </c>
      <c r="K19" s="13">
        <f>IFERROR(__xludf.DUMMYFUNCTION("""COMPUTED_VALUE"""),-804.805622229155)</f>
        <v/>
      </c>
      <c r="L19" s="13">
        <f>IFERROR(__xludf.DUMMYFUNCTION("""COMPUTED_VALUE"""),-2079.20792079207)</f>
        <v/>
      </c>
      <c r="M19" s="13">
        <f>IFERROR(__xludf.DUMMYFUNCTION("""COMPUTED_VALUE"""),-2089.31577383899)</f>
        <v/>
      </c>
    </row>
    <row r="20">
      <c r="A20" s="12">
        <f>IFERROR(__xludf.DUMMYFUNCTION("""COMPUTED_VALUE"""),"RUB")</f>
        <v/>
      </c>
      <c r="B20" s="14">
        <f>IFERROR(__xludf.DUMMYFUNCTION("""COMPUTED_VALUE"""),0)</f>
        <v/>
      </c>
      <c r="C20" s="13">
        <f>IFERROR(__xludf.DUMMYFUNCTION("""COMPUTED_VALUE"""),0)</f>
        <v/>
      </c>
      <c r="D20" s="13">
        <f>IFERROR(__xludf.DUMMYFUNCTION("""COMPUTED_VALUE"""),0)</f>
        <v/>
      </c>
      <c r="E20" s="13">
        <f>IFERROR(__xludf.DUMMYFUNCTION("""COMPUTED_VALUE"""),0)</f>
        <v/>
      </c>
      <c r="F20" s="13">
        <f>IFERROR(__xludf.DUMMYFUNCTION("""COMPUTED_VALUE"""),0)</f>
        <v/>
      </c>
      <c r="G20" s="14">
        <f>IFERROR(__xludf.DUMMYFUNCTION("""COMPUTED_VALUE"""),0)</f>
        <v/>
      </c>
      <c r="H20" s="14">
        <f>IFERROR(__xludf.DUMMYFUNCTION("""COMPUTED_VALUE"""),0)</f>
        <v/>
      </c>
      <c r="I20" s="13">
        <f>IFERROR(__xludf.DUMMYFUNCTION("""COMPUTED_VALUE"""),0)</f>
        <v/>
      </c>
      <c r="J20" s="13">
        <f>IFERROR(__xludf.DUMMYFUNCTION("""COMPUTED_VALUE"""),0)</f>
        <v/>
      </c>
      <c r="K20" s="13">
        <f>IFERROR(__xludf.DUMMYFUNCTION("""COMPUTED_VALUE"""),0)</f>
        <v/>
      </c>
      <c r="L20" s="13">
        <f>IFERROR(__xludf.DUMMYFUNCTION("""COMPUTED_VALUE"""),0)</f>
        <v/>
      </c>
      <c r="M20" s="13">
        <f>IFERROR(__xludf.DUMMYFUNCTION("""COMPUTED_VALUE"""),0)</f>
        <v/>
      </c>
    </row>
    <row r="21">
      <c r="A21" s="12">
        <f>IFERROR(__xludf.DUMMYFUNCTION("""COMPUTED_VALUE"""),"SHIB")</f>
        <v/>
      </c>
      <c r="B21" s="14">
        <f>IFERROR(__xludf.DUMMYFUNCTION("""COMPUTED_VALUE"""),6907.8947368421)</f>
        <v/>
      </c>
      <c r="C21" s="14">
        <f>IFERROR(__xludf.DUMMYFUNCTION("""COMPUTED_VALUE"""),3522.72727272727)</f>
        <v/>
      </c>
      <c r="D21" s="13">
        <f>IFERROR(__xludf.DUMMYFUNCTION("""COMPUTED_VALUE"""),1279.06976744185)</f>
        <v/>
      </c>
      <c r="E21" s="14">
        <f>IFERROR(__xludf.DUMMYFUNCTION("""COMPUTED_VALUE"""),-117.785630153111)</f>
        <v/>
      </c>
      <c r="F21" s="14">
        <f>IFERROR(__xludf.DUMMYFUNCTION("""COMPUTED_VALUE"""),3409.09090909091)</f>
        <v/>
      </c>
      <c r="G21" s="14">
        <f>IFERROR(__xludf.DUMMYFUNCTION("""COMPUTED_VALUE"""),6798.24561403509)</f>
        <v/>
      </c>
      <c r="H21" s="13">
        <f>IFERROR(__xludf.DUMMYFUNCTION("""COMPUTED_VALUE"""),3508.77192982456)</f>
        <v/>
      </c>
      <c r="I21" s="13">
        <f>IFERROR(__xludf.DUMMYFUNCTION("""COMPUTED_VALUE"""),-3651.35453474676)</f>
        <v/>
      </c>
      <c r="J21" s="13">
        <f>IFERROR(__xludf.DUMMYFUNCTION("""COMPUTED_VALUE"""),-2325.58139534884)</f>
        <v/>
      </c>
      <c r="K21" s="13">
        <f>IFERROR(__xludf.DUMMYFUNCTION("""COMPUTED_VALUE"""),-3636.36363636363)</f>
        <v/>
      </c>
      <c r="L21" s="13">
        <f>IFERROR(__xludf.DUMMYFUNCTION("""COMPUTED_VALUE"""),-7420.49469964664)</f>
        <v/>
      </c>
      <c r="M21" s="13">
        <f>IFERROR(__xludf.DUMMYFUNCTION("""COMPUTED_VALUE"""),-6046.51162790698)</f>
        <v/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1">
        <f>IFERROR(__xludf.DUMMYFUNCTION("""COMPUTED_VALUE"""),"3. Покупаем цене 1, продаем
по цене 1 на другие платежки")</f>
        <v/>
      </c>
      <c r="B24" s="6">
        <f>IFERROR(__xludf.DUMMYFUNCTION("""COMPUTED_VALUE"""),"С Тинькофф от любой суммы
 на QIWI от любой суммы")</f>
        <v/>
      </c>
      <c r="C24" s="6">
        <f>IFERROR(__xludf.DUMMYFUNCTION("""COMPUTED_VALUE"""),"С Тинькофф от любой суммы
 на Юмани от любой суммы")</f>
        <v/>
      </c>
      <c r="D24" s="6">
        <f>IFERROR(__xludf.DUMMYFUNCTION("""COMPUTED_VALUE"""),"С Тинькофф от любой суммы
 на Росбанк от любой суммы")</f>
        <v/>
      </c>
      <c r="E24" s="6">
        <f>IFERROR(__xludf.DUMMYFUNCTION("""COMPUTED_VALUE"""),"С Росбанк от любой суммы
 на Тинькофф от любой суммы")</f>
        <v/>
      </c>
      <c r="F24" s="6">
        <f>IFERROR(__xludf.DUMMYFUNCTION("""COMPUTED_VALUE"""),"С Росбанк от любой суммы
 на QIWI от любой суммы")</f>
        <v/>
      </c>
      <c r="G24" s="6">
        <f>IFERROR(__xludf.DUMMYFUNCTION("""COMPUTED_VALUE"""),"С Росбанк от любой суммы
 на Юмани от любой суммы")</f>
        <v/>
      </c>
      <c r="H24" s="6">
        <f>IFERROR(__xludf.DUMMYFUNCTION("""COMPUTED_VALUE"""),"С QIWI от любой суммы
 на Тинькофф от любой суммы")</f>
        <v/>
      </c>
      <c r="I24" s="6">
        <f>IFERROR(__xludf.DUMMYFUNCTION("""COMPUTED_VALUE"""),"С QIWI от любой суммы
 на Юмани от любой суммы")</f>
        <v/>
      </c>
      <c r="J24" s="6">
        <f>IFERROR(__xludf.DUMMYFUNCTION("""COMPUTED_VALUE"""),"С QIWI от любой суммы
 на Росбанк от любой суммы")</f>
        <v/>
      </c>
      <c r="K24" s="6">
        <f>IFERROR(__xludf.DUMMYFUNCTION("""COMPUTED_VALUE"""),"С Юмани от любой суммы
 на Тинькофф от любой суммы")</f>
        <v/>
      </c>
      <c r="L24" s="6">
        <f>IFERROR(__xludf.DUMMYFUNCTION("""COMPUTED_VALUE"""),"С Юмани от любой суммы
 на Росбанк от любой суммы")</f>
        <v/>
      </c>
      <c r="M24" s="6">
        <f>IFERROR(__xludf.DUMMYFUNCTION("""COMPUTED_VALUE"""),"С Юмани от любой суммы
 на QIWI от любой суммы")</f>
        <v/>
      </c>
    </row>
    <row r="25">
      <c r="A25" s="12">
        <f>IFERROR(__xludf.DUMMYFUNCTION("""COMPUTED_VALUE"""),"USDT")</f>
        <v/>
      </c>
      <c r="B25" s="13">
        <f>IFERROR(__xludf.DUMMYFUNCTION("""COMPUTED_VALUE"""),-63.4215950531142)</f>
        <v/>
      </c>
      <c r="C25" s="14">
        <f>IFERROR(__xludf.DUMMYFUNCTION("""COMPUTED_VALUE"""),79.1640278657333)</f>
        <v/>
      </c>
      <c r="D25" s="13">
        <f>IFERROR(__xludf.DUMMYFUNCTION("""COMPUTED_VALUE"""),15.8428390367522)</f>
        <v/>
      </c>
      <c r="E25" s="14">
        <f>IFERROR(__xludf.DUMMYFUNCTION("""COMPUTED_VALUE"""),-15.8453493899508)</f>
        <v/>
      </c>
      <c r="F25" s="13">
        <f>IFERROR(__xludf.DUMMYFUNCTION("""COMPUTED_VALUE"""),-79.2769938163899)</f>
        <v/>
      </c>
      <c r="G25" s="14">
        <f>IFERROR(__xludf.DUMMYFUNCTION("""COMPUTED_VALUE"""),63.3312222925889)</f>
        <v/>
      </c>
      <c r="H25" s="14">
        <f>IFERROR(__xludf.DUMMYFUNCTION("""COMPUTED_VALUE"""),63.3813975598148)</f>
        <v/>
      </c>
      <c r="I25" s="14">
        <f>IFERROR(__xludf.DUMMYFUNCTION("""COMPUTED_VALUE"""),142.495250158322)</f>
        <v/>
      </c>
      <c r="J25" s="14">
        <f>IFERROR(__xludf.DUMMYFUNCTION("""COMPUTED_VALUE"""),79.2141951837724)</f>
        <v/>
      </c>
      <c r="K25" s="13">
        <f>IFERROR(__xludf.DUMMYFUNCTION("""COMPUTED_VALUE"""),-79.2267469497657)</f>
        <v/>
      </c>
      <c r="L25" s="13">
        <f>IFERROR(__xludf.DUMMYFUNCTION("""COMPUTED_VALUE"""),-63.3713561470201)</f>
        <v/>
      </c>
      <c r="M25" s="13">
        <f>IFERROR(__xludf.DUMMYFUNCTION("""COMPUTED_VALUE"""),-142.698588869504)</f>
        <v/>
      </c>
    </row>
    <row r="26">
      <c r="A26" s="12">
        <f>IFERROR(__xludf.DUMMYFUNCTION("""COMPUTED_VALUE"""),"BTC")</f>
        <v/>
      </c>
      <c r="B26" s="14">
        <f>IFERROR(__xludf.DUMMYFUNCTION("""COMPUTED_VALUE"""),486.812889457235)</f>
        <v/>
      </c>
      <c r="C26" s="14">
        <f>IFERROR(__xludf.DUMMYFUNCTION("""COMPUTED_VALUE"""),208.173027238511)</f>
        <v/>
      </c>
      <c r="D26" s="14">
        <f>IFERROR(__xludf.DUMMYFUNCTION("""COMPUTED_VALUE"""),200.806142034557)</f>
        <v/>
      </c>
      <c r="E26" s="13">
        <f>IFERROR(__xludf.DUMMYFUNCTION("""COMPUTED_VALUE"""),-201.210184443318)</f>
        <v/>
      </c>
      <c r="F26" s="14">
        <f>IFERROR(__xludf.DUMMYFUNCTION("""COMPUTED_VALUE"""),286.582222126688)</f>
        <v/>
      </c>
      <c r="G26" s="14">
        <f>IFERROR(__xludf.DUMMYFUNCTION("""COMPUTED_VALUE"""),7.38170812726064)</f>
        <v/>
      </c>
      <c r="H26" s="13">
        <f>IFERROR(__xludf.DUMMYFUNCTION("""COMPUTED_VALUE"""),-489.194350610504)</f>
        <v/>
      </c>
      <c r="I26" s="14">
        <f>IFERROR(__xludf.DUMMYFUNCTION("""COMPUTED_VALUE"""),-280.002952683247)</f>
        <v/>
      </c>
      <c r="J26" s="13">
        <f>IFERROR(__xludf.DUMMYFUNCTION("""COMPUTED_VALUE"""),-287.405876273435)</f>
        <v/>
      </c>
      <c r="K26" s="13">
        <f>IFERROR(__xludf.DUMMYFUNCTION("""COMPUTED_VALUE"""),-208.607291351958)</f>
        <v/>
      </c>
      <c r="L26" s="13">
        <f>IFERROR(__xludf.DUMMYFUNCTION("""COMPUTED_VALUE"""),-7.38225306363502)</f>
        <v/>
      </c>
      <c r="M26" s="13">
        <f>IFERROR(__xludf.DUMMYFUNCTION("""COMPUTED_VALUE"""),279.221125287925)</f>
        <v/>
      </c>
    </row>
    <row r="27">
      <c r="A27" s="12">
        <f>IFERROR(__xludf.DUMMYFUNCTION("""COMPUTED_VALUE"""),"BUSD")</f>
        <v/>
      </c>
      <c r="B27" s="14">
        <f>IFERROR(__xludf.DUMMYFUNCTION("""COMPUTED_VALUE"""),1031.57236636448)</f>
        <v/>
      </c>
      <c r="C27" s="14">
        <f>IFERROR(__xludf.DUMMYFUNCTION("""COMPUTED_VALUE"""),1047.03859978121)</f>
        <v/>
      </c>
      <c r="D27" s="13">
        <f>IFERROR(__xludf.DUMMYFUNCTION("""COMPUTED_VALUE"""),-63.2111251580264)</f>
        <v/>
      </c>
      <c r="E27" s="13">
        <f>IFERROR(__xludf.DUMMYFUNCTION("""COMPUTED_VALUE"""),63.171193935564)</f>
        <v/>
      </c>
      <c r="F27" s="14">
        <f>IFERROR(__xludf.DUMMYFUNCTION("""COMPUTED_VALUE"""),1094.0919037199)</f>
        <v/>
      </c>
      <c r="G27" s="14">
        <f>IFERROR(__xludf.DUMMYFUNCTION("""COMPUTED_VALUE"""),1109.54836693233)</f>
        <v/>
      </c>
      <c r="H27" s="13">
        <f>IFERROR(__xludf.DUMMYFUNCTION("""COMPUTED_VALUE"""),-1042.32469993682)</f>
        <v/>
      </c>
      <c r="I27" s="14">
        <f>IFERROR(__xludf.DUMMYFUNCTION("""COMPUTED_VALUE"""),15.6274417877873)</f>
        <v/>
      </c>
      <c r="J27" s="13">
        <f>IFERROR(__xludf.DUMMYFUNCTION("""COMPUTED_VALUE"""),-1106.19469026548)</f>
        <v/>
      </c>
      <c r="K27" s="13">
        <f>IFERROR(__xludf.DUMMYFUNCTION("""COMPUTED_VALUE"""),-1058.11749842072)</f>
        <v/>
      </c>
      <c r="L27" s="13">
        <f>IFERROR(__xludf.DUMMYFUNCTION("""COMPUTED_VALUE"""),-1121.99747155499)</f>
        <v/>
      </c>
      <c r="M27" s="13">
        <f>IFERROR(__xludf.DUMMYFUNCTION("""COMPUTED_VALUE"""),-15.6298843388638)</f>
        <v/>
      </c>
    </row>
    <row r="28">
      <c r="A28" s="12">
        <f>IFERROR(__xludf.DUMMYFUNCTION("""COMPUTED_VALUE"""),"BNB")</f>
        <v/>
      </c>
      <c r="B28" s="14">
        <f>IFERROR(__xludf.DUMMYFUNCTION("""COMPUTED_VALUE"""),371.155885471898)</f>
        <v/>
      </c>
      <c r="C28" s="14">
        <f>IFERROR(__xludf.DUMMYFUNCTION("""COMPUTED_VALUE"""),1623.03664921465)</f>
        <v/>
      </c>
      <c r="D28" s="14">
        <f>IFERROR(__xludf.DUMMYFUNCTION("""COMPUTED_VALUE"""),-106.553010122535)</f>
        <v/>
      </c>
      <c r="E28" s="13">
        <f>IFERROR(__xludf.DUMMYFUNCTION("""COMPUTED_VALUE"""),106.439595529536)</f>
        <v/>
      </c>
      <c r="F28" s="14">
        <f>IFERROR(__xludf.DUMMYFUNCTION("""COMPUTED_VALUE"""),477.200424178154)</f>
        <v/>
      </c>
      <c r="G28" s="14">
        <f>IFERROR(__xludf.DUMMYFUNCTION("""COMPUTED_VALUE"""),1727.74869109947)</f>
        <v/>
      </c>
      <c r="H28" s="13">
        <f>IFERROR(__xludf.DUMMYFUNCTION("""COMPUTED_VALUE"""),-372.538584353379)</f>
        <v/>
      </c>
      <c r="I28" s="14">
        <f>IFERROR(__xludf.DUMMYFUNCTION("""COMPUTED_VALUE"""),1256.5445026178)</f>
        <v/>
      </c>
      <c r="J28" s="13">
        <f>IFERROR(__xludf.DUMMYFUNCTION("""COMPUTED_VALUE"""),-479.488545551411)</f>
        <v/>
      </c>
      <c r="K28" s="13">
        <f>IFERROR(__xludf.DUMMYFUNCTION("""COMPUTED_VALUE"""),-1649.81373070782)</f>
        <v/>
      </c>
      <c r="L28" s="13">
        <f>IFERROR(__xludf.DUMMYFUNCTION("""COMPUTED_VALUE"""),-1758.12466702184)</f>
        <v/>
      </c>
      <c r="M28" s="13">
        <f>IFERROR(__xludf.DUMMYFUNCTION("""COMPUTED_VALUE"""),-1272.53446447507)</f>
        <v/>
      </c>
    </row>
    <row r="29">
      <c r="A29" s="12">
        <f>IFERROR(__xludf.DUMMYFUNCTION("""COMPUTED_VALUE"""),"ETH")</f>
        <v/>
      </c>
      <c r="B29" s="14">
        <f>IFERROR(__xludf.DUMMYFUNCTION("""COMPUTED_VALUE"""),414.119503056596)</f>
        <v/>
      </c>
      <c r="C29" s="14">
        <f>IFERROR(__xludf.DUMMYFUNCTION("""COMPUTED_VALUE"""),2036.8574199806)</f>
        <v/>
      </c>
      <c r="D29" s="14">
        <f>IFERROR(__xludf.DUMMYFUNCTION("""COMPUTED_VALUE"""),-9.90197049212793)</f>
        <v/>
      </c>
      <c r="E29" s="13">
        <f>IFERROR(__xludf.DUMMYFUNCTION("""COMPUTED_VALUE"""),9.9009900990099)</f>
        <v/>
      </c>
      <c r="F29" s="14">
        <f>IFERROR(__xludf.DUMMYFUNCTION("""COMPUTED_VALUE"""),423.97949122461)</f>
        <v/>
      </c>
      <c r="G29" s="14">
        <f>IFERROR(__xludf.DUMMYFUNCTION("""COMPUTED_VALUE"""),2046.55674102812)</f>
        <v/>
      </c>
      <c r="H29" s="13">
        <f>IFERROR(__xludf.DUMMYFUNCTION("""COMPUTED_VALUE"""),-415.841584158415)</f>
        <v/>
      </c>
      <c r="I29" s="14">
        <f>IFERROR(__xludf.DUMMYFUNCTION("""COMPUTED_VALUE"""),1629.48593598448)</f>
        <v/>
      </c>
      <c r="J29" s="13">
        <f>IFERROR(__xludf.DUMMYFUNCTION("""COMPUTED_VALUE"""),-425.784731161501)</f>
        <v/>
      </c>
      <c r="K29" s="13">
        <f>IFERROR(__xludf.DUMMYFUNCTION("""COMPUTED_VALUE"""),-2079.20792079207)</f>
        <v/>
      </c>
      <c r="L29" s="13">
        <f>IFERROR(__xludf.DUMMYFUNCTION("""COMPUTED_VALUE"""),-2089.31577383899)</f>
        <v/>
      </c>
      <c r="M29" s="13">
        <f>IFERROR(__xludf.DUMMYFUNCTION("""COMPUTED_VALUE"""),-1656.47801222638)</f>
        <v/>
      </c>
    </row>
    <row r="30">
      <c r="A30" s="12">
        <f>IFERROR(__xludf.DUMMYFUNCTION("""COMPUTED_VALUE"""),"RUB")</f>
        <v/>
      </c>
      <c r="B30" s="13">
        <f>IFERROR(__xludf.DUMMYFUNCTION("""COMPUTED_VALUE"""),0)</f>
        <v/>
      </c>
      <c r="C30" s="14">
        <f>IFERROR(__xludf.DUMMYFUNCTION("""COMPUTED_VALUE"""),0)</f>
        <v/>
      </c>
      <c r="D30" s="13">
        <f>IFERROR(__xludf.DUMMYFUNCTION("""COMPUTED_VALUE"""),0)</f>
        <v/>
      </c>
      <c r="E30" s="13">
        <f>IFERROR(__xludf.DUMMYFUNCTION("""COMPUTED_VALUE"""),0)</f>
        <v/>
      </c>
      <c r="F30" s="13">
        <f>IFERROR(__xludf.DUMMYFUNCTION("""COMPUTED_VALUE"""),0)</f>
        <v/>
      </c>
      <c r="G30" s="14">
        <f>IFERROR(__xludf.DUMMYFUNCTION("""COMPUTED_VALUE"""),0)</f>
        <v/>
      </c>
      <c r="H30" s="13">
        <f>IFERROR(__xludf.DUMMYFUNCTION("""COMPUTED_VALUE"""),0)</f>
        <v/>
      </c>
      <c r="I30" s="14">
        <f>IFERROR(__xludf.DUMMYFUNCTION("""COMPUTED_VALUE"""),0)</f>
        <v/>
      </c>
      <c r="J30" s="13">
        <f>IFERROR(__xludf.DUMMYFUNCTION("""COMPUTED_VALUE"""),0)</f>
        <v/>
      </c>
      <c r="K30" s="13">
        <f>IFERROR(__xludf.DUMMYFUNCTION("""COMPUTED_VALUE"""),0)</f>
        <v/>
      </c>
      <c r="L30" s="13">
        <f>IFERROR(__xludf.DUMMYFUNCTION("""COMPUTED_VALUE"""),0)</f>
        <v/>
      </c>
      <c r="M30" s="13">
        <f>IFERROR(__xludf.DUMMYFUNCTION("""COMPUTED_VALUE"""),0)</f>
        <v/>
      </c>
    </row>
    <row r="31">
      <c r="A31" s="12">
        <f>IFERROR(__xludf.DUMMYFUNCTION("""COMPUTED_VALUE"""),"SHIB")</f>
        <v/>
      </c>
      <c r="B31" s="14">
        <f>IFERROR(__xludf.DUMMYFUNCTION("""COMPUTED_VALUE"""),3522.72727272727)</f>
        <v/>
      </c>
      <c r="C31" s="14">
        <f>IFERROR(__xludf.DUMMYFUNCTION("""COMPUTED_VALUE"""),6907.8947368421)</f>
        <v/>
      </c>
      <c r="D31" s="13">
        <f>IFERROR(__xludf.DUMMYFUNCTION("""COMPUTED_VALUE"""),117.647058823519)</f>
        <v/>
      </c>
      <c r="E31" s="14">
        <f>IFERROR(__xludf.DUMMYFUNCTION("""COMPUTED_VALUE"""),-117.785630153111)</f>
        <v/>
      </c>
      <c r="F31" s="14">
        <f>IFERROR(__xludf.DUMMYFUNCTION("""COMPUTED_VALUE"""),3409.09090909091)</f>
        <v/>
      </c>
      <c r="G31" s="14">
        <f>IFERROR(__xludf.DUMMYFUNCTION("""COMPUTED_VALUE"""),6798.24561403509)</f>
        <v/>
      </c>
      <c r="H31" s="13">
        <f>IFERROR(__xludf.DUMMYFUNCTION("""COMPUTED_VALUE"""),-3651.35453474676)</f>
        <v/>
      </c>
      <c r="I31" s="13">
        <f>IFERROR(__xludf.DUMMYFUNCTION("""COMPUTED_VALUE"""),3508.77192982456)</f>
        <v/>
      </c>
      <c r="J31" s="13">
        <f>IFERROR(__xludf.DUMMYFUNCTION("""COMPUTED_VALUE"""),-3529.41176470589)</f>
        <v/>
      </c>
      <c r="K31" s="13">
        <f>IFERROR(__xludf.DUMMYFUNCTION("""COMPUTED_VALUE"""),-7420.49469964664)</f>
        <v/>
      </c>
      <c r="L31" s="13">
        <f>IFERROR(__xludf.DUMMYFUNCTION("""COMPUTED_VALUE"""),-7294.11764705883)</f>
        <v/>
      </c>
      <c r="M31" s="13">
        <f>IFERROR(__xludf.DUMMYFUNCTION("""COMPUTED_VALUE"""),-3636.36363636363)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3" t="n"/>
      <c r="J32" s="3" t="n"/>
      <c r="K32" s="3" t="n"/>
      <c r="L32" s="1" t="n"/>
      <c r="M32" s="1" t="n"/>
    </row>
    <row r="33">
      <c r="A33" s="11" t="inlineStr">
        <is>
          <t>4. Покупаем одну крипту, меняем
на другую по маркету, продаем</t>
        </is>
      </c>
      <c r="B33" s="1" t="n"/>
      <c r="C33" s="6">
        <f>IF(B34="цены 1","Лимит цены 1 установлен от:",IF(B34="цены 2","Лимит цены 2 установлен от:"))</f>
        <v/>
      </c>
      <c r="D33" s="1" t="n"/>
      <c r="E33" s="1" t="n"/>
      <c r="F33" s="1" t="n"/>
      <c r="G33" s="1" t="n"/>
      <c r="H33" s="1" t="n"/>
      <c r="I33" s="3" t="n"/>
      <c r="J33" s="3" t="n"/>
      <c r="K33" s="3" t="n"/>
      <c r="L33" s="1" t="n"/>
      <c r="M33" s="1" t="n"/>
    </row>
    <row r="34">
      <c r="A34" s="6" t="inlineStr">
        <is>
          <t>Считать продажу в лимите цены:</t>
        </is>
      </c>
      <c r="B34" s="6" t="inlineStr">
        <is>
          <t>цены 2</t>
        </is>
      </c>
      <c r="C34" s="6">
        <f>IF(B34="цены 1",#REF!,IF(B34="цены 2",#REF!))</f>
        <v/>
      </c>
      <c r="D34" s="3" t="n"/>
      <c r="E34" s="1" t="n"/>
      <c r="F34" s="1" t="n"/>
      <c r="G34" s="1" t="n"/>
      <c r="H34" s="1" t="n"/>
      <c r="I34" s="3" t="n"/>
      <c r="J34" s="3" t="n"/>
      <c r="K34" s="3" t="n"/>
      <c r="L34" s="1" t="n"/>
      <c r="M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3" t="n"/>
      <c r="J35" s="3" t="n"/>
      <c r="K35" s="3" t="n"/>
      <c r="L35" s="1" t="n"/>
      <c r="M35" s="1" t="n"/>
    </row>
    <row r="36">
      <c r="A36" s="17" t="inlineStr">
        <is>
          <t>4.1. BTC.</t>
        </is>
      </c>
      <c r="B36" s="18" t="inlineStr">
        <is>
          <t>BTC -&gt; USDT</t>
        </is>
      </c>
      <c r="C36" s="18" t="inlineStr">
        <is>
          <t>BTC -&gt; BUSD</t>
        </is>
      </c>
      <c r="D36" s="18" t="inlineStr">
        <is>
          <t>BTC -&gt; BNB</t>
        </is>
      </c>
      <c r="E36" s="18" t="inlineStr">
        <is>
          <t>BTC -&gt; ETH</t>
        </is>
      </c>
      <c r="F36" s="18" t="inlineStr">
        <is>
          <t>BTC -&gt; RUB</t>
        </is>
      </c>
      <c r="G36" s="18" t="inlineStr">
        <is>
          <t>BTC -&gt; USDT -&gt; SHIB</t>
        </is>
      </c>
      <c r="H36" s="1" t="n"/>
      <c r="I36" s="3" t="n"/>
      <c r="J36" s="3" t="n"/>
      <c r="K36" s="3" t="n"/>
      <c r="L36" s="1" t="n"/>
      <c r="M36" s="1" t="n"/>
    </row>
    <row r="37">
      <c r="A37" s="19" t="inlineStr">
        <is>
          <t>ТИНЬКОФ НА ТИНЬКОФ</t>
        </is>
      </c>
      <c r="B37" s="14" t="inlineStr">
        <is>
          <t>Недоступно</t>
        </is>
      </c>
      <c r="C37" s="14" t="inlineStr">
        <is>
          <t>Недоступно</t>
        </is>
      </c>
      <c r="D37" s="14" t="inlineStr">
        <is>
          <t>Недоступно</t>
        </is>
      </c>
      <c r="E37" s="14" t="inlineStr">
        <is>
          <t>Недоступно</t>
        </is>
      </c>
      <c r="F37" s="14" t="inlineStr">
        <is>
          <t>Недоступно</t>
        </is>
      </c>
      <c r="G37" s="14" t="inlineStr">
        <is>
          <t>Недоступно</t>
        </is>
      </c>
      <c r="H37" s="3" t="n"/>
      <c r="I37" s="3" t="n"/>
      <c r="J37" s="3" t="n"/>
      <c r="K37" s="3" t="n"/>
      <c r="L37" s="3" t="n"/>
      <c r="M37" s="3" t="n"/>
    </row>
    <row r="38">
      <c r="A38" s="19" t="inlineStr">
        <is>
          <t>ТИНЬКОФ НА РОСБАНК</t>
        </is>
      </c>
      <c r="B38" s="14" t="inlineStr">
        <is>
          <t>Недоступно</t>
        </is>
      </c>
      <c r="C38" s="14" t="inlineStr">
        <is>
          <t>Недоступно</t>
        </is>
      </c>
      <c r="D38" s="14" t="inlineStr">
        <is>
          <t>Недоступно</t>
        </is>
      </c>
      <c r="E38" s="14" t="inlineStr">
        <is>
          <t>Недоступно</t>
        </is>
      </c>
      <c r="F38" s="14" t="inlineStr">
        <is>
          <t>Недоступно</t>
        </is>
      </c>
      <c r="G38" s="14" t="inlineStr">
        <is>
          <t>Недоступно</t>
        </is>
      </c>
      <c r="H38" s="3" t="n"/>
      <c r="I38" s="3" t="n"/>
      <c r="J38" s="3" t="n"/>
      <c r="K38" s="3" t="n"/>
      <c r="L38" s="3" t="n"/>
      <c r="M38" s="3" t="n"/>
    </row>
    <row r="39">
      <c r="A39" s="19" t="inlineStr">
        <is>
          <t xml:space="preserve"> ТИНЬКОФ НА ЮМАНИ</t>
        </is>
      </c>
      <c r="B39" s="14" t="inlineStr">
        <is>
          <t>Недоступно</t>
        </is>
      </c>
      <c r="C39" s="14" t="inlineStr">
        <is>
          <t>Недоступно</t>
        </is>
      </c>
      <c r="D39" s="14" t="inlineStr">
        <is>
          <t>Недоступно</t>
        </is>
      </c>
      <c r="E39" s="14" t="inlineStr">
        <is>
          <t>Недоступно</t>
        </is>
      </c>
      <c r="F39" s="14" t="inlineStr">
        <is>
          <t>Недоступно</t>
        </is>
      </c>
      <c r="G39" s="14" t="inlineStr">
        <is>
          <t>Недоступно</t>
        </is>
      </c>
      <c r="H39" s="3" t="n"/>
      <c r="I39" s="3" t="n"/>
      <c r="J39" s="3" t="n"/>
      <c r="K39" s="3" t="n"/>
      <c r="L39" s="3" t="n"/>
      <c r="M39" s="3" t="n"/>
    </row>
    <row r="40">
      <c r="A40" s="19" t="inlineStr">
        <is>
          <t>ТИНЬКОФ НА КИВИ</t>
        </is>
      </c>
      <c r="B40" s="14" t="inlineStr">
        <is>
          <t>Недоступно</t>
        </is>
      </c>
      <c r="C40" s="14" t="inlineStr">
        <is>
          <t>Недоступно</t>
        </is>
      </c>
      <c r="D40" s="14" t="inlineStr">
        <is>
          <t>Недоступно</t>
        </is>
      </c>
      <c r="E40" s="14" t="inlineStr">
        <is>
          <t>Недоступно</t>
        </is>
      </c>
      <c r="F40" s="14" t="inlineStr">
        <is>
          <t>Недоступно</t>
        </is>
      </c>
      <c r="G40" s="14" t="inlineStr">
        <is>
          <t>Недоступно</t>
        </is>
      </c>
      <c r="H40" s="20" t="n"/>
      <c r="I40" s="20" t="n"/>
      <c r="J40" s="3" t="n"/>
      <c r="K40" s="3" t="n"/>
      <c r="L40" s="3" t="n"/>
      <c r="M40" s="3" t="n"/>
    </row>
    <row r="41">
      <c r="A41" s="21" t="inlineStr">
        <is>
          <t>РОСБАНК НА РОСБАНК</t>
        </is>
      </c>
      <c r="B41" s="14" t="inlineStr">
        <is>
          <t>Недоступно</t>
        </is>
      </c>
      <c r="C41" s="14" t="inlineStr">
        <is>
          <t>Недоступно</t>
        </is>
      </c>
      <c r="D41" s="14" t="inlineStr">
        <is>
          <t>Недоступно</t>
        </is>
      </c>
      <c r="E41" s="14" t="inlineStr">
        <is>
          <t>Недоступно</t>
        </is>
      </c>
      <c r="F41" s="14" t="inlineStr">
        <is>
          <t>Недоступно</t>
        </is>
      </c>
      <c r="G41" s="14" t="inlineStr">
        <is>
          <t>Недоступно</t>
        </is>
      </c>
      <c r="H41" s="3" t="n"/>
      <c r="I41" s="3" t="n"/>
      <c r="J41" s="3" t="n"/>
      <c r="K41" s="3" t="n"/>
      <c r="L41" s="3" t="n"/>
      <c r="M41" s="3" t="n"/>
    </row>
    <row r="42">
      <c r="A42" s="21" t="inlineStr">
        <is>
          <t>РОСБАНК НА ТИНЬКОФ</t>
        </is>
      </c>
      <c r="B42" s="14" t="inlineStr">
        <is>
          <t>Недоступно</t>
        </is>
      </c>
      <c r="C42" s="14" t="inlineStr">
        <is>
          <t>Недоступно</t>
        </is>
      </c>
      <c r="D42" s="14" t="inlineStr">
        <is>
          <t>Недоступно</t>
        </is>
      </c>
      <c r="E42" s="14" t="inlineStr">
        <is>
          <t>Недоступно</t>
        </is>
      </c>
      <c r="F42" s="14" t="inlineStr">
        <is>
          <t>Недоступно</t>
        </is>
      </c>
      <c r="G42" s="14" t="inlineStr">
        <is>
          <t>Недоступно</t>
        </is>
      </c>
      <c r="H42" s="3" t="n"/>
      <c r="I42" s="3" t="n"/>
      <c r="J42" s="3" t="n"/>
      <c r="K42" s="3" t="n"/>
      <c r="L42" s="3" t="n"/>
      <c r="M42" s="3" t="n"/>
    </row>
    <row r="43">
      <c r="A43" s="21" t="inlineStr">
        <is>
          <t>РОСБАНК НА ЮМАНИ</t>
        </is>
      </c>
      <c r="B43" s="14" t="inlineStr">
        <is>
          <t>Недоступно</t>
        </is>
      </c>
      <c r="C43" s="14" t="inlineStr">
        <is>
          <t>Недоступно</t>
        </is>
      </c>
      <c r="D43" s="14" t="inlineStr">
        <is>
          <t>Недоступно</t>
        </is>
      </c>
      <c r="E43" s="14" t="inlineStr">
        <is>
          <t>Недоступно</t>
        </is>
      </c>
      <c r="F43" s="14" t="inlineStr">
        <is>
          <t>Недоступно</t>
        </is>
      </c>
      <c r="G43" s="14" t="inlineStr">
        <is>
          <t>Недоступно</t>
        </is>
      </c>
      <c r="H43" s="22" t="n"/>
      <c r="I43" s="3" t="n"/>
      <c r="J43" s="3" t="n"/>
      <c r="K43" s="3" t="n"/>
      <c r="L43" s="3" t="n"/>
      <c r="M43" s="3" t="n"/>
    </row>
    <row r="44">
      <c r="A44" s="21" t="inlineStr">
        <is>
          <t>РОСБАНК НА КИВИ</t>
        </is>
      </c>
      <c r="B44" s="14" t="inlineStr">
        <is>
          <t>Недоступно</t>
        </is>
      </c>
      <c r="C44" s="14" t="inlineStr">
        <is>
          <t>Недоступно</t>
        </is>
      </c>
      <c r="D44" s="14" t="inlineStr">
        <is>
          <t>Недоступно</t>
        </is>
      </c>
      <c r="E44" s="14" t="inlineStr">
        <is>
          <t>Недоступно</t>
        </is>
      </c>
      <c r="F44" s="14" t="inlineStr">
        <is>
          <t>Недоступно</t>
        </is>
      </c>
      <c r="G44" s="14" t="inlineStr">
        <is>
          <t>Недоступно</t>
        </is>
      </c>
      <c r="H44" s="3" t="n"/>
      <c r="I44" s="3" t="n"/>
      <c r="J44" s="3" t="n"/>
      <c r="K44" s="3" t="n"/>
      <c r="L44" s="3" t="n"/>
      <c r="M44" s="3" t="n"/>
    </row>
    <row r="45">
      <c r="A45" s="23" t="inlineStr">
        <is>
          <t>ЮМАНИ НА ЮМАНИ</t>
        </is>
      </c>
      <c r="B45" s="14" t="inlineStr">
        <is>
          <t>Недоступно</t>
        </is>
      </c>
      <c r="C45" s="14" t="inlineStr">
        <is>
          <t>Недоступно</t>
        </is>
      </c>
      <c r="D45" s="14" t="inlineStr">
        <is>
          <t>Недоступно</t>
        </is>
      </c>
      <c r="E45" s="14" t="inlineStr">
        <is>
          <t>Недоступно</t>
        </is>
      </c>
      <c r="F45" s="14" t="inlineStr">
        <is>
          <t>Недоступно</t>
        </is>
      </c>
      <c r="G45" s="14" t="inlineStr">
        <is>
          <t>Недоступно</t>
        </is>
      </c>
      <c r="H45" s="3" t="n"/>
      <c r="I45" s="3" t="n"/>
      <c r="J45" s="3" t="n"/>
      <c r="K45" s="3" t="n"/>
      <c r="L45" s="3" t="n"/>
      <c r="M45" s="3" t="n"/>
    </row>
    <row r="46">
      <c r="A46" s="23" t="inlineStr">
        <is>
          <t>ЮМАНИ НА ТИНЬКОФ</t>
        </is>
      </c>
      <c r="B46" s="14" t="inlineStr">
        <is>
          <t>Недоступно</t>
        </is>
      </c>
      <c r="C46" s="14" t="inlineStr">
        <is>
          <t>Недоступно</t>
        </is>
      </c>
      <c r="D46" s="14" t="inlineStr">
        <is>
          <t>Недоступно</t>
        </is>
      </c>
      <c r="E46" s="14" t="inlineStr">
        <is>
          <t>Недоступно</t>
        </is>
      </c>
      <c r="F46" s="14" t="inlineStr">
        <is>
          <t>Недоступно</t>
        </is>
      </c>
      <c r="G46" s="14" t="inlineStr">
        <is>
          <t>Недоступно</t>
        </is>
      </c>
      <c r="H46" s="3" t="n"/>
      <c r="I46" s="3" t="n"/>
      <c r="J46" s="3" t="n"/>
      <c r="K46" s="3" t="n"/>
      <c r="L46" s="3" t="n"/>
      <c r="M46" s="3" t="n"/>
    </row>
    <row r="47">
      <c r="A47" s="23" t="inlineStr">
        <is>
          <t>ЮМАНИ НА РОСБАНК</t>
        </is>
      </c>
      <c r="B47" s="14" t="inlineStr">
        <is>
          <t>Недоступно</t>
        </is>
      </c>
      <c r="C47" s="14" t="inlineStr">
        <is>
          <t>Недоступно</t>
        </is>
      </c>
      <c r="D47" s="14" t="inlineStr">
        <is>
          <t>Недоступно</t>
        </is>
      </c>
      <c r="E47" s="14" t="inlineStr">
        <is>
          <t>Недоступно</t>
        </is>
      </c>
      <c r="F47" s="14" t="inlineStr">
        <is>
          <t>Недоступно</t>
        </is>
      </c>
      <c r="G47" s="14" t="inlineStr">
        <is>
          <t>Недоступно</t>
        </is>
      </c>
      <c r="H47" s="3" t="n"/>
      <c r="I47" s="3" t="n"/>
      <c r="J47" s="3" t="n"/>
      <c r="K47" s="3" t="n"/>
      <c r="L47" s="3" t="n"/>
      <c r="M47" s="3" t="n"/>
    </row>
    <row r="48">
      <c r="A48" s="23" t="inlineStr">
        <is>
          <t>ЮМАНИ НА КИВИ</t>
        </is>
      </c>
      <c r="B48" s="14" t="inlineStr">
        <is>
          <t>Недоступно</t>
        </is>
      </c>
      <c r="C48" s="14" t="inlineStr">
        <is>
          <t>Недоступно</t>
        </is>
      </c>
      <c r="D48" s="14" t="inlineStr">
        <is>
          <t>Недоступно</t>
        </is>
      </c>
      <c r="E48" s="14" t="inlineStr">
        <is>
          <t>Недоступно</t>
        </is>
      </c>
      <c r="F48" s="14" t="inlineStr">
        <is>
          <t>Недоступно</t>
        </is>
      </c>
      <c r="G48" s="14" t="inlineStr">
        <is>
          <t>Недоступно</t>
        </is>
      </c>
      <c r="H48" s="3" t="n"/>
      <c r="I48" s="3" t="n"/>
      <c r="J48" s="3" t="n"/>
      <c r="K48" s="3" t="n"/>
      <c r="L48" s="1" t="n"/>
      <c r="M48" s="1" t="n"/>
    </row>
    <row r="49">
      <c r="A49" s="24" t="inlineStr">
        <is>
          <t>КИВИ НА КИВИ</t>
        </is>
      </c>
      <c r="B49" s="14" t="inlineStr">
        <is>
          <t>Недоступно</t>
        </is>
      </c>
      <c r="C49" s="14" t="inlineStr">
        <is>
          <t>Недоступно</t>
        </is>
      </c>
      <c r="D49" s="14" t="inlineStr">
        <is>
          <t>Недоступно</t>
        </is>
      </c>
      <c r="E49" s="14" t="inlineStr">
        <is>
          <t>Недоступно</t>
        </is>
      </c>
      <c r="F49" s="14" t="inlineStr">
        <is>
          <t>Недоступно</t>
        </is>
      </c>
      <c r="G49" s="14" t="inlineStr">
        <is>
          <t>Недоступно</t>
        </is>
      </c>
      <c r="H49" s="3" t="n"/>
      <c r="I49" s="3" t="n"/>
      <c r="J49" s="3" t="n"/>
      <c r="K49" s="3" t="n"/>
      <c r="L49" s="1" t="n"/>
      <c r="M49" s="1" t="n"/>
    </row>
    <row r="50">
      <c r="A50" s="24" t="inlineStr">
        <is>
          <t>КИВИ НА ТИНЬКОФ</t>
        </is>
      </c>
      <c r="B50" s="14" t="inlineStr">
        <is>
          <t>Недоступно</t>
        </is>
      </c>
      <c r="C50" s="14" t="inlineStr">
        <is>
          <t>Недоступно</t>
        </is>
      </c>
      <c r="D50" s="14" t="inlineStr">
        <is>
          <t>Недоступно</t>
        </is>
      </c>
      <c r="E50" s="14" t="inlineStr">
        <is>
          <t>Недоступно</t>
        </is>
      </c>
      <c r="F50" s="14" t="inlineStr">
        <is>
          <t>Недоступно</t>
        </is>
      </c>
      <c r="G50" s="14" t="inlineStr">
        <is>
          <t>Недоступно</t>
        </is>
      </c>
      <c r="H50" s="3" t="n"/>
      <c r="I50" s="3" t="n"/>
      <c r="J50" s="3" t="n"/>
      <c r="K50" s="3" t="n"/>
      <c r="L50" s="1" t="n"/>
      <c r="M50" s="1" t="n"/>
    </row>
    <row r="51">
      <c r="A51" s="24" t="inlineStr">
        <is>
          <t>КИВИ НА РОСБАНК</t>
        </is>
      </c>
      <c r="B51" s="14" t="inlineStr">
        <is>
          <t>Недоступно</t>
        </is>
      </c>
      <c r="C51" s="14" t="inlineStr">
        <is>
          <t>Недоступно</t>
        </is>
      </c>
      <c r="D51" s="14" t="inlineStr">
        <is>
          <t>Недоступно</t>
        </is>
      </c>
      <c r="E51" s="14" t="inlineStr">
        <is>
          <t>Недоступно</t>
        </is>
      </c>
      <c r="F51" s="14" t="inlineStr">
        <is>
          <t>Недоступно</t>
        </is>
      </c>
      <c r="G51" s="14" t="inlineStr">
        <is>
          <t>Недоступно</t>
        </is>
      </c>
      <c r="H51" s="3" t="n"/>
      <c r="I51" s="3" t="n"/>
      <c r="J51" s="3" t="n"/>
      <c r="K51" s="3" t="n"/>
      <c r="L51" s="1" t="n"/>
      <c r="M51" s="1" t="n"/>
    </row>
    <row r="52">
      <c r="A52" s="24" t="inlineStr">
        <is>
          <t>КИВИ НА ЮМАНИ</t>
        </is>
      </c>
      <c r="B52" s="14" t="inlineStr">
        <is>
          <t>Недоступно</t>
        </is>
      </c>
      <c r="C52" s="14" t="inlineStr">
        <is>
          <t>Недоступно</t>
        </is>
      </c>
      <c r="D52" s="14" t="inlineStr">
        <is>
          <t>Недоступно</t>
        </is>
      </c>
      <c r="E52" s="14" t="inlineStr">
        <is>
          <t>Недоступно</t>
        </is>
      </c>
      <c r="F52" s="14" t="inlineStr">
        <is>
          <t>Недоступно</t>
        </is>
      </c>
      <c r="G52" s="14" t="inlineStr">
        <is>
          <t>Недоступно</t>
        </is>
      </c>
      <c r="H52" s="3" t="n"/>
      <c r="I52" s="3" t="n"/>
      <c r="J52" s="3" t="n"/>
      <c r="K52" s="3" t="n"/>
      <c r="L52" s="1" t="n"/>
      <c r="M52" s="1" t="n"/>
    </row>
    <row r="53">
      <c r="A53" s="25" t="n"/>
      <c r="B53" s="1" t="n"/>
      <c r="C53" s="1" t="n"/>
      <c r="D53" s="3" t="n"/>
      <c r="E53" s="1" t="n"/>
      <c r="F53" s="1" t="n"/>
      <c r="G53" s="1" t="n"/>
      <c r="H53" s="1" t="n"/>
      <c r="I53" s="3" t="n"/>
      <c r="J53" s="3" t="n"/>
      <c r="K53" s="3" t="n"/>
      <c r="L53" s="1" t="n"/>
      <c r="M53" s="1" t="n"/>
    </row>
    <row r="54">
      <c r="A54" s="26" t="inlineStr">
        <is>
          <t>4.2. USDT.</t>
        </is>
      </c>
      <c r="B54" s="27" t="inlineStr">
        <is>
          <t>USDT -&gt; BTC</t>
        </is>
      </c>
      <c r="C54" s="27" t="inlineStr">
        <is>
          <t>USDT -&gt; BUSD</t>
        </is>
      </c>
      <c r="D54" s="28" t="inlineStr">
        <is>
          <t>USDT -&gt; BNB</t>
        </is>
      </c>
      <c r="E54" s="27" t="inlineStr">
        <is>
          <t>USDT -&gt; ETH</t>
        </is>
      </c>
      <c r="F54" s="27" t="inlineStr">
        <is>
          <t>USDT -&gt; RUB</t>
        </is>
      </c>
      <c r="G54" s="27" t="inlineStr">
        <is>
          <t>USDT -&gt; SHIB</t>
        </is>
      </c>
      <c r="H54" s="1" t="n"/>
      <c r="I54" s="1" t="n"/>
      <c r="J54" s="1" t="n"/>
      <c r="K54" s="1" t="n"/>
      <c r="L54" s="1" t="n"/>
      <c r="M54" s="1" t="n"/>
    </row>
    <row r="55">
      <c r="A55" s="19" t="inlineStr">
        <is>
          <t>ТИНЬКОФ НА ТИНЬКОФ</t>
        </is>
      </c>
      <c r="B55" s="14" t="inlineStr">
        <is>
          <t>Недоступно</t>
        </is>
      </c>
      <c r="C55" s="14" t="inlineStr">
        <is>
          <t>Недоступно</t>
        </is>
      </c>
      <c r="D55" s="14" t="inlineStr">
        <is>
          <t>Недоступно</t>
        </is>
      </c>
      <c r="E55" s="14" t="inlineStr">
        <is>
          <t>Недоступно</t>
        </is>
      </c>
      <c r="F55" s="14" t="inlineStr">
        <is>
          <t>Недоступно</t>
        </is>
      </c>
      <c r="G55" s="14" t="inlineStr">
        <is>
          <t>Недоступно</t>
        </is>
      </c>
      <c r="H55" s="3" t="n"/>
      <c r="I55" s="3" t="n"/>
      <c r="J55" s="1" t="n"/>
      <c r="K55" s="1" t="n"/>
      <c r="L55" s="1" t="n"/>
      <c r="M55" s="1" t="n"/>
    </row>
    <row r="56">
      <c r="A56" s="19" t="inlineStr">
        <is>
          <t>ТИНЬКОФ НА РОСБАНК</t>
        </is>
      </c>
      <c r="B56" s="14" t="inlineStr">
        <is>
          <t>Недоступно</t>
        </is>
      </c>
      <c r="C56" s="14" t="inlineStr">
        <is>
          <t>Недоступно</t>
        </is>
      </c>
      <c r="D56" s="14" t="inlineStr">
        <is>
          <t>Недоступно</t>
        </is>
      </c>
      <c r="E56" s="14" t="inlineStr">
        <is>
          <t>Недоступно</t>
        </is>
      </c>
      <c r="F56" s="14" t="inlineStr">
        <is>
          <t>Недоступно</t>
        </is>
      </c>
      <c r="G56" s="14" t="inlineStr">
        <is>
          <t>Недоступно</t>
        </is>
      </c>
      <c r="H56" s="3" t="n"/>
      <c r="I56" s="3" t="n"/>
      <c r="J56" s="3" t="n"/>
      <c r="K56" s="3" t="n"/>
      <c r="L56" s="3" t="n"/>
      <c r="M56" s="3" t="n"/>
    </row>
    <row r="57">
      <c r="A57" s="19" t="inlineStr">
        <is>
          <t xml:space="preserve"> ТИНЬКОФ НА ЮМАНИ</t>
        </is>
      </c>
      <c r="B57" s="14" t="inlineStr">
        <is>
          <t>Недоступно</t>
        </is>
      </c>
      <c r="C57" s="14" t="inlineStr">
        <is>
          <t>Недоступно</t>
        </is>
      </c>
      <c r="D57" s="14" t="inlineStr">
        <is>
          <t>Недоступно</t>
        </is>
      </c>
      <c r="E57" s="14" t="inlineStr">
        <is>
          <t>Недоступно</t>
        </is>
      </c>
      <c r="F57" s="14" t="inlineStr">
        <is>
          <t>Недоступно</t>
        </is>
      </c>
      <c r="G57" s="14" t="inlineStr">
        <is>
          <t>Недоступно</t>
        </is>
      </c>
      <c r="H57" s="3" t="n"/>
      <c r="I57" s="3" t="n"/>
      <c r="J57" s="3" t="n"/>
      <c r="K57" s="3" t="n"/>
      <c r="L57" s="3" t="n"/>
      <c r="M57" s="3" t="n"/>
    </row>
    <row r="58">
      <c r="A58" s="19" t="inlineStr">
        <is>
          <t>ТИНЬКОФ НА КИВИ</t>
        </is>
      </c>
      <c r="B58" s="14" t="inlineStr">
        <is>
          <t>Недоступно</t>
        </is>
      </c>
      <c r="C58" s="14" t="inlineStr">
        <is>
          <t>Недоступно</t>
        </is>
      </c>
      <c r="D58" s="14" t="inlineStr">
        <is>
          <t>Недоступно</t>
        </is>
      </c>
      <c r="E58" s="14" t="inlineStr">
        <is>
          <t>Недоступно</t>
        </is>
      </c>
      <c r="F58" s="14" t="inlineStr">
        <is>
          <t>Недоступно</t>
        </is>
      </c>
      <c r="G58" s="14" t="inlineStr">
        <is>
          <t>Недоступно</t>
        </is>
      </c>
      <c r="H58" s="3" t="n"/>
      <c r="I58" s="3" t="n"/>
      <c r="J58" s="3" t="n"/>
      <c r="K58" s="3" t="n"/>
      <c r="L58" s="3" t="n"/>
      <c r="M58" s="3" t="n"/>
    </row>
    <row r="59">
      <c r="A59" s="21" t="inlineStr">
        <is>
          <t>РОСБАНК НА РОСБАНК</t>
        </is>
      </c>
      <c r="B59" s="14" t="inlineStr">
        <is>
          <t>Недоступно</t>
        </is>
      </c>
      <c r="C59" s="14" t="inlineStr">
        <is>
          <t>Недоступно</t>
        </is>
      </c>
      <c r="D59" s="14" t="inlineStr">
        <is>
          <t>Недоступно</t>
        </is>
      </c>
      <c r="E59" s="14" t="inlineStr">
        <is>
          <t>Недоступно</t>
        </is>
      </c>
      <c r="F59" s="14" t="inlineStr">
        <is>
          <t>Недоступно</t>
        </is>
      </c>
      <c r="G59" s="14" t="inlineStr">
        <is>
          <t>Недоступно</t>
        </is>
      </c>
      <c r="H59" s="3" t="n"/>
      <c r="I59" s="3" t="n"/>
      <c r="J59" s="3" t="n"/>
      <c r="K59" s="3" t="n"/>
      <c r="L59" s="3" t="n"/>
      <c r="M59" s="3" t="n"/>
    </row>
    <row r="60">
      <c r="A60" s="21" t="inlineStr">
        <is>
          <t>РОСБАНК НА ТИНЬКОФ</t>
        </is>
      </c>
      <c r="B60" s="14" t="inlineStr">
        <is>
          <t>Недоступно</t>
        </is>
      </c>
      <c r="C60" s="14" t="inlineStr">
        <is>
          <t>Недоступно</t>
        </is>
      </c>
      <c r="D60" s="14" t="inlineStr">
        <is>
          <t>Недоступно</t>
        </is>
      </c>
      <c r="E60" s="14" t="inlineStr">
        <is>
          <t>Недоступно</t>
        </is>
      </c>
      <c r="F60" s="14" t="inlineStr">
        <is>
          <t>Недоступно</t>
        </is>
      </c>
      <c r="G60" s="14" t="inlineStr">
        <is>
          <t>Недоступно</t>
        </is>
      </c>
      <c r="H60" s="3" t="n"/>
      <c r="I60" s="3" t="n"/>
      <c r="J60" s="3" t="n"/>
      <c r="K60" s="3" t="n"/>
      <c r="L60" s="3" t="n"/>
      <c r="M60" s="3" t="n"/>
    </row>
    <row r="61">
      <c r="A61" s="21" t="inlineStr">
        <is>
          <t>РОСБАНК НА ЮМАНИ</t>
        </is>
      </c>
      <c r="B61" s="14" t="inlineStr">
        <is>
          <t>Недоступно</t>
        </is>
      </c>
      <c r="C61" s="14" t="inlineStr">
        <is>
          <t>Недоступно</t>
        </is>
      </c>
      <c r="D61" s="14" t="inlineStr">
        <is>
          <t>Недоступно</t>
        </is>
      </c>
      <c r="E61" s="14" t="inlineStr">
        <is>
          <t>Недоступно</t>
        </is>
      </c>
      <c r="F61" s="14" t="inlineStr">
        <is>
          <t>Недоступно</t>
        </is>
      </c>
      <c r="G61" s="14" t="inlineStr">
        <is>
          <t>Недоступно</t>
        </is>
      </c>
      <c r="H61" s="3" t="n"/>
      <c r="I61" s="3" t="n"/>
      <c r="J61" s="3" t="n"/>
      <c r="K61" s="3" t="n"/>
      <c r="L61" s="3" t="n"/>
      <c r="M61" s="3" t="n"/>
    </row>
    <row r="62">
      <c r="A62" s="21" t="inlineStr">
        <is>
          <t>РОСБАНК НА КИВИ</t>
        </is>
      </c>
      <c r="B62" s="14" t="inlineStr">
        <is>
          <t>Недоступно</t>
        </is>
      </c>
      <c r="C62" s="14" t="inlineStr">
        <is>
          <t>Недоступно</t>
        </is>
      </c>
      <c r="D62" s="14" t="inlineStr">
        <is>
          <t>Недоступно</t>
        </is>
      </c>
      <c r="E62" s="14" t="inlineStr">
        <is>
          <t>Недоступно</t>
        </is>
      </c>
      <c r="F62" s="14" t="inlineStr">
        <is>
          <t>Недоступно</t>
        </is>
      </c>
      <c r="G62" s="14" t="inlineStr">
        <is>
          <t>Недоступно</t>
        </is>
      </c>
      <c r="H62" s="22" t="n"/>
      <c r="I62" s="3" t="n"/>
      <c r="J62" s="3" t="n"/>
      <c r="K62" s="3" t="n"/>
      <c r="L62" s="3" t="n"/>
      <c r="M62" s="3" t="n"/>
    </row>
    <row r="63">
      <c r="A63" s="23" t="inlineStr">
        <is>
          <t>ЮМАНИ НА ЮМАНИ</t>
        </is>
      </c>
      <c r="B63" s="14" t="inlineStr">
        <is>
          <t>Недоступно</t>
        </is>
      </c>
      <c r="C63" s="14" t="inlineStr">
        <is>
          <t>Недоступно</t>
        </is>
      </c>
      <c r="D63" s="14" t="inlineStr">
        <is>
          <t>Недоступно</t>
        </is>
      </c>
      <c r="E63" s="14" t="inlineStr">
        <is>
          <t>Недоступно</t>
        </is>
      </c>
      <c r="F63" s="14" t="inlineStr">
        <is>
          <t>Недоступно</t>
        </is>
      </c>
      <c r="G63" s="14" t="inlineStr">
        <is>
          <t>Недоступно</t>
        </is>
      </c>
      <c r="H63" s="3" t="n"/>
      <c r="I63" s="3" t="n"/>
      <c r="J63" s="3" t="n"/>
      <c r="K63" s="3" t="n"/>
      <c r="L63" s="3" t="n"/>
      <c r="M63" s="3" t="n"/>
    </row>
    <row r="64">
      <c r="A64" s="23" t="inlineStr">
        <is>
          <t>ЮМАНИ НА ТИНЬКОФ</t>
        </is>
      </c>
      <c r="B64" s="14" t="inlineStr">
        <is>
          <t>Недоступно</t>
        </is>
      </c>
      <c r="C64" s="14" t="inlineStr">
        <is>
          <t>Недоступно</t>
        </is>
      </c>
      <c r="D64" s="14" t="inlineStr">
        <is>
          <t>Недоступно</t>
        </is>
      </c>
      <c r="E64" s="14" t="inlineStr">
        <is>
          <t>Недоступно</t>
        </is>
      </c>
      <c r="F64" s="14" t="inlineStr">
        <is>
          <t>Недоступно</t>
        </is>
      </c>
      <c r="G64" s="14" t="inlineStr">
        <is>
          <t>Недоступно</t>
        </is>
      </c>
      <c r="H64" s="3" t="n"/>
      <c r="I64" s="3" t="n"/>
      <c r="J64" s="3" t="n"/>
      <c r="K64" s="3" t="n"/>
      <c r="L64" s="3" t="n"/>
      <c r="M64" s="3" t="n"/>
    </row>
    <row r="65">
      <c r="A65" s="23" t="inlineStr">
        <is>
          <t>ЮМАНИ НА РОСБАНК</t>
        </is>
      </c>
      <c r="B65" s="14" t="inlineStr">
        <is>
          <t>Недоступно</t>
        </is>
      </c>
      <c r="C65" s="14" t="inlineStr">
        <is>
          <t>Недоступно</t>
        </is>
      </c>
      <c r="D65" s="14" t="inlineStr">
        <is>
          <t>Недоступно</t>
        </is>
      </c>
      <c r="E65" s="14" t="inlineStr">
        <is>
          <t>Недоступно</t>
        </is>
      </c>
      <c r="F65" s="14" t="inlineStr">
        <is>
          <t>Недоступно</t>
        </is>
      </c>
      <c r="G65" s="14" t="inlineStr">
        <is>
          <t>Недоступно</t>
        </is>
      </c>
      <c r="H65" s="3" t="n"/>
      <c r="I65" s="3" t="n"/>
      <c r="J65" s="3" t="n"/>
      <c r="K65" s="3" t="n"/>
      <c r="L65" s="3" t="n"/>
      <c r="M65" s="3" t="n"/>
    </row>
    <row r="66">
      <c r="A66" s="23" t="inlineStr">
        <is>
          <t>ЮМАНИ НА КИВИ</t>
        </is>
      </c>
      <c r="B66" s="14" t="inlineStr">
        <is>
          <t>Недоступно</t>
        </is>
      </c>
      <c r="C66" s="14" t="inlineStr">
        <is>
          <t>Недоступно</t>
        </is>
      </c>
      <c r="D66" s="14" t="inlineStr">
        <is>
          <t>Недоступно</t>
        </is>
      </c>
      <c r="E66" s="14" t="inlineStr">
        <is>
          <t>Недоступно</t>
        </is>
      </c>
      <c r="F66" s="14" t="inlineStr">
        <is>
          <t>Недоступно</t>
        </is>
      </c>
      <c r="G66" s="14" t="inlineStr">
        <is>
          <t>Недоступно</t>
        </is>
      </c>
      <c r="H66" s="3" t="n"/>
      <c r="I66" s="3" t="n"/>
      <c r="J66" s="3" t="n"/>
      <c r="K66" s="3" t="n"/>
      <c r="L66" s="3" t="n"/>
      <c r="M66" s="3" t="n"/>
    </row>
    <row r="67">
      <c r="A67" s="24" t="inlineStr">
        <is>
          <t>КИВИ НА КИВИ</t>
        </is>
      </c>
      <c r="B67" s="14" t="inlineStr">
        <is>
          <t>Недоступно</t>
        </is>
      </c>
      <c r="C67" s="14" t="inlineStr">
        <is>
          <t>Недоступно</t>
        </is>
      </c>
      <c r="D67" s="14" t="inlineStr">
        <is>
          <t>Недоступно</t>
        </is>
      </c>
      <c r="E67" s="14" t="inlineStr">
        <is>
          <t>Недоступно</t>
        </is>
      </c>
      <c r="F67" s="14" t="inlineStr">
        <is>
          <t>Недоступно</t>
        </is>
      </c>
      <c r="G67" s="14" t="inlineStr">
        <is>
          <t>Недоступно</t>
        </is>
      </c>
      <c r="H67" s="3" t="n"/>
      <c r="I67" s="3" t="n"/>
      <c r="J67" s="3" t="n"/>
      <c r="K67" s="3" t="n"/>
      <c r="L67" s="3" t="n"/>
      <c r="M67" s="3" t="n"/>
    </row>
    <row r="68">
      <c r="A68" s="24" t="inlineStr">
        <is>
          <t>КИВИ НА ТИНЬКОФ</t>
        </is>
      </c>
      <c r="B68" s="14" t="inlineStr">
        <is>
          <t>Недоступно</t>
        </is>
      </c>
      <c r="C68" s="14" t="inlineStr">
        <is>
          <t>Недоступно</t>
        </is>
      </c>
      <c r="D68" s="14" t="inlineStr">
        <is>
          <t>Недоступно</t>
        </is>
      </c>
      <c r="E68" s="14" t="inlineStr">
        <is>
          <t>Недоступно</t>
        </is>
      </c>
      <c r="F68" s="14" t="inlineStr">
        <is>
          <t>Недоступно</t>
        </is>
      </c>
      <c r="G68" s="14" t="inlineStr">
        <is>
          <t>Недоступно</t>
        </is>
      </c>
      <c r="H68" s="3" t="n"/>
      <c r="I68" s="3" t="n"/>
      <c r="J68" s="3" t="n"/>
      <c r="K68" s="3" t="n"/>
      <c r="L68" s="3" t="n"/>
      <c r="M68" s="3" t="n"/>
    </row>
    <row r="69">
      <c r="A69" s="24" t="inlineStr">
        <is>
          <t>КИВИ НА РОСБАНК</t>
        </is>
      </c>
      <c r="B69" s="14" t="inlineStr">
        <is>
          <t>Недоступно</t>
        </is>
      </c>
      <c r="C69" s="14" t="inlineStr">
        <is>
          <t>Недоступно</t>
        </is>
      </c>
      <c r="D69" s="14" t="inlineStr">
        <is>
          <t>Недоступно</t>
        </is>
      </c>
      <c r="E69" s="14" t="inlineStr">
        <is>
          <t>Недоступно</t>
        </is>
      </c>
      <c r="F69" s="14" t="inlineStr">
        <is>
          <t>Недоступно</t>
        </is>
      </c>
      <c r="G69" s="14" t="inlineStr">
        <is>
          <t>Недоступно</t>
        </is>
      </c>
      <c r="H69" s="3" t="n"/>
      <c r="I69" s="3" t="n"/>
      <c r="J69" s="3" t="n"/>
      <c r="K69" s="3" t="n"/>
      <c r="L69" s="3" t="n"/>
      <c r="M69" s="3" t="n"/>
    </row>
    <row r="70">
      <c r="A70" s="24" t="inlineStr">
        <is>
          <t>КИВИ НА ЮМАНИ</t>
        </is>
      </c>
      <c r="B70" s="14" t="inlineStr">
        <is>
          <t>Недоступно</t>
        </is>
      </c>
      <c r="C70" s="14" t="inlineStr">
        <is>
          <t>Недоступно</t>
        </is>
      </c>
      <c r="D70" s="14" t="inlineStr">
        <is>
          <t>Недоступно</t>
        </is>
      </c>
      <c r="E70" s="14" t="inlineStr">
        <is>
          <t>Недоступно</t>
        </is>
      </c>
      <c r="F70" s="14" t="inlineStr">
        <is>
          <t>Недоступно</t>
        </is>
      </c>
      <c r="G70" s="14" t="inlineStr">
        <is>
          <t>Недоступно</t>
        </is>
      </c>
      <c r="H70" s="3" t="n"/>
      <c r="I70" s="3" t="n"/>
      <c r="J70" s="3" t="n"/>
      <c r="K70" s="3" t="n"/>
      <c r="L70" s="3" t="n"/>
      <c r="M70" s="3" t="n"/>
    </row>
    <row r="71">
      <c r="A71" s="25" t="n"/>
      <c r="B71" s="1" t="n"/>
      <c r="C71" s="3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29" t="inlineStr">
        <is>
          <t>4.3. RUB.</t>
        </is>
      </c>
      <c r="B72" s="30" t="inlineStr">
        <is>
          <t>RUB -&gt; USDT</t>
        </is>
      </c>
      <c r="C72" s="31" t="inlineStr">
        <is>
          <t>RUB -&gt; BTC</t>
        </is>
      </c>
      <c r="D72" s="30" t="inlineStr">
        <is>
          <t>RUB -&gt; BUSD</t>
        </is>
      </c>
      <c r="E72" s="30" t="inlineStr">
        <is>
          <t>RUB -&gt; BNB</t>
        </is>
      </c>
      <c r="F72" s="30" t="inlineStr">
        <is>
          <t>RUB -&gt; ETH</t>
        </is>
      </c>
      <c r="G72" s="30" t="inlineStr">
        <is>
          <t>RUB -&gt; USDT -&gt; SHIB</t>
        </is>
      </c>
      <c r="H72" s="1" t="n"/>
      <c r="I72" s="1" t="n"/>
      <c r="J72" s="1" t="n"/>
      <c r="K72" s="1" t="n"/>
      <c r="L72" s="1" t="n"/>
      <c r="M72" s="1" t="n"/>
    </row>
    <row r="73">
      <c r="A73" s="19" t="inlineStr">
        <is>
          <t>ТИНЬКОФ НА ТИНЬКОФ</t>
        </is>
      </c>
      <c r="B73" s="14" t="inlineStr">
        <is>
          <t>Недоступно</t>
        </is>
      </c>
      <c r="C73" s="14" t="inlineStr">
        <is>
          <t>Недоступно</t>
        </is>
      </c>
      <c r="D73" s="14" t="inlineStr">
        <is>
          <t>Недоступно</t>
        </is>
      </c>
      <c r="E73" s="14" t="inlineStr">
        <is>
          <t>Недоступно</t>
        </is>
      </c>
      <c r="F73" s="14" t="inlineStr">
        <is>
          <t>Недоступно</t>
        </is>
      </c>
      <c r="G73" s="14" t="inlineStr">
        <is>
          <t>Недоступно</t>
        </is>
      </c>
      <c r="H73" s="1" t="n"/>
      <c r="I73" s="1" t="n"/>
      <c r="J73" s="1" t="n"/>
      <c r="K73" s="1" t="n"/>
      <c r="L73" s="1" t="n"/>
      <c r="M73" s="1" t="n"/>
    </row>
    <row r="74">
      <c r="A74" s="19" t="inlineStr">
        <is>
          <t>ТИНЬКОФ НА РОСБАНК</t>
        </is>
      </c>
      <c r="B74" s="14" t="inlineStr">
        <is>
          <t>Недоступно</t>
        </is>
      </c>
      <c r="C74" s="14" t="inlineStr">
        <is>
          <t>Недоступно</t>
        </is>
      </c>
      <c r="D74" s="14" t="inlineStr">
        <is>
          <t>Недоступно</t>
        </is>
      </c>
      <c r="E74" s="14" t="inlineStr">
        <is>
          <t>Недоступно</t>
        </is>
      </c>
      <c r="F74" s="14" t="inlineStr">
        <is>
          <t>Недоступно</t>
        </is>
      </c>
      <c r="G74" s="14" t="inlineStr">
        <is>
          <t>Недоступно</t>
        </is>
      </c>
      <c r="H74" s="1" t="n"/>
      <c r="I74" s="1" t="n"/>
      <c r="J74" s="1" t="n"/>
      <c r="K74" s="1" t="n"/>
      <c r="L74" s="1" t="n"/>
      <c r="M74" s="1" t="n"/>
    </row>
    <row r="75">
      <c r="A75" s="19" t="inlineStr">
        <is>
          <t xml:space="preserve"> ТИНЬКОФ НА ЮМАНИ</t>
        </is>
      </c>
      <c r="B75" s="14" t="inlineStr">
        <is>
          <t>Недоступно</t>
        </is>
      </c>
      <c r="C75" s="14" t="inlineStr">
        <is>
          <t>Недоступно</t>
        </is>
      </c>
      <c r="D75" s="14" t="inlineStr">
        <is>
          <t>Недоступно</t>
        </is>
      </c>
      <c r="E75" s="14" t="inlineStr">
        <is>
          <t>Недоступно</t>
        </is>
      </c>
      <c r="F75" s="14" t="inlineStr">
        <is>
          <t>Недоступно</t>
        </is>
      </c>
      <c r="G75" s="14" t="inlineStr">
        <is>
          <t>Недоступно</t>
        </is>
      </c>
      <c r="H75" s="1" t="n"/>
      <c r="I75" s="1" t="n"/>
      <c r="J75" s="1" t="n"/>
      <c r="K75" s="1" t="n"/>
      <c r="L75" s="1" t="n"/>
      <c r="M75" s="1" t="n"/>
    </row>
    <row r="76">
      <c r="A76" s="19" t="inlineStr">
        <is>
          <t>ТИНЬКОФ НА КИВИ</t>
        </is>
      </c>
      <c r="B76" s="14" t="inlineStr">
        <is>
          <t>Недоступно</t>
        </is>
      </c>
      <c r="C76" s="14" t="inlineStr">
        <is>
          <t>Недоступно</t>
        </is>
      </c>
      <c r="D76" s="14" t="inlineStr">
        <is>
          <t>Недоступно</t>
        </is>
      </c>
      <c r="E76" s="14" t="inlineStr">
        <is>
          <t>Недоступно</t>
        </is>
      </c>
      <c r="F76" s="14" t="inlineStr">
        <is>
          <t>Недоступно</t>
        </is>
      </c>
      <c r="G76" s="14" t="inlineStr">
        <is>
          <t>Недоступно</t>
        </is>
      </c>
      <c r="H76" s="1" t="n"/>
      <c r="I76" s="1" t="n"/>
      <c r="J76" s="1" t="n"/>
      <c r="K76" s="1" t="n"/>
      <c r="L76" s="1" t="n"/>
      <c r="M76" s="1" t="n"/>
    </row>
    <row r="77">
      <c r="A77" s="21" t="inlineStr">
        <is>
          <t>РОСБАНК НА РОСБАНК</t>
        </is>
      </c>
      <c r="B77" s="14" t="inlineStr">
        <is>
          <t>Недоступно</t>
        </is>
      </c>
      <c r="C77" s="14" t="inlineStr">
        <is>
          <t>Недоступно</t>
        </is>
      </c>
      <c r="D77" s="14" t="inlineStr">
        <is>
          <t>Недоступно</t>
        </is>
      </c>
      <c r="E77" s="14" t="inlineStr">
        <is>
          <t>Недоступно</t>
        </is>
      </c>
      <c r="F77" s="14" t="inlineStr">
        <is>
          <t>Недоступно</t>
        </is>
      </c>
      <c r="G77" s="14" t="inlineStr">
        <is>
          <t>Недоступно</t>
        </is>
      </c>
      <c r="H77" s="1" t="n"/>
      <c r="I77" s="1" t="n"/>
      <c r="J77" s="1" t="n"/>
      <c r="K77" s="1" t="n"/>
      <c r="L77" s="1" t="n"/>
      <c r="M77" s="1" t="n"/>
    </row>
    <row r="78">
      <c r="A78" s="21" t="inlineStr">
        <is>
          <t>РОСБАНК НА ТИНЬКОФ</t>
        </is>
      </c>
      <c r="B78" s="14" t="inlineStr">
        <is>
          <t>Недоступно</t>
        </is>
      </c>
      <c r="C78" s="14" t="inlineStr">
        <is>
          <t>Недоступно</t>
        </is>
      </c>
      <c r="D78" s="14" t="inlineStr">
        <is>
          <t>Недоступно</t>
        </is>
      </c>
      <c r="E78" s="14" t="inlineStr">
        <is>
          <t>Недоступно</t>
        </is>
      </c>
      <c r="F78" s="14" t="inlineStr">
        <is>
          <t>Недоступно</t>
        </is>
      </c>
      <c r="G78" s="14" t="inlineStr">
        <is>
          <t>Недоступно</t>
        </is>
      </c>
      <c r="H78" s="1" t="n"/>
      <c r="I78" s="1" t="n"/>
      <c r="J78" s="1" t="n"/>
      <c r="K78" s="1" t="n"/>
      <c r="L78" s="1" t="n"/>
      <c r="M78" s="1" t="n"/>
    </row>
    <row r="79">
      <c r="A79" s="21" t="inlineStr">
        <is>
          <t>РОСБАНК НА ЮМАНИ</t>
        </is>
      </c>
      <c r="B79" s="14" t="inlineStr">
        <is>
          <t>Недоступно</t>
        </is>
      </c>
      <c r="C79" s="14" t="inlineStr">
        <is>
          <t>Недоступно</t>
        </is>
      </c>
      <c r="D79" s="14" t="inlineStr">
        <is>
          <t>Недоступно</t>
        </is>
      </c>
      <c r="E79" s="14" t="inlineStr">
        <is>
          <t>Недоступно</t>
        </is>
      </c>
      <c r="F79" s="14" t="inlineStr">
        <is>
          <t>Недоступно</t>
        </is>
      </c>
      <c r="G79" s="14" t="inlineStr">
        <is>
          <t>Недоступно</t>
        </is>
      </c>
      <c r="H79" s="1" t="n"/>
      <c r="I79" s="1" t="n"/>
      <c r="J79" s="1" t="n"/>
      <c r="K79" s="1" t="n"/>
      <c r="L79" s="1" t="n"/>
      <c r="M79" s="1" t="n"/>
    </row>
    <row r="80">
      <c r="A80" s="21" t="inlineStr">
        <is>
          <t>РОСБАНК НА КИВИ</t>
        </is>
      </c>
      <c r="B80" s="14" t="inlineStr">
        <is>
          <t>Недоступно</t>
        </is>
      </c>
      <c r="C80" s="14" t="inlineStr">
        <is>
          <t>Недоступно</t>
        </is>
      </c>
      <c r="D80" s="14" t="inlineStr">
        <is>
          <t>Недоступно</t>
        </is>
      </c>
      <c r="E80" s="14" t="inlineStr">
        <is>
          <t>Недоступно</t>
        </is>
      </c>
      <c r="F80" s="14" t="inlineStr">
        <is>
          <t>Недоступно</t>
        </is>
      </c>
      <c r="G80" s="14" t="inlineStr">
        <is>
          <t>Недоступно</t>
        </is>
      </c>
      <c r="H80" s="1" t="n"/>
      <c r="I80" s="1" t="n"/>
      <c r="J80" s="1" t="n"/>
      <c r="K80" s="1" t="n"/>
      <c r="L80" s="1" t="n"/>
      <c r="M80" s="1" t="n"/>
    </row>
    <row r="81">
      <c r="A81" s="23" t="inlineStr">
        <is>
          <t>ЮМАНИ НА ЮМАНИ</t>
        </is>
      </c>
      <c r="B81" s="14" t="inlineStr">
        <is>
          <t>Недоступно</t>
        </is>
      </c>
      <c r="C81" s="14" t="inlineStr">
        <is>
          <t>Недоступно</t>
        </is>
      </c>
      <c r="D81" s="14" t="inlineStr">
        <is>
          <t>Недоступно</t>
        </is>
      </c>
      <c r="E81" s="14" t="inlineStr">
        <is>
          <t>Недоступно</t>
        </is>
      </c>
      <c r="F81" s="14" t="inlineStr">
        <is>
          <t>Недоступно</t>
        </is>
      </c>
      <c r="G81" s="14" t="inlineStr">
        <is>
          <t>Недоступно</t>
        </is>
      </c>
      <c r="H81" s="1" t="n"/>
      <c r="I81" s="3" t="n"/>
      <c r="J81" s="3" t="n"/>
      <c r="K81" s="3" t="n"/>
      <c r="L81" s="1" t="n"/>
      <c r="M81" s="1" t="n"/>
    </row>
    <row r="82">
      <c r="A82" s="23" t="inlineStr">
        <is>
          <t>ЮМАНИ НА ТИНЬКОФ</t>
        </is>
      </c>
      <c r="B82" s="14" t="inlineStr">
        <is>
          <t>Недоступно</t>
        </is>
      </c>
      <c r="C82" s="14" t="inlineStr">
        <is>
          <t>Недоступно</t>
        </is>
      </c>
      <c r="D82" s="14" t="inlineStr">
        <is>
          <t>Недоступно</t>
        </is>
      </c>
      <c r="E82" s="14" t="inlineStr">
        <is>
          <t>Недоступно</t>
        </is>
      </c>
      <c r="F82" s="14" t="inlineStr">
        <is>
          <t>Недоступно</t>
        </is>
      </c>
      <c r="G82" s="14" t="inlineStr">
        <is>
          <t>Недоступно</t>
        </is>
      </c>
      <c r="H82" s="1" t="n"/>
      <c r="I82" s="3" t="n"/>
      <c r="J82" s="3" t="n"/>
      <c r="K82" s="3" t="n"/>
      <c r="L82" s="1" t="n"/>
      <c r="M82" s="1" t="n"/>
    </row>
    <row r="83">
      <c r="A83" s="23" t="inlineStr">
        <is>
          <t>ЮМАНИ НА РОСБАНК</t>
        </is>
      </c>
      <c r="B83" s="14" t="inlineStr">
        <is>
          <t>Недоступно</t>
        </is>
      </c>
      <c r="C83" s="14" t="inlineStr">
        <is>
          <t>Недоступно</t>
        </is>
      </c>
      <c r="D83" s="14" t="inlineStr">
        <is>
          <t>Недоступно</t>
        </is>
      </c>
      <c r="E83" s="14" t="inlineStr">
        <is>
          <t>Недоступно</t>
        </is>
      </c>
      <c r="F83" s="14" t="inlineStr">
        <is>
          <t>Недоступно</t>
        </is>
      </c>
      <c r="G83" s="14" t="inlineStr">
        <is>
          <t>Недоступно</t>
        </is>
      </c>
      <c r="H83" s="1" t="n"/>
      <c r="I83" s="3" t="n"/>
      <c r="J83" s="3" t="n"/>
      <c r="K83" s="3" t="n"/>
      <c r="L83" s="1" t="n"/>
      <c r="M83" s="1" t="n"/>
    </row>
    <row r="84">
      <c r="A84" s="23" t="inlineStr">
        <is>
          <t>ЮМАНИ НА КИВИ</t>
        </is>
      </c>
      <c r="B84" s="14" t="inlineStr">
        <is>
          <t>Недоступно</t>
        </is>
      </c>
      <c r="C84" s="14" t="inlineStr">
        <is>
          <t>Недоступно</t>
        </is>
      </c>
      <c r="D84" s="14" t="inlineStr">
        <is>
          <t>Недоступно</t>
        </is>
      </c>
      <c r="E84" s="14" t="inlineStr">
        <is>
          <t>Недоступно</t>
        </is>
      </c>
      <c r="F84" s="14" t="inlineStr">
        <is>
          <t>Недоступно</t>
        </is>
      </c>
      <c r="G84" s="14" t="inlineStr">
        <is>
          <t>Недоступно</t>
        </is>
      </c>
      <c r="H84" s="1" t="n"/>
      <c r="I84" s="3" t="n"/>
      <c r="J84" s="3" t="n"/>
      <c r="K84" s="3" t="n"/>
      <c r="L84" s="1" t="n"/>
      <c r="M84" s="1" t="n"/>
    </row>
    <row r="85">
      <c r="A85" s="24" t="inlineStr">
        <is>
          <t>КИВИ НА КИВИ</t>
        </is>
      </c>
      <c r="B85" s="14" t="inlineStr">
        <is>
          <t>Недоступно</t>
        </is>
      </c>
      <c r="C85" s="14" t="inlineStr">
        <is>
          <t>Недоступно</t>
        </is>
      </c>
      <c r="D85" s="14" t="inlineStr">
        <is>
          <t>Недоступно</t>
        </is>
      </c>
      <c r="E85" s="14" t="inlineStr">
        <is>
          <t>Недоступно</t>
        </is>
      </c>
      <c r="F85" s="14" t="inlineStr">
        <is>
          <t>Недоступно</t>
        </is>
      </c>
      <c r="G85" s="14" t="inlineStr">
        <is>
          <t>Недоступно</t>
        </is>
      </c>
      <c r="H85" s="1" t="n"/>
      <c r="I85" s="3" t="n"/>
      <c r="J85" s="3" t="n"/>
      <c r="K85" s="3" t="n"/>
      <c r="L85" s="1" t="n"/>
      <c r="M85" s="1" t="n"/>
    </row>
    <row r="86">
      <c r="A86" s="24" t="inlineStr">
        <is>
          <t>КИВИ НА ТИНЬКОФ</t>
        </is>
      </c>
      <c r="B86" s="14" t="inlineStr">
        <is>
          <t>Недоступно</t>
        </is>
      </c>
      <c r="C86" s="14" t="inlineStr">
        <is>
          <t>Недоступно</t>
        </is>
      </c>
      <c r="D86" s="14" t="inlineStr">
        <is>
          <t>Недоступно</t>
        </is>
      </c>
      <c r="E86" s="14" t="inlineStr">
        <is>
          <t>Недоступно</t>
        </is>
      </c>
      <c r="F86" s="14" t="inlineStr">
        <is>
          <t>Недоступно</t>
        </is>
      </c>
      <c r="G86" s="14" t="inlineStr">
        <is>
          <t>Недоступно</t>
        </is>
      </c>
      <c r="H86" s="1" t="n"/>
      <c r="I86" s="3" t="n"/>
      <c r="J86" s="3" t="n"/>
      <c r="K86" s="3" t="n"/>
      <c r="L86" s="1" t="n"/>
      <c r="M86" s="1" t="n"/>
    </row>
    <row r="87">
      <c r="A87" s="24" t="inlineStr">
        <is>
          <t>КИВИ НА РОСБАНК</t>
        </is>
      </c>
      <c r="B87" s="14" t="inlineStr">
        <is>
          <t>Недоступно</t>
        </is>
      </c>
      <c r="C87" s="14" t="inlineStr">
        <is>
          <t>Недоступно</t>
        </is>
      </c>
      <c r="D87" s="14" t="inlineStr">
        <is>
          <t>Недоступно</t>
        </is>
      </c>
      <c r="E87" s="14" t="inlineStr">
        <is>
          <t>Недоступно</t>
        </is>
      </c>
      <c r="F87" s="14" t="inlineStr">
        <is>
          <t>Недоступно</t>
        </is>
      </c>
      <c r="G87" s="14" t="inlineStr">
        <is>
          <t>Недоступно</t>
        </is>
      </c>
      <c r="H87" s="1" t="n"/>
      <c r="I87" s="1" t="n"/>
      <c r="J87" s="1" t="n"/>
      <c r="K87" s="1" t="n"/>
      <c r="L87" s="1" t="n"/>
      <c r="M87" s="1" t="n"/>
    </row>
    <row r="88">
      <c r="A88" s="24" t="inlineStr">
        <is>
          <t>КИВИ НА ЮМАНИ</t>
        </is>
      </c>
      <c r="B88" s="14" t="inlineStr">
        <is>
          <t>Недоступно</t>
        </is>
      </c>
      <c r="C88" s="14" t="inlineStr">
        <is>
          <t>Недоступно</t>
        </is>
      </c>
      <c r="D88" s="14" t="inlineStr">
        <is>
          <t>Недоступно</t>
        </is>
      </c>
      <c r="E88" s="14" t="inlineStr">
        <is>
          <t>Недоступно</t>
        </is>
      </c>
      <c r="F88" s="14" t="inlineStr">
        <is>
          <t>Недоступно</t>
        </is>
      </c>
      <c r="G88" s="14" t="inlineStr">
        <is>
          <t>Недоступно</t>
        </is>
      </c>
      <c r="H88" s="1" t="n"/>
      <c r="I88" s="1" t="n"/>
      <c r="J88" s="1" t="n"/>
      <c r="K88" s="1" t="n"/>
      <c r="L88" s="1" t="n"/>
      <c r="M88" s="1" t="n"/>
    </row>
    <row r="89">
      <c r="A89" s="25" t="n"/>
      <c r="B89" s="1" t="n"/>
      <c r="C89" s="1" t="n"/>
      <c r="D89" s="3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32" t="inlineStr">
        <is>
          <t>4.4. BUSD.</t>
        </is>
      </c>
      <c r="B90" s="33" t="inlineStr">
        <is>
          <t>BUSD -&gt; USDT</t>
        </is>
      </c>
      <c r="C90" s="34" t="inlineStr">
        <is>
          <t>BUSD -&gt; BTC</t>
        </is>
      </c>
      <c r="D90" s="33" t="inlineStr">
        <is>
          <t>BUSD -&gt; RUB</t>
        </is>
      </c>
      <c r="E90" s="33" t="inlineStr">
        <is>
          <t>BUSD -&gt; BNB</t>
        </is>
      </c>
      <c r="F90" s="33" t="inlineStr">
        <is>
          <t>BUSD -&gt; ETH</t>
        </is>
      </c>
      <c r="G90" s="33" t="inlineStr">
        <is>
          <t>BUSD -&gt; SHIB</t>
        </is>
      </c>
      <c r="H90" s="1" t="n"/>
      <c r="I90" s="1" t="n"/>
      <c r="J90" s="1" t="n"/>
      <c r="K90" s="1" t="n"/>
      <c r="L90" s="1" t="n"/>
      <c r="M90" s="1" t="n"/>
    </row>
    <row r="91">
      <c r="A91" s="19" t="inlineStr">
        <is>
          <t>ТИНЬКОФ НА ТИНЬКОФ</t>
        </is>
      </c>
      <c r="B91" s="14" t="inlineStr">
        <is>
          <t>Недоступно</t>
        </is>
      </c>
      <c r="C91" s="14" t="inlineStr">
        <is>
          <t>Недоступно</t>
        </is>
      </c>
      <c r="D91" s="14" t="inlineStr">
        <is>
          <t>Недоступно</t>
        </is>
      </c>
      <c r="E91" s="14" t="inlineStr">
        <is>
          <t>Недоступно</t>
        </is>
      </c>
      <c r="F91" s="14" t="inlineStr">
        <is>
          <t>Недоступно</t>
        </is>
      </c>
      <c r="G91" s="14" t="inlineStr">
        <is>
          <t>Недоступно</t>
        </is>
      </c>
      <c r="H91" s="1" t="n"/>
      <c r="I91" s="1" t="n"/>
      <c r="J91" s="1" t="n"/>
      <c r="K91" s="1" t="n"/>
      <c r="L91" s="1" t="n"/>
      <c r="M91" s="1" t="n"/>
    </row>
    <row r="92">
      <c r="A92" s="19" t="inlineStr">
        <is>
          <t>ТИНЬКОФ НА РОСБАНК</t>
        </is>
      </c>
      <c r="B92" s="14" t="inlineStr">
        <is>
          <t>Недоступно</t>
        </is>
      </c>
      <c r="C92" s="14" t="inlineStr">
        <is>
          <t>Недоступно</t>
        </is>
      </c>
      <c r="D92" s="14" t="inlineStr">
        <is>
          <t>Недоступно</t>
        </is>
      </c>
      <c r="E92" s="14" t="inlineStr">
        <is>
          <t>Недоступно</t>
        </is>
      </c>
      <c r="F92" s="14" t="inlineStr">
        <is>
          <t>Недоступно</t>
        </is>
      </c>
      <c r="G92" s="14" t="inlineStr">
        <is>
          <t>Недоступно</t>
        </is>
      </c>
      <c r="H92" s="1" t="n"/>
      <c r="I92" s="1" t="n"/>
      <c r="J92" s="1" t="n"/>
      <c r="K92" s="1" t="n"/>
      <c r="L92" s="1" t="n"/>
      <c r="M92" s="1" t="n"/>
    </row>
    <row r="93">
      <c r="A93" s="19" t="inlineStr">
        <is>
          <t xml:space="preserve"> ТИНЬКОФ НА ЮМАНИ</t>
        </is>
      </c>
      <c r="B93" s="14" t="inlineStr">
        <is>
          <t>Недоступно</t>
        </is>
      </c>
      <c r="C93" s="14" t="inlineStr">
        <is>
          <t>Недоступно</t>
        </is>
      </c>
      <c r="D93" s="14" t="inlineStr">
        <is>
          <t>Недоступно</t>
        </is>
      </c>
      <c r="E93" s="14" t="inlineStr">
        <is>
          <t>Недоступно</t>
        </is>
      </c>
      <c r="F93" s="14" t="inlineStr">
        <is>
          <t>Недоступно</t>
        </is>
      </c>
      <c r="G93" s="14" t="inlineStr">
        <is>
          <t>Недоступно</t>
        </is>
      </c>
      <c r="H93" s="1" t="n"/>
      <c r="I93" s="1" t="n"/>
      <c r="J93" s="1" t="n"/>
      <c r="K93" s="1" t="n"/>
      <c r="L93" s="1" t="n"/>
      <c r="M93" s="1" t="n"/>
    </row>
    <row r="94">
      <c r="A94" s="19" t="inlineStr">
        <is>
          <t>ТИНЬКОФ НА КИВИ</t>
        </is>
      </c>
      <c r="B94" s="14" t="inlineStr">
        <is>
          <t>Недоступно</t>
        </is>
      </c>
      <c r="C94" s="14" t="inlineStr">
        <is>
          <t>Недоступно</t>
        </is>
      </c>
      <c r="D94" s="14" t="inlineStr">
        <is>
          <t>Недоступно</t>
        </is>
      </c>
      <c r="E94" s="14" t="inlineStr">
        <is>
          <t>Недоступно</t>
        </is>
      </c>
      <c r="F94" s="14" t="inlineStr">
        <is>
          <t>Недоступно</t>
        </is>
      </c>
      <c r="G94" s="14" t="inlineStr">
        <is>
          <t>Недоступно</t>
        </is>
      </c>
      <c r="H94" s="1" t="n"/>
      <c r="I94" s="1" t="n"/>
      <c r="J94" s="1" t="n"/>
      <c r="K94" s="1" t="n"/>
      <c r="L94" s="1" t="n"/>
      <c r="M94" s="1" t="n"/>
    </row>
    <row r="95">
      <c r="A95" s="21" t="inlineStr">
        <is>
          <t>РОСБАНК НА РОСБАНК</t>
        </is>
      </c>
      <c r="B95" s="14" t="inlineStr">
        <is>
          <t>Недоступно</t>
        </is>
      </c>
      <c r="C95" s="14" t="inlineStr">
        <is>
          <t>Недоступно</t>
        </is>
      </c>
      <c r="D95" s="14" t="inlineStr">
        <is>
          <t>Недоступно</t>
        </is>
      </c>
      <c r="E95" s="14" t="inlineStr">
        <is>
          <t>Недоступно</t>
        </is>
      </c>
      <c r="F95" s="14" t="inlineStr">
        <is>
          <t>Недоступно</t>
        </is>
      </c>
      <c r="G95" s="14" t="inlineStr">
        <is>
          <t>Недоступно</t>
        </is>
      </c>
      <c r="H95" s="1" t="n"/>
      <c r="I95" s="1" t="n"/>
      <c r="J95" s="1" t="n"/>
      <c r="K95" s="1" t="n"/>
      <c r="L95" s="1" t="n"/>
      <c r="M95" s="1" t="n"/>
    </row>
    <row r="96">
      <c r="A96" s="21" t="inlineStr">
        <is>
          <t>РОСБАНК НА ТИНЬКОФ</t>
        </is>
      </c>
      <c r="B96" s="14" t="inlineStr">
        <is>
          <t>Недоступно</t>
        </is>
      </c>
      <c r="C96" s="14" t="inlineStr">
        <is>
          <t>Недоступно</t>
        </is>
      </c>
      <c r="D96" s="14" t="inlineStr">
        <is>
          <t>Недоступно</t>
        </is>
      </c>
      <c r="E96" s="14" t="inlineStr">
        <is>
          <t>Недоступно</t>
        </is>
      </c>
      <c r="F96" s="14" t="inlineStr">
        <is>
          <t>Недоступно</t>
        </is>
      </c>
      <c r="G96" s="14" t="inlineStr">
        <is>
          <t>Недоступно</t>
        </is>
      </c>
      <c r="H96" s="1" t="n"/>
      <c r="I96" s="1" t="n"/>
      <c r="J96" s="1" t="n"/>
      <c r="K96" s="1" t="n"/>
      <c r="L96" s="1" t="n"/>
      <c r="M96" s="1" t="n"/>
    </row>
    <row r="97">
      <c r="A97" s="21" t="inlineStr">
        <is>
          <t>РОСБАНК НА ЮМАНИ</t>
        </is>
      </c>
      <c r="B97" s="14" t="inlineStr">
        <is>
          <t>Недоступно</t>
        </is>
      </c>
      <c r="C97" s="14" t="inlineStr">
        <is>
          <t>Недоступно</t>
        </is>
      </c>
      <c r="D97" s="14" t="inlineStr">
        <is>
          <t>Недоступно</t>
        </is>
      </c>
      <c r="E97" s="14" t="inlineStr">
        <is>
          <t>Недоступно</t>
        </is>
      </c>
      <c r="F97" s="14" t="inlineStr">
        <is>
          <t>Недоступно</t>
        </is>
      </c>
      <c r="G97" s="14" t="inlineStr">
        <is>
          <t>Недоступно</t>
        </is>
      </c>
      <c r="H97" s="1" t="n"/>
      <c r="I97" s="1" t="n"/>
      <c r="J97" s="1" t="n"/>
      <c r="K97" s="1" t="n"/>
      <c r="L97" s="1" t="n"/>
      <c r="M97" s="1" t="n"/>
    </row>
    <row r="98">
      <c r="A98" s="21" t="inlineStr">
        <is>
          <t>РОСБАНК НА КИВИ</t>
        </is>
      </c>
      <c r="B98" s="14" t="inlineStr">
        <is>
          <t>Недоступно</t>
        </is>
      </c>
      <c r="C98" s="14" t="inlineStr">
        <is>
          <t>Недоступно</t>
        </is>
      </c>
      <c r="D98" s="14" t="inlineStr">
        <is>
          <t>Недоступно</t>
        </is>
      </c>
      <c r="E98" s="14" t="inlineStr">
        <is>
          <t>Недоступно</t>
        </is>
      </c>
      <c r="F98" s="14" t="inlineStr">
        <is>
          <t>Недоступно</t>
        </is>
      </c>
      <c r="G98" s="14" t="inlineStr">
        <is>
          <t>Недоступно</t>
        </is>
      </c>
      <c r="H98" s="1" t="n"/>
      <c r="I98" s="1" t="n"/>
      <c r="J98" s="1" t="n"/>
      <c r="K98" s="1" t="n"/>
      <c r="L98" s="1" t="n"/>
      <c r="M98" s="1" t="n"/>
    </row>
    <row r="99">
      <c r="A99" s="23" t="inlineStr">
        <is>
          <t>ЮМАНИ НА ЮМАНИ</t>
        </is>
      </c>
      <c r="B99" s="14" t="inlineStr">
        <is>
          <t>Недоступно</t>
        </is>
      </c>
      <c r="C99" s="14" t="inlineStr">
        <is>
          <t>Недоступно</t>
        </is>
      </c>
      <c r="D99" s="14" t="inlineStr">
        <is>
          <t>Недоступно</t>
        </is>
      </c>
      <c r="E99" s="14" t="inlineStr">
        <is>
          <t>Недоступно</t>
        </is>
      </c>
      <c r="F99" s="14" t="inlineStr">
        <is>
          <t>Недоступно</t>
        </is>
      </c>
      <c r="G99" s="14" t="inlineStr">
        <is>
          <t>Недоступно</t>
        </is>
      </c>
      <c r="H99" s="1" t="n"/>
      <c r="I99" s="1" t="n"/>
      <c r="J99" s="1" t="n"/>
      <c r="K99" s="1" t="n"/>
      <c r="L99" s="1" t="n"/>
      <c r="M99" s="1" t="n"/>
    </row>
    <row r="100">
      <c r="A100" s="23" t="inlineStr">
        <is>
          <t>ЮМАНИ НА ТИНЬКОФ</t>
        </is>
      </c>
      <c r="B100" s="14" t="inlineStr">
        <is>
          <t>Недоступно</t>
        </is>
      </c>
      <c r="C100" s="14" t="inlineStr">
        <is>
          <t>Недоступно</t>
        </is>
      </c>
      <c r="D100" s="14" t="inlineStr">
        <is>
          <t>Недоступно</t>
        </is>
      </c>
      <c r="E100" s="14" t="inlineStr">
        <is>
          <t>Недоступно</t>
        </is>
      </c>
      <c r="F100" s="14" t="inlineStr">
        <is>
          <t>Недоступно</t>
        </is>
      </c>
      <c r="G100" s="14" t="inlineStr">
        <is>
          <t>Недоступно</t>
        </is>
      </c>
      <c r="H100" s="1" t="n"/>
      <c r="I100" s="1" t="n"/>
      <c r="J100" s="1" t="n"/>
      <c r="K100" s="1" t="n"/>
      <c r="L100" s="1" t="n"/>
      <c r="M100" s="1" t="n"/>
    </row>
    <row r="101">
      <c r="A101" s="23" t="inlineStr">
        <is>
          <t>ЮМАНИ НА РОСБАНК</t>
        </is>
      </c>
      <c r="B101" s="14" t="inlineStr">
        <is>
          <t>Недоступно</t>
        </is>
      </c>
      <c r="C101" s="14" t="inlineStr">
        <is>
          <t>Недоступно</t>
        </is>
      </c>
      <c r="D101" s="14" t="inlineStr">
        <is>
          <t>Недоступно</t>
        </is>
      </c>
      <c r="E101" s="14" t="inlineStr">
        <is>
          <t>Недоступно</t>
        </is>
      </c>
      <c r="F101" s="14" t="inlineStr">
        <is>
          <t>Недоступно</t>
        </is>
      </c>
      <c r="G101" s="14" t="inlineStr">
        <is>
          <t>Недоступно</t>
        </is>
      </c>
      <c r="H101" s="1" t="n"/>
      <c r="I101" s="1" t="n"/>
      <c r="J101" s="1" t="n"/>
      <c r="K101" s="1" t="n"/>
      <c r="L101" s="1" t="n"/>
      <c r="M101" s="1" t="n"/>
    </row>
    <row r="102">
      <c r="A102" s="23" t="inlineStr">
        <is>
          <t>ЮМАНИ НА КИВИ</t>
        </is>
      </c>
      <c r="B102" s="14" t="inlineStr">
        <is>
          <t>Недоступно</t>
        </is>
      </c>
      <c r="C102" s="14" t="inlineStr">
        <is>
          <t>Недоступно</t>
        </is>
      </c>
      <c r="D102" s="14" t="inlineStr">
        <is>
          <t>Недоступно</t>
        </is>
      </c>
      <c r="E102" s="14" t="inlineStr">
        <is>
          <t>Недоступно</t>
        </is>
      </c>
      <c r="F102" s="14" t="inlineStr">
        <is>
          <t>Недоступно</t>
        </is>
      </c>
      <c r="G102" s="14" t="inlineStr">
        <is>
          <t>Недоступно</t>
        </is>
      </c>
      <c r="H102" s="1" t="n"/>
      <c r="I102" s="1" t="n"/>
      <c r="J102" s="1" t="n"/>
      <c r="K102" s="1" t="n"/>
      <c r="L102" s="1" t="n"/>
      <c r="M102" s="1" t="n"/>
    </row>
    <row r="103">
      <c r="A103" s="24" t="inlineStr">
        <is>
          <t>КИВИ НА КИВИ</t>
        </is>
      </c>
      <c r="B103" s="14" t="inlineStr">
        <is>
          <t>Недоступно</t>
        </is>
      </c>
      <c r="C103" s="14" t="inlineStr">
        <is>
          <t>Недоступно</t>
        </is>
      </c>
      <c r="D103" s="14" t="inlineStr">
        <is>
          <t>Недоступно</t>
        </is>
      </c>
      <c r="E103" s="14" t="inlineStr">
        <is>
          <t>Недоступно</t>
        </is>
      </c>
      <c r="F103" s="14" t="inlineStr">
        <is>
          <t>Недоступно</t>
        </is>
      </c>
      <c r="G103" s="14" t="inlineStr">
        <is>
          <t>Недоступно</t>
        </is>
      </c>
      <c r="H103" s="1" t="n"/>
      <c r="I103" s="1" t="n"/>
      <c r="J103" s="1" t="n"/>
      <c r="K103" s="1" t="n"/>
      <c r="L103" s="1" t="n"/>
      <c r="M103" s="1" t="n"/>
    </row>
    <row r="104">
      <c r="A104" s="24" t="inlineStr">
        <is>
          <t>КИВИ НА ТИНЬКОФ</t>
        </is>
      </c>
      <c r="B104" s="14" t="inlineStr">
        <is>
          <t>Недоступно</t>
        </is>
      </c>
      <c r="C104" s="14" t="inlineStr">
        <is>
          <t>Недоступно</t>
        </is>
      </c>
      <c r="D104" s="14" t="inlineStr">
        <is>
          <t>Недоступно</t>
        </is>
      </c>
      <c r="E104" s="14" t="inlineStr">
        <is>
          <t>Недоступно</t>
        </is>
      </c>
      <c r="F104" s="14" t="inlineStr">
        <is>
          <t>Недоступно</t>
        </is>
      </c>
      <c r="G104" s="14" t="inlineStr">
        <is>
          <t>Недоступно</t>
        </is>
      </c>
      <c r="H104" s="1" t="n"/>
      <c r="I104" s="1" t="n"/>
      <c r="J104" s="1" t="n"/>
      <c r="K104" s="1" t="n"/>
      <c r="L104" s="1" t="n"/>
      <c r="M104" s="1" t="n"/>
    </row>
    <row r="105">
      <c r="A105" s="24" t="inlineStr">
        <is>
          <t>КИВИ НА РОСБАНК</t>
        </is>
      </c>
      <c r="B105" s="14" t="inlineStr">
        <is>
          <t>Недоступно</t>
        </is>
      </c>
      <c r="C105" s="14" t="inlineStr">
        <is>
          <t>Недоступно</t>
        </is>
      </c>
      <c r="D105" s="14" t="inlineStr">
        <is>
          <t>Недоступно</t>
        </is>
      </c>
      <c r="E105" s="14" t="inlineStr">
        <is>
          <t>Недоступно</t>
        </is>
      </c>
      <c r="F105" s="14" t="inlineStr">
        <is>
          <t>Недоступно</t>
        </is>
      </c>
      <c r="G105" s="14" t="inlineStr">
        <is>
          <t>Недоступно</t>
        </is>
      </c>
      <c r="H105" s="1" t="n"/>
      <c r="I105" s="1" t="n"/>
      <c r="J105" s="1" t="n"/>
      <c r="K105" s="1" t="n"/>
      <c r="L105" s="1" t="n"/>
      <c r="M105" s="1" t="n"/>
    </row>
    <row r="106">
      <c r="A106" s="24" t="inlineStr">
        <is>
          <t>КИВИ НА ЮМАНИ</t>
        </is>
      </c>
      <c r="B106" s="14" t="inlineStr">
        <is>
          <t>Недоступно</t>
        </is>
      </c>
      <c r="C106" s="14" t="inlineStr">
        <is>
          <t>Недоступно</t>
        </is>
      </c>
      <c r="D106" s="14" t="inlineStr">
        <is>
          <t>Недоступно</t>
        </is>
      </c>
      <c r="E106" s="14" t="inlineStr">
        <is>
          <t>Недоступно</t>
        </is>
      </c>
      <c r="F106" s="14" t="inlineStr">
        <is>
          <t>Недоступно</t>
        </is>
      </c>
      <c r="G106" s="14" t="inlineStr">
        <is>
          <t>Недоступно</t>
        </is>
      </c>
      <c r="H106" s="1" t="n"/>
      <c r="I106" s="1" t="n"/>
      <c r="J106" s="1" t="n"/>
      <c r="K106" s="1" t="n"/>
      <c r="L106" s="1" t="n"/>
      <c r="M106" s="1" t="n"/>
    </row>
    <row r="107">
      <c r="A107" s="25" t="n"/>
      <c r="B107" s="1" t="n"/>
      <c r="C107" s="1" t="n"/>
      <c r="D107" s="3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35" t="inlineStr">
        <is>
          <t>4.4. ETH.</t>
        </is>
      </c>
      <c r="B108" s="36" t="inlineStr">
        <is>
          <t>ETH -&gt; USDT</t>
        </is>
      </c>
      <c r="C108" s="37" t="inlineStr">
        <is>
          <t>ETH -&gt; BTC</t>
        </is>
      </c>
      <c r="D108" s="36" t="inlineStr">
        <is>
          <t>ETH -&gt; RUB</t>
        </is>
      </c>
      <c r="E108" s="36" t="inlineStr">
        <is>
          <t>ETH -&gt; BNB</t>
        </is>
      </c>
      <c r="F108" s="36" t="inlineStr">
        <is>
          <t>ETH -&gt; BUSD</t>
        </is>
      </c>
      <c r="G108" s="36" t="inlineStr">
        <is>
          <t>ETH -&gt; USDT -&gt; SHIB</t>
        </is>
      </c>
      <c r="H108" s="1" t="n"/>
      <c r="I108" s="1" t="n"/>
      <c r="J108" s="1" t="n"/>
      <c r="K108" s="1" t="n"/>
      <c r="L108" s="1" t="n"/>
      <c r="M108" s="1" t="n"/>
    </row>
    <row r="109">
      <c r="A109" s="19" t="inlineStr">
        <is>
          <t>ТИНЬКОФ НА ТИНЬКОФ</t>
        </is>
      </c>
      <c r="B109" s="14" t="inlineStr">
        <is>
          <t>Недоступно</t>
        </is>
      </c>
      <c r="C109" s="14" t="inlineStr">
        <is>
          <t>Недоступно</t>
        </is>
      </c>
      <c r="D109" s="14" t="inlineStr">
        <is>
          <t>Недоступно</t>
        </is>
      </c>
      <c r="E109" s="14" t="inlineStr">
        <is>
          <t>Недоступно</t>
        </is>
      </c>
      <c r="F109" s="14" t="inlineStr">
        <is>
          <t>Недоступно</t>
        </is>
      </c>
      <c r="G109" s="14" t="inlineStr">
        <is>
          <t>Недоступно</t>
        </is>
      </c>
      <c r="H109" s="1" t="n"/>
      <c r="I109" s="1" t="n"/>
      <c r="J109" s="1" t="n"/>
      <c r="K109" s="1" t="n"/>
      <c r="L109" s="1" t="n"/>
      <c r="M109" s="1" t="n"/>
    </row>
    <row r="110">
      <c r="A110" s="19" t="inlineStr">
        <is>
          <t>ТИНЬКОФ НА РОСБАНК</t>
        </is>
      </c>
      <c r="B110" s="14" t="inlineStr">
        <is>
          <t>Недоступно</t>
        </is>
      </c>
      <c r="C110" s="14" t="inlineStr">
        <is>
          <t>Недоступно</t>
        </is>
      </c>
      <c r="D110" s="14" t="inlineStr">
        <is>
          <t>Недоступно</t>
        </is>
      </c>
      <c r="E110" s="14" t="inlineStr">
        <is>
          <t>Недоступно</t>
        </is>
      </c>
      <c r="F110" s="14" t="inlineStr">
        <is>
          <t>Недоступно</t>
        </is>
      </c>
      <c r="G110" s="14" t="inlineStr">
        <is>
          <t>Недоступно</t>
        </is>
      </c>
      <c r="H110" s="1" t="n"/>
      <c r="I110" s="1" t="n"/>
      <c r="J110" s="1" t="n"/>
      <c r="K110" s="1" t="n"/>
      <c r="L110" s="1" t="n"/>
      <c r="M110" s="1" t="n"/>
    </row>
    <row r="111">
      <c r="A111" s="19" t="inlineStr">
        <is>
          <t xml:space="preserve"> ТИНЬКОФ НА ЮМАНИ</t>
        </is>
      </c>
      <c r="B111" s="14" t="inlineStr">
        <is>
          <t>Недоступно</t>
        </is>
      </c>
      <c r="C111" s="14" t="inlineStr">
        <is>
          <t>Недоступно</t>
        </is>
      </c>
      <c r="D111" s="14" t="inlineStr">
        <is>
          <t>Недоступно</t>
        </is>
      </c>
      <c r="E111" s="14" t="inlineStr">
        <is>
          <t>Недоступно</t>
        </is>
      </c>
      <c r="F111" s="14" t="inlineStr">
        <is>
          <t>Недоступно</t>
        </is>
      </c>
      <c r="G111" s="14" t="inlineStr">
        <is>
          <t>Недоступно</t>
        </is>
      </c>
      <c r="H111" s="1" t="n"/>
      <c r="I111" s="1" t="n"/>
      <c r="J111" s="1" t="n"/>
      <c r="K111" s="1" t="n"/>
      <c r="L111" s="1" t="n"/>
      <c r="M111" s="1" t="n"/>
    </row>
    <row r="112">
      <c r="A112" s="19" t="inlineStr">
        <is>
          <t>ТИНЬКОФ НА КИВИ</t>
        </is>
      </c>
      <c r="B112" s="14" t="inlineStr">
        <is>
          <t>Недоступно</t>
        </is>
      </c>
      <c r="C112" s="14" t="inlineStr">
        <is>
          <t>Недоступно</t>
        </is>
      </c>
      <c r="D112" s="14" t="inlineStr">
        <is>
          <t>Недоступно</t>
        </is>
      </c>
      <c r="E112" s="14" t="inlineStr">
        <is>
          <t>Недоступно</t>
        </is>
      </c>
      <c r="F112" s="14" t="inlineStr">
        <is>
          <t>Недоступно</t>
        </is>
      </c>
      <c r="G112" s="14" t="inlineStr">
        <is>
          <t>Недоступно</t>
        </is>
      </c>
      <c r="H112" s="1" t="n"/>
      <c r="I112" s="1" t="n"/>
      <c r="J112" s="1" t="n"/>
      <c r="K112" s="1" t="n"/>
      <c r="L112" s="1" t="n"/>
      <c r="M112" s="1" t="n"/>
    </row>
    <row r="113">
      <c r="A113" s="21" t="inlineStr">
        <is>
          <t>РОСБАНК НА РОСБАНК</t>
        </is>
      </c>
      <c r="B113" s="14" t="inlineStr">
        <is>
          <t>Недоступно</t>
        </is>
      </c>
      <c r="C113" s="14" t="inlineStr">
        <is>
          <t>Недоступно</t>
        </is>
      </c>
      <c r="D113" s="14" t="inlineStr">
        <is>
          <t>Недоступно</t>
        </is>
      </c>
      <c r="E113" s="14" t="inlineStr">
        <is>
          <t>Недоступно</t>
        </is>
      </c>
      <c r="F113" s="14" t="inlineStr">
        <is>
          <t>Недоступно</t>
        </is>
      </c>
      <c r="G113" s="14" t="inlineStr">
        <is>
          <t>Недоступно</t>
        </is>
      </c>
      <c r="H113" s="1" t="n"/>
      <c r="I113" s="1" t="n"/>
      <c r="J113" s="1" t="n"/>
      <c r="K113" s="1" t="n"/>
      <c r="L113" s="1" t="n"/>
      <c r="M113" s="1" t="n"/>
    </row>
    <row r="114">
      <c r="A114" s="21" t="inlineStr">
        <is>
          <t>РОСБАНК НА ТИНЬКОФ</t>
        </is>
      </c>
      <c r="B114" s="14" t="inlineStr">
        <is>
          <t>Недоступно</t>
        </is>
      </c>
      <c r="C114" s="14" t="inlineStr">
        <is>
          <t>Недоступно</t>
        </is>
      </c>
      <c r="D114" s="14" t="inlineStr">
        <is>
          <t>Недоступно</t>
        </is>
      </c>
      <c r="E114" s="14" t="inlineStr">
        <is>
          <t>Недоступно</t>
        </is>
      </c>
      <c r="F114" s="14" t="inlineStr">
        <is>
          <t>Недоступно</t>
        </is>
      </c>
      <c r="G114" s="14" t="inlineStr">
        <is>
          <t>Недоступно</t>
        </is>
      </c>
      <c r="H114" s="1" t="n"/>
      <c r="I114" s="1" t="n"/>
      <c r="J114" s="1" t="n"/>
      <c r="K114" s="1" t="n"/>
      <c r="L114" s="1" t="n"/>
      <c r="M114" s="1" t="n"/>
    </row>
    <row r="115">
      <c r="A115" s="21" t="inlineStr">
        <is>
          <t>РОСБАНК НА ЮМАНИ</t>
        </is>
      </c>
      <c r="B115" s="14" t="inlineStr">
        <is>
          <t>Недоступно</t>
        </is>
      </c>
      <c r="C115" s="14" t="inlineStr">
        <is>
          <t>Недоступно</t>
        </is>
      </c>
      <c r="D115" s="14" t="inlineStr">
        <is>
          <t>Недоступно</t>
        </is>
      </c>
      <c r="E115" s="14" t="inlineStr">
        <is>
          <t>Недоступно</t>
        </is>
      </c>
      <c r="F115" s="14" t="inlineStr">
        <is>
          <t>Недоступно</t>
        </is>
      </c>
      <c r="G115" s="14" t="inlineStr">
        <is>
          <t>Недоступно</t>
        </is>
      </c>
      <c r="H115" s="1" t="n"/>
      <c r="I115" s="1" t="n"/>
      <c r="J115" s="1" t="n"/>
      <c r="K115" s="1" t="n"/>
      <c r="L115" s="1" t="n"/>
      <c r="M115" s="1" t="n"/>
    </row>
    <row r="116">
      <c r="A116" s="21" t="inlineStr">
        <is>
          <t>РОСБАНК НА КИВИ</t>
        </is>
      </c>
      <c r="B116" s="14" t="inlineStr">
        <is>
          <t>Недоступно</t>
        </is>
      </c>
      <c r="C116" s="14" t="inlineStr">
        <is>
          <t>Недоступно</t>
        </is>
      </c>
      <c r="D116" s="14" t="inlineStr">
        <is>
          <t>Недоступно</t>
        </is>
      </c>
      <c r="E116" s="14" t="inlineStr">
        <is>
          <t>Недоступно</t>
        </is>
      </c>
      <c r="F116" s="14" t="inlineStr">
        <is>
          <t>Недоступно</t>
        </is>
      </c>
      <c r="G116" s="14" t="inlineStr">
        <is>
          <t>Недоступно</t>
        </is>
      </c>
      <c r="H116" s="1" t="n"/>
      <c r="I116" s="1" t="n"/>
      <c r="J116" s="1" t="n"/>
      <c r="K116" s="1" t="n"/>
      <c r="L116" s="1" t="n"/>
      <c r="M116" s="1" t="n"/>
    </row>
    <row r="117">
      <c r="A117" s="23" t="inlineStr">
        <is>
          <t>ЮМАНИ НА ЮМАНИ</t>
        </is>
      </c>
      <c r="B117" s="14" t="inlineStr">
        <is>
          <t>Недоступно</t>
        </is>
      </c>
      <c r="C117" s="14" t="inlineStr">
        <is>
          <t>Недоступно</t>
        </is>
      </c>
      <c r="D117" s="14" t="inlineStr">
        <is>
          <t>Недоступно</t>
        </is>
      </c>
      <c r="E117" s="14" t="inlineStr">
        <is>
          <t>Недоступно</t>
        </is>
      </c>
      <c r="F117" s="14" t="inlineStr">
        <is>
          <t>Недоступно</t>
        </is>
      </c>
      <c r="G117" s="14" t="inlineStr">
        <is>
          <t>Недоступно</t>
        </is>
      </c>
      <c r="H117" s="1" t="n"/>
      <c r="I117" s="1" t="n"/>
      <c r="J117" s="1" t="n"/>
      <c r="K117" s="1" t="n"/>
      <c r="L117" s="1" t="n"/>
      <c r="M117" s="1" t="n"/>
    </row>
    <row r="118">
      <c r="A118" s="23" t="inlineStr">
        <is>
          <t>ЮМАНИ НА ТИНЬКОФ</t>
        </is>
      </c>
      <c r="B118" s="14" t="inlineStr">
        <is>
          <t>Недоступно</t>
        </is>
      </c>
      <c r="C118" s="14" t="inlineStr">
        <is>
          <t>Недоступно</t>
        </is>
      </c>
      <c r="D118" s="14" t="inlineStr">
        <is>
          <t>Недоступно</t>
        </is>
      </c>
      <c r="E118" s="14" t="inlineStr">
        <is>
          <t>Недоступно</t>
        </is>
      </c>
      <c r="F118" s="14" t="inlineStr">
        <is>
          <t>Недоступно</t>
        </is>
      </c>
      <c r="G118" s="14" t="inlineStr">
        <is>
          <t>Недоступно</t>
        </is>
      </c>
      <c r="H118" s="1" t="n"/>
      <c r="I118" s="1" t="n"/>
      <c r="J118" s="1" t="n"/>
      <c r="K118" s="1" t="n"/>
      <c r="L118" s="1" t="n"/>
      <c r="M118" s="1" t="n"/>
    </row>
    <row r="119">
      <c r="A119" s="23" t="inlineStr">
        <is>
          <t>ЮМАНИ НА РОСБАНК</t>
        </is>
      </c>
      <c r="B119" s="14" t="inlineStr">
        <is>
          <t>Недоступно</t>
        </is>
      </c>
      <c r="C119" s="14" t="inlineStr">
        <is>
          <t>Недоступно</t>
        </is>
      </c>
      <c r="D119" s="14" t="inlineStr">
        <is>
          <t>Недоступно</t>
        </is>
      </c>
      <c r="E119" s="14" t="inlineStr">
        <is>
          <t>Недоступно</t>
        </is>
      </c>
      <c r="F119" s="14" t="inlineStr">
        <is>
          <t>Недоступно</t>
        </is>
      </c>
      <c r="G119" s="14" t="inlineStr">
        <is>
          <t>Недоступно</t>
        </is>
      </c>
      <c r="H119" s="1" t="n"/>
      <c r="I119" s="1" t="n"/>
      <c r="J119" s="1" t="n"/>
      <c r="K119" s="1" t="n"/>
      <c r="L119" s="1" t="n"/>
      <c r="M119" s="1" t="n"/>
    </row>
    <row r="120">
      <c r="A120" s="23" t="inlineStr">
        <is>
          <t>ЮМАНИ НА КИВИ</t>
        </is>
      </c>
      <c r="B120" s="14" t="inlineStr">
        <is>
          <t>Недоступно</t>
        </is>
      </c>
      <c r="C120" s="14" t="inlineStr">
        <is>
          <t>Недоступно</t>
        </is>
      </c>
      <c r="D120" s="14" t="inlineStr">
        <is>
          <t>Недоступно</t>
        </is>
      </c>
      <c r="E120" s="14" t="inlineStr">
        <is>
          <t>Недоступно</t>
        </is>
      </c>
      <c r="F120" s="14" t="inlineStr">
        <is>
          <t>Недоступно</t>
        </is>
      </c>
      <c r="G120" s="14" t="inlineStr">
        <is>
          <t>Недоступно</t>
        </is>
      </c>
      <c r="H120" s="1" t="n"/>
      <c r="I120" s="1" t="n"/>
      <c r="J120" s="1" t="n"/>
      <c r="K120" s="1" t="n"/>
      <c r="L120" s="1" t="n"/>
      <c r="M120" s="1" t="n"/>
    </row>
    <row r="121">
      <c r="A121" s="24" t="inlineStr">
        <is>
          <t>КИВИ НА КИВИ</t>
        </is>
      </c>
      <c r="B121" s="14" t="inlineStr">
        <is>
          <t>Недоступно</t>
        </is>
      </c>
      <c r="C121" s="14" t="inlineStr">
        <is>
          <t>Недоступно</t>
        </is>
      </c>
      <c r="D121" s="14" t="inlineStr">
        <is>
          <t>Недоступно</t>
        </is>
      </c>
      <c r="E121" s="14" t="inlineStr">
        <is>
          <t>Недоступно</t>
        </is>
      </c>
      <c r="F121" s="14" t="inlineStr">
        <is>
          <t>Недоступно</t>
        </is>
      </c>
      <c r="G121" s="14" t="inlineStr">
        <is>
          <t>Недоступно</t>
        </is>
      </c>
      <c r="H121" s="1" t="n"/>
      <c r="I121" s="1" t="n"/>
      <c r="J121" s="1" t="n"/>
      <c r="K121" s="1" t="n"/>
      <c r="L121" s="1" t="n"/>
      <c r="M121" s="1" t="n"/>
    </row>
    <row r="122">
      <c r="A122" s="24" t="inlineStr">
        <is>
          <t>КИВИ НА ТИНЬКОФ</t>
        </is>
      </c>
      <c r="B122" s="14" t="inlineStr">
        <is>
          <t>Недоступно</t>
        </is>
      </c>
      <c r="C122" s="14" t="inlineStr">
        <is>
          <t>Недоступно</t>
        </is>
      </c>
      <c r="D122" s="14" t="inlineStr">
        <is>
          <t>Недоступно</t>
        </is>
      </c>
      <c r="E122" s="14" t="inlineStr">
        <is>
          <t>Недоступно</t>
        </is>
      </c>
      <c r="F122" s="14" t="inlineStr">
        <is>
          <t>Недоступно</t>
        </is>
      </c>
      <c r="G122" s="14" t="inlineStr">
        <is>
          <t>Недоступно</t>
        </is>
      </c>
      <c r="H122" s="1" t="n"/>
      <c r="I122" s="1" t="n"/>
      <c r="J122" s="1" t="n"/>
      <c r="K122" s="1" t="n"/>
      <c r="L122" s="1" t="n"/>
      <c r="M122" s="1" t="n"/>
    </row>
    <row r="123">
      <c r="A123" s="24" t="inlineStr">
        <is>
          <t>КИВИ НА РОСБАНК</t>
        </is>
      </c>
      <c r="B123" s="14" t="inlineStr">
        <is>
          <t>Недоступно</t>
        </is>
      </c>
      <c r="C123" s="14" t="inlineStr">
        <is>
          <t>Недоступно</t>
        </is>
      </c>
      <c r="D123" s="14" t="inlineStr">
        <is>
          <t>Недоступно</t>
        </is>
      </c>
      <c r="E123" s="14" t="inlineStr">
        <is>
          <t>Недоступно</t>
        </is>
      </c>
      <c r="F123" s="14" t="inlineStr">
        <is>
          <t>Недоступно</t>
        </is>
      </c>
      <c r="G123" s="14" t="inlineStr">
        <is>
          <t>Недоступно</t>
        </is>
      </c>
      <c r="H123" s="1" t="n"/>
      <c r="I123" s="1" t="n"/>
      <c r="J123" s="1" t="n"/>
      <c r="K123" s="1" t="n"/>
      <c r="L123" s="1" t="n"/>
      <c r="M123" s="1" t="n"/>
    </row>
    <row r="124">
      <c r="A124" s="24" t="inlineStr">
        <is>
          <t>КИВИ НА ЮМАНИ</t>
        </is>
      </c>
      <c r="B124" s="14" t="inlineStr">
        <is>
          <t>Недоступно</t>
        </is>
      </c>
      <c r="C124" s="14" t="inlineStr">
        <is>
          <t>Недоступно</t>
        </is>
      </c>
      <c r="D124" s="14" t="inlineStr">
        <is>
          <t>Недоступно</t>
        </is>
      </c>
      <c r="E124" s="14" t="inlineStr">
        <is>
          <t>Недоступно</t>
        </is>
      </c>
      <c r="F124" s="14" t="inlineStr">
        <is>
          <t>Недоступно</t>
        </is>
      </c>
      <c r="G124" s="14" t="inlineStr">
        <is>
          <t>Недоступно</t>
        </is>
      </c>
      <c r="H124" s="1" t="n"/>
      <c r="I124" s="1" t="n"/>
      <c r="J124" s="1" t="n"/>
      <c r="K124" s="1" t="n"/>
      <c r="L124" s="1" t="n"/>
      <c r="M124" s="1" t="n"/>
    </row>
    <row r="125">
      <c r="A125" s="25" t="n"/>
      <c r="B125" s="1" t="n"/>
      <c r="C125" s="1" t="n"/>
      <c r="D125" s="3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</row>
    <row r="126">
      <c r="A126" s="38" t="inlineStr">
        <is>
          <t>4.5. BNB.</t>
        </is>
      </c>
      <c r="B126" s="39" t="inlineStr">
        <is>
          <t>BNB -&gt; USDT</t>
        </is>
      </c>
      <c r="C126" s="40" t="inlineStr">
        <is>
          <t>BNB -&gt; BTC</t>
        </is>
      </c>
      <c r="D126" s="39" t="inlineStr">
        <is>
          <t>BNB -&gt; RUB</t>
        </is>
      </c>
      <c r="E126" s="39" t="inlineStr">
        <is>
          <t>BNB -&gt; ETH</t>
        </is>
      </c>
      <c r="F126" s="39" t="inlineStr">
        <is>
          <t>BNB -&gt; BUSD</t>
        </is>
      </c>
      <c r="G126" s="39" t="inlineStr">
        <is>
          <t>BNB -&gt; USDT -&gt; SHIB</t>
        </is>
      </c>
      <c r="H126" s="1" t="n"/>
      <c r="I126" s="1" t="n"/>
      <c r="J126" s="1" t="n"/>
      <c r="K126" s="1" t="n"/>
      <c r="L126" s="1" t="n"/>
      <c r="M126" s="1" t="n"/>
    </row>
    <row r="127">
      <c r="A127" s="19" t="inlineStr">
        <is>
          <t>ТИНЬКОФ НА ТИНЬКОФ</t>
        </is>
      </c>
      <c r="B127" s="14" t="inlineStr">
        <is>
          <t>Недоступно</t>
        </is>
      </c>
      <c r="C127" s="14" t="inlineStr">
        <is>
          <t>Недоступно</t>
        </is>
      </c>
      <c r="D127" s="14" t="inlineStr">
        <is>
          <t>Недоступно</t>
        </is>
      </c>
      <c r="E127" s="14" t="inlineStr">
        <is>
          <t>Недоступно</t>
        </is>
      </c>
      <c r="F127" s="14" t="inlineStr">
        <is>
          <t>Недоступно</t>
        </is>
      </c>
      <c r="G127" s="14" t="inlineStr">
        <is>
          <t>Недоступно</t>
        </is>
      </c>
      <c r="H127" s="1" t="n"/>
      <c r="I127" s="1" t="n"/>
      <c r="J127" s="1" t="n"/>
      <c r="K127" s="1" t="n"/>
      <c r="L127" s="1" t="n"/>
      <c r="M127" s="1" t="n"/>
    </row>
    <row r="128">
      <c r="A128" s="19" t="inlineStr">
        <is>
          <t>ТИНЬКОФ НА РОСБАНК</t>
        </is>
      </c>
      <c r="B128" s="14" t="inlineStr">
        <is>
          <t>Недоступно</t>
        </is>
      </c>
      <c r="C128" s="14" t="inlineStr">
        <is>
          <t>Недоступно</t>
        </is>
      </c>
      <c r="D128" s="14" t="inlineStr">
        <is>
          <t>Недоступно</t>
        </is>
      </c>
      <c r="E128" s="14" t="inlineStr">
        <is>
          <t>Недоступно</t>
        </is>
      </c>
      <c r="F128" s="14" t="inlineStr">
        <is>
          <t>Недоступно</t>
        </is>
      </c>
      <c r="G128" s="14" t="inlineStr">
        <is>
          <t>Недоступно</t>
        </is>
      </c>
      <c r="H128" s="1" t="n"/>
      <c r="I128" s="1" t="n"/>
      <c r="J128" s="1" t="n"/>
      <c r="K128" s="1" t="n"/>
      <c r="L128" s="1" t="n"/>
      <c r="M128" s="1" t="n"/>
    </row>
    <row r="129">
      <c r="A129" s="19" t="inlineStr">
        <is>
          <t xml:space="preserve"> ТИНЬКОФ НА ЮМАНИ</t>
        </is>
      </c>
      <c r="B129" s="14" t="inlineStr">
        <is>
          <t>Недоступно</t>
        </is>
      </c>
      <c r="C129" s="14" t="inlineStr">
        <is>
          <t>Недоступно</t>
        </is>
      </c>
      <c r="D129" s="14" t="inlineStr">
        <is>
          <t>Недоступно</t>
        </is>
      </c>
      <c r="E129" s="14" t="inlineStr">
        <is>
          <t>Недоступно</t>
        </is>
      </c>
      <c r="F129" s="14" t="inlineStr">
        <is>
          <t>Недоступно</t>
        </is>
      </c>
      <c r="G129" s="14" t="inlineStr">
        <is>
          <t>Недоступно</t>
        </is>
      </c>
      <c r="H129" s="1" t="n"/>
      <c r="I129" s="1" t="n"/>
      <c r="J129" s="1" t="n"/>
      <c r="K129" s="1" t="n"/>
      <c r="L129" s="1" t="n"/>
      <c r="M129" s="1" t="n"/>
    </row>
    <row r="130">
      <c r="A130" s="19" t="inlineStr">
        <is>
          <t>ТИНЬКОФ НА КИВИ</t>
        </is>
      </c>
      <c r="B130" s="14" t="inlineStr">
        <is>
          <t>Недоступно</t>
        </is>
      </c>
      <c r="C130" s="14" t="inlineStr">
        <is>
          <t>Недоступно</t>
        </is>
      </c>
      <c r="D130" s="14" t="inlineStr">
        <is>
          <t>Недоступно</t>
        </is>
      </c>
      <c r="E130" s="14" t="inlineStr">
        <is>
          <t>Недоступно</t>
        </is>
      </c>
      <c r="F130" s="14" t="inlineStr">
        <is>
          <t>Недоступно</t>
        </is>
      </c>
      <c r="G130" s="14" t="inlineStr">
        <is>
          <t>Недоступно</t>
        </is>
      </c>
      <c r="H130" s="1" t="n"/>
      <c r="I130" s="1" t="n"/>
      <c r="J130" s="1" t="n"/>
      <c r="K130" s="1" t="n"/>
      <c r="L130" s="1" t="n"/>
      <c r="M130" s="1" t="n"/>
    </row>
    <row r="131">
      <c r="A131" s="21" t="inlineStr">
        <is>
          <t>РОСБАНК НА РОСБАНК</t>
        </is>
      </c>
      <c r="B131" s="14" t="inlineStr">
        <is>
          <t>Недоступно</t>
        </is>
      </c>
      <c r="C131" s="14" t="inlineStr">
        <is>
          <t>Недоступно</t>
        </is>
      </c>
      <c r="D131" s="14" t="inlineStr">
        <is>
          <t>Недоступно</t>
        </is>
      </c>
      <c r="E131" s="14" t="inlineStr">
        <is>
          <t>Недоступно</t>
        </is>
      </c>
      <c r="F131" s="14" t="inlineStr">
        <is>
          <t>Недоступно</t>
        </is>
      </c>
      <c r="G131" s="14" t="inlineStr">
        <is>
          <t>Недоступно</t>
        </is>
      </c>
      <c r="H131" s="1" t="n"/>
      <c r="I131" s="1" t="n"/>
      <c r="J131" s="1" t="n"/>
      <c r="K131" s="1" t="n"/>
      <c r="L131" s="1" t="n"/>
      <c r="M131" s="1" t="n"/>
    </row>
    <row r="132">
      <c r="A132" s="21" t="inlineStr">
        <is>
          <t>РОСБАНК НА ТИНЬКОФ</t>
        </is>
      </c>
      <c r="B132" s="14" t="inlineStr">
        <is>
          <t>Недоступно</t>
        </is>
      </c>
      <c r="C132" s="14" t="inlineStr">
        <is>
          <t>Недоступно</t>
        </is>
      </c>
      <c r="D132" s="14" t="inlineStr">
        <is>
          <t>Недоступно</t>
        </is>
      </c>
      <c r="E132" s="14" t="inlineStr">
        <is>
          <t>Недоступно</t>
        </is>
      </c>
      <c r="F132" s="14" t="inlineStr">
        <is>
          <t>Недоступно</t>
        </is>
      </c>
      <c r="G132" s="14" t="inlineStr">
        <is>
          <t>Недоступно</t>
        </is>
      </c>
      <c r="H132" s="1" t="n"/>
      <c r="I132" s="1" t="n"/>
      <c r="J132" s="1" t="n"/>
      <c r="K132" s="1" t="n"/>
      <c r="L132" s="1" t="n"/>
      <c r="M132" s="1" t="n"/>
    </row>
    <row r="133">
      <c r="A133" s="21" t="inlineStr">
        <is>
          <t>РОСБАНК НА ЮМАНИ</t>
        </is>
      </c>
      <c r="B133" s="14" t="inlineStr">
        <is>
          <t>Недоступно</t>
        </is>
      </c>
      <c r="C133" s="14" t="inlineStr">
        <is>
          <t>Недоступно</t>
        </is>
      </c>
      <c r="D133" s="14" t="inlineStr">
        <is>
          <t>Недоступно</t>
        </is>
      </c>
      <c r="E133" s="14" t="inlineStr">
        <is>
          <t>Недоступно</t>
        </is>
      </c>
      <c r="F133" s="14" t="inlineStr">
        <is>
          <t>Недоступно</t>
        </is>
      </c>
      <c r="G133" s="14" t="inlineStr">
        <is>
          <t>Недоступно</t>
        </is>
      </c>
      <c r="H133" s="1" t="n"/>
      <c r="I133" s="1" t="n"/>
      <c r="J133" s="1" t="n"/>
      <c r="K133" s="1" t="n"/>
      <c r="L133" s="1" t="n"/>
      <c r="M133" s="1" t="n"/>
    </row>
    <row r="134">
      <c r="A134" s="21" t="inlineStr">
        <is>
          <t>РОСБАНК НА КИВИ</t>
        </is>
      </c>
      <c r="B134" s="14" t="inlineStr">
        <is>
          <t>Недоступно</t>
        </is>
      </c>
      <c r="C134" s="14" t="inlineStr">
        <is>
          <t>Недоступно</t>
        </is>
      </c>
      <c r="D134" s="14" t="inlineStr">
        <is>
          <t>Недоступно</t>
        </is>
      </c>
      <c r="E134" s="14" t="inlineStr">
        <is>
          <t>Недоступно</t>
        </is>
      </c>
      <c r="F134" s="14" t="inlineStr">
        <is>
          <t>Недоступно</t>
        </is>
      </c>
      <c r="G134" s="14" t="inlineStr">
        <is>
          <t>Недоступно</t>
        </is>
      </c>
      <c r="H134" s="1" t="n"/>
      <c r="I134" s="1" t="n"/>
      <c r="J134" s="1" t="n"/>
      <c r="K134" s="1" t="n"/>
      <c r="L134" s="1" t="n"/>
      <c r="M134" s="1" t="n"/>
    </row>
    <row r="135">
      <c r="A135" s="23" t="inlineStr">
        <is>
          <t>ЮМАНИ НА ЮМАНИ</t>
        </is>
      </c>
      <c r="B135" s="14" t="inlineStr">
        <is>
          <t>Недоступно</t>
        </is>
      </c>
      <c r="C135" s="14" t="inlineStr">
        <is>
          <t>Недоступно</t>
        </is>
      </c>
      <c r="D135" s="14" t="inlineStr">
        <is>
          <t>Недоступно</t>
        </is>
      </c>
      <c r="E135" s="14" t="inlineStr">
        <is>
          <t>Недоступно</t>
        </is>
      </c>
      <c r="F135" s="14" t="inlineStr">
        <is>
          <t>Недоступно</t>
        </is>
      </c>
      <c r="G135" s="14" t="inlineStr">
        <is>
          <t>Недоступно</t>
        </is>
      </c>
      <c r="H135" s="1" t="n"/>
      <c r="I135" s="1" t="n"/>
      <c r="J135" s="1" t="n"/>
      <c r="K135" s="1" t="n"/>
      <c r="L135" s="1" t="n"/>
      <c r="M135" s="1" t="n"/>
    </row>
    <row r="136">
      <c r="A136" s="23" t="inlineStr">
        <is>
          <t>ЮМАНИ НА ТИНЬКОФ</t>
        </is>
      </c>
      <c r="B136" s="14" t="inlineStr">
        <is>
          <t>Недоступно</t>
        </is>
      </c>
      <c r="C136" s="14" t="inlineStr">
        <is>
          <t>Недоступно</t>
        </is>
      </c>
      <c r="D136" s="14" t="inlineStr">
        <is>
          <t>Недоступно</t>
        </is>
      </c>
      <c r="E136" s="14" t="inlineStr">
        <is>
          <t>Недоступно</t>
        </is>
      </c>
      <c r="F136" s="14" t="inlineStr">
        <is>
          <t>Недоступно</t>
        </is>
      </c>
      <c r="G136" s="14" t="inlineStr">
        <is>
          <t>Недоступно</t>
        </is>
      </c>
      <c r="H136" s="1" t="n"/>
      <c r="I136" s="1" t="n"/>
      <c r="J136" s="1" t="n"/>
      <c r="K136" s="1" t="n"/>
      <c r="L136" s="1" t="n"/>
      <c r="M136" s="1" t="n"/>
    </row>
    <row r="137">
      <c r="A137" s="23" t="inlineStr">
        <is>
          <t>ЮМАНИ НА РОСБАНК</t>
        </is>
      </c>
      <c r="B137" s="14" t="inlineStr">
        <is>
          <t>Недоступно</t>
        </is>
      </c>
      <c r="C137" s="14" t="inlineStr">
        <is>
          <t>Недоступно</t>
        </is>
      </c>
      <c r="D137" s="14" t="inlineStr">
        <is>
          <t>Недоступно</t>
        </is>
      </c>
      <c r="E137" s="14" t="inlineStr">
        <is>
          <t>Недоступно</t>
        </is>
      </c>
      <c r="F137" s="14" t="inlineStr">
        <is>
          <t>Недоступно</t>
        </is>
      </c>
      <c r="G137" s="14" t="inlineStr">
        <is>
          <t>Недоступно</t>
        </is>
      </c>
      <c r="H137" s="1" t="n"/>
      <c r="I137" s="1" t="n"/>
      <c r="J137" s="1" t="n"/>
      <c r="K137" s="1" t="n"/>
      <c r="L137" s="1" t="n"/>
      <c r="M137" s="1" t="n"/>
    </row>
    <row r="138">
      <c r="A138" s="23" t="inlineStr">
        <is>
          <t>ЮМАНИ НА КИВИ</t>
        </is>
      </c>
      <c r="B138" s="14" t="inlineStr">
        <is>
          <t>Недоступно</t>
        </is>
      </c>
      <c r="C138" s="14" t="inlineStr">
        <is>
          <t>Недоступно</t>
        </is>
      </c>
      <c r="D138" s="14" t="inlineStr">
        <is>
          <t>Недоступно</t>
        </is>
      </c>
      <c r="E138" s="14" t="inlineStr">
        <is>
          <t>Недоступно</t>
        </is>
      </c>
      <c r="F138" s="14" t="inlineStr">
        <is>
          <t>Недоступно</t>
        </is>
      </c>
      <c r="G138" s="14" t="inlineStr">
        <is>
          <t>Недоступно</t>
        </is>
      </c>
      <c r="H138" s="1" t="n"/>
      <c r="I138" s="1" t="n"/>
      <c r="J138" s="1" t="n"/>
      <c r="K138" s="1" t="n"/>
      <c r="L138" s="1" t="n"/>
      <c r="M138" s="1" t="n"/>
    </row>
    <row r="139">
      <c r="A139" s="24" t="inlineStr">
        <is>
          <t>КИВИ НА КИВИ</t>
        </is>
      </c>
      <c r="B139" s="14" t="inlineStr">
        <is>
          <t>Недоступно</t>
        </is>
      </c>
      <c r="C139" s="14" t="inlineStr">
        <is>
          <t>Недоступно</t>
        </is>
      </c>
      <c r="D139" s="14" t="inlineStr">
        <is>
          <t>Недоступно</t>
        </is>
      </c>
      <c r="E139" s="14" t="inlineStr">
        <is>
          <t>Недоступно</t>
        </is>
      </c>
      <c r="F139" s="14" t="inlineStr">
        <is>
          <t>Недоступно</t>
        </is>
      </c>
      <c r="G139" s="14" t="inlineStr">
        <is>
          <t>Недоступно</t>
        </is>
      </c>
      <c r="H139" s="1" t="n"/>
      <c r="I139" s="1" t="n"/>
      <c r="J139" s="1" t="n"/>
      <c r="K139" s="1" t="n"/>
      <c r="L139" s="1" t="n"/>
      <c r="M139" s="1" t="n"/>
    </row>
    <row r="140">
      <c r="A140" s="24" t="inlineStr">
        <is>
          <t>КИВИ НА ТИНЬКОФ</t>
        </is>
      </c>
      <c r="B140" s="14" t="inlineStr">
        <is>
          <t>Недоступно</t>
        </is>
      </c>
      <c r="C140" s="14" t="inlineStr">
        <is>
          <t>Недоступно</t>
        </is>
      </c>
      <c r="D140" s="14" t="inlineStr">
        <is>
          <t>Недоступно</t>
        </is>
      </c>
      <c r="E140" s="14" t="inlineStr">
        <is>
          <t>Недоступно</t>
        </is>
      </c>
      <c r="F140" s="14" t="inlineStr">
        <is>
          <t>Недоступно</t>
        </is>
      </c>
      <c r="G140" s="14" t="inlineStr">
        <is>
          <t>Недоступно</t>
        </is>
      </c>
      <c r="H140" s="1" t="n"/>
      <c r="I140" s="1" t="n"/>
      <c r="J140" s="1" t="n"/>
      <c r="K140" s="1" t="n"/>
      <c r="L140" s="1" t="n"/>
      <c r="M140" s="1" t="n"/>
    </row>
    <row r="141">
      <c r="A141" s="24" t="inlineStr">
        <is>
          <t>КИВИ НА РОСБАНК</t>
        </is>
      </c>
      <c r="B141" s="14" t="inlineStr">
        <is>
          <t>Недоступно</t>
        </is>
      </c>
      <c r="C141" s="14" t="inlineStr">
        <is>
          <t>Недоступно</t>
        </is>
      </c>
      <c r="D141" s="14" t="inlineStr">
        <is>
          <t>Недоступно</t>
        </is>
      </c>
      <c r="E141" s="14" t="inlineStr">
        <is>
          <t>Недоступно</t>
        </is>
      </c>
      <c r="F141" s="14" t="inlineStr">
        <is>
          <t>Недоступно</t>
        </is>
      </c>
      <c r="G141" s="14" t="inlineStr">
        <is>
          <t>Недоступно</t>
        </is>
      </c>
      <c r="H141" s="1" t="n"/>
      <c r="I141" s="1" t="n"/>
      <c r="J141" s="1" t="n"/>
      <c r="K141" s="1" t="n"/>
      <c r="L141" s="1" t="n"/>
      <c r="M141" s="1" t="n"/>
    </row>
    <row r="142">
      <c r="A142" s="24" t="inlineStr">
        <is>
          <t>КИВИ НА ЮМАНИ</t>
        </is>
      </c>
      <c r="B142" s="14" t="inlineStr">
        <is>
          <t>Недоступно</t>
        </is>
      </c>
      <c r="C142" s="14" t="inlineStr">
        <is>
          <t>Недоступно</t>
        </is>
      </c>
      <c r="D142" s="14" t="inlineStr">
        <is>
          <t>Недоступно</t>
        </is>
      </c>
      <c r="E142" s="14" t="inlineStr">
        <is>
          <t>Недоступно</t>
        </is>
      </c>
      <c r="F142" s="14" t="inlineStr">
        <is>
          <t>Недоступно</t>
        </is>
      </c>
      <c r="G142" s="14" t="inlineStr">
        <is>
          <t>Недоступно</t>
        </is>
      </c>
      <c r="H142" s="1" t="n"/>
      <c r="I142" s="1" t="n"/>
      <c r="J142" s="1" t="n"/>
      <c r="K142" s="1" t="n"/>
      <c r="L142" s="1" t="n"/>
      <c r="M142" s="1" t="n"/>
    </row>
    <row r="143">
      <c r="A143" s="25" t="n"/>
      <c r="B143" s="1" t="n"/>
      <c r="C143" s="1" t="n"/>
      <c r="D143" s="3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</row>
    <row r="144">
      <c r="A144" s="41" t="inlineStr">
        <is>
          <t>4.6. SHIB.</t>
        </is>
      </c>
      <c r="B144" s="42" t="inlineStr">
        <is>
          <t>SHIB -&gt; USDT</t>
        </is>
      </c>
      <c r="C144" s="43" t="inlineStr">
        <is>
          <t>SHIB -&gt; USDT -&gt; BTC</t>
        </is>
      </c>
      <c r="D144" s="42" t="inlineStr">
        <is>
          <t>SHIB -&gt; USDT -&gt; RUB</t>
        </is>
      </c>
      <c r="E144" s="42" t="inlineStr">
        <is>
          <t>SHIB -&gt; USDT -&gt; ETH</t>
        </is>
      </c>
      <c r="F144" s="42" t="inlineStr">
        <is>
          <t>SHIB -&gt; BUSD</t>
        </is>
      </c>
      <c r="G144" s="42" t="inlineStr">
        <is>
          <t>SHIB -&gt; USDT -&gt; BNB</t>
        </is>
      </c>
      <c r="H144" s="1" t="n"/>
      <c r="I144" s="1" t="n"/>
      <c r="J144" s="1" t="n"/>
      <c r="K144" s="1" t="n"/>
      <c r="L144" s="1" t="n"/>
      <c r="M144" s="1" t="n"/>
    </row>
    <row r="145">
      <c r="A145" s="19" t="inlineStr">
        <is>
          <t>ТИНЬКОФ НА ТИНЬКОФ</t>
        </is>
      </c>
      <c r="B145" s="14" t="inlineStr">
        <is>
          <t>Недоступно</t>
        </is>
      </c>
      <c r="C145" s="14" t="inlineStr">
        <is>
          <t>Недоступно</t>
        </is>
      </c>
      <c r="D145" s="14" t="inlineStr">
        <is>
          <t>Недоступно</t>
        </is>
      </c>
      <c r="E145" s="14" t="inlineStr">
        <is>
          <t>Недоступно</t>
        </is>
      </c>
      <c r="F145" s="14" t="inlineStr">
        <is>
          <t>Недоступно</t>
        </is>
      </c>
      <c r="G145" s="14" t="inlineStr">
        <is>
          <t>Недоступно</t>
        </is>
      </c>
      <c r="H145" s="1" t="n"/>
      <c r="I145" s="1" t="n"/>
      <c r="J145" s="1" t="n"/>
      <c r="K145" s="1" t="n"/>
      <c r="L145" s="1" t="n"/>
      <c r="M145" s="1" t="n"/>
    </row>
    <row r="146">
      <c r="A146" s="19" t="inlineStr">
        <is>
          <t>ТИНЬКОФ НА РОСБАНК</t>
        </is>
      </c>
      <c r="B146" s="14" t="inlineStr">
        <is>
          <t>Недоступно</t>
        </is>
      </c>
      <c r="C146" s="14" t="inlineStr">
        <is>
          <t>Недоступно</t>
        </is>
      </c>
      <c r="D146" s="14" t="inlineStr">
        <is>
          <t>Недоступно</t>
        </is>
      </c>
      <c r="E146" s="14" t="inlineStr">
        <is>
          <t>Недоступно</t>
        </is>
      </c>
      <c r="F146" s="14" t="inlineStr">
        <is>
          <t>Недоступно</t>
        </is>
      </c>
      <c r="G146" s="14" t="inlineStr">
        <is>
          <t>Недоступно</t>
        </is>
      </c>
      <c r="H146" s="1" t="n"/>
      <c r="I146" s="1" t="n"/>
      <c r="J146" s="1" t="n"/>
      <c r="K146" s="1" t="n"/>
      <c r="L146" s="1" t="n"/>
      <c r="M146" s="1" t="n"/>
    </row>
    <row r="147">
      <c r="A147" s="19" t="inlineStr">
        <is>
          <t xml:space="preserve"> ТИНЬКОФ НА ЮМАНИ</t>
        </is>
      </c>
      <c r="B147" s="14" t="inlineStr">
        <is>
          <t>Недоступно</t>
        </is>
      </c>
      <c r="C147" s="14" t="inlineStr">
        <is>
          <t>Недоступно</t>
        </is>
      </c>
      <c r="D147" s="14" t="inlineStr">
        <is>
          <t>Недоступно</t>
        </is>
      </c>
      <c r="E147" s="14" t="inlineStr">
        <is>
          <t>Недоступно</t>
        </is>
      </c>
      <c r="F147" s="14" t="inlineStr">
        <is>
          <t>Недоступно</t>
        </is>
      </c>
      <c r="G147" s="14" t="inlineStr">
        <is>
          <t>Недоступно</t>
        </is>
      </c>
      <c r="H147" s="1" t="n"/>
      <c r="I147" s="1" t="n"/>
      <c r="J147" s="1" t="n"/>
      <c r="K147" s="1" t="n"/>
      <c r="L147" s="1" t="n"/>
      <c r="M147" s="1" t="n"/>
    </row>
    <row r="148">
      <c r="A148" s="19" t="inlineStr">
        <is>
          <t>ТИНЬКОФ НА КИВИ</t>
        </is>
      </c>
      <c r="B148" s="14" t="inlineStr">
        <is>
          <t>Недоступно</t>
        </is>
      </c>
      <c r="C148" s="14" t="inlineStr">
        <is>
          <t>Недоступно</t>
        </is>
      </c>
      <c r="D148" s="14" t="inlineStr">
        <is>
          <t>Недоступно</t>
        </is>
      </c>
      <c r="E148" s="14" t="inlineStr">
        <is>
          <t>Недоступно</t>
        </is>
      </c>
      <c r="F148" s="14" t="inlineStr">
        <is>
          <t>Недоступно</t>
        </is>
      </c>
      <c r="G148" s="14" t="inlineStr">
        <is>
          <t>Недоступно</t>
        </is>
      </c>
      <c r="H148" s="1" t="n"/>
      <c r="I148" s="1" t="n"/>
      <c r="J148" s="1" t="n"/>
      <c r="K148" s="1" t="n"/>
      <c r="L148" s="1" t="n"/>
      <c r="M148" s="1" t="n"/>
    </row>
    <row r="149">
      <c r="A149" s="21" t="inlineStr">
        <is>
          <t>РОСБАНК НА РОСБАНК</t>
        </is>
      </c>
      <c r="B149" s="14" t="inlineStr">
        <is>
          <t>Недоступно</t>
        </is>
      </c>
      <c r="C149" s="14" t="inlineStr">
        <is>
          <t>Недоступно</t>
        </is>
      </c>
      <c r="D149" s="14" t="inlineStr">
        <is>
          <t>Недоступно</t>
        </is>
      </c>
      <c r="E149" s="14" t="inlineStr">
        <is>
          <t>Недоступно</t>
        </is>
      </c>
      <c r="F149" s="14" t="inlineStr">
        <is>
          <t>Недоступно</t>
        </is>
      </c>
      <c r="G149" s="14" t="inlineStr">
        <is>
          <t>Недоступно</t>
        </is>
      </c>
      <c r="H149" s="1" t="n"/>
      <c r="I149" s="1" t="n"/>
      <c r="J149" s="1" t="n"/>
      <c r="K149" s="1" t="n"/>
      <c r="L149" s="1" t="n"/>
      <c r="M149" s="1" t="n"/>
    </row>
    <row r="150">
      <c r="A150" s="21" t="inlineStr">
        <is>
          <t>РОСБАНК НА ТИНЬКОФ</t>
        </is>
      </c>
      <c r="B150" s="14" t="inlineStr">
        <is>
          <t>Недоступно</t>
        </is>
      </c>
      <c r="C150" s="14" t="inlineStr">
        <is>
          <t>Недоступно</t>
        </is>
      </c>
      <c r="D150" s="14" t="inlineStr">
        <is>
          <t>Недоступно</t>
        </is>
      </c>
      <c r="E150" s="14" t="inlineStr">
        <is>
          <t>Недоступно</t>
        </is>
      </c>
      <c r="F150" s="14" t="inlineStr">
        <is>
          <t>Недоступно</t>
        </is>
      </c>
      <c r="G150" s="14" t="inlineStr">
        <is>
          <t>Недоступно</t>
        </is>
      </c>
      <c r="H150" s="1" t="n"/>
      <c r="I150" s="1" t="n"/>
      <c r="J150" s="1" t="n"/>
      <c r="K150" s="1" t="n"/>
      <c r="L150" s="1" t="n"/>
      <c r="M150" s="1" t="n"/>
    </row>
    <row r="151">
      <c r="A151" s="21" t="inlineStr">
        <is>
          <t>РОСБАНК НА ЮМАНИ</t>
        </is>
      </c>
      <c r="B151" s="14" t="inlineStr">
        <is>
          <t>Недоступно</t>
        </is>
      </c>
      <c r="C151" s="14" t="inlineStr">
        <is>
          <t>Недоступно</t>
        </is>
      </c>
      <c r="D151" s="14" t="inlineStr">
        <is>
          <t>Недоступно</t>
        </is>
      </c>
      <c r="E151" s="14" t="inlineStr">
        <is>
          <t>Недоступно</t>
        </is>
      </c>
      <c r="F151" s="14" t="inlineStr">
        <is>
          <t>Недоступно</t>
        </is>
      </c>
      <c r="G151" s="14" t="inlineStr">
        <is>
          <t>Недоступно</t>
        </is>
      </c>
      <c r="H151" s="1" t="n"/>
      <c r="I151" s="1" t="n"/>
      <c r="J151" s="1" t="n"/>
      <c r="K151" s="1" t="n"/>
      <c r="L151" s="1" t="n"/>
      <c r="M151" s="1" t="n"/>
    </row>
    <row r="152">
      <c r="A152" s="21" t="inlineStr">
        <is>
          <t>РОСБАНК НА КИВИ</t>
        </is>
      </c>
      <c r="B152" s="14" t="inlineStr">
        <is>
          <t>Недоступно</t>
        </is>
      </c>
      <c r="C152" s="14" t="inlineStr">
        <is>
          <t>Недоступно</t>
        </is>
      </c>
      <c r="D152" s="14" t="inlineStr">
        <is>
          <t>Недоступно</t>
        </is>
      </c>
      <c r="E152" s="14" t="inlineStr">
        <is>
          <t>Недоступно</t>
        </is>
      </c>
      <c r="F152" s="14" t="inlineStr">
        <is>
          <t>Недоступно</t>
        </is>
      </c>
      <c r="G152" s="14" t="inlineStr">
        <is>
          <t>Недоступно</t>
        </is>
      </c>
      <c r="H152" s="22" t="n"/>
      <c r="I152" s="1" t="n"/>
      <c r="J152" s="1" t="n"/>
      <c r="K152" s="1" t="n"/>
      <c r="L152" s="1" t="n"/>
      <c r="M152" s="1" t="n"/>
    </row>
    <row r="153">
      <c r="A153" s="23" t="inlineStr">
        <is>
          <t>ЮМАНИ НА ЮМАНИ</t>
        </is>
      </c>
      <c r="B153" s="14" t="inlineStr">
        <is>
          <t>Недоступно</t>
        </is>
      </c>
      <c r="C153" s="14" t="inlineStr">
        <is>
          <t>Недоступно</t>
        </is>
      </c>
      <c r="D153" s="14" t="inlineStr">
        <is>
          <t>Недоступно</t>
        </is>
      </c>
      <c r="E153" s="14" t="inlineStr">
        <is>
          <t>Недоступно</t>
        </is>
      </c>
      <c r="F153" s="14" t="inlineStr">
        <is>
          <t>Недоступно</t>
        </is>
      </c>
      <c r="G153" s="14" t="inlineStr">
        <is>
          <t>Недоступно</t>
        </is>
      </c>
      <c r="H153" s="1" t="n"/>
      <c r="I153" s="1" t="n"/>
      <c r="J153" s="1" t="n"/>
      <c r="K153" s="1" t="n"/>
      <c r="L153" s="1" t="n"/>
      <c r="M153" s="1" t="n"/>
    </row>
    <row r="154">
      <c r="A154" s="23" t="inlineStr">
        <is>
          <t>ЮМАНИ НА ТИНЬКОФ</t>
        </is>
      </c>
      <c r="B154" s="14" t="inlineStr">
        <is>
          <t>Недоступно</t>
        </is>
      </c>
      <c r="C154" s="14" t="inlineStr">
        <is>
          <t>Недоступно</t>
        </is>
      </c>
      <c r="D154" s="14" t="inlineStr">
        <is>
          <t>Недоступно</t>
        </is>
      </c>
      <c r="E154" s="14" t="inlineStr">
        <is>
          <t>Недоступно</t>
        </is>
      </c>
      <c r="F154" s="14" t="inlineStr">
        <is>
          <t>Недоступно</t>
        </is>
      </c>
      <c r="G154" s="14" t="inlineStr">
        <is>
          <t>Недоступно</t>
        </is>
      </c>
      <c r="H154" s="1" t="n"/>
      <c r="I154" s="1" t="n"/>
      <c r="J154" s="1" t="n"/>
      <c r="K154" s="1" t="n"/>
      <c r="L154" s="1" t="n"/>
      <c r="M154" s="1" t="n"/>
    </row>
    <row r="155">
      <c r="A155" s="23" t="inlineStr">
        <is>
          <t>ЮМАНИ НА РОСБАНК</t>
        </is>
      </c>
      <c r="B155" s="14" t="inlineStr">
        <is>
          <t>Недоступно</t>
        </is>
      </c>
      <c r="C155" s="14" t="inlineStr">
        <is>
          <t>Недоступно</t>
        </is>
      </c>
      <c r="D155" s="14" t="inlineStr">
        <is>
          <t>Недоступно</t>
        </is>
      </c>
      <c r="E155" s="14" t="inlineStr">
        <is>
          <t>Недоступно</t>
        </is>
      </c>
      <c r="F155" s="14" t="inlineStr">
        <is>
          <t>Недоступно</t>
        </is>
      </c>
      <c r="G155" s="14" t="inlineStr">
        <is>
          <t>Недоступно</t>
        </is>
      </c>
      <c r="H155" s="1" t="n"/>
      <c r="I155" s="1" t="n"/>
      <c r="J155" s="1" t="n"/>
      <c r="K155" s="1" t="n"/>
      <c r="L155" s="1" t="n"/>
      <c r="M155" s="1" t="n"/>
    </row>
    <row r="156">
      <c r="A156" s="23" t="inlineStr">
        <is>
          <t>ЮМАНИ НА КИВИ</t>
        </is>
      </c>
      <c r="B156" s="14" t="inlineStr">
        <is>
          <t>Недоступно</t>
        </is>
      </c>
      <c r="C156" s="14" t="inlineStr">
        <is>
          <t>Недоступно</t>
        </is>
      </c>
      <c r="D156" s="14" t="inlineStr">
        <is>
          <t>Недоступно</t>
        </is>
      </c>
      <c r="E156" s="14" t="inlineStr">
        <is>
          <t>Недоступно</t>
        </is>
      </c>
      <c r="F156" s="14" t="inlineStr">
        <is>
          <t>Недоступно</t>
        </is>
      </c>
      <c r="G156" s="14" t="inlineStr">
        <is>
          <t>Недоступно</t>
        </is>
      </c>
      <c r="H156" s="1" t="n"/>
      <c r="I156" s="1" t="n"/>
      <c r="J156" s="1" t="n"/>
      <c r="K156" s="1" t="n"/>
      <c r="L156" s="1" t="n"/>
      <c r="M156" s="1" t="n"/>
    </row>
    <row r="157">
      <c r="A157" s="24" t="inlineStr">
        <is>
          <t>КИВИ НА КИВИ</t>
        </is>
      </c>
      <c r="B157" s="14" t="inlineStr">
        <is>
          <t>Недоступно</t>
        </is>
      </c>
      <c r="C157" s="14" t="inlineStr">
        <is>
          <t>Недоступно</t>
        </is>
      </c>
      <c r="D157" s="14" t="inlineStr">
        <is>
          <t>Недоступно</t>
        </is>
      </c>
      <c r="E157" s="14" t="inlineStr">
        <is>
          <t>Недоступно</t>
        </is>
      </c>
      <c r="F157" s="14" t="inlineStr">
        <is>
          <t>Недоступно</t>
        </is>
      </c>
      <c r="G157" s="14" t="inlineStr">
        <is>
          <t>Недоступно</t>
        </is>
      </c>
      <c r="H157" s="1" t="n"/>
      <c r="I157" s="1" t="n"/>
      <c r="J157" s="1" t="n"/>
      <c r="K157" s="1" t="n"/>
      <c r="L157" s="1" t="n"/>
      <c r="M157" s="1" t="n"/>
    </row>
    <row r="158">
      <c r="A158" s="24" t="inlineStr">
        <is>
          <t>КИВИ НА ТИНЬКОФ</t>
        </is>
      </c>
      <c r="B158" s="14" t="inlineStr">
        <is>
          <t>Недоступно</t>
        </is>
      </c>
      <c r="C158" s="14" t="inlineStr">
        <is>
          <t>Недоступно</t>
        </is>
      </c>
      <c r="D158" s="14" t="inlineStr">
        <is>
          <t>Недоступно</t>
        </is>
      </c>
      <c r="E158" s="14" t="inlineStr">
        <is>
          <t>Недоступно</t>
        </is>
      </c>
      <c r="F158" s="14" t="inlineStr">
        <is>
          <t>Недоступно</t>
        </is>
      </c>
      <c r="G158" s="14" t="inlineStr">
        <is>
          <t>Недоступно</t>
        </is>
      </c>
      <c r="H158" s="1" t="n"/>
      <c r="I158" s="1" t="n"/>
      <c r="J158" s="1" t="n"/>
      <c r="K158" s="1" t="n"/>
      <c r="L158" s="1" t="n"/>
      <c r="M158" s="1" t="n"/>
    </row>
    <row r="159">
      <c r="A159" s="24" t="inlineStr">
        <is>
          <t>КИВИ НА РОСБАНК</t>
        </is>
      </c>
      <c r="B159" s="14" t="inlineStr">
        <is>
          <t>Недоступно</t>
        </is>
      </c>
      <c r="C159" s="14" t="inlineStr">
        <is>
          <t>Недоступно</t>
        </is>
      </c>
      <c r="D159" s="14" t="inlineStr">
        <is>
          <t>Недоступно</t>
        </is>
      </c>
      <c r="E159" s="14" t="inlineStr">
        <is>
          <t>Недоступно</t>
        </is>
      </c>
      <c r="F159" s="14" t="inlineStr">
        <is>
          <t>Недоступно</t>
        </is>
      </c>
      <c r="G159" s="14" t="inlineStr">
        <is>
          <t>Недоступно</t>
        </is>
      </c>
      <c r="H159" s="1" t="n"/>
      <c r="I159" s="1" t="n"/>
      <c r="J159" s="1" t="n"/>
      <c r="K159" s="1" t="n"/>
      <c r="L159" s="1" t="n"/>
      <c r="M159" s="1" t="n"/>
    </row>
    <row r="160">
      <c r="A160" s="24" t="inlineStr">
        <is>
          <t>КИВИ НА ЮМАНИ</t>
        </is>
      </c>
      <c r="B160" s="14" t="inlineStr">
        <is>
          <t>Недоступно</t>
        </is>
      </c>
      <c r="C160" s="14" t="inlineStr">
        <is>
          <t>Недоступно</t>
        </is>
      </c>
      <c r="D160" s="14" t="inlineStr">
        <is>
          <t>Недоступно</t>
        </is>
      </c>
      <c r="E160" s="14" t="inlineStr">
        <is>
          <t>Недоступно</t>
        </is>
      </c>
      <c r="F160" s="14" t="inlineStr">
        <is>
          <t>Недоступно</t>
        </is>
      </c>
      <c r="G160" s="14" t="inlineStr">
        <is>
          <t>Недоступно</t>
        </is>
      </c>
      <c r="H160" s="1" t="n"/>
      <c r="I160" s="1" t="n"/>
      <c r="J160" s="1" t="n"/>
      <c r="K160" s="1" t="n"/>
      <c r="L160" s="1" t="n"/>
      <c r="M160" s="1" t="n"/>
    </row>
    <row r="161">
      <c r="A161" s="25" t="n"/>
      <c r="B161" s="1" t="n"/>
      <c r="C161" s="3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</row>
    <row r="162">
      <c r="A162" s="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</row>
    <row r="163">
      <c r="A163" s="44">
        <f>CONCATENATE("Продаем крипту за ",#REF!,",", CHAR(10), " покупаем заново по маркету")</f>
        <v/>
      </c>
      <c r="B163" s="4" t="inlineStr">
        <is>
          <t>Спред в % по цене опта</t>
        </is>
      </c>
      <c r="C163" s="4" t="inlineStr">
        <is>
          <t>Спред в % по цене
розницы</t>
        </is>
      </c>
      <c r="D163" s="4" t="inlineStr">
        <is>
          <t>Спред в RUB по цене
опта</t>
        </is>
      </c>
      <c r="E163" s="4" t="inlineStr">
        <is>
          <t>Спред в RUB по цене
розницы</t>
        </is>
      </c>
      <c r="F163" s="1" t="n"/>
      <c r="G163" s="1" t="n"/>
      <c r="H163" s="1" t="n"/>
      <c r="I163" s="1" t="n"/>
      <c r="J163" s="1" t="n"/>
      <c r="K163" s="1" t="n"/>
      <c r="L163" s="1" t="n"/>
      <c r="M163" s="1" t="n"/>
    </row>
    <row r="164">
      <c r="A164" s="45" t="inlineStr">
        <is>
          <t>USDT</t>
        </is>
      </c>
      <c r="B164" s="14" t="inlineStr">
        <is>
          <t>Недоступно</t>
        </is>
      </c>
      <c r="C164" s="14" t="inlineStr">
        <is>
          <t>Недоступно</t>
        </is>
      </c>
      <c r="D164" s="14" t="inlineStr">
        <is>
          <t>Недоступно</t>
        </is>
      </c>
      <c r="E164" s="14" t="inlineStr">
        <is>
          <t>Недоступно</t>
        </is>
      </c>
      <c r="F164" s="1" t="n"/>
      <c r="G164" s="1" t="n"/>
      <c r="H164" s="1" t="n"/>
      <c r="I164" s="1" t="n"/>
      <c r="J164" s="1" t="n"/>
      <c r="K164" s="1" t="n"/>
      <c r="L164" s="1" t="n"/>
      <c r="M164" s="1" t="n"/>
    </row>
    <row r="165">
      <c r="A165" s="45" t="inlineStr">
        <is>
          <t>BTC</t>
        </is>
      </c>
      <c r="B165" s="14" t="inlineStr">
        <is>
          <t>Недоступно</t>
        </is>
      </c>
      <c r="C165" s="14" t="inlineStr">
        <is>
          <t>Недоступно</t>
        </is>
      </c>
      <c r="D165" s="14" t="inlineStr">
        <is>
          <t>Недоступно</t>
        </is>
      </c>
      <c r="E165" s="14" t="inlineStr">
        <is>
          <t>Недоступно</t>
        </is>
      </c>
      <c r="F165" s="1" t="n"/>
      <c r="G165" s="1" t="n"/>
      <c r="H165" s="1" t="n"/>
      <c r="I165" s="1" t="n"/>
      <c r="J165" s="1" t="n"/>
      <c r="K165" s="1" t="n"/>
      <c r="L165" s="1" t="n"/>
      <c r="M165" s="1" t="n"/>
    </row>
    <row r="166">
      <c r="A166" s="45" t="inlineStr">
        <is>
          <t>BUSD</t>
        </is>
      </c>
      <c r="B166" s="14" t="inlineStr">
        <is>
          <t>Недоступно</t>
        </is>
      </c>
      <c r="C166" s="14" t="inlineStr">
        <is>
          <t>Недоступно</t>
        </is>
      </c>
      <c r="D166" s="14" t="inlineStr">
        <is>
          <t>Недоступно</t>
        </is>
      </c>
      <c r="E166" s="14" t="inlineStr">
        <is>
          <t>Недоступно</t>
        </is>
      </c>
      <c r="F166" s="1" t="n"/>
      <c r="G166" s="1" t="n"/>
      <c r="H166" s="1" t="n"/>
      <c r="I166" s="1" t="n"/>
      <c r="J166" s="1" t="n"/>
      <c r="K166" s="1" t="n"/>
      <c r="L166" s="1" t="n"/>
      <c r="M166" s="1" t="n"/>
    </row>
    <row r="167">
      <c r="A167" s="45" t="inlineStr">
        <is>
          <t>BNB</t>
        </is>
      </c>
      <c r="B167" s="14" t="inlineStr">
        <is>
          <t>Недоступно</t>
        </is>
      </c>
      <c r="C167" s="14" t="inlineStr">
        <is>
          <t>Недоступно</t>
        </is>
      </c>
      <c r="D167" s="14" t="inlineStr">
        <is>
          <t>Недоступно</t>
        </is>
      </c>
      <c r="E167" s="14" t="inlineStr">
        <is>
          <t>Недоступно</t>
        </is>
      </c>
      <c r="F167" s="1" t="n"/>
      <c r="G167" s="1" t="n"/>
      <c r="H167" s="1" t="n"/>
      <c r="I167" s="1" t="n"/>
      <c r="J167" s="1" t="n"/>
      <c r="K167" s="1" t="n"/>
      <c r="L167" s="1" t="n"/>
      <c r="M167" s="1" t="n"/>
    </row>
    <row r="168">
      <c r="A168" s="45" t="inlineStr">
        <is>
          <t>ETH</t>
        </is>
      </c>
      <c r="B168" s="14" t="inlineStr">
        <is>
          <t>Недоступно</t>
        </is>
      </c>
      <c r="C168" s="14" t="inlineStr">
        <is>
          <t>Недоступно</t>
        </is>
      </c>
      <c r="D168" s="14" t="inlineStr">
        <is>
          <t>Недоступно</t>
        </is>
      </c>
      <c r="E168" s="14" t="inlineStr">
        <is>
          <t>Недоступно</t>
        </is>
      </c>
      <c r="F168" s="1" t="n"/>
      <c r="G168" s="1" t="n"/>
      <c r="H168" s="1" t="n"/>
      <c r="I168" s="1" t="n"/>
      <c r="J168" s="1" t="n"/>
      <c r="K168" s="1" t="n"/>
      <c r="L168" s="1" t="n"/>
      <c r="M168" s="1" t="n"/>
    </row>
    <row r="169">
      <c r="A169" s="46" t="n"/>
      <c r="B169" s="3" t="n"/>
      <c r="C169" s="3" t="n"/>
      <c r="D169" s="3" t="n"/>
      <c r="E169" s="3" t="n"/>
      <c r="F169" s="1" t="n"/>
      <c r="G169" s="1" t="n"/>
      <c r="H169" s="1" t="n"/>
      <c r="I169" s="1" t="n"/>
      <c r="J169" s="1" t="n"/>
      <c r="K169" s="1" t="n"/>
      <c r="L169" s="1" t="n"/>
      <c r="M169" s="1" t="n"/>
    </row>
    <row r="170">
      <c r="A170" s="46" t="n"/>
      <c r="B170" s="47" t="inlineStr">
        <is>
          <t>Этот спред в таблице G24</t>
        </is>
      </c>
      <c r="C170" s="48" t="inlineStr">
        <is>
          <t>Эти потери в таблице G33</t>
        </is>
      </c>
      <c r="D170" s="47" t="inlineStr">
        <is>
          <t>Банк устанавливается в ячейке C3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</row>
    <row r="171">
      <c r="A171" s="49" t="inlineStr">
        <is>
          <t>Комбинации:</t>
        </is>
      </c>
      <c r="B171" s="50">
        <f>IF(#REF!="Юмани","1. Продали на Юмани со спредом",IF(#REF!&lt;&gt;"Юмани", "Выберите Юмани в
ячейке K3"))</f>
        <v/>
      </c>
      <c r="C171" s="50">
        <f>IF(#REF!="Юмани",CONCATENATE("2. Через связку вывели с Юмани
 на ",#REF!, " с потерями "),IF(#REF!&lt;&gt;"Юмани", "Выберите Юмани в
ячейке K3"))</f>
        <v/>
      </c>
      <c r="D171" s="50">
        <f>IF(#REF!="Юмани", CONCATENATE("3. Получили спред на ",#REF!),IF(#REF!&lt;&gt;"Юмани", "Выберите Юмани в
ячейке K3"))</f>
        <v/>
      </c>
      <c r="E171" s="51">
        <f>IF(#REF!="QIWI","1. Продали на QIWI со спредом",IF(#REF!&lt;&gt;"QIWI", "Выберите QIWI в
ячейке G3"))</f>
        <v/>
      </c>
      <c r="F171" s="51">
        <f>IF(#REF!="QIWI",CONCATENATE("2. Через связку вывели с QIWI
 на ",#REF!, " с потерями "),IF(#REF!&lt;&gt;"QIWI", "Выберите QIWI в
ячейке G3"))</f>
        <v/>
      </c>
      <c r="G171" s="52">
        <f>IF(#REF!="QIWI", CONCATENATE("3. Получили спред на ",#REF!),IF(#REF!&lt;&gt;"QIWI", "Выберите QIWI в
ячейке G3"))</f>
        <v/>
      </c>
      <c r="H171" s="53" t="n"/>
      <c r="I171" s="1" t="n"/>
      <c r="J171" s="1" t="n"/>
      <c r="K171" s="1" t="n"/>
      <c r="L171" s="1" t="n"/>
      <c r="M171" s="1" t="n"/>
    </row>
    <row r="172">
      <c r="A172" s="54" t="inlineStr">
        <is>
          <t>USDT</t>
        </is>
      </c>
      <c r="B172" s="55" t="inlineStr">
        <is>
          <t>Недоступно</t>
        </is>
      </c>
      <c r="C172" s="55" t="inlineStr">
        <is>
          <t>Недоступно</t>
        </is>
      </c>
      <c r="D172" s="56" t="inlineStr">
        <is>
          <t>Недоступно</t>
        </is>
      </c>
      <c r="E172" s="55" t="inlineStr">
        <is>
          <t>Недоступно</t>
        </is>
      </c>
      <c r="F172" s="55" t="inlineStr">
        <is>
          <t>Недоступно</t>
        </is>
      </c>
      <c r="G172" s="56" t="inlineStr">
        <is>
          <t>Недоступно</t>
        </is>
      </c>
      <c r="H172" s="1" t="n"/>
      <c r="I172" s="1" t="n"/>
      <c r="J172" s="1" t="n"/>
      <c r="K172" s="1" t="n"/>
      <c r="L172" s="1" t="n"/>
      <c r="M172" s="1" t="n"/>
    </row>
    <row r="173">
      <c r="A173" s="54" t="inlineStr">
        <is>
          <t>BTC</t>
        </is>
      </c>
      <c r="B173" s="55" t="inlineStr">
        <is>
          <t>Недоступно</t>
        </is>
      </c>
      <c r="C173" s="55" t="inlineStr">
        <is>
          <t>Недоступно</t>
        </is>
      </c>
      <c r="D173" s="56" t="inlineStr">
        <is>
          <t>Недоступно</t>
        </is>
      </c>
      <c r="E173" s="55" t="inlineStr">
        <is>
          <t>Недоступно</t>
        </is>
      </c>
      <c r="F173" s="55" t="inlineStr">
        <is>
          <t>Недоступно</t>
        </is>
      </c>
      <c r="G173" s="56" t="inlineStr">
        <is>
          <t>Недоступно</t>
        </is>
      </c>
      <c r="H173" s="1" t="n"/>
      <c r="I173" s="1" t="n"/>
      <c r="J173" s="1" t="n"/>
      <c r="K173" s="1" t="n"/>
      <c r="L173" s="1" t="n"/>
      <c r="M173" s="1" t="n"/>
    </row>
    <row r="174">
      <c r="A174" s="54" t="inlineStr">
        <is>
          <t>BUSD</t>
        </is>
      </c>
      <c r="B174" s="55" t="inlineStr">
        <is>
          <t>Недоступно</t>
        </is>
      </c>
      <c r="C174" s="55" t="inlineStr">
        <is>
          <t>Недоступно</t>
        </is>
      </c>
      <c r="D174" s="56" t="inlineStr">
        <is>
          <t>Недоступно</t>
        </is>
      </c>
      <c r="E174" s="55" t="inlineStr">
        <is>
          <t>Недоступно</t>
        </is>
      </c>
      <c r="F174" s="55" t="inlineStr">
        <is>
          <t>Недоступно</t>
        </is>
      </c>
      <c r="G174" s="56" t="inlineStr">
        <is>
          <t>Недоступно</t>
        </is>
      </c>
      <c r="H174" s="1" t="n"/>
      <c r="I174" s="1" t="n"/>
      <c r="J174" s="1" t="n"/>
      <c r="K174" s="1" t="n"/>
      <c r="L174" s="1" t="n"/>
      <c r="M174" s="1" t="n"/>
    </row>
    <row r="175">
      <c r="A175" s="54" t="inlineStr">
        <is>
          <t>BNB</t>
        </is>
      </c>
      <c r="B175" s="55" t="inlineStr">
        <is>
          <t>Недоступно</t>
        </is>
      </c>
      <c r="C175" s="55" t="inlineStr">
        <is>
          <t>Недоступно</t>
        </is>
      </c>
      <c r="D175" s="56" t="inlineStr">
        <is>
          <t>Недоступно</t>
        </is>
      </c>
      <c r="E175" s="55" t="inlineStr">
        <is>
          <t>Недоступно</t>
        </is>
      </c>
      <c r="F175" s="55" t="inlineStr">
        <is>
          <t>Недоступно</t>
        </is>
      </c>
      <c r="G175" s="56" t="inlineStr">
        <is>
          <t>Недоступно</t>
        </is>
      </c>
      <c r="H175" s="1" t="n"/>
      <c r="I175" s="1" t="n"/>
      <c r="J175" s="1" t="n"/>
      <c r="K175" s="1" t="n"/>
      <c r="L175" s="1" t="n"/>
      <c r="M175" s="1" t="n"/>
    </row>
    <row r="176">
      <c r="A176" s="54" t="inlineStr">
        <is>
          <t>ETH</t>
        </is>
      </c>
      <c r="B176" s="55" t="inlineStr">
        <is>
          <t>Недоступно</t>
        </is>
      </c>
      <c r="C176" s="55" t="inlineStr">
        <is>
          <t>Недоступно</t>
        </is>
      </c>
      <c r="D176" s="56" t="inlineStr">
        <is>
          <t>Недоступно</t>
        </is>
      </c>
      <c r="E176" s="55" t="inlineStr">
        <is>
          <t>Недоступно</t>
        </is>
      </c>
      <c r="F176" s="55" t="inlineStr">
        <is>
          <t>Недоступно</t>
        </is>
      </c>
      <c r="G176" s="56" t="inlineStr">
        <is>
          <t>Недоступно</t>
        </is>
      </c>
      <c r="H176" s="1" t="n"/>
      <c r="I176" s="1" t="n"/>
      <c r="J176" s="1" t="n"/>
      <c r="K176" s="1" t="n"/>
      <c r="L176" s="1" t="n"/>
      <c r="M176" s="1" t="n"/>
    </row>
    <row r="177">
      <c r="A177" s="54" t="inlineStr">
        <is>
          <t>RUB</t>
        </is>
      </c>
      <c r="B177" s="55" t="inlineStr">
        <is>
          <t>Недоступно</t>
        </is>
      </c>
      <c r="C177" s="55" t="inlineStr">
        <is>
          <t>Недоступно</t>
        </is>
      </c>
      <c r="D177" s="56" t="inlineStr">
        <is>
          <t>Недоступно</t>
        </is>
      </c>
      <c r="E177" s="55" t="inlineStr">
        <is>
          <t>Недоступно</t>
        </is>
      </c>
      <c r="F177" s="55" t="inlineStr">
        <is>
          <t>Недоступно</t>
        </is>
      </c>
      <c r="G177" s="56" t="inlineStr">
        <is>
          <t>Недоступно</t>
        </is>
      </c>
      <c r="H177" s="1" t="n"/>
      <c r="I177" s="1" t="n"/>
      <c r="J177" s="1" t="n"/>
      <c r="K177" s="1" t="n"/>
      <c r="L177" s="1" t="n"/>
      <c r="M177" s="1" t="n"/>
    </row>
    <row r="178">
      <c r="A178" s="54" t="inlineStr">
        <is>
          <t>SHIB</t>
        </is>
      </c>
      <c r="B178" s="55" t="inlineStr">
        <is>
          <t>Недоступно</t>
        </is>
      </c>
      <c r="C178" s="55" t="inlineStr">
        <is>
          <t>Недоступно</t>
        </is>
      </c>
      <c r="D178" s="56" t="inlineStr">
        <is>
          <t>Недоступно</t>
        </is>
      </c>
      <c r="E178" s="55" t="inlineStr">
        <is>
          <t>Недоступно</t>
        </is>
      </c>
      <c r="F178" s="55" t="inlineStr">
        <is>
          <t>Недоступно</t>
        </is>
      </c>
      <c r="G178" s="56" t="inlineStr">
        <is>
          <t>Недоступно</t>
        </is>
      </c>
      <c r="H178" s="1" t="n"/>
      <c r="I178" s="1" t="n"/>
      <c r="J178" s="1" t="n"/>
      <c r="K178" s="1" t="n"/>
      <c r="L178" s="1" t="n"/>
      <c r="M178" s="1" t="n"/>
    </row>
    <row r="179">
      <c r="B179" s="57" t="n"/>
      <c r="C179" s="57" t="n"/>
      <c r="D179" s="58" t="n"/>
      <c r="E179" s="58" t="n"/>
      <c r="F179" s="57" t="n"/>
      <c r="G179" s="57" t="n"/>
      <c r="H179" s="1" t="n"/>
      <c r="I179" s="1" t="n"/>
      <c r="J179" s="1" t="n"/>
      <c r="K179" s="1" t="n"/>
      <c r="L179" s="1" t="n"/>
      <c r="M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</row>
    <row r="181" ht="15.75" customHeight="1" s="78" thickBot="1">
      <c r="A181" s="1" t="n"/>
      <c r="B181" s="6" t="n"/>
      <c r="C181" s="59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</row>
    <row r="182" ht="16.5" customHeight="1" s="78" thickBot="1" thickTop="1">
      <c r="A182" s="60" t="n"/>
      <c r="B182" s="61" t="n"/>
      <c r="C182" s="62" t="n"/>
      <c r="D182" s="63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</row>
    <row r="183" ht="15.75" customHeight="1" s="78" thickTop="1">
      <c r="A183" s="6" t="n"/>
      <c r="B183" s="64" t="n"/>
      <c r="C183" s="64" t="n"/>
      <c r="D183" s="57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</row>
    <row r="184">
      <c r="A184" s="6" t="n"/>
      <c r="B184" s="65" t="n"/>
      <c r="C184" s="64" t="n"/>
      <c r="D184" s="66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</row>
    <row r="185">
      <c r="A185" s="67" t="n"/>
      <c r="B185" s="68" t="n"/>
      <c r="C185" s="63" t="n"/>
      <c r="D185" s="58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</row>
    <row r="186">
      <c r="A186" s="67" t="n"/>
      <c r="B186" s="57" t="n"/>
      <c r="C186" s="63" t="n"/>
      <c r="D186" s="58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</row>
    <row r="187">
      <c r="A187" s="67" t="n"/>
      <c r="B187" s="57" t="n"/>
      <c r="C187" s="63" t="n"/>
      <c r="D187" s="58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</row>
    <row r="188">
      <c r="A188" s="67" t="n"/>
      <c r="B188" s="57" t="n"/>
      <c r="C188" s="63" t="n"/>
      <c r="D188" s="58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</row>
    <row r="189">
      <c r="A189" s="67" t="n"/>
      <c r="B189" s="57" t="n"/>
      <c r="C189" s="63" t="n"/>
      <c r="D189" s="58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</row>
    <row r="190">
      <c r="A190" s="67" t="n"/>
      <c r="B190" s="57" t="n"/>
      <c r="C190" s="58" t="n"/>
      <c r="D190" s="63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</row>
    <row r="191">
      <c r="A191" s="67" t="n"/>
      <c r="B191" s="57" t="n"/>
      <c r="C191" s="58" t="n"/>
      <c r="D191" s="63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</row>
    <row r="192">
      <c r="A192" s="1" t="n"/>
      <c r="B192" s="63" t="n"/>
      <c r="C192" s="58" t="n"/>
      <c r="D192" s="63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</row>
    <row r="193">
      <c r="A193" s="1" t="n"/>
      <c r="B193" s="63" t="n"/>
      <c r="C193" s="63" t="n"/>
      <c r="D193" s="58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</row>
    <row r="194">
      <c r="A194" s="1" t="n"/>
      <c r="B194" s="1" t="n"/>
      <c r="C194" s="1" t="n"/>
      <c r="D194" s="3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</row>
    <row r="195">
      <c r="A195" s="1" t="n"/>
      <c r="B195" s="1" t="n"/>
      <c r="C195" s="1" t="n"/>
      <c r="D195" s="3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</row>
    <row r="196">
      <c r="A196" s="1" t="n"/>
      <c r="B196" s="1" t="n"/>
      <c r="C196" s="1" t="n"/>
      <c r="D196" s="3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</row>
    <row r="197">
      <c r="A197" s="1" t="n"/>
      <c r="B197" s="1" t="n"/>
      <c r="C197" s="1" t="n"/>
      <c r="D197" s="3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</row>
    <row r="198">
      <c r="A198" s="1" t="n"/>
      <c r="B198" s="1" t="n"/>
      <c r="C198" s="1" t="n"/>
      <c r="D198" s="3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</row>
    <row r="199">
      <c r="A199" s="1" t="n"/>
      <c r="B199" s="1" t="n"/>
      <c r="C199" s="1" t="n"/>
      <c r="D199" s="3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</row>
    <row r="206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</row>
    <row r="21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</row>
    <row r="211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</row>
    <row r="212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</row>
    <row r="213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</row>
    <row r="214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</row>
    <row r="215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</row>
    <row r="216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</row>
    <row r="217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</row>
    <row r="218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</row>
    <row r="219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</row>
    <row r="22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</row>
    <row r="221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</row>
    <row r="222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</row>
    <row r="223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</row>
    <row r="224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</row>
    <row r="225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</row>
    <row r="226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</row>
    <row r="227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</row>
    <row r="228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</row>
    <row r="229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</row>
    <row r="23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</row>
    <row r="231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</row>
    <row r="232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</row>
    <row r="233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</row>
    <row r="234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</row>
    <row r="235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</row>
    <row r="236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</row>
    <row r="237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</row>
    <row r="238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</row>
    <row r="239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</row>
    <row r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</row>
    <row r="241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</row>
    <row r="242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</row>
    <row r="243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</row>
    <row r="244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</row>
    <row r="245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</row>
    <row r="246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</row>
    <row r="247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</row>
    <row r="248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</row>
    <row r="249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</row>
    <row r="25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</row>
    <row r="251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</row>
    <row r="252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</row>
    <row r="253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</row>
    <row r="254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</row>
    <row r="255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</row>
  </sheetData>
  <conditionalFormatting sqref="B37:G160">
    <cfRule type="cellIs" priority="1" operator="greaterThan" dxfId="1">
      <formula>0</formula>
    </cfRule>
    <cfRule type="cellIs" priority="2" operator="lessThanOrEqual" dxfId="0">
      <formula>0</formula>
    </cfRule>
  </conditionalFormatting>
  <conditionalFormatting sqref="B5:M31">
    <cfRule type="cellIs" priority="3" operator="greaterThan" dxfId="1">
      <formula>0</formula>
    </cfRule>
    <cfRule type="cellIs" priority="4" operator="lessThanOrEqual" dxfId="0">
      <formula>0</formula>
    </cfRule>
  </conditionalFormatting>
  <conditionalFormatting sqref="A36:A160">
    <cfRule type="beginsWith" priority="5" operator="beginsWith" dxfId="17" text="Тинькофф">
      <formula>LEFT((A36),LEN("Тинькофф"))=("Тинькофф")</formula>
    </cfRule>
    <cfRule type="beginsWith" priority="6" operator="beginsWith" dxfId="16" text="Росбанк">
      <formula>LEFT((A36),LEN("Росбанк"))=("Росбанк")</formula>
    </cfRule>
    <cfRule type="beginsWith" priority="7" operator="beginsWith" dxfId="15" text="Юмани">
      <formula>LEFT((A36),LEN("Юмани"))=("Юмани")</formula>
    </cfRule>
    <cfRule type="beginsWith" priority="8" operator="beginsWith" dxfId="14" text="QIWI">
      <formula>LEFT((A36),LEN("QIWI"))=("QIWI")</formula>
    </cfRule>
    <cfRule type="beginsWith" priority="9" operator="beginsWith" dxfId="13" text="Райфайзенбанк">
      <formula>LEFT((A36),LEN("Райфайзенбанк"))=("Райфайзенбанк")</formula>
    </cfRule>
    <cfRule type="beginsWith" priority="10" operator="beginsWith" dxfId="12" text="Почта Банк">
      <formula>LEFT((A36),LEN("Почта Банк"))=("Почта Банк")</formula>
    </cfRule>
    <cfRule type="beginsWith" priority="11" operator="beginsWith" dxfId="11" text="МТС-Банк">
      <formula>LEFT((A36),LEN("МТС-Банк"))=("МТС-Банк")</formula>
    </cfRule>
    <cfRule type="beginsWith" priority="12" operator="beginsWith" dxfId="10" text="Хоум Кредит Банк">
      <formula>LEFT((A36),LEN("Хоум Кредит Банк"))=("Хоум Кредит Банк")</formula>
    </cfRule>
    <cfRule type="beginsWith" priority="13" operator="beginsWith" dxfId="9" text="A-Bank">
      <formula>LEFT((A36),LEN("A-Bank"))=("A-Bank")</formula>
    </cfRule>
    <cfRule type="beginsWith" priority="14" operator="beginsWith" dxfId="8" text="Payeer">
      <formula>LEFT((A36),LEN("Payeer"))=("Payeer")</formula>
    </cfRule>
    <cfRule type="beginsWith" priority="15" operator="beginsWith" dxfId="7" text="Advcash">
      <formula>LEFT((A36),LEN("Advcash"))=("Advcash")</formula>
    </cfRule>
    <cfRule type="beginsWith" priority="16" operator="beginsWith" dxfId="6" text="Фиатный баланс">
      <formula>LEFT((A36),LEN("Фиатный баланс"))=("Фиатный баланс")</formula>
    </cfRule>
  </conditionalFormatting>
  <conditionalFormatting sqref="B164:E168">
    <cfRule type="cellIs" priority="17" operator="greaterThan" dxfId="1">
      <formula>0</formula>
    </cfRule>
    <cfRule type="cellIs" priority="18" operator="lessThanOrEqual" dxfId="0">
      <formula>0</formula>
    </cfRule>
  </conditionalFormatting>
  <conditionalFormatting sqref="D172:D178">
    <cfRule type="cellIs" priority="19" operator="greaterThan" dxfId="1">
      <formula>0</formula>
    </cfRule>
    <cfRule type="cellIs" priority="20" operator="lessThanOrEqual" dxfId="0">
      <formula>0</formula>
    </cfRule>
  </conditionalFormatting>
  <conditionalFormatting sqref="G172:G178">
    <cfRule type="cellIs" priority="21" operator="greaterThan" dxfId="1">
      <formula>0</formula>
    </cfRule>
    <cfRule type="cellIs" priority="22" operator="lessThanOrEqual" dxfId="0">
      <formula>0</formula>
    </cfRule>
  </conditionalFormatting>
  <dataValidations count="1">
    <dataValidation sqref="B34" showErrorMessage="1" showInputMessage="1" allowBlank="1" type="list">
      <formula1>"цены 1,цены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2022-08-23T14:07:17Z</dcterms:created>
  <dcterms:modified xsi:type="dcterms:W3CDTF">2022-08-26T06:05:20Z</dcterms:modified>
  <cp:lastModifiedBy>Кондратеня Виктор Сергеевич</cp:lastModifiedBy>
</cp:coreProperties>
</file>